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ables/table1.xml" ContentType="application/vnd.openxmlformats-officedocument.spreadsheetml.table+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puts" sheetId="1" state="visible" r:id="rId1"/>
    <sheet xmlns:r="http://schemas.openxmlformats.org/officeDocument/2006/relationships" name="Summary" sheetId="2" state="visible" r:id="rId2"/>
    <sheet xmlns:r="http://schemas.openxmlformats.org/officeDocument/2006/relationships" name="CIO - Top Investment Executive" sheetId="3" state="visible" r:id="rId3"/>
    <sheet xmlns:r="http://schemas.openxmlformats.org/officeDocument/2006/relationships" name="Deputy CIO" sheetId="4" state="visible" r:id="rId4"/>
    <sheet xmlns:r="http://schemas.openxmlformats.org/officeDocument/2006/relationships" name="Managing Director" sheetId="5" state="visible" r:id="rId5"/>
    <sheet xmlns:r="http://schemas.openxmlformats.org/officeDocument/2006/relationships" name="Director &amp; Investment Officer" sheetId="6" state="visible" r:id="rId6"/>
    <sheet xmlns:r="http://schemas.openxmlformats.org/officeDocument/2006/relationships" name="Other investment staff" sheetId="7" state="visible" r:id="rId7"/>
    <sheet xmlns:r="http://schemas.openxmlformats.org/officeDocument/2006/relationships" name="COO (Investment Office)" sheetId="8" state="visible" r:id="rId8"/>
    <sheet xmlns:r="http://schemas.openxmlformats.org/officeDocument/2006/relationships" name="Other disclosed professionals" sheetId="9" state="visible" r:id="rId9"/>
    <sheet xmlns:r="http://schemas.openxmlformats.org/officeDocument/2006/relationships" name="Methodology" sheetId="10" state="visible" r:id="rId10"/>
    <sheet xmlns:r="http://schemas.openxmlformats.org/officeDocument/2006/relationships" name="Data" sheetId="11" state="visible" r:id="rId11"/>
    <sheet xmlns:r="http://schemas.openxmlformats.org/officeDocument/2006/relationships" name="Peer Orgs" sheetId="12" state="visible" r:id="rId12"/>
    <sheet xmlns:r="http://schemas.openxmlformats.org/officeDocument/2006/relationships" name="AUM Sources" sheetId="13" state="visible" r:id="rId13"/>
    <sheet xmlns:r="http://schemas.openxmlformats.org/officeDocument/2006/relationships" name="Lists" sheetId="14" state="hidden" r:id="rId14"/>
  </sheets>
  <definedNames>
    <definedName name="k_MinMedian">Lists!$B$2</definedName>
    <definedName name="k_MinQuartile">Lists!$B$3</definedName>
    <definedName name="k_RoundTo">Lists!$B$4</definedName>
    <definedName name="lst_GeoPreset">Lists!$A$8:$A$36</definedName>
    <definedName name="lst_GeoState">Lists!$B$8:$B$36</definedName>
    <definedName name="in_Mode">Inputs!$D$4</definedName>
    <definedName name="in_AumMin">Inputs!$B$5</definedName>
    <definedName name="in_AumMax">Inputs!$B$6</definedName>
    <definedName name="in_AumBasis">Inputs!$B$7</definedName>
    <definedName name="in_Geography">Inputs!$B$8</definedName>
    <definedName name="in_CustomStates">Inputs!$B$9</definedName>
    <definedName name="in_ExclHarvard">Inputs!$B$11</definedName>
    <definedName name="in_ClientOrg">Inputs!$B$21</definedName>
    <definedName name="in_AgeToDate">Inputs!$B$24</definedName>
    <definedName name="in_GrowthRate">Inputs!$B$25</definedName>
    <definedName name="in_ClientAum">Inputs!$F$4</definedName>
    <definedName name="in_BandFloor">Inputs!$F$5</definedName>
    <definedName name="in_BandCeiling">Inputs!$F$6</definedName>
    <definedName name="k_Est_adj_heads_25">Lists!$B$40</definedName>
    <definedName name="k_Est_adj_heads_75">Lists!$B$41</definedName>
    <definedName name="k_Est_adj_heads_90">Lists!$B$42</definedName>
    <definedName name="k_Est_adj_staff_25">Lists!$B$43</definedName>
    <definedName name="k_Est_adj_staff_75">Lists!$B$44</definedName>
    <definedName name="k_Est_adj_staff_90">Lists!$B$45</definedName>
    <definedName name="k_Est_base_heads_25">Lists!$B$46</definedName>
    <definedName name="k_Est_base_heads_75">Lists!$B$47</definedName>
    <definedName name="k_Est_base_heads_90">Lists!$B$48</definedName>
    <definedName name="k_Est_base_staff_25">Lists!$B$49</definedName>
    <definedName name="k_Est_base_staff_75">Lists!$B$50</definedName>
    <definedName name="k_Est_base_staff_90">Lists!$B$51</definedName>
    <definedName name="lst_PeerOrgs">'Peer Orgs'!$A$13:$A$247</definedName>
    <definedName name="lst_PeerAum">'Peer Orgs'!$C$13:$C$247</definedName>
    <definedName name="lst_PeerIncluded">'Peer Orgs'!$G$13:$G$247</definedName>
    <definedName name="meta_BuildDate">Methodology!$A$79</definedName>
    <definedName name="meta_Snapshot">Methodology!$A$80</definedName>
    <definedName name="_xlnm.Print_Area" localSheetId="0">'Inputs'!$A$1:$I$38</definedName>
    <definedName name="_xlnm.Print_Area" localSheetId="1">'Summary'!$A$1:$O$50</definedName>
    <definedName name="_xlnm._FilterDatabase" localSheetId="2" hidden="1">'CIO - Top Investment Executive'!$A$24:$T$740</definedName>
    <definedName name="_xlnm.Print_Titles" localSheetId="2">'CIO - Top Investment Executive'!$24:$24</definedName>
    <definedName name="_xlnm.Print_Area" localSheetId="2">'CIO - Top Investment Executive'!$A$1:$T$741</definedName>
    <definedName name="_xlnm._FilterDatabase" localSheetId="3" hidden="1">'Deputy CIO'!$A$24:$T$112</definedName>
    <definedName name="_xlnm.Print_Titles" localSheetId="3">'Deputy CIO'!$24:$24</definedName>
    <definedName name="_xlnm.Print_Area" localSheetId="3">'Deputy CIO'!$A$1:$T$113</definedName>
    <definedName name="_xlnm._FilterDatabase" localSheetId="4" hidden="1">'Managing Director'!$A$24:$T$423</definedName>
    <definedName name="_xlnm.Print_Titles" localSheetId="4">'Managing Director'!$24:$24</definedName>
    <definedName name="_xlnm.Print_Area" localSheetId="4">'Managing Director'!$A$1:$T$424</definedName>
    <definedName name="_xlnm._FilterDatabase" localSheetId="5" hidden="1">'Director &amp; Investment Officer'!$A$24:$T$574</definedName>
    <definedName name="_xlnm.Print_Titles" localSheetId="5">'Director &amp; Investment Officer'!$24:$24</definedName>
    <definedName name="_xlnm.Print_Area" localSheetId="5">'Director &amp; Investment Officer'!$A$1:$T$575</definedName>
    <definedName name="_xlnm._FilterDatabase" localSheetId="6" hidden="1">'Other investment staff'!$A$24:$T$83</definedName>
    <definedName name="_xlnm.Print_Titles" localSheetId="6">'Other investment staff'!$24:$24</definedName>
    <definedName name="_xlnm.Print_Area" localSheetId="6">'Other investment staff'!$A$1:$T$84</definedName>
    <definedName name="_xlnm._FilterDatabase" localSheetId="7" hidden="1">'COO (Investment Office)'!$A$24:$T$105</definedName>
    <definedName name="_xlnm.Print_Titles" localSheetId="7">'COO (Investment Office)'!$24:$24</definedName>
    <definedName name="_xlnm.Print_Area" localSheetId="7">'COO (Investment Office)'!$A$1:$T$106</definedName>
    <definedName name="_xlnm._FilterDatabase" localSheetId="8" hidden="1">'Other disclosed professionals'!$A$24:$T$83</definedName>
    <definedName name="_xlnm.Print_Titles" localSheetId="8">'Other disclosed professionals'!$24:$24</definedName>
    <definedName name="_xlnm.Print_Area" localSheetId="8">'Other disclosed professionals'!$A$1:$T$84</definedName>
    <definedName name="_xlnm.Print_Area" localSheetId="9">'Methodology'!$A$1:$D$80</definedName>
    <definedName name="_xlnm.Print_Titles" localSheetId="10">'Data'!$1:$1</definedName>
    <definedName name="_xlnm.Print_Area" localSheetId="10">'Data'!$A$1:$T$1953</definedName>
    <definedName name="_xlnm.Print_Area" localSheetId="11">'Peer Orgs'!$A$1:$G$247</definedName>
    <definedName name="_xlnm.Print_Area" localSheetId="12">'AUM Sources'!$A$1:$J$264</definedName>
    <definedName name="_xlnm.Print_Area" localSheetId="13">'Lists'!$A$1:$C$51</definedName>
  </definedNames>
  <calcPr calcId="124519" fullCalcOnLoad="1"/>
</workbook>
</file>

<file path=xl/styles.xml><?xml version="1.0" encoding="utf-8"?>
<styleSheet xmlns="http://schemas.openxmlformats.org/spreadsheetml/2006/main">
  <numFmts count="8">
    <numFmt numFmtId="164" formatCode="0.0"/>
    <numFmt numFmtId="165" formatCode="yyyy-mm-dd"/>
    <numFmt numFmtId="166" formatCode="mm/dd/yyyy"/>
    <numFmt numFmtId="167" formatCode="$#,##0"/>
    <numFmt numFmtId="168" formatCode="+0.0%;-0.0%"/>
    <numFmt numFmtId="169" formatCode="0&quot;th&quot;"/>
    <numFmt numFmtId="170" formatCode="0.0%"/>
    <numFmt numFmtId="171" formatCode="+0&quot;pp&quot;;-0&quot;pp&quot;;0&quot;pp&quot;"/>
  </numFmts>
  <fonts count="18">
    <font>
      <name val="Calibri"/>
      <family val="2"/>
      <color theme="1"/>
      <sz val="11"/>
      <scheme val="minor"/>
    </font>
    <font>
      <name val="Calibri"/>
      <b val="1"/>
      <sz val="14"/>
    </font>
    <font>
      <name val="Calibri"/>
      <i val="1"/>
      <color rgb="00666666"/>
      <sz val="10"/>
    </font>
    <font>
      <name val="Calibri"/>
      <b val="1"/>
      <sz val="12"/>
    </font>
    <font>
      <name val="Calibri"/>
      <b val="1"/>
      <sz val="11"/>
    </font>
    <font>
      <name val="Calibri"/>
      <b val="1"/>
      <color rgb="001F3864"/>
      <sz val="12"/>
    </font>
    <font>
      <name val="Calibri"/>
      <b val="1"/>
      <color rgb="001F3864"/>
      <sz val="11"/>
    </font>
    <font>
      <name val="Calibri"/>
      <b val="1"/>
      <color rgb="00FFFFFF"/>
      <sz val="12"/>
    </font>
    <font>
      <name val="Calibri"/>
      <b val="1"/>
      <color rgb="00FFFFFF"/>
      <sz val="10"/>
    </font>
    <font>
      <name val="Calibri"/>
      <i val="1"/>
      <color rgb="00866812"/>
      <sz val="11"/>
    </font>
    <font>
      <name val="Calibri"/>
      <i val="1"/>
      <color rgb="00808080"/>
      <sz val="9"/>
    </font>
    <font>
      <name val="Calibri"/>
      <b val="1"/>
      <color rgb="00FFFFFF"/>
      <sz val="11"/>
    </font>
    <font>
      <name val="Calibri"/>
      <color rgb="000563C1"/>
      <sz val="10"/>
      <u val="single"/>
    </font>
    <font>
      <color rgb="001F4E78"/>
      <sz val="11"/>
      <u val="single"/>
    </font>
    <font>
      <name val="Calibri"/>
      <b val="1"/>
      <sz val="18"/>
    </font>
    <font>
      <name val="Calibri"/>
      <b val="1"/>
      <sz val="10"/>
    </font>
    <font>
      <name val="Calibri"/>
      <sz val="10"/>
    </font>
    <font>
      <name val="Calibri"/>
      <b val="1"/>
      <color rgb="00BF3F00"/>
      <sz val="11"/>
    </font>
  </fonts>
  <fills count="13">
    <fill>
      <patternFill/>
    </fill>
    <fill>
      <patternFill patternType="gray125"/>
    </fill>
    <fill>
      <patternFill patternType="solid">
        <fgColor rgb="00D6E4F0"/>
        <bgColor rgb="00D6E4F0"/>
      </patternFill>
    </fill>
    <fill>
      <patternFill patternType="solid">
        <fgColor rgb="00B4C6E7"/>
        <bgColor rgb="00B4C6E7"/>
      </patternFill>
    </fill>
    <fill>
      <patternFill patternType="solid">
        <fgColor rgb="00FFF2CC"/>
        <bgColor rgb="00FFF2CC"/>
      </patternFill>
    </fill>
    <fill>
      <patternFill patternType="solid">
        <fgColor rgb="001F3864"/>
      </patternFill>
    </fill>
    <fill>
      <patternFill patternType="solid">
        <fgColor rgb="007F6000"/>
      </patternFill>
    </fill>
    <fill>
      <patternFill patternType="solid">
        <fgColor rgb="00F2F2F2"/>
      </patternFill>
    </fill>
    <fill>
      <patternFill patternType="solid">
        <fgColor rgb="00FFF2CC"/>
      </patternFill>
    </fill>
    <fill>
      <patternFill patternType="solid">
        <fgColor rgb="001F3864"/>
        <bgColor rgb="001F3864"/>
      </patternFill>
    </fill>
    <fill>
      <patternFill patternType="solid">
        <fgColor rgb="00F2F2F2"/>
        <bgColor rgb="00F2F2F2"/>
      </patternFill>
    </fill>
    <fill>
      <patternFill patternType="solid">
        <fgColor rgb="004472C4"/>
        <bgColor rgb="004472C4"/>
      </patternFill>
    </fill>
    <fill>
      <patternFill patternType="solid">
        <fgColor rgb="00FFF7E0"/>
      </patternFill>
    </fill>
  </fills>
  <borders count="5">
    <border>
      <left/>
      <right/>
      <top/>
      <bottom/>
      <diagonal/>
    </border>
    <border>
      <left style="thin"/>
      <right style="thin"/>
      <top style="thin"/>
      <bottom style="thin"/>
    </border>
    <border>
      <left style="thin">
        <color rgb="00FFFFFF"/>
      </left>
      <right style="thin">
        <color rgb="00FFFFFF"/>
      </right>
      <top style="thin">
        <color rgb="00FFFFFF"/>
      </top>
      <bottom style="thin">
        <color rgb="00FFFFFF"/>
      </bottom>
    </border>
    <border>
      <top style="thin">
        <color rgb="001F3864"/>
      </top>
      <bottom style="thin">
        <color rgb="001F3864"/>
      </bottom>
    </border>
    <border>
      <left style="thin">
        <color rgb="00BFBFBF"/>
      </left>
      <right style="thin">
        <color rgb="00BFBFBF"/>
      </right>
      <top style="thin">
        <color rgb="00BFBFBF"/>
      </top>
      <bottom style="thin">
        <color rgb="00BFBFBF"/>
      </bottom>
    </border>
  </borders>
  <cellStyleXfs count="1">
    <xf numFmtId="0" fontId="0" fillId="0" borderId="0"/>
  </cellStyleXfs>
  <cellXfs count="59">
    <xf numFmtId="0" fontId="0" fillId="0" borderId="0" pivotButton="0" quotePrefix="0" xfId="0"/>
    <xf numFmtId="0" fontId="1" fillId="0" borderId="0" pivotButton="0" quotePrefix="0" xfId="0"/>
    <xf numFmtId="0" fontId="4" fillId="0" borderId="0" pivotButton="0" quotePrefix="0" xfId="0"/>
    <xf numFmtId="0" fontId="2" fillId="0" borderId="0" pivotButton="0" quotePrefix="0" xfId="0"/>
    <xf numFmtId="0" fontId="3" fillId="2" borderId="0" pivotButton="0" quotePrefix="0" xfId="0"/>
    <xf numFmtId="0" fontId="0" fillId="2" borderId="0" pivotButton="0" quotePrefix="0" xfId="0"/>
    <xf numFmtId="0" fontId="4" fillId="2" borderId="0" pivotButton="0" quotePrefix="0" xfId="0"/>
    <xf numFmtId="0" fontId="5" fillId="12" borderId="1" applyAlignment="1" pivotButton="0" quotePrefix="0" xfId="0">
      <alignment horizontal="center" vertical="center"/>
    </xf>
    <xf numFmtId="164" fontId="4" fillId="0" borderId="0" pivotButton="0" quotePrefix="0" xfId="0"/>
    <xf numFmtId="2" fontId="4" fillId="12" borderId="1" applyAlignment="1" pivotButton="0" quotePrefix="0" xfId="0">
      <alignment horizontal="center"/>
    </xf>
    <xf numFmtId="0" fontId="4" fillId="12" borderId="1" applyAlignment="1" pivotButton="0" quotePrefix="0" xfId="0">
      <alignment horizontal="center"/>
    </xf>
    <xf numFmtId="0" fontId="2" fillId="2" borderId="0" pivotButton="0" quotePrefix="0" xfId="0"/>
    <xf numFmtId="166" fontId="4" fillId="12" borderId="1" applyAlignment="1" pivotButton="0" quotePrefix="0" xfId="0">
      <alignment horizontal="center"/>
    </xf>
    <xf numFmtId="9" fontId="4" fillId="12" borderId="1" applyAlignment="1" pivotButton="0" quotePrefix="0" xfId="0">
      <alignment horizontal="center"/>
    </xf>
    <xf numFmtId="0" fontId="6" fillId="0" borderId="0" pivotButton="0" quotePrefix="0" xfId="0"/>
    <xf numFmtId="0" fontId="7" fillId="5" borderId="0" pivotButton="0" quotePrefix="0" xfId="0"/>
    <xf numFmtId="0" fontId="0" fillId="5" borderId="0" pivotButton="0" quotePrefix="0" xfId="0"/>
    <xf numFmtId="0" fontId="8" fillId="5" borderId="0" applyAlignment="1" pivotButton="0" quotePrefix="0" xfId="0">
      <alignment horizontal="center" vertical="center" wrapText="1"/>
    </xf>
    <xf numFmtId="0" fontId="8" fillId="6" borderId="0" applyAlignment="1" pivotButton="0" quotePrefix="0" xfId="0">
      <alignment horizontal="center" vertical="center" wrapText="1"/>
    </xf>
    <xf numFmtId="0" fontId="10" fillId="0" borderId="0" pivotButton="0" quotePrefix="0" xfId="0"/>
    <xf numFmtId="0" fontId="0" fillId="0" borderId="0" applyAlignment="1" pivotButton="0" quotePrefix="0" xfId="0">
      <alignment horizontal="center" vertical="center" wrapText="1"/>
    </xf>
    <xf numFmtId="167" fontId="0" fillId="0" borderId="0" pivotButton="0" quotePrefix="0" xfId="0"/>
    <xf numFmtId="167" fontId="4" fillId="7" borderId="0" pivotButton="0" quotePrefix="0" xfId="0"/>
    <xf numFmtId="167" fontId="0" fillId="8" borderId="0" pivotButton="0" quotePrefix="0" xfId="0"/>
    <xf numFmtId="168" fontId="0" fillId="8" borderId="0" pivotButton="0" quotePrefix="0" xfId="0"/>
    <xf numFmtId="169" fontId="0" fillId="8" borderId="0" pivotButton="0" quotePrefix="0" xfId="0"/>
    <xf numFmtId="167" fontId="9" fillId="0" borderId="0" pivotButton="0" quotePrefix="0" xfId="0"/>
    <xf numFmtId="0" fontId="11" fillId="9" borderId="2" applyAlignment="1" pivotButton="0" quotePrefix="0" xfId="0">
      <alignment horizontal="center"/>
    </xf>
    <xf numFmtId="3" fontId="0" fillId="0" borderId="0" pivotButton="0" quotePrefix="0" xfId="0"/>
    <xf numFmtId="3" fontId="4" fillId="10" borderId="0" pivotButton="0" quotePrefix="0" xfId="0"/>
    <xf numFmtId="170" fontId="0" fillId="0" borderId="0" pivotButton="0" quotePrefix="0" xfId="0"/>
    <xf numFmtId="170" fontId="4" fillId="10" borderId="0" pivotButton="0" quotePrefix="0" xfId="0"/>
    <xf numFmtId="0" fontId="2" fillId="0" borderId="3" applyAlignment="1" pivotButton="0" quotePrefix="0" xfId="0">
      <alignment vertical="top" wrapText="1"/>
    </xf>
    <xf numFmtId="0" fontId="0" fillId="0" borderId="3" pivotButton="0" quotePrefix="0" xfId="0"/>
    <xf numFmtId="0" fontId="17" fillId="0" borderId="0" pivotButton="0" quotePrefix="0" xfId="0"/>
    <xf numFmtId="0" fontId="8" fillId="5" borderId="4" applyAlignment="1" pivotButton="0" quotePrefix="0" xfId="0">
      <alignment horizontal="center" vertical="center" wrapText="1"/>
    </xf>
    <xf numFmtId="0" fontId="8" fillId="6" borderId="4" applyAlignment="1" pivotButton="0" quotePrefix="0" xfId="0">
      <alignment horizontal="center" vertical="center" wrapText="1"/>
    </xf>
    <xf numFmtId="0" fontId="0" fillId="8" borderId="0" applyAlignment="1" pivotButton="0" quotePrefix="0" xfId="0">
      <alignment horizontal="center" vertical="center" wrapText="1"/>
    </xf>
    <xf numFmtId="9" fontId="0" fillId="0" borderId="0" pivotButton="0" quotePrefix="0" xfId="0"/>
    <xf numFmtId="9" fontId="4" fillId="7" borderId="0" pivotButton="0" quotePrefix="0" xfId="0"/>
    <xf numFmtId="9" fontId="0" fillId="8" borderId="0" pivotButton="0" quotePrefix="0" xfId="0"/>
    <xf numFmtId="171" fontId="0" fillId="8" borderId="0" pivotButton="0" quotePrefix="0" xfId="0"/>
    <xf numFmtId="164" fontId="0" fillId="0" borderId="0" pivotButton="0" quotePrefix="0" xfId="0"/>
    <xf numFmtId="0" fontId="12" fillId="0" borderId="0" pivotButton="0" quotePrefix="0" xfId="0"/>
    <xf numFmtId="0" fontId="14" fillId="0" borderId="0" pivotButton="0" quotePrefix="0" xfId="0"/>
    <xf numFmtId="0" fontId="5" fillId="0" borderId="0" pivotButton="0" quotePrefix="0" xfId="0"/>
    <xf numFmtId="0" fontId="0" fillId="0" borderId="0" applyAlignment="1" pivotButton="0" quotePrefix="0" xfId="0">
      <alignment vertical="top" wrapText="1"/>
    </xf>
    <xf numFmtId="0" fontId="8" fillId="5" borderId="4" applyAlignment="1" pivotButton="0" quotePrefix="0" xfId="0">
      <alignment vertical="center" wrapText="1"/>
    </xf>
    <xf numFmtId="0" fontId="15" fillId="0" borderId="0" pivotButton="0" quotePrefix="0" xfId="0"/>
    <xf numFmtId="0" fontId="16" fillId="0" borderId="0" applyAlignment="1" pivotButton="0" quotePrefix="0" xfId="0">
      <alignment vertical="top" wrapText="1"/>
    </xf>
    <xf numFmtId="0" fontId="0" fillId="0" borderId="0" applyAlignment="1" pivotButton="0" quotePrefix="0" xfId="0">
      <alignment horizontal="center"/>
    </xf>
    <xf numFmtId="0" fontId="11" fillId="11" borderId="1" applyAlignment="1" pivotButton="0" quotePrefix="0" xfId="0">
      <alignment horizontal="center" wrapText="1"/>
    </xf>
    <xf numFmtId="164" fontId="0" fillId="0" borderId="0" applyAlignment="1" pivotButton="0" quotePrefix="0" xfId="0">
      <alignment horizontal="center"/>
    </xf>
    <xf numFmtId="0" fontId="11" fillId="9" borderId="2" pivotButton="0" quotePrefix="0" xfId="0"/>
    <xf numFmtId="3" fontId="4" fillId="0" borderId="1" pivotButton="0" quotePrefix="0" xfId="0"/>
    <xf numFmtId="164" fontId="4" fillId="0" borderId="1" pivotButton="0" quotePrefix="0" xfId="0"/>
    <xf numFmtId="0" fontId="13" fillId="0" borderId="0" pivotButton="0" quotePrefix="0" xfId="0"/>
    <xf numFmtId="2" fontId="0" fillId="0" borderId="0" pivotButton="0" quotePrefix="0" xfId="0"/>
    <xf numFmtId="2" fontId="4" fillId="0" borderId="0" pivotButton="0" quotePrefix="0" xfId="0"/>
  </cellXfs>
  <cellStyles count="1">
    <cellStyle name="Normal" xfId="0" builtinId="0" hidden="0"/>
  </cellStyles>
  <dxfs count="1">
    <dxf>
      <font>
        <name val="Calibri"/>
        <b val="1"/>
        <color rgb="001F3864"/>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styles" Target="styles.xml" Id="rId15"/><Relationship Type="http://schemas.openxmlformats.org/officeDocument/2006/relationships/theme" Target="theme/theme1.xml" Id="rId16"/></Relationships>
</file>

<file path=xl/tables/table1.xml><?xml version="1.0" encoding="utf-8"?>
<table xmlns="http://schemas.openxmlformats.org/spreadsheetml/2006/main" id="1" name="Records" displayName="Records" ref="A1:AD1953" headerRowCount="1">
  <autoFilter ref="A1:AD1953"/>
  <tableColumns count="30">
    <tableColumn id="1" name="Organization"/>
    <tableColumn id="2" name="State"/>
    <tableColumn id="3" name="AUM ($B)"/>
    <tableColumn id="4" name="Institution Type"/>
    <tableColumn id="5" name="Year"/>
    <tableColumn id="6" name="Filing Date"/>
    <tableColumn id="7" name="Tax Period End"/>
    <tableColumn id="8" name="Name"/>
    <tableColumn id="9" name="Raw Title"/>
    <tableColumn id="10" name="Standardized Title"/>
    <tableColumn id="11" name="Tier"/>
    <tableColumn id="12" name="(B)(i) Base"/>
    <tableColumn id="13" name="(B)(ii) Bonus"/>
    <tableColumn id="14" name="(B)(iii) Other"/>
    <tableColumn id="15" name="(C) Deferred"/>
    <tableColumn id="16" name="(D) Nontax Benefits"/>
    <tableColumn id="17" name="(E) Total Comp"/>
    <tableColumn id="18" name="(F) Prior Deferred"/>
    <tableColumn id="19" name="Adj Total"/>
    <tableColumn id="20" name="Aged Adj Total"/>
    <tableColumn id="21" name="Include"/>
    <tableColumn id="22" name="% of CIO"/>
    <tableColumn id="23" name="Roll-up"/>
    <tableColumn id="24" name="Total Cash"/>
    <tableColumn id="25" name="Incentive % of Base"/>
    <tableColumn id="26" name="Role Group"/>
    <tableColumn id="27" name="Family"/>
    <tableColumn id="28" name="Top Job"/>
    <tableColumn id="29" name="Filing"/>
    <tableColumn id="30" name="Most Recent"/>
  </tableColumns>
  <tableStyleInfo name="TableStyleLight1"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1.xml.rels><Relationships xmlns="http://schemas.openxmlformats.org/package/2006/relationships"><Relationship Type="http://schemas.openxmlformats.org/officeDocument/2006/relationships/table" Target="/xl/tables/table1.xml" Id="rId1"/></Relationships>
</file>

<file path=xl/worksheets/_rels/sheet13.xml.rels><Relationships xmlns="http://schemas.openxmlformats.org/package/2006/relationships"><Relationship Type="http://schemas.openxmlformats.org/officeDocument/2006/relationships/hyperlink" Target="https://projects.propublica.org/nonprofits/organizations/742765082" TargetMode="External" Id="rId1"/><Relationship Type="http://schemas.openxmlformats.org/officeDocument/2006/relationships/hyperlink" Target="https://www.utimco.org/" TargetMode="External" Id="rId2"/><Relationship Type="http://schemas.openxmlformats.org/officeDocument/2006/relationships/hyperlink" Target="https://projects.propublica.org/nonprofits/organizations/900424876" TargetMode="External" Id="rId3"/><Relationship Type="http://schemas.openxmlformats.org/officeDocument/2006/relationships/hyperlink" Target="https://projects.propublica.org/nonprofits/organizations/900424876" TargetMode="External" Id="rId4"/><Relationship Type="http://schemas.openxmlformats.org/officeDocument/2006/relationships/hyperlink" Target="https://projects.propublica.org/nonprofits/organizations/350868122" TargetMode="External" Id="rId5"/><Relationship Type="http://schemas.openxmlformats.org/officeDocument/2006/relationships/hyperlink" Target="https://www.pionline.com/research-center/largest-endowments-foundations" TargetMode="External" Id="rId6"/><Relationship Type="http://schemas.openxmlformats.org/officeDocument/2006/relationships/hyperlink" Target="https://projects.propublica.org/nonprofits/organizations/237361259" TargetMode="External" Id="rId7"/><Relationship Type="http://schemas.openxmlformats.org/officeDocument/2006/relationships/hyperlink" Target="https://www.nacubo.org/research/2024-ncse-public-tables" TargetMode="External" Id="rId8"/><Relationship Type="http://schemas.openxmlformats.org/officeDocument/2006/relationships/hyperlink" Target="https://projects.propublica.org/nonprofits/organizations/060646973" TargetMode="External" Id="rId9"/><Relationship Type="http://schemas.openxmlformats.org/officeDocument/2006/relationships/hyperlink" Target="https://www.nacubo.org/research/2024-ncse-public-tables" TargetMode="External" Id="rId10"/><Relationship Type="http://schemas.openxmlformats.org/officeDocument/2006/relationships/hyperlink" Target="https://projects.propublica.org/nonprofits/organizations/941156365" TargetMode="External" Id="rId11"/><Relationship Type="http://schemas.openxmlformats.org/officeDocument/2006/relationships/hyperlink" Target="https://www.nacubo.org/research/2024-ncse-public-tables" TargetMode="External" Id="rId12"/><Relationship Type="http://schemas.openxmlformats.org/officeDocument/2006/relationships/hyperlink" Target="https://projects.propublica.org/nonprofits/organizations/210634501" TargetMode="External" Id="rId13"/><Relationship Type="http://schemas.openxmlformats.org/officeDocument/2006/relationships/hyperlink" Target="https://www.nacubo.org/research/2024-ncse-public-tables" TargetMode="External" Id="rId14"/><Relationship Type="http://schemas.openxmlformats.org/officeDocument/2006/relationships/hyperlink" Target="https://projects.propublica.org/nonprofits/organizations/590735717" TargetMode="External" Id="rId15"/><Relationship Type="http://schemas.openxmlformats.org/officeDocument/2006/relationships/hyperlink" Target="https://projects.propublica.org/nonprofits/organizations/590735717" TargetMode="External" Id="rId16"/><Relationship Type="http://schemas.openxmlformats.org/officeDocument/2006/relationships/hyperlink" Target="https://projects.propublica.org/nonprofits/organizations/042103594" TargetMode="External" Id="rId17"/><Relationship Type="http://schemas.openxmlformats.org/officeDocument/2006/relationships/hyperlink" Target="https://www.nacubo.org/research/2024-ncse-public-tables" TargetMode="External" Id="rId18"/><Relationship Type="http://schemas.openxmlformats.org/officeDocument/2006/relationships/hyperlink" Target="https://projects.propublica.org/nonprofits/organizations/231352685" TargetMode="External" Id="rId19"/><Relationship Type="http://schemas.openxmlformats.org/officeDocument/2006/relationships/hyperlink" Target="https://www.nacubo.org/research/2024-ncse-public-tables" TargetMode="External" Id="rId20"/><Relationship Type="http://schemas.openxmlformats.org/officeDocument/2006/relationships/hyperlink" Target="https://projects.propublica.org/nonprofits/organizations/560532129" TargetMode="External" Id="rId21"/><Relationship Type="http://schemas.openxmlformats.org/officeDocument/2006/relationships/hyperlink" Target="https://www.dumac.duke.edu/" TargetMode="External" Id="rId22"/><Relationship Type="http://schemas.openxmlformats.org/officeDocument/2006/relationships/hyperlink" Target="https://projects.propublica.org/nonprofits/organizations/350868188" TargetMode="External" Id="rId23"/><Relationship Type="http://schemas.openxmlformats.org/officeDocument/2006/relationships/hyperlink" Target="https://www.nacubo.org/research/2024-ncse-public-tables" TargetMode="External" Id="rId24"/><Relationship Type="http://schemas.openxmlformats.org/officeDocument/2006/relationships/hyperlink" Target="https://projects.propublica.org/nonprofits/organizations/824184596" TargetMode="External" Id="rId25"/><Relationship Type="http://schemas.openxmlformats.org/officeDocument/2006/relationships/hyperlink" Target="https://projects.propublica.org/nonprofits/organizations/824184596" TargetMode="External" Id="rId26"/><Relationship Type="http://schemas.openxmlformats.org/officeDocument/2006/relationships/hyperlink" Target="https://projects.propublica.org/nonprofits/organizations/135598093" TargetMode="External" Id="rId27"/><Relationship Type="http://schemas.openxmlformats.org/officeDocument/2006/relationships/hyperlink" Target="https://www.nacubo.org/research/2024-ncse-public-tables" TargetMode="External" Id="rId28"/><Relationship Type="http://schemas.openxmlformats.org/officeDocument/2006/relationships/hyperlink" Target="https://projects.propublica.org/nonprofits/organizations/562462804" TargetMode="External" Id="rId29"/><Relationship Type="http://schemas.openxmlformats.org/officeDocument/2006/relationships/hyperlink" Target="https://projects.propublica.org/nonprofits/organizations/362167817" TargetMode="External" Id="rId30"/><Relationship Type="http://schemas.openxmlformats.org/officeDocument/2006/relationships/hyperlink" Target="https://www.nacubo.org/research/2024-ncse-public-tables" TargetMode="External" Id="rId31"/><Relationship Type="http://schemas.openxmlformats.org/officeDocument/2006/relationships/hyperlink" Target="https://projects.propublica.org/nonprofits/organizations/131684331" TargetMode="External" Id="rId32"/><Relationship Type="http://schemas.openxmlformats.org/officeDocument/2006/relationships/hyperlink" Target="https://www.pionline.com/research-center/largest-endowments-foundations" TargetMode="External" Id="rId33"/><Relationship Type="http://schemas.openxmlformats.org/officeDocument/2006/relationships/hyperlink" Target="https://projects.propublica.org/nonprofits/organizations/912153073" TargetMode="External" Id="rId34"/><Relationship Type="http://schemas.openxmlformats.org/officeDocument/2006/relationships/hyperlink" Target="https://projects.propublica.org/nonprofits/organizations/912153073" TargetMode="External" Id="rId35"/><Relationship Type="http://schemas.openxmlformats.org/officeDocument/2006/relationships/hyperlink" Target="https://projects.propublica.org/nonprofits/organizations/520595110" TargetMode="External" Id="rId36"/><Relationship Type="http://schemas.openxmlformats.org/officeDocument/2006/relationships/hyperlink" Target="https://www.nacubo.org/research/2024-ncse-public-tables" TargetMode="External" Id="rId37"/><Relationship Type="http://schemas.openxmlformats.org/officeDocument/2006/relationships/hyperlink" Target="https://projects.propublica.org/nonprofits/organizations/430653611" TargetMode="External" Id="rId38"/><Relationship Type="http://schemas.openxmlformats.org/officeDocument/2006/relationships/hyperlink" Target="https://www.nacubo.org/research/2024-ncse-public-tables" TargetMode="External" Id="rId39"/><Relationship Type="http://schemas.openxmlformats.org/officeDocument/2006/relationships/hyperlink" Target="https://projects.propublica.org/nonprofits/organizations/941655673" TargetMode="External" Id="rId40"/><Relationship Type="http://schemas.openxmlformats.org/officeDocument/2006/relationships/hyperlink" Target="https://www.pionline.com/research-center/largest-endowments-foundations" TargetMode="External" Id="rId41"/><Relationship Type="http://schemas.openxmlformats.org/officeDocument/2006/relationships/hyperlink" Target="https://projects.propublica.org/nonprofits/organizations/226029397" TargetMode="External" Id="rId42"/><Relationship Type="http://schemas.openxmlformats.org/officeDocument/2006/relationships/hyperlink" Target="https://www.pionline.com/research-center/largest-endowments-foundations" TargetMode="External" Id="rId43"/><Relationship Type="http://schemas.openxmlformats.org/officeDocument/2006/relationships/hyperlink" Target="https://projects.propublica.org/nonprofits/organizations/580566256" TargetMode="External" Id="rId44"/><Relationship Type="http://schemas.openxmlformats.org/officeDocument/2006/relationships/hyperlink" Target="https://www.nacubo.org/research/2024-ncse-public-tables" TargetMode="External" Id="rId45"/><Relationship Type="http://schemas.openxmlformats.org/officeDocument/2006/relationships/hyperlink" Target="https://projects.propublica.org/nonprofits/organizations/150532082" TargetMode="External" Id="rId46"/><Relationship Type="http://schemas.openxmlformats.org/officeDocument/2006/relationships/hyperlink" Target="https://www.nacubo.org/research/2024-ncse-public-tables" TargetMode="External" Id="rId47"/><Relationship Type="http://schemas.openxmlformats.org/officeDocument/2006/relationships/hyperlink" Target="https://projects.propublica.org/nonprofits/organizations/990073480" TargetMode="External" Id="rId48"/><Relationship Type="http://schemas.openxmlformats.org/officeDocument/2006/relationships/hyperlink" Target="https://projects.propublica.org/nonprofits/organizations/990073480" TargetMode="External" Id="rId49"/><Relationship Type="http://schemas.openxmlformats.org/officeDocument/2006/relationships/hyperlink" Target="https://projects.propublica.org/nonprofits/organizations/943397785" TargetMode="External" Id="rId50"/><Relationship Type="http://schemas.openxmlformats.org/officeDocument/2006/relationships/hyperlink" Target="https://projects.propublica.org/nonprofits/organizations/943397785" TargetMode="External" Id="rId51"/><Relationship Type="http://schemas.openxmlformats.org/officeDocument/2006/relationships/hyperlink" Target="https://projects.propublica.org/nonprofits/organizations/620476822" TargetMode="External" Id="rId52"/><Relationship Type="http://schemas.openxmlformats.org/officeDocument/2006/relationships/hyperlink" Target="https://www.nacubo.org/research/2024-ncse-public-tables" TargetMode="External" Id="rId53"/><Relationship Type="http://schemas.openxmlformats.org/officeDocument/2006/relationships/hyperlink" Target="https://projects.propublica.org/nonprofits/organizations/362177139" TargetMode="External" Id="rId54"/><Relationship Type="http://schemas.openxmlformats.org/officeDocument/2006/relationships/hyperlink" Target="https://www.nacubo.org/research/2024-ncse-public-tables" TargetMode="External" Id="rId55"/><Relationship Type="http://schemas.openxmlformats.org/officeDocument/2006/relationships/hyperlink" Target="https://projects.propublica.org/nonprofits/organizations/351044585" TargetMode="External" Id="rId56"/><Relationship Type="http://schemas.openxmlformats.org/officeDocument/2006/relationships/hyperlink" Target="https://projects.propublica.org/nonprofits/organizations/351044585" TargetMode="External" Id="rId57"/><Relationship Type="http://schemas.openxmlformats.org/officeDocument/2006/relationships/hyperlink" Target="https://projects.propublica.org/nonprofits/organizations/951790021" TargetMode="External" Id="rId58"/><Relationship Type="http://schemas.openxmlformats.org/officeDocument/2006/relationships/hyperlink" Target="https://projects.propublica.org/nonprofits/organizations/951790021" TargetMode="External" Id="rId59"/><Relationship Type="http://schemas.openxmlformats.org/officeDocument/2006/relationships/hyperlink" Target="https://projects.propublica.org/nonprofits/organizations/135562401" TargetMode="External" Id="rId60"/><Relationship Type="http://schemas.openxmlformats.org/officeDocument/2006/relationships/hyperlink" Target="https://projects.propublica.org/nonprofits/organizations/135562401" TargetMode="External" Id="rId61"/><Relationship Type="http://schemas.openxmlformats.org/officeDocument/2006/relationships/hyperlink" Target="https://projects.propublica.org/nonprofits/organizations/951642394" TargetMode="External" Id="rId62"/><Relationship Type="http://schemas.openxmlformats.org/officeDocument/2006/relationships/hyperlink" Target="https://www.nacubo.org/research/2024-ncse-public-tables" TargetMode="External" Id="rId63"/><Relationship Type="http://schemas.openxmlformats.org/officeDocument/2006/relationships/hyperlink" Target="https://projects.propublica.org/nonprofits/organizations/020222111" TargetMode="External" Id="rId64"/><Relationship Type="http://schemas.openxmlformats.org/officeDocument/2006/relationships/hyperlink" Target="https://www.nacubo.org/research/2024-ncse-public-tables" TargetMode="External" Id="rId65"/><Relationship Type="http://schemas.openxmlformats.org/officeDocument/2006/relationships/hyperlink" Target="https://projects.propublica.org/nonprofits/organizations/741109620" TargetMode="External" Id="rId66"/><Relationship Type="http://schemas.openxmlformats.org/officeDocument/2006/relationships/hyperlink" Target="https://www.nacubo.org/research/2024-ncse-public-tables" TargetMode="External" Id="rId67"/><Relationship Type="http://schemas.openxmlformats.org/officeDocument/2006/relationships/hyperlink" Target="https://projects.propublica.org/nonprofits/organizations/942278431" TargetMode="External" Id="rId68"/><Relationship Type="http://schemas.openxmlformats.org/officeDocument/2006/relationships/hyperlink" Target="https://www.pionline.com/research-center/largest-endowments-foundations" TargetMode="External" Id="rId69"/><Relationship Type="http://schemas.openxmlformats.org/officeDocument/2006/relationships/hyperlink" Target="https://projects.propublica.org/nonprofits/organizations/752702388" TargetMode="External" Id="rId70"/><Relationship Type="http://schemas.openxmlformats.org/officeDocument/2006/relationships/hyperlink" Target="https://projects.propublica.org/nonprofits/organizations/752702388" TargetMode="External" Id="rId71"/><Relationship Type="http://schemas.openxmlformats.org/officeDocument/2006/relationships/hyperlink" Target="https://projects.propublica.org/nonprofits/organizations/131879954" TargetMode="External" Id="rId72"/><Relationship Type="http://schemas.openxmlformats.org/officeDocument/2006/relationships/hyperlink" Target="https://www.pionline.com/research-center/largest-endowments-foundations" TargetMode="External" Id="rId73"/><Relationship Type="http://schemas.openxmlformats.org/officeDocument/2006/relationships/hyperlink" Target="https://projects.propublica.org/nonprofits/organizations/050258809" TargetMode="External" Id="rId74"/><Relationship Type="http://schemas.openxmlformats.org/officeDocument/2006/relationships/hyperlink" Target="https://www.nacubo.org/research/2024-ncse-public-tables" TargetMode="External" Id="rId75"/><Relationship Type="http://schemas.openxmlformats.org/officeDocument/2006/relationships/hyperlink" Target="https://projects.propublica.org/nonprofits/organizations/135562308" TargetMode="External" Id="rId76"/><Relationship Type="http://schemas.openxmlformats.org/officeDocument/2006/relationships/hyperlink" Target="https://www.nacubo.org/research/2024-ncse-public-tables" TargetMode="External" Id="rId77"/><Relationship Type="http://schemas.openxmlformats.org/officeDocument/2006/relationships/hyperlink" Target="https://projects.propublica.org/nonprofits/organizations/237093598" TargetMode="External" Id="rId78"/><Relationship Type="http://schemas.openxmlformats.org/officeDocument/2006/relationships/hyperlink" Target="https://www.pionline.com/research-center/largest-endowments-foundations" TargetMode="External" Id="rId79"/><Relationship Type="http://schemas.openxmlformats.org/officeDocument/2006/relationships/hyperlink" Target="https://projects.propublica.org/nonprofits/organizations/137184401" TargetMode="External" Id="rId80"/><Relationship Type="http://schemas.openxmlformats.org/officeDocument/2006/relationships/hyperlink" Target="https://projects.propublica.org/nonprofits/organizations/137184401" TargetMode="External" Id="rId81"/><Relationship Type="http://schemas.openxmlformats.org/officeDocument/2006/relationships/hyperlink" Target="https://projects.propublica.org/nonprofits/organizations/943100217" TargetMode="External" Id="rId82"/><Relationship Type="http://schemas.openxmlformats.org/officeDocument/2006/relationships/hyperlink" Target="https://www.pionline.com/research-center/largest-endowments-foundations" TargetMode="External" Id="rId83"/><Relationship Type="http://schemas.openxmlformats.org/officeDocument/2006/relationships/hyperlink" Target="https://projects.propublica.org/nonprofits/organizations/131924236" TargetMode="External" Id="rId84"/><Relationship Type="http://schemas.openxmlformats.org/officeDocument/2006/relationships/hyperlink" Target="https://projects.propublica.org/nonprofits/organizations/131924236" TargetMode="External" Id="rId85"/><Relationship Type="http://schemas.openxmlformats.org/officeDocument/2006/relationships/hyperlink" Target="https://projects.propublica.org/nonprofits/organizations/362167000" TargetMode="External" Id="rId86"/><Relationship Type="http://schemas.openxmlformats.org/officeDocument/2006/relationships/hyperlink" Target="https://projects.propublica.org/nonprofits/organizations/362167000" TargetMode="External" Id="rId87"/><Relationship Type="http://schemas.openxmlformats.org/officeDocument/2006/relationships/hyperlink" Target="https://projects.propublica.org/nonprofits/organizations/364516257" TargetMode="External" Id="rId88"/><Relationship Type="http://schemas.openxmlformats.org/officeDocument/2006/relationships/hyperlink" Target="https://www.nacubo.org/research/2024-ncse-public-tables" TargetMode="External" Id="rId89"/><Relationship Type="http://schemas.openxmlformats.org/officeDocument/2006/relationships/hyperlink" Target="https://projects.propublica.org/nonprofits/organizations/250965591" TargetMode="External" Id="rId90"/><Relationship Type="http://schemas.openxmlformats.org/officeDocument/2006/relationships/hyperlink" Target="https://www.nacubo.org/research/2024-ncse-public-tables" TargetMode="External" Id="rId91"/><Relationship Type="http://schemas.openxmlformats.org/officeDocument/2006/relationships/hyperlink" Target="https://projects.propublica.org/nonprofits/organizations/411931343" TargetMode="External" Id="rId92"/><Relationship Type="http://schemas.openxmlformats.org/officeDocument/2006/relationships/hyperlink" Target="https://www.nacubo.org/research/2024-ncse-public-tables" TargetMode="External" Id="rId93"/><Relationship Type="http://schemas.openxmlformats.org/officeDocument/2006/relationships/hyperlink" Target="https://projects.propublica.org/nonprofits/organizations/581493949" TargetMode="External" Id="rId94"/><Relationship Type="http://schemas.openxmlformats.org/officeDocument/2006/relationships/hyperlink" Target="https://projects.propublica.org/nonprofits/organizations/581493949" TargetMode="External" Id="rId95"/><Relationship Type="http://schemas.openxmlformats.org/officeDocument/2006/relationships/hyperlink" Target="https://projects.propublica.org/nonprofits/organizations/540505965" TargetMode="External" Id="rId96"/><Relationship Type="http://schemas.openxmlformats.org/officeDocument/2006/relationships/hyperlink" Target="https://www.spidermanagement.com/" TargetMode="External" Id="rId97"/><Relationship Type="http://schemas.openxmlformats.org/officeDocument/2006/relationships/hyperlink" Target="https://projects.propublica.org/nonprofits/organizations/561295697" TargetMode="External" Id="rId98"/><Relationship Type="http://schemas.openxmlformats.org/officeDocument/2006/relationships/hyperlink" Target="https://projects.propublica.org/nonprofits/organizations/561295697" TargetMode="External" Id="rId99"/><Relationship Type="http://schemas.openxmlformats.org/officeDocument/2006/relationships/hyperlink" Target="https://projects.propublica.org/nonprofits/organizations/131624086" TargetMode="External" Id="rId100"/><Relationship Type="http://schemas.openxmlformats.org/officeDocument/2006/relationships/hyperlink" Target="https://projects.propublica.org/nonprofits/organizations/131624086" TargetMode="External" Id="rId101"/><Relationship Type="http://schemas.openxmlformats.org/officeDocument/2006/relationships/hyperlink" Target="https://projects.propublica.org/nonprofits/organizations/131659629" TargetMode="External" Id="rId102"/><Relationship Type="http://schemas.openxmlformats.org/officeDocument/2006/relationships/hyperlink" Target="https://www.pionline.com/research-center/largest-endowments-foundations" TargetMode="External" Id="rId103"/><Relationship Type="http://schemas.openxmlformats.org/officeDocument/2006/relationships/hyperlink" Target="https://projects.propublica.org/nonprofits/organizations/560529965" TargetMode="External" Id="rId104"/><Relationship Type="http://schemas.openxmlformats.org/officeDocument/2006/relationships/hyperlink" Target="https://projects.propublica.org/nonprofits/organizations/560529965" TargetMode="External" Id="rId105"/><Relationship Type="http://schemas.openxmlformats.org/officeDocument/2006/relationships/hyperlink" Target="https://projects.propublica.org/nonprofits/organizations/390743975" TargetMode="External" Id="rId106"/><Relationship Type="http://schemas.openxmlformats.org/officeDocument/2006/relationships/hyperlink" Target="https://www.nacubo.org/research/2024-ncse-public-tables" TargetMode="External" Id="rId107"/><Relationship Type="http://schemas.openxmlformats.org/officeDocument/2006/relationships/hyperlink" Target="https://projects.propublica.org/nonprofits/organizations/131628151" TargetMode="External" Id="rId108"/><Relationship Type="http://schemas.openxmlformats.org/officeDocument/2006/relationships/hyperlink" Target="https://projects.propublica.org/nonprofits/organizations/131628151" TargetMode="External" Id="rId109"/><Relationship Type="http://schemas.openxmlformats.org/officeDocument/2006/relationships/hyperlink" Target="https://projects.propublica.org/nonprofits/organizations/131930701" TargetMode="External" Id="rId110"/><Relationship Type="http://schemas.openxmlformats.org/officeDocument/2006/relationships/hyperlink" Target="https://projects.propublica.org/nonprofits/organizations/131930701" TargetMode="External" Id="rId111"/><Relationship Type="http://schemas.openxmlformats.org/officeDocument/2006/relationships/hyperlink" Target="https://projects.propublica.org/nonprofits/organizations/952250801" TargetMode="External" Id="rId112"/><Relationship Type="http://schemas.openxmlformats.org/officeDocument/2006/relationships/hyperlink" Target="https://www.nacubo.org/research/2024-ncse-public-tables" TargetMode="External" Id="rId113"/><Relationship Type="http://schemas.openxmlformats.org/officeDocument/2006/relationships/hyperlink" Target="https://projects.propublica.org/nonprofits/organizations/351052049" TargetMode="External" Id="rId114"/><Relationship Type="http://schemas.openxmlformats.org/officeDocument/2006/relationships/hyperlink" Target="https://projects.propublica.org/nonprofits/organizations/351052049" TargetMode="External" Id="rId115"/><Relationship Type="http://schemas.openxmlformats.org/officeDocument/2006/relationships/hyperlink" Target="https://projects.propublica.org/nonprofits/organizations/951643307" TargetMode="External" Id="rId116"/><Relationship Type="http://schemas.openxmlformats.org/officeDocument/2006/relationships/hyperlink" Target="https://www.nacubo.org/research/2024-ncse-public-tables" TargetMode="External" Id="rId117"/><Relationship Type="http://schemas.openxmlformats.org/officeDocument/2006/relationships/hyperlink" Target="https://projects.propublica.org/nonprofits/organizations/750818178" TargetMode="External" Id="rId118"/><Relationship Type="http://schemas.openxmlformats.org/officeDocument/2006/relationships/hyperlink" Target="https://projects.propublica.org/nonprofits/organizations/750818178" TargetMode="External" Id="rId119"/><Relationship Type="http://schemas.openxmlformats.org/officeDocument/2006/relationships/hyperlink" Target="https://projects.propublica.org/nonprofits/organizations/250969449" TargetMode="External" Id="rId120"/><Relationship Type="http://schemas.openxmlformats.org/officeDocument/2006/relationships/hyperlink" Target="https://www.nacubo.org/research/2024-ncse-public-tables" TargetMode="External" Id="rId121"/><Relationship Type="http://schemas.openxmlformats.org/officeDocument/2006/relationships/hyperlink" Target="https://projects.propublica.org/nonprofits/organizations/042103545" TargetMode="External" Id="rId122"/><Relationship Type="http://schemas.openxmlformats.org/officeDocument/2006/relationships/hyperlink" Target="https://www.nacubo.org/research/2024-ncse-public-tables" TargetMode="External" Id="rId123"/><Relationship Type="http://schemas.openxmlformats.org/officeDocument/2006/relationships/hyperlink" Target="https://projects.propublica.org/nonprofits/organizations/900747216" TargetMode="External" Id="rId124"/><Relationship Type="http://schemas.openxmlformats.org/officeDocument/2006/relationships/hyperlink" Target="https://projects.propublica.org/nonprofits/organizations/900747216" TargetMode="External" Id="rId125"/><Relationship Type="http://schemas.openxmlformats.org/officeDocument/2006/relationships/hyperlink" Target="https://projects.propublica.org/nonprofits/organizations/356018940" TargetMode="External" Id="rId126"/><Relationship Type="http://schemas.openxmlformats.org/officeDocument/2006/relationships/hyperlink" Target="https://www.nacubo.org/research/2024-ncse-public-tables" TargetMode="External" Id="rId127"/><Relationship Type="http://schemas.openxmlformats.org/officeDocument/2006/relationships/hyperlink" Target="https://projects.propublica.org/nonprofits/organizations/042103547" TargetMode="External" Id="rId128"/><Relationship Type="http://schemas.openxmlformats.org/officeDocument/2006/relationships/hyperlink" Target="https://www.nacubo.org/research/2024-ncse-public-tables" TargetMode="External" Id="rId129"/><Relationship Type="http://schemas.openxmlformats.org/officeDocument/2006/relationships/hyperlink" Target="https://projects.propublica.org/nonprofits/organizations/381359217" TargetMode="External" Id="rId130"/><Relationship Type="http://schemas.openxmlformats.org/officeDocument/2006/relationships/hyperlink" Target="https://www.pionline.com/research-center/largest-endowments-foundations" TargetMode="External" Id="rId131"/><Relationship Type="http://schemas.openxmlformats.org/officeDocument/2006/relationships/hyperlink" Target="https://projects.propublica.org/nonprofits/organizations/530196603" TargetMode="External" Id="rId132"/><Relationship Type="http://schemas.openxmlformats.org/officeDocument/2006/relationships/hyperlink" Target="https://www.nacubo.org/research/2024-ncse-public-tables" TargetMode="External" Id="rId133"/><Relationship Type="http://schemas.openxmlformats.org/officeDocument/2006/relationships/hyperlink" Target="https://projects.propublica.org/nonprofits/organizations/042104847" TargetMode="External" Id="rId134"/><Relationship Type="http://schemas.openxmlformats.org/officeDocument/2006/relationships/hyperlink" Target="https://www.nacubo.org/research/2024-ncse-public-tables" TargetMode="External" Id="rId135"/><Relationship Type="http://schemas.openxmlformats.org/officeDocument/2006/relationships/hyperlink" Target="https://projects.propublica.org/nonprofits/organizations/042103542" TargetMode="External" Id="rId136"/><Relationship Type="http://schemas.openxmlformats.org/officeDocument/2006/relationships/hyperlink" Target="https://www.nacubo.org/research/2024-ncse-public-tables" TargetMode="External" Id="rId137"/><Relationship Type="http://schemas.openxmlformats.org/officeDocument/2006/relationships/hyperlink" Target="https://projects.propublica.org/nonprofits/organizations/530242652" TargetMode="External" Id="rId138"/><Relationship Type="http://schemas.openxmlformats.org/officeDocument/2006/relationships/hyperlink" Target="https://projects.propublica.org/nonprofits/organizations/530242652" TargetMode="External" Id="rId139"/><Relationship Type="http://schemas.openxmlformats.org/officeDocument/2006/relationships/hyperlink" Target="https://projects.propublica.org/nonprofits/organizations/376006007" TargetMode="External" Id="rId140"/><Relationship Type="http://schemas.openxmlformats.org/officeDocument/2006/relationships/hyperlink" Target="https://www.nacubo.org/research/2024-ncse-public-tables" TargetMode="External" Id="rId141"/><Relationship Type="http://schemas.openxmlformats.org/officeDocument/2006/relationships/hyperlink" Target="https://projects.propublica.org/nonprofits/organizations/420796760" TargetMode="External" Id="rId142"/><Relationship Type="http://schemas.openxmlformats.org/officeDocument/2006/relationships/hyperlink" Target="https://www.nacubo.org/research/2024-ncse-public-tables" TargetMode="External" Id="rId143"/><Relationship Type="http://schemas.openxmlformats.org/officeDocument/2006/relationships/hyperlink" Target="https://projects.propublica.org/nonprofits/organizations/530206027" TargetMode="External" Id="rId144"/><Relationship Type="http://schemas.openxmlformats.org/officeDocument/2006/relationships/hyperlink" Target="https://projects.propublica.org/nonprofits/organizations/530206027" TargetMode="External" Id="rId145"/><Relationship Type="http://schemas.openxmlformats.org/officeDocument/2006/relationships/hyperlink" Target="https://projects.propublica.org/nonprofits/organizations/381211227" TargetMode="External" Id="rId146"/><Relationship Type="http://schemas.openxmlformats.org/officeDocument/2006/relationships/hyperlink" Target="https://www.pionline.com/research-center/largest-endowments-foundations" TargetMode="External" Id="rId147"/><Relationship Type="http://schemas.openxmlformats.org/officeDocument/2006/relationships/hyperlink" Target="https://projects.propublica.org/nonprofits/organizations/133062214" TargetMode="External" Id="rId148"/><Relationship Type="http://schemas.openxmlformats.org/officeDocument/2006/relationships/hyperlink" Target="https://projects.propublica.org/nonprofits/organizations/133062214" TargetMode="External" Id="rId149"/><Relationship Type="http://schemas.openxmlformats.org/officeDocument/2006/relationships/hyperlink" Target="https://projects.propublica.org/nonprofits/organizations/742245072" TargetMode="External" Id="rId150"/><Relationship Type="http://schemas.openxmlformats.org/officeDocument/2006/relationships/hyperlink" Target="https://projects.propublica.org/nonprofits/organizations/742245072" TargetMode="External" Id="rId151"/><Relationship Type="http://schemas.openxmlformats.org/officeDocument/2006/relationships/hyperlink" Target="https://projects.propublica.org/nonprofits/organizations/390833612" TargetMode="External" Id="rId152"/><Relationship Type="http://schemas.openxmlformats.org/officeDocument/2006/relationships/hyperlink" Target="https://projects.propublica.org/nonprofits/organizations/390833612" TargetMode="External" Id="rId153"/><Relationship Type="http://schemas.openxmlformats.org/officeDocument/2006/relationships/hyperlink" Target="https://projects.propublica.org/nonprofits/organizations/270652636" TargetMode="External" Id="rId154"/><Relationship Type="http://schemas.openxmlformats.org/officeDocument/2006/relationships/hyperlink" Target="https://www.nacubo.org/research/2024-ncse-public-tables" TargetMode="External" Id="rId155"/><Relationship Type="http://schemas.openxmlformats.org/officeDocument/2006/relationships/hyperlink" Target="https://projects.propublica.org/nonprofits/organizations/621322826" TargetMode="External" Id="rId156"/><Relationship Type="http://schemas.openxmlformats.org/officeDocument/2006/relationships/hyperlink" Target="https://www.pionline.com/research-center/largest-endowments-foundations" TargetMode="External" Id="rId157"/><Relationship Type="http://schemas.openxmlformats.org/officeDocument/2006/relationships/hyperlink" Target="https://projects.propublica.org/nonprofits/organizations/231503488" TargetMode="External" Id="rId158"/><Relationship Type="http://schemas.openxmlformats.org/officeDocument/2006/relationships/hyperlink" Target="https://www.pionline.com/research-center/largest-endowments-foundations" TargetMode="External" Id="rId159"/><Relationship Type="http://schemas.openxmlformats.org/officeDocument/2006/relationships/hyperlink" Target="https://projects.propublica.org/nonprofits/organizations/160743209" TargetMode="External" Id="rId160"/><Relationship Type="http://schemas.openxmlformats.org/officeDocument/2006/relationships/hyperlink" Target="https://www.nacubo.org/research/2024-ncse-public-tables" TargetMode="External" Id="rId161"/><Relationship Type="http://schemas.openxmlformats.org/officeDocument/2006/relationships/hyperlink" Target="https://projects.propublica.org/nonprofits/organizations/951664112" TargetMode="External" Id="rId162"/><Relationship Type="http://schemas.openxmlformats.org/officeDocument/2006/relationships/hyperlink" Target="https://www.nacubo.org/research/2024-ncse-public-tables" TargetMode="External" Id="rId163"/><Relationship Type="http://schemas.openxmlformats.org/officeDocument/2006/relationships/hyperlink" Target="https://projects.propublica.org/nonprofits/organizations/941236937" TargetMode="External" Id="rId164"/><Relationship Type="http://schemas.openxmlformats.org/officeDocument/2006/relationships/hyperlink" Target="https://www.pionline.com/research-center/largest-endowments-foundations" TargetMode="External" Id="rId165"/><Relationship Type="http://schemas.openxmlformats.org/officeDocument/2006/relationships/hyperlink" Target="https://projects.propublica.org/nonprofits/organizations/830590263" TargetMode="External" Id="rId166"/><Relationship Type="http://schemas.openxmlformats.org/officeDocument/2006/relationships/hyperlink" Target="https://www.pionline.com/research-center/largest-endowments-foundations" TargetMode="External" Id="rId167"/><Relationship Type="http://schemas.openxmlformats.org/officeDocument/2006/relationships/hyperlink" Target="https://projects.propublica.org/nonprofits/organizations/251127705" TargetMode="External" Id="rId168"/><Relationship Type="http://schemas.openxmlformats.org/officeDocument/2006/relationships/hyperlink" Target="https://projects.propublica.org/nonprofits/organizations/251127705" TargetMode="External" Id="rId169"/><Relationship Type="http://schemas.openxmlformats.org/officeDocument/2006/relationships/hyperlink" Target="https://projects.propublica.org/nonprofits/organizations/042103637" TargetMode="External" Id="rId170"/><Relationship Type="http://schemas.openxmlformats.org/officeDocument/2006/relationships/hyperlink" Target="https://www.nacubo.org/research/2024-ncse-public-tables" TargetMode="External" Id="rId171"/><Relationship Type="http://schemas.openxmlformats.org/officeDocument/2006/relationships/hyperlink" Target="https://projects.propublica.org/nonprofits/organizations/556017181" TargetMode="External" Id="rId172"/><Relationship Type="http://schemas.openxmlformats.org/officeDocument/2006/relationships/hyperlink" Target="https://projects.propublica.org/nonprofits/organizations/556017181" TargetMode="External" Id="rId173"/><Relationship Type="http://schemas.openxmlformats.org/officeDocument/2006/relationships/hyperlink" Target="https://projects.propublica.org/nonprofits/organizations/521951681" TargetMode="External" Id="rId174"/><Relationship Type="http://schemas.openxmlformats.org/officeDocument/2006/relationships/hyperlink" Target="https://www.pionline.com/research-center/largest-endowments-foundations" TargetMode="External" Id="rId175"/><Relationship Type="http://schemas.openxmlformats.org/officeDocument/2006/relationships/hyperlink" Target="https://projects.propublica.org/nonprofits/organizations/530196605" TargetMode="External" Id="rId176"/><Relationship Type="http://schemas.openxmlformats.org/officeDocument/2006/relationships/hyperlink" Target="https://projects.propublica.org/nonprofits/organizations/530196605" TargetMode="External" Id="rId177"/><Relationship Type="http://schemas.openxmlformats.org/officeDocument/2006/relationships/hyperlink" Target="https://projects.propublica.org/nonprofits/organizations/870269232" TargetMode="External" Id="rId178"/><Relationship Type="http://schemas.openxmlformats.org/officeDocument/2006/relationships/hyperlink" Target="https://projects.propublica.org/nonprofits/organizations/870269232" TargetMode="External" Id="rId179"/><Relationship Type="http://schemas.openxmlformats.org/officeDocument/2006/relationships/hyperlink" Target="https://projects.propublica.org/nonprofits/organizations/371758406" TargetMode="External" Id="rId180"/><Relationship Type="http://schemas.openxmlformats.org/officeDocument/2006/relationships/hyperlink" Target="https://www.pionline.com/research-center/largest-endowments-foundations" TargetMode="External" Id="rId181"/><Relationship Type="http://schemas.openxmlformats.org/officeDocument/2006/relationships/hyperlink" Target="https://projects.propublica.org/nonprofits/organizations/586043294" TargetMode="External" Id="rId182"/><Relationship Type="http://schemas.openxmlformats.org/officeDocument/2006/relationships/hyperlink" Target="https://projects.propublica.org/nonprofits/organizations/586043294" TargetMode="External" Id="rId183"/><Relationship Type="http://schemas.openxmlformats.org/officeDocument/2006/relationships/hyperlink" Target="https://projects.propublica.org/nonprofits/organizations/540946734" TargetMode="External" Id="rId184"/><Relationship Type="http://schemas.openxmlformats.org/officeDocument/2006/relationships/hyperlink" Target="https://projects.propublica.org/nonprofits/organizations/540946734" TargetMode="External" Id="rId185"/><Relationship Type="http://schemas.openxmlformats.org/officeDocument/2006/relationships/hyperlink" Target="https://projects.propublica.org/nonprofits/organizations/411991995" TargetMode="External" Id="rId186"/><Relationship Type="http://schemas.openxmlformats.org/officeDocument/2006/relationships/hyperlink" Target="https://projects.propublica.org/nonprofits/organizations/411991995" TargetMode="External" Id="rId187"/><Relationship Type="http://schemas.openxmlformats.org/officeDocument/2006/relationships/hyperlink" Target="https://projects.propublica.org/nonprofits/organizations/473599471" TargetMode="External" Id="rId188"/><Relationship Type="http://schemas.openxmlformats.org/officeDocument/2006/relationships/hyperlink" Target="https://www.nacubo.org/research/2024-ncse-public-tables" TargetMode="External" Id="rId189"/><Relationship Type="http://schemas.openxmlformats.org/officeDocument/2006/relationships/hyperlink" Target="https://projects.propublica.org/nonprofits/organizations/010215213" TargetMode="External" Id="rId190"/><Relationship Type="http://schemas.openxmlformats.org/officeDocument/2006/relationships/hyperlink" Target="https://www.nacubo.org/research/2024-ncse-public-tables" TargetMode="External" Id="rId191"/><Relationship Type="http://schemas.openxmlformats.org/officeDocument/2006/relationships/hyperlink" Target="https://projects.propublica.org/nonprofits/organizations/436064859" TargetMode="External" Id="rId192"/><Relationship Type="http://schemas.openxmlformats.org/officeDocument/2006/relationships/hyperlink" Target="https://www.pionline.com/research-center/largest-endowments-foundations" TargetMode="External" Id="rId193"/><Relationship Type="http://schemas.openxmlformats.org/officeDocument/2006/relationships/hyperlink" Target="https://projects.propublica.org/nonprofits/organizations/474815851" TargetMode="External" Id="rId194"/><Relationship Type="http://schemas.openxmlformats.org/officeDocument/2006/relationships/hyperlink" Target="https://www.nacubo.org/research/2024-ncse-public-tables" TargetMode="External" Id="rId195"/><Relationship Type="http://schemas.openxmlformats.org/officeDocument/2006/relationships/hyperlink" Target="https://projects.propublica.org/nonprofits/organizations/750827465" TargetMode="External" Id="rId196"/><Relationship Type="http://schemas.openxmlformats.org/officeDocument/2006/relationships/hyperlink" Target="https://www.nacubo.org/research/2024-ncse-public-tables" TargetMode="External" Id="rId197"/><Relationship Type="http://schemas.openxmlformats.org/officeDocument/2006/relationships/hyperlink" Target="https://projects.propublica.org/nonprofits/organizations/420680387" TargetMode="External" Id="rId198"/><Relationship Type="http://schemas.openxmlformats.org/officeDocument/2006/relationships/hyperlink" Target="https://www.nacubo.org/research/2024-ncse-public-tables" TargetMode="External" Id="rId199"/><Relationship Type="http://schemas.openxmlformats.org/officeDocument/2006/relationships/hyperlink" Target="https://projects.propublica.org/nonprofits/organizations/231352683" TargetMode="External" Id="rId200"/><Relationship Type="http://schemas.openxmlformats.org/officeDocument/2006/relationships/hyperlink" Target="https://www.nacubo.org/research/2024-ncse-public-tables" TargetMode="External" Id="rId201"/><Relationship Type="http://schemas.openxmlformats.org/officeDocument/2006/relationships/hyperlink" Target="https://projects.propublica.org/nonprofits/organizations/736091755" TargetMode="External" Id="rId202"/><Relationship Type="http://schemas.openxmlformats.org/officeDocument/2006/relationships/hyperlink" Target="https://projects.propublica.org/nonprofits/organizations/736091755" TargetMode="External" Id="rId203"/><Relationship Type="http://schemas.openxmlformats.org/officeDocument/2006/relationships/hyperlink" Target="https://projects.propublica.org/nonprofits/organizations/470379839" TargetMode="External" Id="rId204"/><Relationship Type="http://schemas.openxmlformats.org/officeDocument/2006/relationships/hyperlink" Target="https://www.nacubo.org/research/2024-ncse-public-tables" TargetMode="External" Id="rId205"/><Relationship Type="http://schemas.openxmlformats.org/officeDocument/2006/relationships/hyperlink" Target="https://projects.propublica.org/nonprofits/organizations/041843040" TargetMode="External" Id="rId206"/><Relationship Type="http://schemas.openxmlformats.org/officeDocument/2006/relationships/hyperlink" Target="https://www.nacubo.org/research/2024-ncse-public-tables" TargetMode="External" Id="rId207"/><Relationship Type="http://schemas.openxmlformats.org/officeDocument/2006/relationships/hyperlink" Target="https://projects.propublica.org/nonprofits/organizations/042103634" TargetMode="External" Id="rId208"/><Relationship Type="http://schemas.openxmlformats.org/officeDocument/2006/relationships/hyperlink" Target="https://www.nacubo.org/research/2024-ncse-public-tables" TargetMode="External" Id="rId209"/><Relationship Type="http://schemas.openxmlformats.org/officeDocument/2006/relationships/hyperlink" Target="https://projects.propublica.org/nonprofits/organizations/480547734" TargetMode="External" Id="rId210"/><Relationship Type="http://schemas.openxmlformats.org/officeDocument/2006/relationships/hyperlink" Target="https://www.nacubo.org/research/2024-ncse-public-tables" TargetMode="External" Id="rId211"/><Relationship Type="http://schemas.openxmlformats.org/officeDocument/2006/relationships/hyperlink" Target="https://projects.propublica.org/nonprofits/organizations/742568941" TargetMode="External" Id="rId212"/><Relationship Type="http://schemas.openxmlformats.org/officeDocument/2006/relationships/hyperlink" Target="https://www.pionline.com/research-center/largest-endowments-foundations" TargetMode="External" Id="rId213"/><Relationship Type="http://schemas.openxmlformats.org/officeDocument/2006/relationships/hyperlink" Target="https://projects.propublica.org/nonprofits/organizations/232164794" TargetMode="External" Id="rId214"/><Relationship Type="http://schemas.openxmlformats.org/officeDocument/2006/relationships/hyperlink" Target="https://projects.propublica.org/nonprofits/organizations/232164794" TargetMode="External" Id="rId215"/><Relationship Type="http://schemas.openxmlformats.org/officeDocument/2006/relationships/hyperlink" Target="https://projects.propublica.org/nonprofits/organizations/131624158" TargetMode="External" Id="rId216"/><Relationship Type="http://schemas.openxmlformats.org/officeDocument/2006/relationships/hyperlink" Target="https://www.nacubo.org/research/2024-ncse-public-tables" TargetMode="External" Id="rId217"/><Relationship Type="http://schemas.openxmlformats.org/officeDocument/2006/relationships/hyperlink" Target="https://projects.propublica.org/nonprofits/organizations/410754835" TargetMode="External" Id="rId218"/><Relationship Type="http://schemas.openxmlformats.org/officeDocument/2006/relationships/hyperlink" Target="https://www.pionline.com/research-center/largest-endowments-foundations" TargetMode="External" Id="rId219"/><Relationship Type="http://schemas.openxmlformats.org/officeDocument/2006/relationships/hyperlink" Target="https://projects.propublica.org/nonprofits/organizations/716056774" TargetMode="External" Id="rId220"/><Relationship Type="http://schemas.openxmlformats.org/officeDocument/2006/relationships/hyperlink" Target="https://www.pionline.com/research-center/largest-endowments-foundations" TargetMode="External" Id="rId221"/><Relationship Type="http://schemas.openxmlformats.org/officeDocument/2006/relationships/hyperlink" Target="https://projects.propublica.org/nonprofits/organizations/341018992" TargetMode="External" Id="rId222"/><Relationship Type="http://schemas.openxmlformats.org/officeDocument/2006/relationships/hyperlink" Target="https://www.nacubo.org/research/2024-ncse-public-tables" TargetMode="External" Id="rId223"/><Relationship Type="http://schemas.openxmlformats.org/officeDocument/2006/relationships/hyperlink" Target="https://projects.propublica.org/nonprofits/organizations/205189202" TargetMode="External" Id="rId224"/><Relationship Type="http://schemas.openxmlformats.org/officeDocument/2006/relationships/hyperlink" Target="https://projects.propublica.org/nonprofits/organizations/205189202" TargetMode="External" Id="rId225"/><Relationship Type="http://schemas.openxmlformats.org/officeDocument/2006/relationships/hyperlink" Target="https://projects.propublica.org/nonprofits/organizations/720423889" TargetMode="External" Id="rId226"/><Relationship Type="http://schemas.openxmlformats.org/officeDocument/2006/relationships/hyperlink" Target="https://projects.propublica.org/nonprofits/organizations/720423889" TargetMode="External" Id="rId227"/><Relationship Type="http://schemas.openxmlformats.org/officeDocument/2006/relationships/hyperlink" Target="https://projects.propublica.org/nonprofits/organizations/521125663" TargetMode="External" Id="rId228"/><Relationship Type="http://schemas.openxmlformats.org/officeDocument/2006/relationships/hyperlink" Target="https://www.nacubo.org/research/2024-ncse-public-tables" TargetMode="External" Id="rId229"/><Relationship Type="http://schemas.openxmlformats.org/officeDocument/2006/relationships/hyperlink" Target="https://projects.propublica.org/nonprofits/organizations/910793881" TargetMode="External" Id="rId230"/><Relationship Type="http://schemas.openxmlformats.org/officeDocument/2006/relationships/hyperlink" Target="https://www.pionline.com/research-center/largest-endowments-foundations" TargetMode="External" Id="rId231"/><Relationship Type="http://schemas.openxmlformats.org/officeDocument/2006/relationships/hyperlink" Target="https://projects.propublica.org/nonprofits/organizations/201226494" TargetMode="External" Id="rId232"/><Relationship Type="http://schemas.openxmlformats.org/officeDocument/2006/relationships/hyperlink" Target="https://www.nacubo.org/research/2024-ncse-public-tables" TargetMode="External" Id="rId233"/><Relationship Type="http://schemas.openxmlformats.org/officeDocument/2006/relationships/hyperlink" Target="https://projects.propublica.org/nonprofits/organizations/300889914" TargetMode="External" Id="rId234"/><Relationship Type="http://schemas.openxmlformats.org/officeDocument/2006/relationships/hyperlink" Target="https://projects.propublica.org/nonprofits/organizations/300889914" TargetMode="External" Id="rId235"/><Relationship Type="http://schemas.openxmlformats.org/officeDocument/2006/relationships/hyperlink" Target="https://projects.propublica.org/nonprofits/organizations/750800689" TargetMode="External" Id="rId236"/><Relationship Type="http://schemas.openxmlformats.org/officeDocument/2006/relationships/hyperlink" Target="https://www.nacubo.org/research/2024-ncse-public-tables" TargetMode="External" Id="rId237"/><Relationship Type="http://schemas.openxmlformats.org/officeDocument/2006/relationships/hyperlink" Target="https://projects.propublica.org/nonprofits/organizations/043230035" TargetMode="External" Id="rId238"/><Relationship Type="http://schemas.openxmlformats.org/officeDocument/2006/relationships/hyperlink" Target="https://projects.propublica.org/nonprofits/organizations/043230035" TargetMode="External" Id="rId239"/><Relationship Type="http://schemas.openxmlformats.org/officeDocument/2006/relationships/hyperlink" Target="https://projects.propublica.org/nonprofits/organizations/741159753" TargetMode="External" Id="rId240"/><Relationship Type="http://schemas.openxmlformats.org/officeDocument/2006/relationships/hyperlink" Target="https://www.nacubo.org/research/2024-ncse-public-tables" TargetMode="External" Id="rId241"/><Relationship Type="http://schemas.openxmlformats.org/officeDocument/2006/relationships/hyperlink" Target="https://projects.propublica.org/nonprofits/organizations/586033837" TargetMode="External" Id="rId242"/><Relationship Type="http://schemas.openxmlformats.org/officeDocument/2006/relationships/hyperlink" Target="https://www.nacubo.org/research/2024-ncse-public-tables" TargetMode="External" Id="rId243"/><Relationship Type="http://schemas.openxmlformats.org/officeDocument/2006/relationships/hyperlink" Target="https://projects.propublica.org/nonprofits/organizations/042774441" TargetMode="External" Id="rId244"/><Relationship Type="http://schemas.openxmlformats.org/officeDocument/2006/relationships/hyperlink" Target="https://projects.propublica.org/nonprofits/organizations/042774441" TargetMode="External" Id="rId245"/><Relationship Type="http://schemas.openxmlformats.org/officeDocument/2006/relationships/hyperlink" Target="https://projects.propublica.org/nonprofits/organizations/746036466" TargetMode="External" Id="rId246"/><Relationship Type="http://schemas.openxmlformats.org/officeDocument/2006/relationships/hyperlink" Target="https://projects.propublica.org/nonprofits/organizations/746036466" TargetMode="External" Id="rId247"/><Relationship Type="http://schemas.openxmlformats.org/officeDocument/2006/relationships/hyperlink" Target="https://projects.propublica.org/nonprofits/organizations/540721690" TargetMode="External" Id="rId248"/><Relationship Type="http://schemas.openxmlformats.org/officeDocument/2006/relationships/hyperlink" Target="https://www.nacubo.org/research/2024-ncse-public-tables" TargetMode="External" Id="rId249"/><Relationship Type="http://schemas.openxmlformats.org/officeDocument/2006/relationships/hyperlink" Target="https://projects.propublica.org/nonprofits/organizations/516000297" TargetMode="External" Id="rId250"/><Relationship Type="http://schemas.openxmlformats.org/officeDocument/2006/relationships/hyperlink" Target="https://www.nacubo.org/research/2024-ncse-public-tables" TargetMode="External" Id="rId251"/><Relationship Type="http://schemas.openxmlformats.org/officeDocument/2006/relationships/hyperlink" Target="https://projects.propublica.org/nonprofits/organizations/131623877" TargetMode="External" Id="rId252"/><Relationship Type="http://schemas.openxmlformats.org/officeDocument/2006/relationships/hyperlink" Target="https://www.pionline.com/research-center/largest-endowments-foundations" TargetMode="External" Id="rId253"/><Relationship Type="http://schemas.openxmlformats.org/officeDocument/2006/relationships/hyperlink" Target="https://projects.propublica.org/nonprofits/organizations/131887440" TargetMode="External" Id="rId254"/><Relationship Type="http://schemas.openxmlformats.org/officeDocument/2006/relationships/hyperlink" Target="https://projects.propublica.org/nonprofits/organizations/131887440" TargetMode="External" Id="rId255"/><Relationship Type="http://schemas.openxmlformats.org/officeDocument/2006/relationships/hyperlink" Target="https://projects.propublica.org/nonprofits/organizations/240795445" TargetMode="External" Id="rId256"/><Relationship Type="http://schemas.openxmlformats.org/officeDocument/2006/relationships/hyperlink" Target="https://www.nacubo.org/research/2024-ncse-public-tables" TargetMode="External" Id="rId257"/><Relationship Type="http://schemas.openxmlformats.org/officeDocument/2006/relationships/hyperlink" Target="https://projects.propublica.org/nonprofits/organizations/237456468" TargetMode="External" Id="rId258"/><Relationship Type="http://schemas.openxmlformats.org/officeDocument/2006/relationships/hyperlink" Target="https://projects.propublica.org/nonprofits/organizations/237456468" TargetMode="External" Id="rId259"/><Relationship Type="http://schemas.openxmlformats.org/officeDocument/2006/relationships/hyperlink" Target="https://projects.propublica.org/nonprofits/organizations/131624096" TargetMode="External" Id="rId260"/><Relationship Type="http://schemas.openxmlformats.org/officeDocument/2006/relationships/hyperlink" Target="https://projects.propublica.org/nonprofits/organizations/131624096" TargetMode="External" Id="rId261"/><Relationship Type="http://schemas.openxmlformats.org/officeDocument/2006/relationships/hyperlink" Target="https://projects.propublica.org/nonprofits/organizations/131624100" TargetMode="External" Id="rId262"/><Relationship Type="http://schemas.openxmlformats.org/officeDocument/2006/relationships/hyperlink" Target="https://projects.propublica.org/nonprofits/organizations/131624100" TargetMode="External" Id="rId263"/><Relationship Type="http://schemas.openxmlformats.org/officeDocument/2006/relationships/hyperlink" Target="https://projects.propublica.org/nonprofits/organizations/741109633" TargetMode="External" Id="rId264"/><Relationship Type="http://schemas.openxmlformats.org/officeDocument/2006/relationships/hyperlink" Target="https://www.nacubo.org/research/2024-ncse-public-tables" TargetMode="External" Id="rId265"/><Relationship Type="http://schemas.openxmlformats.org/officeDocument/2006/relationships/hyperlink" Target="https://projects.propublica.org/nonprofits/organizations/421143702" TargetMode="External" Id="rId266"/><Relationship Type="http://schemas.openxmlformats.org/officeDocument/2006/relationships/hyperlink" Target="https://www.nacubo.org/research/2024-ncse-public-tables" TargetMode="External" Id="rId267"/><Relationship Type="http://schemas.openxmlformats.org/officeDocument/2006/relationships/hyperlink" Target="https://projects.propublica.org/nonprofits/organizations/741109655" TargetMode="External" Id="rId268"/><Relationship Type="http://schemas.openxmlformats.org/officeDocument/2006/relationships/hyperlink" Target="https://projects.propublica.org/nonprofits/organizations/741109655" TargetMode="External" Id="rId269"/><Relationship Type="http://schemas.openxmlformats.org/officeDocument/2006/relationships/hyperlink" Target="https://projects.propublica.org/nonprofits/organizations/952872494" TargetMode="External" Id="rId270"/><Relationship Type="http://schemas.openxmlformats.org/officeDocument/2006/relationships/hyperlink" Target="https://projects.propublica.org/nonprofits/organizations/952872494" TargetMode="External" Id="rId271"/><Relationship Type="http://schemas.openxmlformats.org/officeDocument/2006/relationships/hyperlink" Target="https://projects.propublica.org/nonprofits/organizations/936015767" TargetMode="External" Id="rId272"/><Relationship Type="http://schemas.openxmlformats.org/officeDocument/2006/relationships/hyperlink" Target="https://www.nacubo.org/research/2024-ncse-public-tables" TargetMode="External" Id="rId273"/><Relationship Type="http://schemas.openxmlformats.org/officeDocument/2006/relationships/hyperlink" Target="https://projects.propublica.org/nonprofits/organizations/010679337" TargetMode="External" Id="rId274"/><Relationship Type="http://schemas.openxmlformats.org/officeDocument/2006/relationships/hyperlink" Target="https://projects.propublica.org/nonprofits/organizations/010679337" TargetMode="External" Id="rId275"/><Relationship Type="http://schemas.openxmlformats.org/officeDocument/2006/relationships/hyperlink" Target="https://projects.propublica.org/nonprofits/organizations/046013152" TargetMode="External" Id="rId276"/><Relationship Type="http://schemas.openxmlformats.org/officeDocument/2006/relationships/hyperlink" Target="https://www.nacubo.org/research/2024-ncse-public-tables" TargetMode="External" Id="rId277"/><Relationship Type="http://schemas.openxmlformats.org/officeDocument/2006/relationships/hyperlink" Target="https://projects.propublica.org/nonprofits/organizations/530193519" TargetMode="External" Id="rId278"/><Relationship Type="http://schemas.openxmlformats.org/officeDocument/2006/relationships/hyperlink" Target="https://projects.propublica.org/nonprofits/organizations/530193519" TargetMode="External" Id="rId279"/><Relationship Type="http://schemas.openxmlformats.org/officeDocument/2006/relationships/hyperlink" Target="https://projects.propublica.org/nonprofits/organizations/621120233" TargetMode="External" Id="rId280"/><Relationship Type="http://schemas.openxmlformats.org/officeDocument/2006/relationships/hyperlink" Target="https://projects.propublica.org/nonprofits/organizations/621120233" TargetMode="External" Id="rId281"/><Relationship Type="http://schemas.openxmlformats.org/officeDocument/2006/relationships/hyperlink" Target="https://projects.propublica.org/nonprofits/organizations/941156617" TargetMode="External" Id="rId282"/><Relationship Type="http://schemas.openxmlformats.org/officeDocument/2006/relationships/hyperlink" Target="https://www.nacubo.org/research/2024-ncse-public-tables" TargetMode="External" Id="rId283"/><Relationship Type="http://schemas.openxmlformats.org/officeDocument/2006/relationships/hyperlink" Target="https://projects.propublica.org/nonprofits/organizations/416031510" TargetMode="External" Id="rId284"/><Relationship Type="http://schemas.openxmlformats.org/officeDocument/2006/relationships/hyperlink" Target="https://projects.propublica.org/nonprofits/organizations/416031510" TargetMode="External" Id="rId285"/><Relationship Type="http://schemas.openxmlformats.org/officeDocument/2006/relationships/hyperlink" Target="https://projects.propublica.org/nonprofits/organizations/136183757" TargetMode="External" Id="rId286"/><Relationship Type="http://schemas.openxmlformats.org/officeDocument/2006/relationships/hyperlink" Target="https://www.pionline.com/research-center/largest-endowments-foundations" TargetMode="External" Id="rId287"/><Relationship Type="http://schemas.openxmlformats.org/officeDocument/2006/relationships/hyperlink" Target="https://projects.propublica.org/nonprofits/organizations/060646959" TargetMode="External" Id="rId288"/><Relationship Type="http://schemas.openxmlformats.org/officeDocument/2006/relationships/hyperlink" Target="https://www.nacubo.org/research/2024-ncse-public-tables" TargetMode="External" Id="rId289"/><Relationship Type="http://schemas.openxmlformats.org/officeDocument/2006/relationships/hyperlink" Target="https://projects.propublica.org/nonprofits/organizations/841393308" TargetMode="External" Id="rId290"/><Relationship Type="http://schemas.openxmlformats.org/officeDocument/2006/relationships/hyperlink" Target="https://www.pionline.com/research-center/largest-endowments-foundations" TargetMode="External" Id="rId291"/><Relationship Type="http://schemas.openxmlformats.org/officeDocument/2006/relationships/hyperlink" Target="https://projects.propublica.org/nonprofits/organizations/953909672" TargetMode="External" Id="rId292"/><Relationship Type="http://schemas.openxmlformats.org/officeDocument/2006/relationships/hyperlink" Target="https://projects.propublica.org/nonprofits/organizations/953909672" TargetMode="External" Id="rId293"/><Relationship Type="http://schemas.openxmlformats.org/officeDocument/2006/relationships/hyperlink" Target="https://projects.propublica.org/nonprofits/organizations/150532078" TargetMode="External" Id="rId294"/><Relationship Type="http://schemas.openxmlformats.org/officeDocument/2006/relationships/hyperlink" Target="https://projects.propublica.org/nonprofits/organizations/150532078" TargetMode="External" Id="rId295"/><Relationship Type="http://schemas.openxmlformats.org/officeDocument/2006/relationships/hyperlink" Target="https://projects.propublica.org/nonprofits/organizations/540734117" TargetMode="External" Id="rId296"/><Relationship Type="http://schemas.openxmlformats.org/officeDocument/2006/relationships/hyperlink" Target="https://www.nacubo.org/research/2024-ncse-public-tables" TargetMode="External" Id="rId297"/><Relationship Type="http://schemas.openxmlformats.org/officeDocument/2006/relationships/hyperlink" Target="https://projects.propublica.org/nonprofits/organizations/736097060" TargetMode="External" Id="rId298"/><Relationship Type="http://schemas.openxmlformats.org/officeDocument/2006/relationships/hyperlink" Target="https://www.nacubo.org/research/2024-ncse-public-tables" TargetMode="External" Id="rId299"/><Relationship Type="http://schemas.openxmlformats.org/officeDocument/2006/relationships/hyperlink" Target="https://projects.propublica.org/nonprofits/organizations/510172429" TargetMode="External" Id="rId300"/><Relationship Type="http://schemas.openxmlformats.org/officeDocument/2006/relationships/hyperlink" Target="https://projects.propublica.org/nonprofits/organizations/510172429" TargetMode="External" Id="rId301"/><Relationship Type="http://schemas.openxmlformats.org/officeDocument/2006/relationships/hyperlink" Target="https://projects.propublica.org/nonprofits/organizations/042103579" TargetMode="External" Id="rId302"/><Relationship Type="http://schemas.openxmlformats.org/officeDocument/2006/relationships/hyperlink" Target="https://projects.propublica.org/nonprofits/organizations/042103579" TargetMode="External" Id="rId303"/><Relationship Type="http://schemas.openxmlformats.org/officeDocument/2006/relationships/hyperlink" Target="https://projects.propublica.org/nonprofits/organizations/150532200" TargetMode="External" Id="rId304"/><Relationship Type="http://schemas.openxmlformats.org/officeDocument/2006/relationships/hyperlink" Target="https://www.nacubo.org/research/2024-ncse-public-tables" TargetMode="External" Id="rId305"/><Relationship Type="http://schemas.openxmlformats.org/officeDocument/2006/relationships/hyperlink" Target="https://projects.propublica.org/nonprofits/organizations/340714363" TargetMode="External" Id="rId306"/><Relationship Type="http://schemas.openxmlformats.org/officeDocument/2006/relationships/hyperlink" Target="https://www.nacubo.org/research/2024-ncse-public-tables" TargetMode="External" Id="rId307"/><Relationship Type="http://schemas.openxmlformats.org/officeDocument/2006/relationships/hyperlink" Target="https://projects.propublica.org/nonprofits/organizations/364711746" TargetMode="External" Id="rId308"/><Relationship Type="http://schemas.openxmlformats.org/officeDocument/2006/relationships/hyperlink" Target="https://projects.propublica.org/nonprofits/organizations/364711746" TargetMode="External" Id="rId309"/><Relationship Type="http://schemas.openxmlformats.org/officeDocument/2006/relationships/hyperlink" Target="https://projects.propublica.org/nonprofits/organizations/231352688" TargetMode="External" Id="rId310"/><Relationship Type="http://schemas.openxmlformats.org/officeDocument/2006/relationships/hyperlink" Target="https://www.nacubo.org/research/2024-ncse-public-tables" TargetMode="External" Id="rId311"/><Relationship Type="http://schemas.openxmlformats.org/officeDocument/2006/relationships/hyperlink" Target="https://projects.propublica.org/nonprofits/organizations/560529961" TargetMode="External" Id="rId312"/><Relationship Type="http://schemas.openxmlformats.org/officeDocument/2006/relationships/hyperlink" Target="https://www.nacubo.org/research/2024-ncse-public-tables" TargetMode="External" Id="rId313"/><Relationship Type="http://schemas.openxmlformats.org/officeDocument/2006/relationships/hyperlink" Target="https://projects.propublica.org/nonprofits/organizations/741613878" TargetMode="External" Id="rId314"/><Relationship Type="http://schemas.openxmlformats.org/officeDocument/2006/relationships/hyperlink" Target="https://www.nacubo.org/research/2024-ncse-public-tables" TargetMode="External" Id="rId315"/><Relationship Type="http://schemas.openxmlformats.org/officeDocument/2006/relationships/hyperlink" Target="https://projects.propublica.org/nonprofits/organizations/760590551" TargetMode="External" Id="rId316"/><Relationship Type="http://schemas.openxmlformats.org/officeDocument/2006/relationships/hyperlink" Target="https://projects.propublica.org/nonprofits/organizations/760590551" TargetMode="External" Id="rId317"/><Relationship Type="http://schemas.openxmlformats.org/officeDocument/2006/relationships/hyperlink" Target="https://projects.propublica.org/nonprofits/organizations/042103552" TargetMode="External" Id="rId318"/><Relationship Type="http://schemas.openxmlformats.org/officeDocument/2006/relationships/hyperlink" Target="https://www.nacubo.org/research/2024-ncse-public-tables" TargetMode="External" Id="rId319"/><Relationship Type="http://schemas.openxmlformats.org/officeDocument/2006/relationships/hyperlink" Target="https://projects.propublica.org/nonprofits/organizations/416017815" TargetMode="External" Id="rId320"/><Relationship Type="http://schemas.openxmlformats.org/officeDocument/2006/relationships/hyperlink" Target="https://www.pionline.com/research-center/largest-endowments-foundations" TargetMode="External" Id="rId321"/><Relationship Type="http://schemas.openxmlformats.org/officeDocument/2006/relationships/hyperlink" Target="https://projects.propublica.org/nonprofits/organizations/351813228" TargetMode="External" Id="rId322"/><Relationship Type="http://schemas.openxmlformats.org/officeDocument/2006/relationships/hyperlink" Target="https://www.pionline.com/research-center/largest-endowments-foundations" TargetMode="External" Id="rId323"/><Relationship Type="http://schemas.openxmlformats.org/officeDocument/2006/relationships/hyperlink" Target="https://projects.propublica.org/nonprofits/organizations/521384139" TargetMode="External" Id="rId324"/><Relationship Type="http://schemas.openxmlformats.org/officeDocument/2006/relationships/hyperlink" Target="https://projects.propublica.org/nonprofits/organizations/521384139" TargetMode="External" Id="rId325"/><Relationship Type="http://schemas.openxmlformats.org/officeDocument/2006/relationships/hyperlink" Target="https://projects.propublica.org/nonprofits/organizations/951664101" TargetMode="External" Id="rId326"/><Relationship Type="http://schemas.openxmlformats.org/officeDocument/2006/relationships/hyperlink" Target="https://www.nacubo.org/research/2024-ncse-public-tables" TargetMode="External" Id="rId327"/><Relationship Type="http://schemas.openxmlformats.org/officeDocument/2006/relationships/hyperlink" Target="https://projects.propublica.org/nonprofits/organizations/231352621" TargetMode="External" Id="rId328"/><Relationship Type="http://schemas.openxmlformats.org/officeDocument/2006/relationships/hyperlink" Target="https://www.nacubo.org/research/2024-ncse-public-tables" TargetMode="External" Id="rId329"/><Relationship Type="http://schemas.openxmlformats.org/officeDocument/2006/relationships/hyperlink" Target="https://projects.propublica.org/nonprofits/organizations/301201296" TargetMode="External" Id="rId330"/><Relationship Type="http://schemas.openxmlformats.org/officeDocument/2006/relationships/hyperlink" Target="https://www.pionline.com/research-center/largest-endowments-foundations" TargetMode="External" Id="rId331"/><Relationship Type="http://schemas.openxmlformats.org/officeDocument/2006/relationships/hyperlink" Target="https://projects.propublica.org/nonprofits/organizations/236257083" TargetMode="External" Id="rId332"/><Relationship Type="http://schemas.openxmlformats.org/officeDocument/2006/relationships/hyperlink" Target="https://www.pionline.com/research-center/largest-endowments-foundations" TargetMode="External" Id="rId333"/><Relationship Type="http://schemas.openxmlformats.org/officeDocument/2006/relationships/hyperlink" Target="https://projects.propublica.org/nonprofits/organizations/410694747" TargetMode="External" Id="rId334"/><Relationship Type="http://schemas.openxmlformats.org/officeDocument/2006/relationships/hyperlink" Target="https://www.nacubo.org/research/2024-ncse-public-tables" TargetMode="External" Id="rId335"/><Relationship Type="http://schemas.openxmlformats.org/officeDocument/2006/relationships/hyperlink" Target="https://projects.propublica.org/nonprofits/organizations/250965466" TargetMode="External" Id="rId336"/><Relationship Type="http://schemas.openxmlformats.org/officeDocument/2006/relationships/hyperlink" Target="https://projects.propublica.org/nonprofits/organizations/250965466" TargetMode="External" Id="rId337"/><Relationship Type="http://schemas.openxmlformats.org/officeDocument/2006/relationships/hyperlink" Target="https://projects.propublica.org/nonprofits/organizations/366090694" TargetMode="External" Id="rId338"/><Relationship Type="http://schemas.openxmlformats.org/officeDocument/2006/relationships/hyperlink" Target="https://projects.propublica.org/nonprofits/organizations/366090694" TargetMode="External" Id="rId339"/><Relationship Type="http://schemas.openxmlformats.org/officeDocument/2006/relationships/hyperlink" Target="https://projects.propublica.org/nonprofits/organizations/951644037" TargetMode="External" Id="rId340"/><Relationship Type="http://schemas.openxmlformats.org/officeDocument/2006/relationships/hyperlink" Target="https://www.nacubo.org/research/2024-ncse-public-tables" TargetMode="External" Id="rId341"/><Relationship Type="http://schemas.openxmlformats.org/officeDocument/2006/relationships/hyperlink" Target="https://projects.propublica.org/nonprofits/organizations/210634988" TargetMode="External" Id="rId342"/><Relationship Type="http://schemas.openxmlformats.org/officeDocument/2006/relationships/hyperlink" Target="https://projects.propublica.org/nonprofits/organizations/210634988" TargetMode="External" Id="rId343"/><Relationship Type="http://schemas.openxmlformats.org/officeDocument/2006/relationships/hyperlink" Target="https://projects.propublica.org/nonprofits/organizations/570426335" TargetMode="External" Id="rId344"/><Relationship Type="http://schemas.openxmlformats.org/officeDocument/2006/relationships/hyperlink" Target="https://www.nacubo.org/research/2024-ncse-public-tables" TargetMode="External" Id="rId345"/><Relationship Type="http://schemas.openxmlformats.org/officeDocument/2006/relationships/hyperlink" Target="https://projects.propublica.org/nonprofits/organizations/843505125" TargetMode="External" Id="rId346"/><Relationship Type="http://schemas.openxmlformats.org/officeDocument/2006/relationships/hyperlink" Target="https://projects.propublica.org/nonprofits/organizations/843505125" TargetMode="External" Id="rId347"/><Relationship Type="http://schemas.openxmlformats.org/officeDocument/2006/relationships/hyperlink" Target="https://projects.propublica.org/nonprofits/organizations/042103881" TargetMode="External" Id="rId348"/><Relationship Type="http://schemas.openxmlformats.org/officeDocument/2006/relationships/hyperlink" Target="https://projects.propublica.org/nonprofits/organizations/042103881" TargetMode="External" Id="rId349"/><Relationship Type="http://schemas.openxmlformats.org/officeDocument/2006/relationships/hyperlink" Target="https://projects.propublica.org/nonprofits/organizations/366079185" TargetMode="External" Id="rId350"/><Relationship Type="http://schemas.openxmlformats.org/officeDocument/2006/relationships/hyperlink" Target="https://www.pionline.com/research-center/largest-endowments-foundations" TargetMode="External" Id="rId351"/><Relationship Type="http://schemas.openxmlformats.org/officeDocument/2006/relationships/hyperlink" Target="https://projects.propublica.org/nonprofits/organizations/240795686" TargetMode="External" Id="rId352"/><Relationship Type="http://schemas.openxmlformats.org/officeDocument/2006/relationships/hyperlink" Target="https://www.nacubo.org/research/2024-ncse-public-tables" TargetMode="External" Id="rId353"/><Relationship Type="http://schemas.openxmlformats.org/officeDocument/2006/relationships/hyperlink" Target="https://projects.propublica.org/nonprofits/organizations/361408475" TargetMode="External" Id="rId354"/><Relationship Type="http://schemas.openxmlformats.org/officeDocument/2006/relationships/hyperlink" Target="https://www.nacubo.org/research/2024-ncse-public-tables" TargetMode="External" Id="rId355"/><Relationship Type="http://schemas.openxmlformats.org/officeDocument/2006/relationships/hyperlink" Target="https://projects.propublica.org/nonprofits/organizations/042103578" TargetMode="External" Id="rId356"/><Relationship Type="http://schemas.openxmlformats.org/officeDocument/2006/relationships/hyperlink" Target="https://www.nacubo.org/research/2024-ncse-public-tables" TargetMode="External" Id="rId357"/><Relationship Type="http://schemas.openxmlformats.org/officeDocument/2006/relationships/hyperlink" Target="https://projects.propublica.org/nonprofits/organizations/203672969" TargetMode="External" Id="rId358"/><Relationship Type="http://schemas.openxmlformats.org/officeDocument/2006/relationships/hyperlink" Target="https://www.pionline.com/research-center/largest-endowments-foundations" TargetMode="External" Id="rId359"/><Relationship Type="http://schemas.openxmlformats.org/officeDocument/2006/relationships/hyperlink" Target="https://projects.propublica.org/nonprofits/organizations/010211497" TargetMode="External" Id="rId360"/><Relationship Type="http://schemas.openxmlformats.org/officeDocument/2006/relationships/hyperlink" Target="https://www.nacubo.org/research/2024-ncse-public-tables" TargetMode="External" Id="rId361"/><Relationship Type="http://schemas.openxmlformats.org/officeDocument/2006/relationships/hyperlink" Target="https://projects.propublica.org/nonprofits/organizations/911250116" TargetMode="External" Id="rId362"/><Relationship Type="http://schemas.openxmlformats.org/officeDocument/2006/relationships/hyperlink" Target="https://projects.propublica.org/nonprofits/organizations/911250116" TargetMode="External" Id="rId363"/><Relationship Type="http://schemas.openxmlformats.org/officeDocument/2006/relationships/hyperlink" Target="https://projects.propublica.org/nonprofits/organizations/133957095" TargetMode="External" Id="rId364"/><Relationship Type="http://schemas.openxmlformats.org/officeDocument/2006/relationships/hyperlink" Target="https://projects.propublica.org/nonprofits/organizations/133957095" TargetMode="External" Id="rId365"/><Relationship Type="http://schemas.openxmlformats.org/officeDocument/2006/relationships/hyperlink" Target="https://projects.propublica.org/nonprofits/organizations/231352630" TargetMode="External" Id="rId366"/><Relationship Type="http://schemas.openxmlformats.org/officeDocument/2006/relationships/hyperlink" Target="https://www.nacubo.org/research/2024-ncse-public-tables" TargetMode="External" Id="rId367"/><Relationship Type="http://schemas.openxmlformats.org/officeDocument/2006/relationships/hyperlink" Target="https://projects.propublica.org/nonprofits/organizations/390806251" TargetMode="External" Id="rId368"/><Relationship Type="http://schemas.openxmlformats.org/officeDocument/2006/relationships/hyperlink" Target="https://www.nacubo.org/research/2024-ncse-public-tables" TargetMode="External" Id="rId369"/><Relationship Type="http://schemas.openxmlformats.org/officeDocument/2006/relationships/hyperlink" Target="https://projects.propublica.org/nonprofits/organizations/750964565" TargetMode="External" Id="rId370"/><Relationship Type="http://schemas.openxmlformats.org/officeDocument/2006/relationships/hyperlink" Target="https://projects.propublica.org/nonprofits/organizations/750964565" TargetMode="External" Id="rId371"/><Relationship Type="http://schemas.openxmlformats.org/officeDocument/2006/relationships/hyperlink" Target="https://projects.propublica.org/nonprofits/organizations/314379459" TargetMode="External" Id="rId372"/><Relationship Type="http://schemas.openxmlformats.org/officeDocument/2006/relationships/hyperlink" Target="https://www.nacubo.org/research/2024-ncse-public-tables" TargetMode="External" Id="rId373"/><Relationship Type="http://schemas.openxmlformats.org/officeDocument/2006/relationships/hyperlink" Target="https://projects.propublica.org/nonprofits/organizations/560532302" TargetMode="External" Id="rId374"/><Relationship Type="http://schemas.openxmlformats.org/officeDocument/2006/relationships/hyperlink" Target="https://projects.propublica.org/nonprofits/organizations/560532302" TargetMode="External" Id="rId375"/><Relationship Type="http://schemas.openxmlformats.org/officeDocument/2006/relationships/hyperlink" Target="https://projects.propublica.org/nonprofits/organizations/363606913" TargetMode="External" Id="rId376"/><Relationship Type="http://schemas.openxmlformats.org/officeDocument/2006/relationships/hyperlink" Target="https://projects.propublica.org/nonprofits/organizations/363606913" TargetMode="External" Id="rId377"/><Relationship Type="http://schemas.openxmlformats.org/officeDocument/2006/relationships/hyperlink" Target="https://projects.propublica.org/nonprofits/organizations/131740451" TargetMode="External" Id="rId378"/><Relationship Type="http://schemas.openxmlformats.org/officeDocument/2006/relationships/hyperlink" Target="https://www.nacubo.org/research/2024-ncse-public-tables" TargetMode="External" Id="rId379"/><Relationship Type="http://schemas.openxmlformats.org/officeDocument/2006/relationships/hyperlink" Target="https://projects.propublica.org/nonprofits/organizations/800870036" TargetMode="External" Id="rId380"/><Relationship Type="http://schemas.openxmlformats.org/officeDocument/2006/relationships/hyperlink" Target="https://www.pionline.com/research-center/largest-endowments-foundations" TargetMode="External" Id="rId381"/><Relationship Type="http://schemas.openxmlformats.org/officeDocument/2006/relationships/hyperlink" Target="https://projects.propublica.org/nonprofits/organizations/237310293" TargetMode="External" Id="rId382"/><Relationship Type="http://schemas.openxmlformats.org/officeDocument/2006/relationships/hyperlink" Target="https://www.nacubo.org/research/2024-ncse-public-tables" TargetMode="External" Id="rId383"/><Relationship Type="http://schemas.openxmlformats.org/officeDocument/2006/relationships/hyperlink" Target="https://projects.propublica.org/nonprofits/organizations/530196523" TargetMode="External" Id="rId384"/><Relationship Type="http://schemas.openxmlformats.org/officeDocument/2006/relationships/hyperlink" Target="https://www.nacubo.org/research/2024-ncse-public-tables" TargetMode="External" Id="rId385"/><Relationship Type="http://schemas.openxmlformats.org/officeDocument/2006/relationships/hyperlink" Target="https://projects.propublica.org/nonprofits/organizations/430652667" TargetMode="External" Id="rId386"/><Relationship Type="http://schemas.openxmlformats.org/officeDocument/2006/relationships/hyperlink" Target="https://www.nacubo.org/research/2024-ncse-public-tables" TargetMode="External" Id="rId387"/><Relationship Type="http://schemas.openxmlformats.org/officeDocument/2006/relationships/hyperlink" Target="https://projects.propublica.org/nonprofits/organizations/396037928" TargetMode="External" Id="rId388"/><Relationship Type="http://schemas.openxmlformats.org/officeDocument/2006/relationships/hyperlink" Target="https://www.pionline.com/research-center/largest-endowments-foundations" TargetMode="External" Id="rId389"/><Relationship Type="http://schemas.openxmlformats.org/officeDocument/2006/relationships/hyperlink" Target="https://projects.propublica.org/nonprofits/organizations/131951698" TargetMode="External" Id="rId390"/><Relationship Type="http://schemas.openxmlformats.org/officeDocument/2006/relationships/hyperlink" Target="https://www.pionline.com/research-center/largest-endowments-foundations" TargetMode="External" Id="rId391"/><Relationship Type="http://schemas.openxmlformats.org/officeDocument/2006/relationships/hyperlink" Target="https://projects.propublica.org/nonprofits/organizations/310536715" TargetMode="External" Id="rId392"/><Relationship Type="http://schemas.openxmlformats.org/officeDocument/2006/relationships/hyperlink" Target="https://www.nacubo.org/research/2024-ncse-public-tables" TargetMode="External" Id="rId393"/><Relationship Type="http://schemas.openxmlformats.org/officeDocument/2006/relationships/hyperlink" Target="https://projects.propublica.org/nonprofits/organizations/951643992" TargetMode="External" Id="rId394"/><Relationship Type="http://schemas.openxmlformats.org/officeDocument/2006/relationships/hyperlink" Target="https://www.nacubo.org/research/2024-ncse-public-tables" TargetMode="External" Id="rId395"/><Relationship Type="http://schemas.openxmlformats.org/officeDocument/2006/relationships/hyperlink" Target="https://projects.propublica.org/nonprofits/organizations/362174823" TargetMode="External" Id="rId396"/><Relationship Type="http://schemas.openxmlformats.org/officeDocument/2006/relationships/hyperlink" Target="https://www.nacubo.org/research/2024-ncse-public-tables" TargetMode="External" Id="rId397"/><Relationship Type="http://schemas.openxmlformats.org/officeDocument/2006/relationships/hyperlink" Target="https://projects.propublica.org/nonprofits/organizations/410693962" TargetMode="External" Id="rId398"/><Relationship Type="http://schemas.openxmlformats.org/officeDocument/2006/relationships/hyperlink" Target="https://www.nacubo.org/research/2024-ncse-public-tables" TargetMode="External" Id="rId399"/><Relationship Type="http://schemas.openxmlformats.org/officeDocument/2006/relationships/hyperlink" Target="https://projects.propublica.org/nonprofits/organizations/453996122" TargetMode="External" Id="rId400"/><Relationship Type="http://schemas.openxmlformats.org/officeDocument/2006/relationships/hyperlink" Target="https://www.pionline.com/research-center/largest-endowments-foundations" TargetMode="External" Id="rId401"/><Relationship Type="http://schemas.openxmlformats.org/officeDocument/2006/relationships/hyperlink" Target="https://projects.propublica.org/nonprofits/organizations/480667209" TargetMode="External" Id="rId402"/><Relationship Type="http://schemas.openxmlformats.org/officeDocument/2006/relationships/hyperlink" Target="https://www.nacubo.org/research/2024-ncse-public-tables" TargetMode="External" Id="rId403"/><Relationship Type="http://schemas.openxmlformats.org/officeDocument/2006/relationships/hyperlink" Target="https://projects.propublica.org/nonprofits/organizations/750851900" TargetMode="External" Id="rId404"/><Relationship Type="http://schemas.openxmlformats.org/officeDocument/2006/relationships/hyperlink" Target="https://www.nacubo.org/research/2024-ncse-public-tables" TargetMode="External" Id="rId405"/><Relationship Type="http://schemas.openxmlformats.org/officeDocument/2006/relationships/hyperlink" Target="https://projects.propublica.org/nonprofits/organizations/570314395" TargetMode="External" Id="rId406"/><Relationship Type="http://schemas.openxmlformats.org/officeDocument/2006/relationships/hyperlink" Target="https://www.nacubo.org/research/2024-ncse-public-tables" TargetMode="External" Id="rId407"/><Relationship Type="http://schemas.openxmlformats.org/officeDocument/2006/relationships/hyperlink" Target="https://projects.propublica.org/nonprofits/organizations/930806316" TargetMode="External" Id="rId408"/><Relationship Type="http://schemas.openxmlformats.org/officeDocument/2006/relationships/hyperlink" Target="https://projects.propublica.org/nonprofits/organizations/930806316" TargetMode="External" Id="rId409"/><Relationship Type="http://schemas.openxmlformats.org/officeDocument/2006/relationships/hyperlink" Target="https://projects.propublica.org/nonprofits/organizations/930386908" TargetMode="External" Id="rId410"/><Relationship Type="http://schemas.openxmlformats.org/officeDocument/2006/relationships/hyperlink" Target="https://www.nacubo.org/research/2024-ncse-public-tables" TargetMode="External" Id="rId411"/><Relationship Type="http://schemas.openxmlformats.org/officeDocument/2006/relationships/hyperlink" Target="https://projects.propublica.org/nonprofits/organizations/410693979" TargetMode="External" Id="rId412"/><Relationship Type="http://schemas.openxmlformats.org/officeDocument/2006/relationships/hyperlink" Target="https://www.nacubo.org/research/2024-ncse-public-tables" TargetMode="External" Id="rId413"/><Relationship Type="http://schemas.openxmlformats.org/officeDocument/2006/relationships/hyperlink" Target="https://projects.propublica.org/nonprofits/organizations/830201971" TargetMode="External" Id="rId414"/><Relationship Type="http://schemas.openxmlformats.org/officeDocument/2006/relationships/hyperlink" Target="https://www.nacubo.org/research/2024-ncse-public-tables" TargetMode="External" Id="rId415"/><Relationship Type="http://schemas.openxmlformats.org/officeDocument/2006/relationships/hyperlink" Target="https://projects.propublica.org/nonprofits/organizations/136019226" TargetMode="External" Id="rId416"/><Relationship Type="http://schemas.openxmlformats.org/officeDocument/2006/relationships/hyperlink" Target="https://www.pionline.com/research-center/largest-endowments-foundations" TargetMode="External" Id="rId417"/><Relationship Type="http://schemas.openxmlformats.org/officeDocument/2006/relationships/hyperlink" Target="https://projects.propublica.org/nonprofits/organizations/251035663" TargetMode="External" Id="rId418"/><Relationship Type="http://schemas.openxmlformats.org/officeDocument/2006/relationships/hyperlink" Target="https://projects.propublica.org/nonprofits/organizations/251035663" TargetMode="External" Id="rId419"/><Relationship Type="http://schemas.openxmlformats.org/officeDocument/2006/relationships/hyperlink" Target="https://projects.propublica.org/nonprofits/organizations/912062197" TargetMode="External" Id="rId420"/><Relationship Type="http://schemas.openxmlformats.org/officeDocument/2006/relationships/hyperlink" Target="https://www.pionline.com/research-center/largest-endowments-foundations" TargetMode="External" Id="rId421"/><Relationship Type="http://schemas.openxmlformats.org/officeDocument/2006/relationships/hyperlink" Target="https://projects.propublica.org/nonprofits/organizations/250965219" TargetMode="External" Id="rId422"/><Relationship Type="http://schemas.openxmlformats.org/officeDocument/2006/relationships/hyperlink" Target="https://projects.propublica.org/nonprofits/organizations/250965219" TargetMode="External" Id="rId423"/><Relationship Type="http://schemas.openxmlformats.org/officeDocument/2006/relationships/hyperlink" Target="https://projects.propublica.org/nonprofits/organizations/200265572" TargetMode="External" Id="rId424"/><Relationship Type="http://schemas.openxmlformats.org/officeDocument/2006/relationships/hyperlink" Target="https://www.pionline.com/research-center/largest-endowments-foundations" TargetMode="External" Id="rId425"/><Relationship Type="http://schemas.openxmlformats.org/officeDocument/2006/relationships/hyperlink" Target="https://projects.propublica.org/nonprofits/organizations/251721100" TargetMode="External" Id="rId426"/><Relationship Type="http://schemas.openxmlformats.org/officeDocument/2006/relationships/hyperlink" Target="https://www.pionline.com/research-center/largest-endowments-foundations" TargetMode="External" Id="rId427"/><Relationship Type="http://schemas.openxmlformats.org/officeDocument/2006/relationships/hyperlink" Target="https://projects.propublica.org/nonprofits/organizations/770348912" TargetMode="External" Id="rId428"/><Relationship Type="http://schemas.openxmlformats.org/officeDocument/2006/relationships/hyperlink" Target="https://www.pionline.com/research-center/largest-endowments-foundations" TargetMode="External" Id="rId429"/><Relationship Type="http://schemas.openxmlformats.org/officeDocument/2006/relationships/hyperlink" Target="https://projects.propublica.org/nonprofits/organizations/410693970" TargetMode="External" Id="rId430"/><Relationship Type="http://schemas.openxmlformats.org/officeDocument/2006/relationships/hyperlink" Target="https://www.nacubo.org/research/2024-ncse-public-tables" TargetMode="External" Id="rId431"/><Relationship Type="http://schemas.openxmlformats.org/officeDocument/2006/relationships/hyperlink" Target="https://projects.propublica.org/nonprofits/organizations/852700743" TargetMode="External" Id="rId432"/><Relationship Type="http://schemas.openxmlformats.org/officeDocument/2006/relationships/hyperlink" Target="https://www.pionline.com/research-center/largest-endowments-foundations" TargetMode="External" Id="rId433"/><Relationship Type="http://schemas.openxmlformats.org/officeDocument/2006/relationships/hyperlink" Target="https://projects.propublica.org/nonprofits/organizations/630826485" TargetMode="External" Id="rId434"/><Relationship Type="http://schemas.openxmlformats.org/officeDocument/2006/relationships/hyperlink" Target="https://projects.propublica.org/nonprofits/organizations/630826485" TargetMode="External" Id="rId435"/><Relationship Type="http://schemas.openxmlformats.org/officeDocument/2006/relationships/hyperlink" Target="https://projects.propublica.org/nonprofits/organizations/236002304" TargetMode="External" Id="rId436"/><Relationship Type="http://schemas.openxmlformats.org/officeDocument/2006/relationships/hyperlink" Target="https://www.nacubo.org/research/2024-ncse-public-tables" TargetMode="External" Id="rId437"/><Relationship Type="http://schemas.openxmlformats.org/officeDocument/2006/relationships/hyperlink" Target="https://projects.propublica.org/nonprofits/organizations/880361180" TargetMode="External" Id="rId438"/><Relationship Type="http://schemas.openxmlformats.org/officeDocument/2006/relationships/hyperlink" Target="https://www.pionline.com/research-center/largest-endowments-foundations" TargetMode="External" Id="rId439"/><Relationship Type="http://schemas.openxmlformats.org/officeDocument/2006/relationships/hyperlink" Target="https://projects.propublica.org/nonprofits/organizations/576017985" TargetMode="External" Id="rId440"/><Relationship Type="http://schemas.openxmlformats.org/officeDocument/2006/relationships/hyperlink" Target="https://projects.propublica.org/nonprofits/organizations/576017985" TargetMode="External" Id="rId441"/><Relationship Type="http://schemas.openxmlformats.org/officeDocument/2006/relationships/hyperlink" Target="https://projects.propublica.org/nonprofits/organizations/131628168" TargetMode="External" Id="rId442"/><Relationship Type="http://schemas.openxmlformats.org/officeDocument/2006/relationships/hyperlink" Target="https://projects.propublica.org/nonprofits/organizations/131628168" TargetMode="External" Id="rId443"/><Relationship Type="http://schemas.openxmlformats.org/officeDocument/2006/relationships/hyperlink" Target="https://projects.propublica.org/nonprofits/organizations/131624225" TargetMode="External" Id="rId444"/><Relationship Type="http://schemas.openxmlformats.org/officeDocument/2006/relationships/hyperlink" Target="https://www.nacubo.org/research/2024-ncse-public-tables" TargetMode="External" Id="rId445"/><Relationship Type="http://schemas.openxmlformats.org/officeDocument/2006/relationships/hyperlink" Target="https://projects.propublica.org/nonprofits/organizations/440556862" TargetMode="External" Id="rId446"/><Relationship Type="http://schemas.openxmlformats.org/officeDocument/2006/relationships/hyperlink" Target="https://www.nacubo.org/research/2024-ncse-public-tables" TargetMode="External" Id="rId447"/><Relationship Type="http://schemas.openxmlformats.org/officeDocument/2006/relationships/hyperlink" Target="https://projects.propublica.org/nonprofits/organizations/131677841" TargetMode="External" Id="rId448"/><Relationship Type="http://schemas.openxmlformats.org/officeDocument/2006/relationships/hyperlink" Target="https://projects.propublica.org/nonprofits/organizations/131677841" TargetMode="External" Id="rId449"/><Relationship Type="http://schemas.openxmlformats.org/officeDocument/2006/relationships/hyperlink" Target="https://projects.propublica.org/nonprofits/organizations/946064808" TargetMode="External" Id="rId450"/><Relationship Type="http://schemas.openxmlformats.org/officeDocument/2006/relationships/hyperlink" Target="https://projects.propublica.org/nonprofits/organizations/946064808" TargetMode="External" Id="rId451"/><Relationship Type="http://schemas.openxmlformats.org/officeDocument/2006/relationships/hyperlink" Target="https://projects.propublica.org/nonprofits/organizations/362182171" TargetMode="External" Id="rId452"/><Relationship Type="http://schemas.openxmlformats.org/officeDocument/2006/relationships/hyperlink" Target="https://www.nacubo.org/research/2024-ncse-public-tables" TargetMode="External" Id="rId453"/><Relationship Type="http://schemas.openxmlformats.org/officeDocument/2006/relationships/hyperlink" Target="https://projects.propublica.org/nonprofits/organizations/237268394" TargetMode="External" Id="rId454"/><Relationship Type="http://schemas.openxmlformats.org/officeDocument/2006/relationships/hyperlink" Target="https://projects.propublica.org/nonprofits/organizations/237268394" TargetMode="External" Id="rId455"/><Relationship Type="http://schemas.openxmlformats.org/officeDocument/2006/relationships/hyperlink" Target="https://projects.propublica.org/nonprofits/organizations/066032106" TargetMode="External" Id="rId456"/><Relationship Type="http://schemas.openxmlformats.org/officeDocument/2006/relationships/hyperlink" Target="https://projects.propublica.org/nonprofits/organizations/066032106" TargetMode="External" Id="rId457"/><Relationship Type="http://schemas.openxmlformats.org/officeDocument/2006/relationships/hyperlink" Target="https://projects.propublica.org/nonprofits/organizations/420594470" TargetMode="External" Id="rId458"/><Relationship Type="http://schemas.openxmlformats.org/officeDocument/2006/relationships/hyperlink" Target="https://projects.propublica.org/nonprofits/organizations/420594470" TargetMode="External" Id="rId459"/><Relationship Type="http://schemas.openxmlformats.org/officeDocument/2006/relationships/hyperlink" Target="https://projects.propublica.org/nonprofits/organizations/208050779" TargetMode="External" Id="rId460"/><Relationship Type="http://schemas.openxmlformats.org/officeDocument/2006/relationships/hyperlink" Target="https://www.pionline.com/research-center/largest-endowments-foundations" TargetMode="External" Id="rId461"/><Relationship Type="http://schemas.openxmlformats.org/officeDocument/2006/relationships/hyperlink" Target="https://projects.propublica.org/nonprofits/organizations/580566243" TargetMode="External" Id="rId462"/><Relationship Type="http://schemas.openxmlformats.org/officeDocument/2006/relationships/hyperlink" Target="https://www.nacubo.org/research/2024-ncse-public-tables" TargetMode="External" Id="rId463"/><Relationship Type="http://schemas.openxmlformats.org/officeDocument/2006/relationships/hyperlink" Target="https://projects.propublica.org/nonprofits/organizations/530213841" TargetMode="External" Id="rId464"/><Relationship Type="http://schemas.openxmlformats.org/officeDocument/2006/relationships/hyperlink" Target="https://projects.propublica.org/nonprofits/organizations/530213841" TargetMode="External" Id="rId465"/><Relationship Type="http://schemas.openxmlformats.org/officeDocument/2006/relationships/hyperlink" Target="https://projects.propublica.org/nonprofits/organizations/752267767" TargetMode="External" Id="rId466"/><Relationship Type="http://schemas.openxmlformats.org/officeDocument/2006/relationships/hyperlink" Target="https://projects.propublica.org/nonprofits/organizations/752267767" TargetMode="External" Id="rId467"/><Relationship Type="http://schemas.openxmlformats.org/officeDocument/2006/relationships/hyperlink" Target="https://projects.propublica.org/nonprofits/organizations/530196577" TargetMode="External" Id="rId468"/><Relationship Type="http://schemas.openxmlformats.org/officeDocument/2006/relationships/hyperlink" Target="https://www.nacubo.org/research/2024-ncse-public-tables" TargetMode="External" Id="rId469"/><Relationship Type="http://schemas.openxmlformats.org/officeDocument/2006/relationships/hyperlink" Target="https://projects.propublica.org/nonprofits/organizations/756036226" TargetMode="External" Id="rId470"/><Relationship Type="http://schemas.openxmlformats.org/officeDocument/2006/relationships/hyperlink" Target="https://projects.propublica.org/nonprofits/organizations/756036226" TargetMode="External" Id="rId471"/><Relationship Type="http://schemas.openxmlformats.org/officeDocument/2006/relationships/hyperlink" Target="https://projects.propublica.org/nonprofits/organizations/381359264" TargetMode="External" Id="rId472"/><Relationship Type="http://schemas.openxmlformats.org/officeDocument/2006/relationships/hyperlink" Target="https://projects.propublica.org/nonprofits/organizations/381359264" TargetMode="External" Id="rId473"/><Relationship Type="http://schemas.openxmlformats.org/officeDocument/2006/relationships/hyperlink" Target="https://projects.propublica.org/nonprofits/organizations/475599177" TargetMode="External" Id="rId474"/><Relationship Type="http://schemas.openxmlformats.org/officeDocument/2006/relationships/hyperlink" Target="https://projects.propublica.org/nonprofits/organizations/475599177" TargetMode="External" Id="rId475"/><Relationship Type="http://schemas.openxmlformats.org/officeDocument/2006/relationships/hyperlink" Target="https://projects.propublica.org/nonprofits/organizations/911148123" TargetMode="External" Id="rId476"/><Relationship Type="http://schemas.openxmlformats.org/officeDocument/2006/relationships/hyperlink" Target="https://projects.propublica.org/nonprofits/organizations/911148123" TargetMode="External" Id="rId477"/><Relationship Type="http://schemas.openxmlformats.org/officeDocument/2006/relationships/hyperlink" Target="https://projects.propublica.org/nonprofits/organizations/042324773" TargetMode="External" Id="rId478"/><Relationship Type="http://schemas.openxmlformats.org/officeDocument/2006/relationships/hyperlink" Target="https://projects.propublica.org/nonprofits/organizations/042324773" TargetMode="External" Id="rId479"/><Relationship Type="http://schemas.openxmlformats.org/officeDocument/2006/relationships/hyperlink" Target="https://projects.propublica.org/nonprofits/organizations/626041468" TargetMode="External" Id="rId480"/><Relationship Type="http://schemas.openxmlformats.org/officeDocument/2006/relationships/hyperlink" Target="https://projects.propublica.org/nonprofits/organizations/626041468" TargetMode="External" Id="rId481"/><Relationship Type="http://schemas.openxmlformats.org/officeDocument/2006/relationships/hyperlink" Target="https://projects.propublica.org/nonprofits/organizations/221576300" TargetMode="External" Id="rId482"/><Relationship Type="http://schemas.openxmlformats.org/officeDocument/2006/relationships/hyperlink" Target="https://projects.propublica.org/nonprofits/organizations/221576300" TargetMode="External" Id="rId483"/><Relationship Type="http://schemas.openxmlformats.org/officeDocument/2006/relationships/hyperlink" Target="https://projects.propublica.org/nonprofits/organizations/750225045" TargetMode="External" Id="rId484"/><Relationship Type="http://schemas.openxmlformats.org/officeDocument/2006/relationships/hyperlink" Target="https://projects.propublica.org/nonprofits/organizations/750225045" TargetMode="External" Id="rId485"/><Relationship Type="http://schemas.openxmlformats.org/officeDocument/2006/relationships/hyperlink" Target="https://projects.propublica.org/nonprofits/organizations/852150251" TargetMode="External" Id="rId486"/><Relationship Type="http://schemas.openxmlformats.org/officeDocument/2006/relationships/hyperlink" Target="https://projects.propublica.org/nonprofits/organizations/852150251" TargetMode="External" Id="rId487"/><Relationship Type="http://schemas.openxmlformats.org/officeDocument/2006/relationships/hyperlink" Target="https://projects.propublica.org/nonprofits/organizations/832671600" TargetMode="External" Id="rId488"/><Relationship Type="http://schemas.openxmlformats.org/officeDocument/2006/relationships/hyperlink" Target="https://projects.propublica.org/nonprofits/organizations/832671600" TargetMode="External" Id="rId489"/><Relationship Type="http://schemas.openxmlformats.org/officeDocument/2006/relationships/hyperlink" Target="https://projects.propublica.org/nonprofits/organizations/521290127" TargetMode="External" Id="rId490"/><Relationship Type="http://schemas.openxmlformats.org/officeDocument/2006/relationships/hyperlink" Target="https://projects.propublica.org/nonprofits/organizations/521290127" TargetMode="External" Id="rId491"/><Relationship Type="http://schemas.openxmlformats.org/officeDocument/2006/relationships/hyperlink" Target="https://projects.propublica.org/nonprofits/organizations/042263040" TargetMode="External" Id="rId492"/><Relationship Type="http://schemas.openxmlformats.org/officeDocument/2006/relationships/hyperlink" Target="https://projects.propublica.org/nonprofits/organizations/042263040" TargetMode="External" Id="rId493"/><Relationship Type="http://schemas.openxmlformats.org/officeDocument/2006/relationships/hyperlink" Target="https://projects.propublica.org/nonprofits/organizations/232331946" TargetMode="External" Id="rId494"/><Relationship Type="http://schemas.openxmlformats.org/officeDocument/2006/relationships/hyperlink" Target="https://projects.propublica.org/nonprofits/organizations/232331946" TargetMode="External" Id="rId495"/><Relationship Type="http://schemas.openxmlformats.org/officeDocument/2006/relationships/hyperlink" Target="https://projects.propublica.org/nonprofits/organizations/361707667" TargetMode="External" Id="rId496"/><Relationship Type="http://schemas.openxmlformats.org/officeDocument/2006/relationships/hyperlink" Target="https://projects.propublica.org/nonprofits/organizations/361707667" TargetMode="External" Id="rId497"/><Relationship Type="http://schemas.openxmlformats.org/officeDocument/2006/relationships/hyperlink" Target="https://projects.propublica.org/nonprofits/organizations/620518288" TargetMode="External" Id="rId498"/><Relationship Type="http://schemas.openxmlformats.org/officeDocument/2006/relationships/hyperlink" Target="https://www.nacubo.org/research/2024-ncse-public-tables" TargetMode="External" Id="rId499"/><Relationship Type="http://schemas.openxmlformats.org/officeDocument/2006/relationships/hyperlink" Target="https://projects.propublica.org/nonprofits/organizations/590704726" TargetMode="External" Id="rId500"/><Relationship Type="http://schemas.openxmlformats.org/officeDocument/2006/relationships/hyperlink" Target="https://projects.propublica.org/nonprofits/organizations/590704726" TargetMode="External" Id="rId501"/><Relationship Type="http://schemas.openxmlformats.org/officeDocument/2006/relationships/hyperlink" Target="https://projects.propublica.org/nonprofits/organizations/521954196" TargetMode="External" Id="rId502"/><Relationship Type="http://schemas.openxmlformats.org/officeDocument/2006/relationships/hyperlink" Target="https://projects.propublica.org/nonprofits/organizations/521954196" TargetMode="External" Id="rId503"/><Relationship Type="http://schemas.openxmlformats.org/officeDocument/2006/relationships/hyperlink" Target="https://projects.propublica.org/nonprofits/organizations/831772542" TargetMode="External" Id="rId504"/><Relationship Type="http://schemas.openxmlformats.org/officeDocument/2006/relationships/hyperlink" Target="https://projects.propublica.org/nonprofits/organizations/831772542" TargetMode="External" Id="rId505"/><Relationship Type="http://schemas.openxmlformats.org/officeDocument/2006/relationships/hyperlink" Target="https://projects.propublica.org/nonprofits/organizations/822828138" TargetMode="External" Id="rId506"/><Relationship Type="http://schemas.openxmlformats.org/officeDocument/2006/relationships/hyperlink" Target="https://projects.propublica.org/nonprofits/organizations/822828138" TargetMode="External" Id="rId507"/><Relationship Type="http://schemas.openxmlformats.org/officeDocument/2006/relationships/hyperlink" Target="https://projects.propublica.org/nonprofits/organizations/311682049" TargetMode="External" Id="rId508"/><Relationship Type="http://schemas.openxmlformats.org/officeDocument/2006/relationships/hyperlink" Target="https://projects.propublica.org/nonprofits/organizations/311682049" TargetMode="External" Id="rId509"/><Relationship Type="http://schemas.openxmlformats.org/officeDocument/2006/relationships/hyperlink" Target="https://projects.propublica.org/nonprofits/organizations/134052259" TargetMode="External" Id="rId510"/><Relationship Type="http://schemas.openxmlformats.org/officeDocument/2006/relationships/hyperlink" Target="https://projects.propublica.org/nonprofits/organizations/134052259" TargetMode="External" Id="rId511"/><Relationship Type="http://schemas.openxmlformats.org/officeDocument/2006/relationships/hyperlink" Target="https://projects.propublica.org/nonprofits/organizations/540735782" TargetMode="External" Id="rId512"/><Relationship Type="http://schemas.openxmlformats.org/officeDocument/2006/relationships/hyperlink" Target="https://projects.propublica.org/nonprofits/organizations/540735782" TargetMode="External" Id="rId513"/><Relationship Type="http://schemas.openxmlformats.org/officeDocument/2006/relationships/hyperlink" Target="https://projects.propublica.org/nonprofits/organizations/900868299" TargetMode="External" Id="rId514"/><Relationship Type="http://schemas.openxmlformats.org/officeDocument/2006/relationships/hyperlink" Target="https://projects.propublica.org/nonprofits/organizations/900868299" TargetMode="External" Id="rId515"/><Relationship Type="http://schemas.openxmlformats.org/officeDocument/2006/relationships/hyperlink" Target="https://projects.propublica.org/nonprofits/organizations/010347504" TargetMode="External" Id="rId516"/><Relationship Type="http://schemas.openxmlformats.org/officeDocument/2006/relationships/hyperlink" Target="https://projects.propublica.org/nonprofits/organizations/010347504" TargetMode="External" Id="rId517"/><Relationship Type="http://schemas.openxmlformats.org/officeDocument/2006/relationships/hyperlink" Target="https://projects.propublica.org/nonprofits/organizations/621765738" TargetMode="External" Id="rId518"/><Relationship Type="http://schemas.openxmlformats.org/officeDocument/2006/relationships/hyperlink" Target="https://projects.propublica.org/nonprofits/organizations/621765738" TargetMode="External" Id="rId519"/></Relationships>
</file>

<file path=xl/worksheets/sheet1.xml><?xml version="1.0" encoding="utf-8"?>
<worksheet xmlns="http://schemas.openxmlformats.org/spreadsheetml/2006/main">
  <sheetPr>
    <tabColor rgb="004472C4"/>
    <outlinePr summaryBelow="1" summaryRight="1"/>
    <pageSetUpPr fitToPage="1"/>
  </sheetPr>
  <dimension ref="A1:I38"/>
  <sheetViews>
    <sheetView showGridLines="0" workbookViewId="0">
      <selection activeCell="A1" sqref="A1"/>
    </sheetView>
  </sheetViews>
  <sheetFormatPr baseColWidth="8" defaultRowHeight="15"/>
  <cols>
    <col width="24" customWidth="1" min="1" max="1"/>
    <col width="16" customWidth="1" min="2" max="2"/>
    <col width="38" customWidth="1" min="3" max="3"/>
    <col width="16" customWidth="1" min="4" max="4"/>
    <col width="18" customWidth="1" min="5" max="5"/>
    <col width="12" customWidth="1" min="6" max="6"/>
    <col width="16" customWidth="1" min="8" max="8"/>
    <col width="8" customWidth="1" min="9" max="9"/>
  </cols>
  <sheetData>
    <row r="1">
      <c r="A1" s="1" t="inlineStr">
        <is>
          <t>Non-Profit (990) Explorer — Live Working File</t>
        </is>
      </c>
      <c r="H1" s="2" t="inlineStr">
        <is>
          <t>GEOGRAPHY LOOKUP</t>
        </is>
      </c>
    </row>
    <row r="2">
      <c r="A2" s="3" t="inlineStr">
        <is>
          <t>Source: IRS 990 Schedule J | 1952 investment records | FY 2022–2025</t>
        </is>
      </c>
      <c r="H2" s="2" t="inlineStr">
        <is>
          <t>Preset</t>
        </is>
      </c>
      <c r="I2" s="2" t="inlineStr">
        <is>
          <t>State</t>
        </is>
      </c>
    </row>
    <row r="3">
      <c r="A3" s="3" t="inlineStr">
        <is>
          <t>Shaded cells are the inputs. Everything else is generated — rebuild rather than edit.</t>
        </is>
      </c>
      <c r="H3" t="inlineStr">
        <is>
          <t>New England</t>
        </is>
      </c>
      <c r="I3" t="inlineStr">
        <is>
          <t>MA</t>
        </is>
      </c>
    </row>
    <row r="4">
      <c r="A4" s="4" t="inlineStr">
        <is>
          <t>PEER GROUP FILTERS</t>
        </is>
      </c>
      <c r="B4" s="5" t="n"/>
      <c r="C4" s="6" t="inlineStr">
        <is>
          <t>Mode:</t>
        </is>
      </c>
      <c r="D4" s="7" t="inlineStr">
        <is>
          <t>All Funds</t>
        </is>
      </c>
      <c r="E4" s="3" t="inlineStr">
        <is>
          <t>Your AUM ($B)</t>
        </is>
      </c>
      <c r="F4" s="8">
        <f>IF(Inputs!$B$21="","",IFERROR(_xlfn.MAXIFS(Records[AUM ($B)],Records[Organization],in_ClientOrg),""))</f>
        <v/>
      </c>
      <c r="H4" t="inlineStr">
        <is>
          <t>New England</t>
        </is>
      </c>
      <c r="I4" t="inlineStr">
        <is>
          <t>NH</t>
        </is>
      </c>
    </row>
    <row r="5">
      <c r="A5" s="2" t="inlineStr">
        <is>
          <t>AUM Min</t>
        </is>
      </c>
      <c r="B5" s="9" t="n">
        <v>0.5</v>
      </c>
      <c r="C5" s="3" t="inlineStr">
        <is>
          <t>(a multiple, or $B — see AUM Basis)</t>
        </is>
      </c>
      <c r="E5" s="3" t="inlineStr">
        <is>
          <t>Band floor ($B)</t>
        </is>
      </c>
      <c r="F5" s="8">
        <f>IF($B$7="Absolute ($B)",$B5,IF($F$4="",0,$B5*$F$4))</f>
        <v/>
      </c>
      <c r="H5" t="inlineStr">
        <is>
          <t>New England</t>
        </is>
      </c>
      <c r="I5" t="inlineStr">
        <is>
          <t>ME</t>
        </is>
      </c>
    </row>
    <row r="6">
      <c r="A6" s="2" t="inlineStr">
        <is>
          <t>AUM Max</t>
        </is>
      </c>
      <c r="B6" s="9" t="n">
        <v>2</v>
      </c>
      <c r="C6" s="3" t="inlineStr">
        <is>
          <t>(ignored when Mode = All Funds)</t>
        </is>
      </c>
      <c r="E6" s="3" t="inlineStr">
        <is>
          <t>Band ceiling ($B)</t>
        </is>
      </c>
      <c r="F6" s="8">
        <f>IF($B$7="Absolute ($B)",$B6,IF($F$4="",0,$B6*$F$4))</f>
        <v/>
      </c>
      <c r="H6" t="inlineStr">
        <is>
          <t>New England</t>
        </is>
      </c>
      <c r="I6" t="inlineStr">
        <is>
          <t>RI</t>
        </is>
      </c>
    </row>
    <row r="7">
      <c r="A7" s="2" t="inlineStr">
        <is>
          <t>AUM Basis</t>
        </is>
      </c>
      <c r="B7" s="10" t="inlineStr">
        <is>
          <t>Multiple of your own AUM</t>
        </is>
      </c>
      <c r="C7" s="3" t="inlineStr">
        <is>
          <t>(half to twice your own size is the usual peer rule)</t>
        </is>
      </c>
      <c r="H7" t="inlineStr">
        <is>
          <t>New England</t>
        </is>
      </c>
      <c r="I7" t="inlineStr">
        <is>
          <t>VT</t>
        </is>
      </c>
    </row>
    <row r="8">
      <c r="A8" s="2" t="inlineStr">
        <is>
          <t>Geography</t>
        </is>
      </c>
      <c r="B8" s="10" t="inlineStr">
        <is>
          <t>National</t>
        </is>
      </c>
      <c r="H8" t="inlineStr">
        <is>
          <t>New England</t>
        </is>
      </c>
      <c r="I8" t="inlineStr">
        <is>
          <t>CT</t>
        </is>
      </c>
    </row>
    <row r="9">
      <c r="A9" s="2" t="inlineStr">
        <is>
          <t>Custom States</t>
        </is>
      </c>
      <c r="B9" s="10" t="inlineStr"/>
      <c r="C9" s="3" t="inlineStr">
        <is>
          <t>(comma-separated, e.g. NY,NJ,CT)</t>
        </is>
      </c>
      <c r="H9" t="inlineStr">
        <is>
          <t>NYC Tri-State</t>
        </is>
      </c>
      <c r="I9" t="inlineStr">
        <is>
          <t>NY</t>
        </is>
      </c>
    </row>
    <row r="10">
      <c r="H10" t="inlineStr">
        <is>
          <t>NYC Tri-State</t>
        </is>
      </c>
      <c r="I10" t="inlineStr">
        <is>
          <t>NJ</t>
        </is>
      </c>
    </row>
    <row r="11">
      <c r="A11" s="2" t="inlineStr">
        <is>
          <t>Exclude Harvard</t>
        </is>
      </c>
      <c r="B11" s="10" t="inlineStr">
        <is>
          <t>N</t>
        </is>
      </c>
      <c r="H11" t="inlineStr">
        <is>
          <t>NYC Tri-State</t>
        </is>
      </c>
      <c r="I11" t="inlineStr">
        <is>
          <t>CT</t>
        </is>
      </c>
    </row>
    <row r="12">
      <c r="H12" t="inlineStr">
        <is>
          <t>Mid-Atlantic</t>
        </is>
      </c>
      <c r="I12" t="inlineStr">
        <is>
          <t>PA</t>
        </is>
      </c>
    </row>
    <row r="13">
      <c r="A13" s="4" t="inlineStr">
        <is>
          <t>ORGANIZATION TYPE</t>
        </is>
      </c>
      <c r="B13" s="5" t="n"/>
      <c r="C13" s="11" t="inlineStr">
        <is>
          <t>(ignored when Mode = All Funds)</t>
        </is>
      </c>
      <c r="H13" t="inlineStr">
        <is>
          <t>Mid-Atlantic</t>
        </is>
      </c>
      <c r="I13" t="inlineStr">
        <is>
          <t>NJ</t>
        </is>
      </c>
    </row>
    <row r="14">
      <c r="A14" s="2" t="inlineStr">
        <is>
          <t>Endowment</t>
        </is>
      </c>
      <c r="B14" s="10" t="inlineStr">
        <is>
          <t>Y</t>
        </is>
      </c>
      <c r="C14" s="3" t="inlineStr">
        <is>
          <t>(universities, colleges, schools)</t>
        </is>
      </c>
      <c r="H14" t="inlineStr">
        <is>
          <t>Mid-Atlantic</t>
        </is>
      </c>
      <c r="I14" t="inlineStr">
        <is>
          <t>DE</t>
        </is>
      </c>
    </row>
    <row r="15">
      <c r="A15" s="2" t="inlineStr">
        <is>
          <t>Foundation</t>
        </is>
      </c>
      <c r="B15" s="10" t="inlineStr">
        <is>
          <t>Y</t>
        </is>
      </c>
      <c r="C15" s="3" t="inlineStr">
        <is>
          <t>(private, community, public)</t>
        </is>
      </c>
      <c r="H15" t="inlineStr">
        <is>
          <t>Mid-Atlantic</t>
        </is>
      </c>
      <c r="I15" t="inlineStr">
        <is>
          <t>MD</t>
        </is>
      </c>
    </row>
    <row r="16">
      <c r="A16" s="2" t="inlineStr">
        <is>
          <t>Healthcare</t>
        </is>
      </c>
      <c r="B16" s="10" t="inlineStr">
        <is>
          <t>Y</t>
        </is>
      </c>
      <c r="C16" s="3" t="inlineStr">
        <is>
          <t>(hospitals, health systems)</t>
        </is>
      </c>
      <c r="H16" t="inlineStr">
        <is>
          <t>Mid-Atlantic</t>
        </is>
      </c>
      <c r="I16" t="inlineStr">
        <is>
          <t>DC</t>
        </is>
      </c>
    </row>
    <row r="17">
      <c r="A17" s="2" t="inlineStr">
        <is>
          <t>Pension</t>
        </is>
      </c>
      <c r="B17" s="10" t="inlineStr">
        <is>
          <t>Y</t>
        </is>
      </c>
      <c r="C17" s="3" t="inlineStr">
        <is>
          <t>(retirement &amp; benefit funds)</t>
        </is>
      </c>
      <c r="H17" t="inlineStr">
        <is>
          <t>Southeast</t>
        </is>
      </c>
      <c r="I17" t="inlineStr">
        <is>
          <t>VA</t>
        </is>
      </c>
    </row>
    <row r="18">
      <c r="A18" s="2" t="inlineStr">
        <is>
          <t>OCIO</t>
        </is>
      </c>
      <c r="B18" s="10" t="inlineStr">
        <is>
          <t>Y</t>
        </is>
      </c>
      <c r="C18" s="3" t="inlineStr">
        <is>
          <t>(investment mgmt subsidiaries)</t>
        </is>
      </c>
      <c r="H18" t="inlineStr">
        <is>
          <t>Southeast</t>
        </is>
      </c>
      <c r="I18" t="inlineStr">
        <is>
          <t>NC</t>
        </is>
      </c>
    </row>
    <row r="19">
      <c r="A19" s="2" t="inlineStr">
        <is>
          <t>Other</t>
        </is>
      </c>
      <c r="B19" s="10" t="inlineStr">
        <is>
          <t>Y</t>
        </is>
      </c>
      <c r="C19" s="3" t="inlineStr">
        <is>
          <t>(cultural, CDFI, associations)</t>
        </is>
      </c>
      <c r="H19" t="inlineStr">
        <is>
          <t>Southeast</t>
        </is>
      </c>
      <c r="I19" t="inlineStr">
        <is>
          <t>SC</t>
        </is>
      </c>
    </row>
    <row r="20">
      <c r="H20" t="inlineStr">
        <is>
          <t>Southeast</t>
        </is>
      </c>
      <c r="I20" t="inlineStr">
        <is>
          <t>GA</t>
        </is>
      </c>
    </row>
    <row r="21">
      <c r="A21" s="2" t="inlineStr">
        <is>
          <t>Your Organization</t>
        </is>
      </c>
      <c r="B21" s="10" t="inlineStr"/>
      <c r="C21" s="3" t="inlineStr">
        <is>
          <t>(shown beside the market, excluded from it)</t>
        </is>
      </c>
      <c r="H21" t="inlineStr">
        <is>
          <t>Southeast</t>
        </is>
      </c>
      <c r="I21" t="inlineStr">
        <is>
          <t>FL</t>
        </is>
      </c>
    </row>
    <row r="22">
      <c r="H22" t="inlineStr">
        <is>
          <t>Midwest</t>
        </is>
      </c>
      <c r="I22" t="inlineStr">
        <is>
          <t>IL</t>
        </is>
      </c>
    </row>
    <row r="23">
      <c r="A23" s="4" t="inlineStr">
        <is>
          <t>AGING</t>
        </is>
      </c>
      <c r="B23" s="5" t="n"/>
      <c r="C23" s="5" t="n"/>
      <c r="H23" t="inlineStr">
        <is>
          <t>Midwest</t>
        </is>
      </c>
      <c r="I23" t="inlineStr">
        <is>
          <t>IN</t>
        </is>
      </c>
    </row>
    <row r="24">
      <c r="A24" s="2" t="inlineStr">
        <is>
          <t>Age to Date</t>
        </is>
      </c>
      <c r="B24" s="12" t="n">
        <v>46203</v>
      </c>
      <c r="C24" s="3" t="inlineStr">
        <is>
          <t>(the effective date you are pricing to)</t>
        </is>
      </c>
      <c r="H24" t="inlineStr">
        <is>
          <t>Midwest</t>
        </is>
      </c>
      <c r="I24" t="inlineStr">
        <is>
          <t>OH</t>
        </is>
      </c>
    </row>
    <row r="25">
      <c r="A25" s="2" t="inlineStr">
        <is>
          <t>Growth Rate</t>
        </is>
      </c>
      <c r="B25" s="13" t="n">
        <v>0.04</v>
      </c>
      <c r="C25" s="3" t="inlineStr">
        <is>
          <t>(annual, compounded from one year before each filing’s fiscal year end)</t>
        </is>
      </c>
      <c r="H25" t="inlineStr">
        <is>
          <t>Midwest</t>
        </is>
      </c>
      <c r="I25" t="inlineStr">
        <is>
          <t>MI</t>
        </is>
      </c>
    </row>
    <row r="26">
      <c r="H26" t="inlineStr">
        <is>
          <t>Midwest</t>
        </is>
      </c>
      <c r="I26" t="inlineStr">
        <is>
          <t>WI</t>
        </is>
      </c>
    </row>
    <row r="27">
      <c r="H27" t="inlineStr">
        <is>
          <t>Midwest</t>
        </is>
      </c>
      <c r="I27" t="inlineStr">
        <is>
          <t>MN</t>
        </is>
      </c>
    </row>
    <row r="28">
      <c r="A28" s="4" t="inlineStr">
        <is>
          <t>NOTES</t>
        </is>
      </c>
      <c r="B28" s="5" t="n"/>
      <c r="C28" s="5" t="n"/>
      <c r="D28" s="5" t="n"/>
      <c r="H28" t="inlineStr">
        <is>
          <t>Texas</t>
        </is>
      </c>
      <c r="I28" t="inlineStr">
        <is>
          <t>TX</t>
        </is>
      </c>
    </row>
    <row r="29">
      <c r="A29" s="3" t="inlineStr">
        <is>
          <t>All Funds = full database, no AUM/geography/type filters applied</t>
        </is>
      </c>
      <c r="H29" t="inlineStr">
        <is>
          <t>California</t>
        </is>
      </c>
      <c r="I29" t="inlineStr">
        <is>
          <t>CA</t>
        </is>
      </c>
    </row>
    <row r="30">
      <c r="A30" s="3" t="inlineStr">
        <is>
          <t>Custom Peers = apply AUM range, geography, and institution type filters</t>
        </is>
      </c>
      <c r="H30" t="inlineStr">
        <is>
          <t>Pacific NW</t>
        </is>
      </c>
      <c r="I30" t="inlineStr">
        <is>
          <t>WA</t>
        </is>
      </c>
    </row>
    <row r="31">
      <c r="A31" s="3" t="inlineStr">
        <is>
          <t>Adjusted Total = Total Comp minus Prior-Year Deferred compensation</t>
        </is>
      </c>
      <c r="H31" t="inlineStr">
        <is>
          <t>Pacific NW</t>
        </is>
      </c>
      <c r="I31" t="inlineStr">
        <is>
          <t>OR</t>
        </is>
      </c>
    </row>
    <row r="32">
      <c r="A32" s="3" t="inlineStr">
        <is>
          <t>Aging = Adj Total × (1 + Growth Rate) ^ (YEARFRAC(fiscal year end, Age to Date) + 1): pay is earned across the fiscal year, so it ages from one year before its end</t>
        </is>
      </c>
    </row>
    <row r="33">
      <c r="A33" s="3" t="inlineStr">
        <is>
          <t>A filing dated after the Age to Date ages backwards, which is correct</t>
        </is>
      </c>
    </row>
    <row r="34">
      <c r="A34" s="3" t="inlineStr">
        <is>
          <t>Include = "Y" for most recent filing year per org, matching active filters</t>
        </is>
      </c>
    </row>
    <row r="35">
      <c r="A35" s="3" t="inlineStr">
        <is>
          <t>Implied Market: CIO row = actual data; Sr Inv Pro + COO = CIO actual × ratio P50</t>
        </is>
      </c>
    </row>
    <row r="36">
      <c r="A36" s="3" t="inlineStr">
        <is>
          <t>Tiers: CIO = CIO + Co-CIO + CEO (Inv Entity)</t>
        </is>
      </c>
    </row>
    <row r="37">
      <c r="A37" s="3" t="inlineStr">
        <is>
          <t xml:space="preserve">       Sr Inv Pro = MD + SMD + Deputy CIO + Dir Inv + SIO + IM + IO + PM + SA</t>
        </is>
      </c>
    </row>
    <row r="38">
      <c r="A38" s="3" t="inlineStr">
        <is>
          <t xml:space="preserve">       COO (Investment Office) = COO at the inv sub (HMC, SMC, PRINCO, UVIMCO)</t>
        </is>
      </c>
    </row>
  </sheetData>
  <dataValidations count="5">
    <dataValidation sqref="D4" showDropDown="0" showInputMessage="0" showErrorMessage="0" allowBlank="0" errorTitle="Invalid Mode" error="Select All Funds or Custom Peers" type="list">
      <formula1>"All Funds,Custom Peers"</formula1>
    </dataValidation>
    <dataValidation sqref="B7" showDropDown="0" showInputMessage="0" showErrorMessage="0" allowBlank="0" type="list">
      <formula1>"Absolute ($B),Multiple of your own AUM"</formula1>
    </dataValidation>
    <dataValidation sqref="B8" showDropDown="0" showInputMessage="0" showErrorMessage="0" allowBlank="0" type="list">
      <formula1>"National,New England,NYC Tri-State,Mid-Atlantic,Southeast,Midwest,Texas,California,Pacific NW,Custom"</formula1>
    </dataValidation>
    <dataValidation sqref="B11 B14 B15 B16 B17 B18 B19" showDropDown="0" showInputMessage="0" showErrorMessage="0" allowBlank="0" type="list">
      <formula1>"Y,N"</formula1>
    </dataValidation>
    <dataValidation sqref="B21" showDropDown="0" showInputMessage="0" showErrorMessage="1" allowBlank="1" errorTitle="Not in the database" error="Pick an organization from the list, or clear the cell." type="list">
      <formula1>=lst_PeerOrgs</formula1>
    </dataValidation>
  </dataValidations>
  <printOptions horizontalCentered="1"/>
  <pageMargins left="0.75" right="0.75" top="1" bottom="1" header="0.5" footer="0.5"/>
  <pageSetup orientation="landscape" fitToHeight="0" fitToWidth="1"/>
  <headerFooter>
    <oddHeader/>
    <oddFooter>&amp;LMichael Oak Advisors&amp;R&amp;P of &amp;N</oddFooter>
    <evenHeader/>
    <evenFooter/>
    <firstHeader/>
    <firstFooter/>
  </headerFooter>
</worksheet>
</file>

<file path=xl/worksheets/sheet2.xml><?xml version="1.0" encoding="utf-8"?>
<worksheet xmlns="http://schemas.openxmlformats.org/spreadsheetml/2006/main">
  <sheetPr>
    <tabColor rgb="0070AD47"/>
    <outlinePr summaryBelow="1" summaryRight="1"/>
    <pageSetUpPr fitToPage="1"/>
  </sheetPr>
  <dimension ref="A1:O50"/>
  <sheetViews>
    <sheetView showGridLines="0"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3" customWidth="1" min="10" max="10"/>
    <col width="28" customWidth="1" min="11" max="11"/>
    <col width="28" customWidth="1" min="12" max="12"/>
    <col width="13" customWidth="1" min="13" max="13"/>
    <col width="13" customWidth="1" min="14" max="14"/>
    <col width="13" customWidth="1" min="15" max="15"/>
  </cols>
  <sheetData>
    <row r="1">
      <c r="A1" s="1" t="inlineStr">
        <is>
          <t>Non-Profit (990) Explorer — Compensation Benchmarks</t>
        </is>
      </c>
    </row>
    <row r="2">
      <c r="A2" s="3" t="inlineStr">
        <is>
          <t>Source: IRS 990 Schedule J | 1952 investment records | FY 2022–2025</t>
        </is>
      </c>
    </row>
    <row r="3">
      <c r="A3" s="3" t="inlineStr">
        <is>
          <t>Comp metric: Adjusted Total = Total minus Prior-year deferred, aged to target year</t>
        </is>
      </c>
    </row>
    <row r="4">
      <c r="A4" s="3" t="inlineStr">
        <is>
          <t>Caution: Form 990 pay is disclosed to satisfy IRC requirements, not to compare compensation. It is not a substitute for standardized industry compensation surveys.</t>
        </is>
      </c>
    </row>
    <row r="5">
      <c r="A5" s="14">
        <f>IF(Inputs!$D$4="All Funds","All Funds"&amp;IF(Inputs!$B$11="Y"," (excl. Harvard)","")&amp;IF(Inputs!$B$21&lt;&gt;""," (excl. "&amp;Inputs!$B$21&amp;")","")&amp;" | Aged to "&amp;TEXT(Inputs!$B$24,"mmm d, yyyy")&amp;" at "&amp;TEXT(Inputs!$B$25,"0%"),Inputs!$B$8&amp;" | AUM $"&amp;TEXT(Inputs!$F$5,"0.0")&amp;"B to $"&amp;TEXT(Inputs!$F$6,"0.0")&amp;"B"&amp;IF(Inputs!$B$7="Absolute ($B)",""," ("&amp;TEXT(Inputs!$B$5,"0.0#")&amp;"x to "&amp;TEXT(Inputs!$B$6,"0.0#")&amp;"x your AUM)")&amp;" | Aged to "&amp;TEXT(Inputs!$B$24,"mmm d, yyyy")&amp;" at "&amp;TEXT(Inputs!$B$25,"0%")&amp;IF(Inputs!$B$11="Y"," | excl. Harvard","")&amp;IF(Inputs!$B$21&lt;&gt;""," | excl. "&amp;Inputs!$B$21,""))</f>
        <v/>
      </c>
    </row>
    <row r="6"/>
    <row r="7">
      <c r="A7" s="15" t="inlineStr">
        <is>
          <t>Benchmarks by Job — Adjusted Total, Aged</t>
        </is>
      </c>
      <c r="B7" s="16" t="n"/>
      <c r="C7" s="16" t="n"/>
      <c r="D7" s="16" t="n"/>
      <c r="E7" s="16" t="n"/>
      <c r="F7" s="16" t="n"/>
      <c r="G7" s="16" t="n"/>
      <c r="H7" s="16" t="n"/>
      <c r="I7" s="16" t="n"/>
      <c r="J7" s="16" t="n"/>
      <c r="K7" s="16" t="n"/>
      <c r="L7" s="16" t="n"/>
      <c r="M7" s="16" t="n"/>
      <c r="N7" s="16" t="n"/>
      <c r="O7" s="16" t="n"/>
    </row>
    <row r="8" ht="18" customHeight="1">
      <c r="A8" s="17" t="inlineStr">
        <is>
          <t>Job</t>
        </is>
      </c>
      <c r="B8" s="17" t="inlineStr">
        <is>
          <t>Family</t>
        </is>
      </c>
      <c r="C8" s="17" t="inlineStr">
        <is>
          <t>#Orgs</t>
        </is>
      </c>
      <c r="D8" s="17" t="inlineStr">
        <is>
          <t>#People</t>
        </is>
      </c>
      <c r="E8" s="17" t="inlineStr">
        <is>
          <t>P25</t>
        </is>
      </c>
      <c r="F8" s="17" t="inlineStr">
        <is>
          <t>P50</t>
        </is>
      </c>
      <c r="G8" s="17" t="inlineStr">
        <is>
          <t>P75</t>
        </is>
      </c>
      <c r="H8" s="17" t="inlineStr">
        <is>
          <t>P90</t>
        </is>
      </c>
      <c r="I8" s="17" t="inlineStr">
        <is>
          <t>Average</t>
        </is>
      </c>
      <c r="J8" s="18" t="inlineStr">
        <is>
          <t>Your org</t>
        </is>
      </c>
      <c r="K8" s="18" t="inlineStr">
        <is>
          <t>vs P50</t>
        </is>
      </c>
      <c r="L8" s="18" t="inlineStr">
        <is>
          <t>Percentile</t>
        </is>
      </c>
      <c r="M8" s="17" t="inlineStr">
        <is>
          <t>Est. P25 (1)</t>
        </is>
      </c>
      <c r="N8" s="17" t="inlineStr">
        <is>
          <t>Est. P75 (1)</t>
        </is>
      </c>
      <c r="O8" s="17" t="inlineStr">
        <is>
          <t>Est. P90 (1)</t>
        </is>
      </c>
    </row>
    <row r="9"/>
    <row r="10">
      <c r="A10" s="2" t="inlineStr">
        <is>
          <t>CIO - Top Investment Executive</t>
        </is>
      </c>
      <c r="B10" s="19" t="inlineStr">
        <is>
          <t>Leadership</t>
        </is>
      </c>
      <c r="C10" s="20">
        <f>IFERROR(SUMPRODUCT(((Records[Role Group]="CIO - Top Investment Executive")*(Records[Include]="Y")*(Records[Aged Adj Total]&gt;0))/(COUNTIFS(Records[Organization],Records[Organization]&amp;"",Records[Role Group],"CIO - Top Investment Executive",Records[Include],"Y")+(COUNTIFS(Records[Organization],Records[Organization]&amp;"",Records[Role Group],"CIO - Top Investment Executive",Records[Include],"Y")=0))),0)</f>
        <v/>
      </c>
      <c r="D10" s="20">
        <f>SUMPRODUCT((Records[Role Group]="CIO - Top Investment Executive")*(Records[Include]="Y")*(Records[Aged Adj Total]&gt;0))</f>
        <v/>
      </c>
      <c r="E10" s="21">
        <f>IF($D10&gt;=k_MinQuartile,MROUND(_xlfn.PERCENTILE.INC(_xlfn._xlws.FILTER(Records[Aged Adj Total],(Records[Role Group]="CIO - Top Investment Executive")*(Records[Include]="Y")*(Records[Aged Adj Total]&gt;0)),0.25),k_RoundTo),"")</f>
        <v/>
      </c>
      <c r="F10" s="22">
        <f>IF($D10&gt;=k_MinMedian,MROUND(_xlfn.PERCENTILE.INC(_xlfn._xlws.FILTER(Records[Aged Adj Total],(Records[Role Group]="CIO - Top Investment Executive")*(Records[Include]="Y")*(Records[Aged Adj Total]&gt;0)),0.5),k_RoundTo),"")</f>
        <v/>
      </c>
      <c r="G10" s="21">
        <f>IF($D10&gt;=k_MinQuartile,MROUND(_xlfn.PERCENTILE.INC(_xlfn._xlws.FILTER(Records[Aged Adj Total],(Records[Role Group]="CIO - Top Investment Executive")*(Records[Include]="Y")*(Records[Aged Adj Total]&gt;0)),0.75),k_RoundTo),"")</f>
        <v/>
      </c>
      <c r="H10" s="21">
        <f>IF($D10&gt;=k_MinQuartile,MROUND(_xlfn.PERCENTILE.INC(_xlfn._xlws.FILTER(Records[Aged Adj Total],(Records[Role Group]="CIO - Top Investment Executive")*(Records[Include]="Y")*(Records[Aged Adj Total]&gt;0)),0.9),k_RoundTo),"")</f>
        <v/>
      </c>
      <c r="I10" s="21">
        <f>IF($D10&gt;=k_MinMedian,MROUND(AVERAGE(_xlfn._xlws.FILTER(Records[Aged Adj Total],(Records[Role Group]="CIO - Top Investment Executive")*(Records[Include]="Y")*(Records[Aged Adj Total]&gt;0))),k_RoundTo),"")</f>
        <v/>
      </c>
      <c r="J10" s="23">
        <f>IF(Inputs!$B$21="","",IFERROR(MAX(_xlfn._xlws.FILTER(Records[Aged Adj Total],(Records[Role Group]="CIO - Top Investment Executive")*(Records[Organization]=Inputs!$B$21)*(Records[Most Recent]="Y")*(Records[Aged Adj Total]&gt;0))),""))</f>
        <v/>
      </c>
      <c r="K10" s="24">
        <f>IF(OR($J10="",$F10=""),"",$J10/$F10-1)</f>
        <v/>
      </c>
      <c r="L10" s="25">
        <f>IF($D10&gt;=k_MinQuartile,IF(OR($J10="",$J10=0),"",IFERROR(PERCENTRANK.INC(_xlfn._xlws.FILTER(Records[Aged Adj Total],(Records[Role Group]="CIO - Top Investment Executive")*(Records[Include]="Y")*(Records[Aged Adj Total]&gt;0)),$J10,4),"")),"")</f>
        <v/>
      </c>
      <c r="M10" s="26">
        <f>IF(AND($D10&gt;=k_MinMedian,$D10&lt;k_MinQuartile,$F10&lt;&gt;""),MROUND($F10*k_Est_adj_heads_25,k_RoundTo),"")</f>
        <v/>
      </c>
      <c r="N10" s="26">
        <f>IF(AND($D10&gt;=k_MinMedian,$D10&lt;k_MinQuartile,$F10&lt;&gt;""),MROUND($F10*k_Est_adj_heads_75,k_RoundTo),"")</f>
        <v/>
      </c>
      <c r="O10" s="26">
        <f>IF(AND($D10&gt;=k_MinMedian,$D10&lt;k_MinQuartile,$F10&lt;&gt;""),MROUND($F10*k_Est_adj_heads_90,k_RoundTo),"")</f>
        <v/>
      </c>
    </row>
    <row r="11">
      <c r="A11" s="2" t="inlineStr">
        <is>
          <t>Deputy CIO</t>
        </is>
      </c>
      <c r="B11" s="19" t="inlineStr">
        <is>
          <t>Leadership</t>
        </is>
      </c>
      <c r="C11" s="20">
        <f>IFERROR(SUMPRODUCT(((Records[Role Group]="Deputy CIO")*(Records[Include]="Y")*(Records[Aged Adj Total]&gt;0))/(COUNTIFS(Records[Organization],Records[Organization]&amp;"",Records[Role Group],"Deputy CIO",Records[Include],"Y")+(COUNTIFS(Records[Organization],Records[Organization]&amp;"",Records[Role Group],"Deputy CIO",Records[Include],"Y")=0))),0)</f>
        <v/>
      </c>
      <c r="D11" s="20">
        <f>SUMPRODUCT((Records[Role Group]="Deputy CIO")*(Records[Include]="Y")*(Records[Aged Adj Total]&gt;0))</f>
        <v/>
      </c>
      <c r="E11" s="21">
        <f>IF($D11&gt;=k_MinQuartile,MROUND(_xlfn.PERCENTILE.INC(_xlfn._xlws.FILTER(Records[Aged Adj Total],(Records[Role Group]="Deputy CIO")*(Records[Include]="Y")*(Records[Aged Adj Total]&gt;0)),0.25),k_RoundTo),"")</f>
        <v/>
      </c>
      <c r="F11" s="22">
        <f>IF($D11&gt;=k_MinMedian,MROUND(_xlfn.PERCENTILE.INC(_xlfn._xlws.FILTER(Records[Aged Adj Total],(Records[Role Group]="Deputy CIO")*(Records[Include]="Y")*(Records[Aged Adj Total]&gt;0)),0.5),k_RoundTo),"")</f>
        <v/>
      </c>
      <c r="G11" s="21">
        <f>IF($D11&gt;=k_MinQuartile,MROUND(_xlfn.PERCENTILE.INC(_xlfn._xlws.FILTER(Records[Aged Adj Total],(Records[Role Group]="Deputy CIO")*(Records[Include]="Y")*(Records[Aged Adj Total]&gt;0)),0.75),k_RoundTo),"")</f>
        <v/>
      </c>
      <c r="H11" s="21">
        <f>IF($D11&gt;=k_MinQuartile,MROUND(_xlfn.PERCENTILE.INC(_xlfn._xlws.FILTER(Records[Aged Adj Total],(Records[Role Group]="Deputy CIO")*(Records[Include]="Y")*(Records[Aged Adj Total]&gt;0)),0.9),k_RoundTo),"")</f>
        <v/>
      </c>
      <c r="I11" s="21">
        <f>IF($D11&gt;=k_MinMedian,MROUND(AVERAGE(_xlfn._xlws.FILTER(Records[Aged Adj Total],(Records[Role Group]="Deputy CIO")*(Records[Include]="Y")*(Records[Aged Adj Total]&gt;0))),k_RoundTo),"")</f>
        <v/>
      </c>
      <c r="J11" s="23">
        <f>IF(Inputs!$B$21="","",IFERROR(MAX(_xlfn._xlws.FILTER(Records[Aged Adj Total],(Records[Role Group]="Deputy CIO")*(Records[Organization]=Inputs!$B$21)*(Records[Most Recent]="Y")*(Records[Aged Adj Total]&gt;0))),""))</f>
        <v/>
      </c>
      <c r="K11" s="24">
        <f>IF(OR($J11="",$F11=""),"",$J11/$F11-1)</f>
        <v/>
      </c>
      <c r="L11" s="25">
        <f>IF($D11&gt;=k_MinQuartile,IF(OR($J11="",$J11=0),"",IFERROR(PERCENTRANK.INC(_xlfn._xlws.FILTER(Records[Aged Adj Total],(Records[Role Group]="Deputy CIO")*(Records[Include]="Y")*(Records[Aged Adj Total]&gt;0)),$J11,4),"")),"")</f>
        <v/>
      </c>
      <c r="M11" s="26">
        <f>IF(AND($D11&gt;=k_MinMedian,$D11&lt;k_MinQuartile,$F11&lt;&gt;""),MROUND($F11*k_Est_adj_heads_25,k_RoundTo),"")</f>
        <v/>
      </c>
      <c r="N11" s="26">
        <f>IF(AND($D11&gt;=k_MinMedian,$D11&lt;k_MinQuartile,$F11&lt;&gt;""),MROUND($F11*k_Est_adj_heads_75,k_RoundTo),"")</f>
        <v/>
      </c>
      <c r="O11" s="26">
        <f>IF(AND($D11&gt;=k_MinMedian,$D11&lt;k_MinQuartile,$F11&lt;&gt;""),MROUND($F11*k_Est_adj_heads_90,k_RoundTo),"")</f>
        <v/>
      </c>
    </row>
    <row r="12">
      <c r="A12" s="2" t="inlineStr">
        <is>
          <t>Managing Director</t>
        </is>
      </c>
      <c r="B12" s="19" t="inlineStr">
        <is>
          <t>Investments</t>
        </is>
      </c>
      <c r="C12" s="20">
        <f>IFERROR(SUMPRODUCT(((Records[Role Group]="Managing Director")*(Records[Include]="Y")*(Records[Aged Adj Total]&gt;0))/(COUNTIFS(Records[Organization],Records[Organization]&amp;"",Records[Role Group],"Managing Director",Records[Include],"Y")+(COUNTIFS(Records[Organization],Records[Organization]&amp;"",Records[Role Group],"Managing Director",Records[Include],"Y")=0))),0)</f>
        <v/>
      </c>
      <c r="D12" s="20">
        <f>SUMPRODUCT((Records[Role Group]="Managing Director")*(Records[Include]="Y")*(Records[Aged Adj Total]&gt;0))</f>
        <v/>
      </c>
      <c r="E12" s="21">
        <f>IF($D12&gt;=k_MinQuartile,MROUND(_xlfn.PERCENTILE.INC(_xlfn._xlws.FILTER(Records[Aged Adj Total],(Records[Role Group]="Managing Director")*(Records[Include]="Y")*(Records[Aged Adj Total]&gt;0)),0.25),k_RoundTo),"")</f>
        <v/>
      </c>
      <c r="F12" s="22">
        <f>IF($D12&gt;=k_MinMedian,MROUND(_xlfn.PERCENTILE.INC(_xlfn._xlws.FILTER(Records[Aged Adj Total],(Records[Role Group]="Managing Director")*(Records[Include]="Y")*(Records[Aged Adj Total]&gt;0)),0.5),k_RoundTo),"")</f>
        <v/>
      </c>
      <c r="G12" s="21">
        <f>IF($D12&gt;=k_MinQuartile,MROUND(_xlfn.PERCENTILE.INC(_xlfn._xlws.FILTER(Records[Aged Adj Total],(Records[Role Group]="Managing Director")*(Records[Include]="Y")*(Records[Aged Adj Total]&gt;0)),0.75),k_RoundTo),"")</f>
        <v/>
      </c>
      <c r="H12" s="21">
        <f>IF($D12&gt;=k_MinQuartile,MROUND(_xlfn.PERCENTILE.INC(_xlfn._xlws.FILTER(Records[Aged Adj Total],(Records[Role Group]="Managing Director")*(Records[Include]="Y")*(Records[Aged Adj Total]&gt;0)),0.9),k_RoundTo),"")</f>
        <v/>
      </c>
      <c r="I12" s="21">
        <f>IF($D12&gt;=k_MinMedian,MROUND(AVERAGE(_xlfn._xlws.FILTER(Records[Aged Adj Total],(Records[Role Group]="Managing Director")*(Records[Include]="Y")*(Records[Aged Adj Total]&gt;0))),k_RoundTo),"")</f>
        <v/>
      </c>
      <c r="J12" s="23">
        <f>IF(Inputs!$B$21="","",IFERROR(MAX(_xlfn._xlws.FILTER(Records[Aged Adj Total],(Records[Role Group]="Managing Director")*(Records[Organization]=Inputs!$B$21)*(Records[Most Recent]="Y")*(Records[Aged Adj Total]&gt;0))),""))</f>
        <v/>
      </c>
      <c r="K12" s="24">
        <f>IF(OR($J12="",$F12=""),"",$J12/$F12-1)</f>
        <v/>
      </c>
      <c r="L12" s="25">
        <f>IF($D12&gt;=k_MinQuartile,IF(OR($J12="",$J12=0),"",IFERROR(PERCENTRANK.INC(_xlfn._xlws.FILTER(Records[Aged Adj Total],(Records[Role Group]="Managing Director")*(Records[Include]="Y")*(Records[Aged Adj Total]&gt;0)),$J12,4),"")),"")</f>
        <v/>
      </c>
      <c r="M12" s="26">
        <f>IF(AND($D12&gt;=k_MinMedian,$D12&lt;k_MinQuartile,$F12&lt;&gt;""),MROUND($F12*k_Est_adj_staff_25,k_RoundTo),"")</f>
        <v/>
      </c>
      <c r="N12" s="26">
        <f>IF(AND($D12&gt;=k_MinMedian,$D12&lt;k_MinQuartile,$F12&lt;&gt;""),MROUND($F12*k_Est_adj_staff_75,k_RoundTo),"")</f>
        <v/>
      </c>
      <c r="O12" s="26">
        <f>IF(AND($D12&gt;=k_MinMedian,$D12&lt;k_MinQuartile,$F12&lt;&gt;""),MROUND($F12*k_Est_adj_staff_90,k_RoundTo),"")</f>
        <v/>
      </c>
    </row>
    <row r="13">
      <c r="A13" s="2" t="inlineStr">
        <is>
          <t>Director &amp; Investment Officer</t>
        </is>
      </c>
      <c r="B13" s="19" t="inlineStr">
        <is>
          <t>Investments</t>
        </is>
      </c>
      <c r="C13" s="20">
        <f>IFERROR(SUMPRODUCT(((Records[Role Group]="Director &amp; Investment Officer")*(Records[Include]="Y")*(Records[Aged Adj Total]&gt;0))/(COUNTIFS(Records[Organization],Records[Organization]&amp;"",Records[Role Group],"Director &amp; Investment Officer",Records[Include],"Y")+(COUNTIFS(Records[Organization],Records[Organization]&amp;"",Records[Role Group],"Director &amp; Investment Officer",Records[Include],"Y")=0))),0)</f>
        <v/>
      </c>
      <c r="D13" s="20">
        <f>SUMPRODUCT((Records[Role Group]="Director &amp; Investment Officer")*(Records[Include]="Y")*(Records[Aged Adj Total]&gt;0))</f>
        <v/>
      </c>
      <c r="E13" s="21">
        <f>IF($D13&gt;=k_MinQuartile,MROUND(_xlfn.PERCENTILE.INC(_xlfn._xlws.FILTER(Records[Aged Adj Total],(Records[Role Group]="Director &amp; Investment Officer")*(Records[Include]="Y")*(Records[Aged Adj Total]&gt;0)),0.25),k_RoundTo),"")</f>
        <v/>
      </c>
      <c r="F13" s="22">
        <f>IF($D13&gt;=k_MinMedian,MROUND(_xlfn.PERCENTILE.INC(_xlfn._xlws.FILTER(Records[Aged Adj Total],(Records[Role Group]="Director &amp; Investment Officer")*(Records[Include]="Y")*(Records[Aged Adj Total]&gt;0)),0.5),k_RoundTo),"")</f>
        <v/>
      </c>
      <c r="G13" s="21">
        <f>IF($D13&gt;=k_MinQuartile,MROUND(_xlfn.PERCENTILE.INC(_xlfn._xlws.FILTER(Records[Aged Adj Total],(Records[Role Group]="Director &amp; Investment Officer")*(Records[Include]="Y")*(Records[Aged Adj Total]&gt;0)),0.75),k_RoundTo),"")</f>
        <v/>
      </c>
      <c r="H13" s="21">
        <f>IF($D13&gt;=k_MinQuartile,MROUND(_xlfn.PERCENTILE.INC(_xlfn._xlws.FILTER(Records[Aged Adj Total],(Records[Role Group]="Director &amp; Investment Officer")*(Records[Include]="Y")*(Records[Aged Adj Total]&gt;0)),0.9),k_RoundTo),"")</f>
        <v/>
      </c>
      <c r="I13" s="21">
        <f>IF($D13&gt;=k_MinMedian,MROUND(AVERAGE(_xlfn._xlws.FILTER(Records[Aged Adj Total],(Records[Role Group]="Director &amp; Investment Officer")*(Records[Include]="Y")*(Records[Aged Adj Total]&gt;0))),k_RoundTo),"")</f>
        <v/>
      </c>
      <c r="J13" s="23">
        <f>IF(Inputs!$B$21="","",IFERROR(MAX(_xlfn._xlws.FILTER(Records[Aged Adj Total],(Records[Role Group]="Director &amp; Investment Officer")*(Records[Organization]=Inputs!$B$21)*(Records[Most Recent]="Y")*(Records[Aged Adj Total]&gt;0))),""))</f>
        <v/>
      </c>
      <c r="K13" s="24">
        <f>IF(OR($J13="",$F13=""),"",$J13/$F13-1)</f>
        <v/>
      </c>
      <c r="L13" s="25">
        <f>IF($D13&gt;=k_MinQuartile,IF(OR($J13="",$J13=0),"",IFERROR(PERCENTRANK.INC(_xlfn._xlws.FILTER(Records[Aged Adj Total],(Records[Role Group]="Director &amp; Investment Officer")*(Records[Include]="Y")*(Records[Aged Adj Total]&gt;0)),$J13,4),"")),"")</f>
        <v/>
      </c>
      <c r="M13" s="26">
        <f>IF(AND($D13&gt;=k_MinMedian,$D13&lt;k_MinQuartile,$F13&lt;&gt;""),MROUND($F13*k_Est_adj_staff_25,k_RoundTo),"")</f>
        <v/>
      </c>
      <c r="N13" s="26">
        <f>IF(AND($D13&gt;=k_MinMedian,$D13&lt;k_MinQuartile,$F13&lt;&gt;""),MROUND($F13*k_Est_adj_staff_75,k_RoundTo),"")</f>
        <v/>
      </c>
      <c r="O13" s="26">
        <f>IF(AND($D13&gt;=k_MinMedian,$D13&lt;k_MinQuartile,$F13&lt;&gt;""),MROUND($F13*k_Est_adj_staff_90,k_RoundTo),"")</f>
        <v/>
      </c>
    </row>
    <row r="14">
      <c r="A14" s="2" t="inlineStr">
        <is>
          <t>Other investment staff</t>
        </is>
      </c>
      <c r="B14" s="19" t="inlineStr">
        <is>
          <t>Investments</t>
        </is>
      </c>
      <c r="C14" s="20">
        <f>IFERROR(SUMPRODUCT(((Records[Role Group]="Other investment staff")*(Records[Include]="Y")*(Records[Aged Adj Total]&gt;0))/(COUNTIFS(Records[Organization],Records[Organization]&amp;"",Records[Role Group],"Other investment staff",Records[Include],"Y")+(COUNTIFS(Records[Organization],Records[Organization]&amp;"",Records[Role Group],"Other investment staff",Records[Include],"Y")=0))),0)</f>
        <v/>
      </c>
      <c r="D14" s="20">
        <f>SUMPRODUCT((Records[Role Group]="Other investment staff")*(Records[Include]="Y")*(Records[Aged Adj Total]&gt;0))</f>
        <v/>
      </c>
      <c r="E14" s="21">
        <f>IF($D14&gt;=k_MinQuartile,MROUND(_xlfn.PERCENTILE.INC(_xlfn._xlws.FILTER(Records[Aged Adj Total],(Records[Role Group]="Other investment staff")*(Records[Include]="Y")*(Records[Aged Adj Total]&gt;0)),0.25),k_RoundTo),"")</f>
        <v/>
      </c>
      <c r="F14" s="22">
        <f>IF($D14&gt;=k_MinMedian,MROUND(_xlfn.PERCENTILE.INC(_xlfn._xlws.FILTER(Records[Aged Adj Total],(Records[Role Group]="Other investment staff")*(Records[Include]="Y")*(Records[Aged Adj Total]&gt;0)),0.5),k_RoundTo),"")</f>
        <v/>
      </c>
      <c r="G14" s="21">
        <f>IF($D14&gt;=k_MinQuartile,MROUND(_xlfn.PERCENTILE.INC(_xlfn._xlws.FILTER(Records[Aged Adj Total],(Records[Role Group]="Other investment staff")*(Records[Include]="Y")*(Records[Aged Adj Total]&gt;0)),0.75),k_RoundTo),"")</f>
        <v/>
      </c>
      <c r="H14" s="21">
        <f>IF($D14&gt;=k_MinQuartile,MROUND(_xlfn.PERCENTILE.INC(_xlfn._xlws.FILTER(Records[Aged Adj Total],(Records[Role Group]="Other investment staff")*(Records[Include]="Y")*(Records[Aged Adj Total]&gt;0)),0.9),k_RoundTo),"")</f>
        <v/>
      </c>
      <c r="I14" s="21">
        <f>IF($D14&gt;=k_MinMedian,MROUND(AVERAGE(_xlfn._xlws.FILTER(Records[Aged Adj Total],(Records[Role Group]="Other investment staff")*(Records[Include]="Y")*(Records[Aged Adj Total]&gt;0))),k_RoundTo),"")</f>
        <v/>
      </c>
      <c r="J14" s="23">
        <f>IF(Inputs!$B$21="","",IFERROR(MAX(_xlfn._xlws.FILTER(Records[Aged Adj Total],(Records[Role Group]="Other investment staff")*(Records[Organization]=Inputs!$B$21)*(Records[Most Recent]="Y")*(Records[Aged Adj Total]&gt;0))),""))</f>
        <v/>
      </c>
      <c r="K14" s="24">
        <f>IF(OR($J14="",$F14=""),"",$J14/$F14-1)</f>
        <v/>
      </c>
      <c r="L14" s="25">
        <f>IF($D14&gt;=k_MinQuartile,IF(OR($J14="",$J14=0),"",IFERROR(PERCENTRANK.INC(_xlfn._xlws.FILTER(Records[Aged Adj Total],(Records[Role Group]="Other investment staff")*(Records[Include]="Y")*(Records[Aged Adj Total]&gt;0)),$J14,4),"")),"")</f>
        <v/>
      </c>
      <c r="M14" s="26">
        <f>IF(AND($D14&gt;=k_MinMedian,$D14&lt;k_MinQuartile,$F14&lt;&gt;""),MROUND($F14*k_Est_adj_staff_25,k_RoundTo),"")</f>
        <v/>
      </c>
      <c r="N14" s="26">
        <f>IF(AND($D14&gt;=k_MinMedian,$D14&lt;k_MinQuartile,$F14&lt;&gt;""),MROUND($F14*k_Est_adj_staff_75,k_RoundTo),"")</f>
        <v/>
      </c>
      <c r="O14" s="26">
        <f>IF(AND($D14&gt;=k_MinMedian,$D14&lt;k_MinQuartile,$F14&lt;&gt;""),MROUND($F14*k_Est_adj_staff_90,k_RoundTo),"")</f>
        <v/>
      </c>
    </row>
    <row r="15">
      <c r="A15" s="2" t="inlineStr">
        <is>
          <t>COO (Investment Office)</t>
        </is>
      </c>
      <c r="B15" s="19" t="inlineStr">
        <is>
          <t>Operations &amp; Control</t>
        </is>
      </c>
      <c r="C15" s="20">
        <f>IFERROR(SUMPRODUCT(((Records[Role Group]="COO (Investment Office)")*(Records[Include]="Y")*(Records[Aged Adj Total]&gt;0))/(COUNTIFS(Records[Organization],Records[Organization]&amp;"",Records[Role Group],"COO (Investment Office)",Records[Include],"Y")+(COUNTIFS(Records[Organization],Records[Organization]&amp;"",Records[Role Group],"COO (Investment Office)",Records[Include],"Y")=0))),0)</f>
        <v/>
      </c>
      <c r="D15" s="20">
        <f>SUMPRODUCT((Records[Role Group]="COO (Investment Office)")*(Records[Include]="Y")*(Records[Aged Adj Total]&gt;0))</f>
        <v/>
      </c>
      <c r="E15" s="21">
        <f>IF($D15&gt;=k_MinQuartile,MROUND(_xlfn.PERCENTILE.INC(_xlfn._xlws.FILTER(Records[Aged Adj Total],(Records[Role Group]="COO (Investment Office)")*(Records[Include]="Y")*(Records[Aged Adj Total]&gt;0)),0.25),k_RoundTo),"")</f>
        <v/>
      </c>
      <c r="F15" s="22">
        <f>IF($D15&gt;=k_MinMedian,MROUND(_xlfn.PERCENTILE.INC(_xlfn._xlws.FILTER(Records[Aged Adj Total],(Records[Role Group]="COO (Investment Office)")*(Records[Include]="Y")*(Records[Aged Adj Total]&gt;0)),0.5),k_RoundTo),"")</f>
        <v/>
      </c>
      <c r="G15" s="21">
        <f>IF($D15&gt;=k_MinQuartile,MROUND(_xlfn.PERCENTILE.INC(_xlfn._xlws.FILTER(Records[Aged Adj Total],(Records[Role Group]="COO (Investment Office)")*(Records[Include]="Y")*(Records[Aged Adj Total]&gt;0)),0.75),k_RoundTo),"")</f>
        <v/>
      </c>
      <c r="H15" s="21">
        <f>IF($D15&gt;=k_MinQuartile,MROUND(_xlfn.PERCENTILE.INC(_xlfn._xlws.FILTER(Records[Aged Adj Total],(Records[Role Group]="COO (Investment Office)")*(Records[Include]="Y")*(Records[Aged Adj Total]&gt;0)),0.9),k_RoundTo),"")</f>
        <v/>
      </c>
      <c r="I15" s="21">
        <f>IF($D15&gt;=k_MinMedian,MROUND(AVERAGE(_xlfn._xlws.FILTER(Records[Aged Adj Total],(Records[Role Group]="COO (Investment Office)")*(Records[Include]="Y")*(Records[Aged Adj Total]&gt;0))),k_RoundTo),"")</f>
        <v/>
      </c>
      <c r="J15" s="23">
        <f>IF(Inputs!$B$21="","",IFERROR(MAX(_xlfn._xlws.FILTER(Records[Aged Adj Total],(Records[Role Group]="COO (Investment Office)")*(Records[Organization]=Inputs!$B$21)*(Records[Most Recent]="Y")*(Records[Aged Adj Total]&gt;0))),""))</f>
        <v/>
      </c>
      <c r="K15" s="24">
        <f>IF(OR($J15="",$F15=""),"",$J15/$F15-1)</f>
        <v/>
      </c>
      <c r="L15" s="25">
        <f>IF($D15&gt;=k_MinQuartile,IF(OR($J15="",$J15=0),"",IFERROR(PERCENTRANK.INC(_xlfn._xlws.FILTER(Records[Aged Adj Total],(Records[Role Group]="COO (Investment Office)")*(Records[Include]="Y")*(Records[Aged Adj Total]&gt;0)),$J15,4),"")),"")</f>
        <v/>
      </c>
      <c r="M15" s="26">
        <f>IF(AND($D15&gt;=k_MinMedian,$D15&lt;k_MinQuartile,$F15&lt;&gt;""),MROUND($F15*k_Est_adj_heads_25,k_RoundTo),"")</f>
        <v/>
      </c>
      <c r="N15" s="26">
        <f>IF(AND($D15&gt;=k_MinMedian,$D15&lt;k_MinQuartile,$F15&lt;&gt;""),MROUND($F15*k_Est_adj_heads_75,k_RoundTo),"")</f>
        <v/>
      </c>
      <c r="O15" s="26">
        <f>IF(AND($D15&gt;=k_MinMedian,$D15&lt;k_MinQuartile,$F15&lt;&gt;""),MROUND($F15*k_Est_adj_heads_90,k_RoundTo),"")</f>
        <v/>
      </c>
    </row>
    <row r="16">
      <c r="A16" s="2" t="inlineStr">
        <is>
          <t>Other disclosed professionals</t>
        </is>
      </c>
      <c r="B16" s="19" t="inlineStr">
        <is>
          <t>Operations &amp; Control</t>
        </is>
      </c>
      <c r="C16" s="20">
        <f>IFERROR(SUMPRODUCT(((Records[Role Group]="Other disclosed professionals")*(Records[Include]="Y")*(Records[Aged Adj Total]&gt;0))/(COUNTIFS(Records[Organization],Records[Organization]&amp;"",Records[Role Group],"Other disclosed professionals",Records[Include],"Y")+(COUNTIFS(Records[Organization],Records[Organization]&amp;"",Records[Role Group],"Other disclosed professionals",Records[Include],"Y")=0))),0)</f>
        <v/>
      </c>
      <c r="D16" s="20">
        <f>SUMPRODUCT((Records[Role Group]="Other disclosed professionals")*(Records[Include]="Y")*(Records[Aged Adj Total]&gt;0))</f>
        <v/>
      </c>
      <c r="E16" s="21">
        <f>IF($D16&gt;=k_MinQuartile,MROUND(_xlfn.PERCENTILE.INC(_xlfn._xlws.FILTER(Records[Aged Adj Total],(Records[Role Group]="Other disclosed professionals")*(Records[Include]="Y")*(Records[Aged Adj Total]&gt;0)),0.25),k_RoundTo),"")</f>
        <v/>
      </c>
      <c r="F16" s="22">
        <f>IF($D16&gt;=k_MinMedian,MROUND(_xlfn.PERCENTILE.INC(_xlfn._xlws.FILTER(Records[Aged Adj Total],(Records[Role Group]="Other disclosed professionals")*(Records[Include]="Y")*(Records[Aged Adj Total]&gt;0)),0.5),k_RoundTo),"")</f>
        <v/>
      </c>
      <c r="G16" s="21">
        <f>IF($D16&gt;=k_MinQuartile,MROUND(_xlfn.PERCENTILE.INC(_xlfn._xlws.FILTER(Records[Aged Adj Total],(Records[Role Group]="Other disclosed professionals")*(Records[Include]="Y")*(Records[Aged Adj Total]&gt;0)),0.75),k_RoundTo),"")</f>
        <v/>
      </c>
      <c r="H16" s="21">
        <f>IF($D16&gt;=k_MinQuartile,MROUND(_xlfn.PERCENTILE.INC(_xlfn._xlws.FILTER(Records[Aged Adj Total],(Records[Role Group]="Other disclosed professionals")*(Records[Include]="Y")*(Records[Aged Adj Total]&gt;0)),0.9),k_RoundTo),"")</f>
        <v/>
      </c>
      <c r="I16" s="21">
        <f>IF($D16&gt;=k_MinMedian,MROUND(AVERAGE(_xlfn._xlws.FILTER(Records[Aged Adj Total],(Records[Role Group]="Other disclosed professionals")*(Records[Include]="Y")*(Records[Aged Adj Total]&gt;0))),k_RoundTo),"")</f>
        <v/>
      </c>
      <c r="J16" s="23">
        <f>IF(Inputs!$B$21="","",IFERROR(MAX(_xlfn._xlws.FILTER(Records[Aged Adj Total],(Records[Role Group]="Other disclosed professionals")*(Records[Organization]=Inputs!$B$21)*(Records[Most Recent]="Y")*(Records[Aged Adj Total]&gt;0))),""))</f>
        <v/>
      </c>
      <c r="K16" s="24">
        <f>IF(OR($J16="",$F16=""),"",$J16/$F16-1)</f>
        <v/>
      </c>
      <c r="L16" s="25">
        <f>IF($D16&gt;=k_MinQuartile,IF(OR($J16="",$J16=0),"",IFERROR(PERCENTRANK.INC(_xlfn._xlws.FILTER(Records[Aged Adj Total],(Records[Role Group]="Other disclosed professionals")*(Records[Include]="Y")*(Records[Aged Adj Total]&gt;0)),$J16,4),"")),"")</f>
        <v/>
      </c>
    </row>
    <row r="17"/>
    <row r="18">
      <c r="A18" s="19" t="inlineStr">
        <is>
          <t>Blank is not zero — too few people for that statistic. Median and average need 2+; P25, P75 and P90 need 5+. Your organization is excluded from every market figure. Open a job tab for the people behind each row.</t>
        </is>
      </c>
    </row>
    <row r="19">
      <c r="A19" s="19" t="inlineStr">
        <is>
          <t>(1) Est. columns, italic: where the median exists but fewer than 5 people, the median times the ratio measured on endowments and foundations at $2b+, by job family (Methodology). Never the median; not a measured figure.</t>
        </is>
      </c>
    </row>
    <row r="20"/>
    <row r="21"/>
    <row r="22">
      <c r="A22" s="4" t="inlineStr">
        <is>
          <t>Roll-up levels — as reported</t>
        </is>
      </c>
      <c r="B22" s="5" t="n"/>
      <c r="C22" s="11" t="inlineStr">
        <is>
          <t>The one tier that spans several jobs. The other three are a single job under a second name, published once above.</t>
        </is>
      </c>
      <c r="D22" s="5" t="n"/>
      <c r="E22" s="5" t="n"/>
      <c r="F22" s="5" t="n"/>
      <c r="G22" s="5" t="n"/>
      <c r="H22" s="5" t="n"/>
      <c r="I22" s="5" t="n"/>
    </row>
    <row r="23" ht="18" customHeight="1">
      <c r="A23" s="27" t="inlineStr"/>
      <c r="B23" s="27" t="inlineStr">
        <is>
          <t>#People</t>
        </is>
      </c>
      <c r="C23" s="27" t="inlineStr">
        <is>
          <t>Min</t>
        </is>
      </c>
      <c r="D23" s="27" t="inlineStr">
        <is>
          <t>P10</t>
        </is>
      </c>
      <c r="E23" s="27" t="inlineStr">
        <is>
          <t>P25</t>
        </is>
      </c>
      <c r="F23" s="27" t="inlineStr">
        <is>
          <t>P50</t>
        </is>
      </c>
      <c r="G23" s="27" t="inlineStr">
        <is>
          <t>P75</t>
        </is>
      </c>
      <c r="H23" s="27" t="inlineStr">
        <is>
          <t>P90</t>
        </is>
      </c>
      <c r="I23" s="27" t="inlineStr">
        <is>
          <t>Max</t>
        </is>
      </c>
    </row>
    <row r="24"/>
    <row r="25">
      <c r="A25" s="2" t="inlineStr">
        <is>
          <t>Sr Investment Professional</t>
        </is>
      </c>
      <c r="B25">
        <f>SUMPRODUCT((Records[Tier]="Sr Investment Professional")*(Records[Include]="Y")*(Records[Aged Adj Total]&lt;&gt;""))</f>
        <v/>
      </c>
      <c r="C25" s="28">
        <f>IF($B25&gt;=k_MinMedian,MIN(_xlfn._xlws.FILTER(Records[Aged Adj Total],(Records[Tier]="Sr Investment Professional")*(Records[Include]="Y")*(Records[Aged Adj Total]&lt;&gt;""))),"")</f>
        <v/>
      </c>
      <c r="D25" s="28">
        <f>IF($B25&gt;=k_MinQuartile,_xlfn.PERCENTILE.INC(_xlfn._xlws.FILTER(Records[Aged Adj Total],(Records[Tier]="Sr Investment Professional")*(Records[Include]="Y")*(Records[Aged Adj Total]&lt;&gt;"")),0.1),"")</f>
        <v/>
      </c>
      <c r="E25" s="28">
        <f>IF($B25&gt;=k_MinQuartile,_xlfn.PERCENTILE.INC(_xlfn._xlws.FILTER(Records[Aged Adj Total],(Records[Tier]="Sr Investment Professional")*(Records[Include]="Y")*(Records[Aged Adj Total]&lt;&gt;"")),0.25),"")</f>
        <v/>
      </c>
      <c r="F25" s="29">
        <f>IF($B25&gt;=k_MinMedian,_xlfn.PERCENTILE.INC(_xlfn._xlws.FILTER(Records[Aged Adj Total],(Records[Tier]="Sr Investment Professional")*(Records[Include]="Y")*(Records[Aged Adj Total]&lt;&gt;"")),0.5),"")</f>
        <v/>
      </c>
      <c r="G25" s="28">
        <f>IF($B25&gt;=k_MinQuartile,_xlfn.PERCENTILE.INC(_xlfn._xlws.FILTER(Records[Aged Adj Total],(Records[Tier]="Sr Investment Professional")*(Records[Include]="Y")*(Records[Aged Adj Total]&lt;&gt;"")),0.75),"")</f>
        <v/>
      </c>
      <c r="H25" s="28">
        <f>IF($B25&gt;=k_MinQuartile,_xlfn.PERCENTILE.INC(_xlfn._xlws.FILTER(Records[Aged Adj Total],(Records[Tier]="Sr Investment Professional")*(Records[Include]="Y")*(Records[Aged Adj Total]&lt;&gt;"")),0.9),"")</f>
        <v/>
      </c>
      <c r="I25" s="28">
        <f>IF($B25&gt;=k_MinMedian,MAX(_xlfn._xlws.FILTER(Records[Aged Adj Total],(Records[Tier]="Sr Investment Professional")*(Records[Include]="Y")*(Records[Aged Adj Total]&lt;&gt;""))),"")</f>
        <v/>
      </c>
    </row>
    <row r="26"/>
    <row r="27"/>
    <row r="28">
      <c r="A28" s="4" t="inlineStr">
        <is>
          <t>Ratio to the top job</t>
        </is>
      </c>
      <c r="B28" s="5" t="n"/>
      <c r="C28" s="11" t="inlineStr">
        <is>
          <t>Each person against the head of their own investment office, same year. Modelled, not observed.</t>
        </is>
      </c>
      <c r="D28" s="5" t="n"/>
      <c r="E28" s="5" t="n"/>
      <c r="F28" s="5" t="n"/>
      <c r="G28" s="5" t="n"/>
      <c r="H28" s="5" t="n"/>
      <c r="I28" s="5" t="n"/>
    </row>
    <row r="29" ht="18" customHeight="1">
      <c r="A29" s="27" t="inlineStr"/>
      <c r="B29" s="27" t="inlineStr">
        <is>
          <t>#People</t>
        </is>
      </c>
      <c r="C29" s="27" t="inlineStr">
        <is>
          <t>Min</t>
        </is>
      </c>
      <c r="D29" s="27" t="inlineStr">
        <is>
          <t>P10</t>
        </is>
      </c>
      <c r="E29" s="27" t="inlineStr">
        <is>
          <t>P25</t>
        </is>
      </c>
      <c r="F29" s="27" t="inlineStr">
        <is>
          <t>P50</t>
        </is>
      </c>
      <c r="G29" s="27" t="inlineStr">
        <is>
          <t>P75</t>
        </is>
      </c>
      <c r="H29" s="27" t="inlineStr">
        <is>
          <t>P90</t>
        </is>
      </c>
      <c r="I29" s="27" t="inlineStr">
        <is>
          <t>Max</t>
        </is>
      </c>
    </row>
    <row r="30"/>
    <row r="31">
      <c r="A31" s="2" t="inlineStr">
        <is>
          <t>CIO - Top Investment Executive</t>
        </is>
      </c>
      <c r="B31">
        <f>SUMPRODUCT((Records[Tier]="CIO - Top Investment Executive")*(Records[Include]="Y")*(Records[% of CIO]&lt;&gt;""))</f>
        <v/>
      </c>
      <c r="C31" s="30">
        <f>IF($B31&gt;=k_MinMedian,MIN(_xlfn._xlws.FILTER(Records[% of CIO],(Records[Tier]="CIO - Top Investment Executive")*(Records[Include]="Y")*(Records[% of CIO]&lt;&gt;""))),"")</f>
        <v/>
      </c>
      <c r="D31" s="30">
        <f>IF($B31&gt;=k_MinQuartile,_xlfn.PERCENTILE.INC(_xlfn._xlws.FILTER(Records[% of CIO],(Records[Tier]="CIO - Top Investment Executive")*(Records[Include]="Y")*(Records[% of CIO]&lt;&gt;"")),0.1),"")</f>
        <v/>
      </c>
      <c r="E31" s="30">
        <f>IF($B31&gt;=k_MinQuartile,_xlfn.PERCENTILE.INC(_xlfn._xlws.FILTER(Records[% of CIO],(Records[Tier]="CIO - Top Investment Executive")*(Records[Include]="Y")*(Records[% of CIO]&lt;&gt;"")),0.25),"")</f>
        <v/>
      </c>
      <c r="F31" s="31">
        <f>IF($B31&gt;=k_MinMedian,_xlfn.PERCENTILE.INC(_xlfn._xlws.FILTER(Records[% of CIO],(Records[Tier]="CIO - Top Investment Executive")*(Records[Include]="Y")*(Records[% of CIO]&lt;&gt;"")),0.5),"")</f>
        <v/>
      </c>
      <c r="G31" s="30">
        <f>IF($B31&gt;=k_MinQuartile,_xlfn.PERCENTILE.INC(_xlfn._xlws.FILTER(Records[% of CIO],(Records[Tier]="CIO - Top Investment Executive")*(Records[Include]="Y")*(Records[% of CIO]&lt;&gt;"")),0.75),"")</f>
        <v/>
      </c>
      <c r="H31" s="30">
        <f>IF($B31&gt;=k_MinQuartile,_xlfn.PERCENTILE.INC(_xlfn._xlws.FILTER(Records[% of CIO],(Records[Tier]="CIO - Top Investment Executive")*(Records[Include]="Y")*(Records[% of CIO]&lt;&gt;"")),0.9),"")</f>
        <v/>
      </c>
      <c r="I31" s="30">
        <f>IF($B31&gt;=k_MinMedian,MAX(_xlfn._xlws.FILTER(Records[% of CIO],(Records[Tier]="CIO - Top Investment Executive")*(Records[Include]="Y")*(Records[% of CIO]&lt;&gt;""))),"")</f>
        <v/>
      </c>
    </row>
    <row r="32">
      <c r="A32" s="2" t="inlineStr">
        <is>
          <t>Sr Investment Professional</t>
        </is>
      </c>
      <c r="B32">
        <f>SUMPRODUCT((Records[Tier]="Sr Investment Professional")*(Records[Include]="Y")*(Records[% of CIO]&lt;&gt;""))</f>
        <v/>
      </c>
      <c r="C32" s="30">
        <f>IF($B32&gt;=k_MinMedian,MIN(_xlfn._xlws.FILTER(Records[% of CIO],(Records[Tier]="Sr Investment Professional")*(Records[Include]="Y")*(Records[% of CIO]&lt;&gt;""))),"")</f>
        <v/>
      </c>
      <c r="D32" s="30">
        <f>IF($B32&gt;=k_MinQuartile,_xlfn.PERCENTILE.INC(_xlfn._xlws.FILTER(Records[% of CIO],(Records[Tier]="Sr Investment Professional")*(Records[Include]="Y")*(Records[% of CIO]&lt;&gt;"")),0.1),"")</f>
        <v/>
      </c>
      <c r="E32" s="30">
        <f>IF($B32&gt;=k_MinQuartile,_xlfn.PERCENTILE.INC(_xlfn._xlws.FILTER(Records[% of CIO],(Records[Tier]="Sr Investment Professional")*(Records[Include]="Y")*(Records[% of CIO]&lt;&gt;"")),0.25),"")</f>
        <v/>
      </c>
      <c r="F32" s="31">
        <f>IF($B32&gt;=k_MinMedian,_xlfn.PERCENTILE.INC(_xlfn._xlws.FILTER(Records[% of CIO],(Records[Tier]="Sr Investment Professional")*(Records[Include]="Y")*(Records[% of CIO]&lt;&gt;"")),0.5),"")</f>
        <v/>
      </c>
      <c r="G32" s="30">
        <f>IF($B32&gt;=k_MinQuartile,_xlfn.PERCENTILE.INC(_xlfn._xlws.FILTER(Records[% of CIO],(Records[Tier]="Sr Investment Professional")*(Records[Include]="Y")*(Records[% of CIO]&lt;&gt;"")),0.75),"")</f>
        <v/>
      </c>
      <c r="H32" s="30">
        <f>IF($B32&gt;=k_MinQuartile,_xlfn.PERCENTILE.INC(_xlfn._xlws.FILTER(Records[% of CIO],(Records[Tier]="Sr Investment Professional")*(Records[Include]="Y")*(Records[% of CIO]&lt;&gt;"")),0.9),"")</f>
        <v/>
      </c>
      <c r="I32" s="30">
        <f>IF($B32&gt;=k_MinMedian,MAX(_xlfn._xlws.FILTER(Records[% of CIO],(Records[Tier]="Sr Investment Professional")*(Records[Include]="Y")*(Records[% of CIO]&lt;&gt;""))),"")</f>
        <v/>
      </c>
    </row>
    <row r="33">
      <c r="A33" s="2" t="inlineStr">
        <is>
          <t>COO (Investment Office)</t>
        </is>
      </c>
      <c r="B33">
        <f>SUMPRODUCT((Records[Tier]="COO (Investment Office)")*(Records[Include]="Y")*(Records[% of CIO]&lt;&gt;""))</f>
        <v/>
      </c>
      <c r="C33" s="30">
        <f>IF($B33&gt;=k_MinMedian,MIN(_xlfn._xlws.FILTER(Records[% of CIO],(Records[Tier]="COO (Investment Office)")*(Records[Include]="Y")*(Records[% of CIO]&lt;&gt;""))),"")</f>
        <v/>
      </c>
      <c r="D33" s="30">
        <f>IF($B33&gt;=k_MinQuartile,_xlfn.PERCENTILE.INC(_xlfn._xlws.FILTER(Records[% of CIO],(Records[Tier]="COO (Investment Office)")*(Records[Include]="Y")*(Records[% of CIO]&lt;&gt;"")),0.1),"")</f>
        <v/>
      </c>
      <c r="E33" s="30">
        <f>IF($B33&gt;=k_MinQuartile,_xlfn.PERCENTILE.INC(_xlfn._xlws.FILTER(Records[% of CIO],(Records[Tier]="COO (Investment Office)")*(Records[Include]="Y")*(Records[% of CIO]&lt;&gt;"")),0.25),"")</f>
        <v/>
      </c>
      <c r="F33" s="31">
        <f>IF($B33&gt;=k_MinMedian,_xlfn.PERCENTILE.INC(_xlfn._xlws.FILTER(Records[% of CIO],(Records[Tier]="COO (Investment Office)")*(Records[Include]="Y")*(Records[% of CIO]&lt;&gt;"")),0.5),"")</f>
        <v/>
      </c>
      <c r="G33" s="30">
        <f>IF($B33&gt;=k_MinQuartile,_xlfn.PERCENTILE.INC(_xlfn._xlws.FILTER(Records[% of CIO],(Records[Tier]="COO (Investment Office)")*(Records[Include]="Y")*(Records[% of CIO]&lt;&gt;"")),0.75),"")</f>
        <v/>
      </c>
      <c r="H33" s="30">
        <f>IF($B33&gt;=k_MinQuartile,_xlfn.PERCENTILE.INC(_xlfn._xlws.FILTER(Records[% of CIO],(Records[Tier]="COO (Investment Office)")*(Records[Include]="Y")*(Records[% of CIO]&lt;&gt;"")),0.9),"")</f>
        <v/>
      </c>
      <c r="I33" s="30">
        <f>IF($B33&gt;=k_MinMedian,MAX(_xlfn._xlws.FILTER(Records[% of CIO],(Records[Tier]="COO (Investment Office)")*(Records[Include]="Y")*(Records[% of CIO]&lt;&gt;""))),"")</f>
        <v/>
      </c>
    </row>
    <row r="34">
      <c r="A34" s="2" t="inlineStr">
        <is>
          <t>Other disclosed professionals</t>
        </is>
      </c>
      <c r="B34">
        <f>SUMPRODUCT((Records[Tier]="Other disclosed professionals")*(Records[Include]="Y")*(Records[% of CIO]&lt;&gt;""))</f>
        <v/>
      </c>
      <c r="C34" s="30">
        <f>IF($B34&gt;=k_MinMedian,MIN(_xlfn._xlws.FILTER(Records[% of CIO],(Records[Tier]="Other disclosed professionals")*(Records[Include]="Y")*(Records[% of CIO]&lt;&gt;""))),"")</f>
        <v/>
      </c>
      <c r="D34" s="30">
        <f>IF($B34&gt;=k_MinQuartile,_xlfn.PERCENTILE.INC(_xlfn._xlws.FILTER(Records[% of CIO],(Records[Tier]="Other disclosed professionals")*(Records[Include]="Y")*(Records[% of CIO]&lt;&gt;"")),0.1),"")</f>
        <v/>
      </c>
      <c r="E34" s="30">
        <f>IF($B34&gt;=k_MinQuartile,_xlfn.PERCENTILE.INC(_xlfn._xlws.FILTER(Records[% of CIO],(Records[Tier]="Other disclosed professionals")*(Records[Include]="Y")*(Records[% of CIO]&lt;&gt;"")),0.25),"")</f>
        <v/>
      </c>
      <c r="F34" s="31">
        <f>IF($B34&gt;=k_MinMedian,_xlfn.PERCENTILE.INC(_xlfn._xlws.FILTER(Records[% of CIO],(Records[Tier]="Other disclosed professionals")*(Records[Include]="Y")*(Records[% of CIO]&lt;&gt;"")),0.5),"")</f>
        <v/>
      </c>
      <c r="G34" s="30">
        <f>IF($B34&gt;=k_MinQuartile,_xlfn.PERCENTILE.INC(_xlfn._xlws.FILTER(Records[% of CIO],(Records[Tier]="Other disclosed professionals")*(Records[Include]="Y")*(Records[% of CIO]&lt;&gt;"")),0.75),"")</f>
        <v/>
      </c>
      <c r="H34" s="30">
        <f>IF($B34&gt;=k_MinQuartile,_xlfn.PERCENTILE.INC(_xlfn._xlws.FILTER(Records[% of CIO],(Records[Tier]="Other disclosed professionals")*(Records[Include]="Y")*(Records[% of CIO]&lt;&gt;"")),0.9),"")</f>
        <v/>
      </c>
      <c r="I34" s="30">
        <f>IF($B34&gt;=k_MinMedian,MAX(_xlfn._xlws.FILTER(Records[% of CIO],(Records[Tier]="Other disclosed professionals")*(Records[Include]="Y")*(Records[% of CIO]&lt;&gt;""))),"")</f>
        <v/>
      </c>
    </row>
    <row r="35"/>
    <row r="36"/>
    <row r="37">
      <c r="A37" s="4" t="inlineStr">
        <is>
          <t>Implied Market</t>
        </is>
      </c>
      <c r="B37" s="5" t="n"/>
      <c r="C37" s="11" t="inlineStr">
        <is>
          <t>The top-job ladder scaled by each tier median ratio. Modelled.</t>
        </is>
      </c>
      <c r="D37" s="5" t="n"/>
      <c r="E37" s="5" t="n"/>
      <c r="F37" s="5" t="n"/>
      <c r="G37" s="5" t="n"/>
      <c r="H37" s="5" t="n"/>
      <c r="I37" s="5" t="n"/>
    </row>
    <row r="38" ht="18" customHeight="1">
      <c r="A38" s="27" t="inlineStr"/>
      <c r="B38" s="27" t="inlineStr">
        <is>
          <t>#People</t>
        </is>
      </c>
      <c r="C38" s="27" t="inlineStr">
        <is>
          <t>Min</t>
        </is>
      </c>
      <c r="D38" s="27" t="inlineStr">
        <is>
          <t>P10</t>
        </is>
      </c>
      <c r="E38" s="27" t="inlineStr">
        <is>
          <t>P25</t>
        </is>
      </c>
      <c r="F38" s="27" t="inlineStr">
        <is>
          <t>P50</t>
        </is>
      </c>
      <c r="G38" s="27" t="inlineStr">
        <is>
          <t>P75</t>
        </is>
      </c>
      <c r="H38" s="27" t="inlineStr">
        <is>
          <t>P90</t>
        </is>
      </c>
      <c r="I38" s="27" t="inlineStr">
        <is>
          <t>Max</t>
        </is>
      </c>
    </row>
    <row r="39"/>
    <row r="40">
      <c r="A40" s="2" t="inlineStr">
        <is>
          <t>CIO - Top Investment Executive</t>
        </is>
      </c>
      <c r="B40">
        <f>B31</f>
        <v/>
      </c>
      <c r="C40" s="28">
        <f>IF(C31="","",C31)</f>
        <v/>
      </c>
      <c r="D40" s="28">
        <f>IF(D31="","",D31)</f>
        <v/>
      </c>
      <c r="E40" s="28">
        <f>IF(E31="","",E31)</f>
        <v/>
      </c>
      <c r="F40" s="29">
        <f>IF(F31="","",F31)</f>
        <v/>
      </c>
      <c r="G40" s="28">
        <f>IF(G31="","",G31)</f>
        <v/>
      </c>
      <c r="H40" s="28">
        <f>IF(H31="","",H31)</f>
        <v/>
      </c>
      <c r="I40" s="28">
        <f>IF(I31="","",I31)</f>
        <v/>
      </c>
    </row>
    <row r="41">
      <c r="A41" s="2" t="inlineStr">
        <is>
          <t>Sr Investment Professional</t>
        </is>
      </c>
      <c r="B41">
        <f>B32</f>
        <v/>
      </c>
      <c r="C41" s="28">
        <f>IF(OR(C40="",F32=""),"",C40*F32)</f>
        <v/>
      </c>
      <c r="D41" s="28">
        <f>IF(OR(D40="",F32=""),"",D40*F32)</f>
        <v/>
      </c>
      <c r="E41" s="28">
        <f>IF(OR(E40="",F32=""),"",E40*F32)</f>
        <v/>
      </c>
      <c r="F41" s="29">
        <f>IF(OR(F40="",F32=""),"",F40*F32)</f>
        <v/>
      </c>
      <c r="G41" s="28">
        <f>IF(OR(G40="",F32=""),"",G40*F32)</f>
        <v/>
      </c>
      <c r="H41" s="28">
        <f>IF(OR(H40="",F32=""),"",H40*F32)</f>
        <v/>
      </c>
      <c r="I41" s="28">
        <f>IF(OR(I40="",F32=""),"",I40*F32)</f>
        <v/>
      </c>
    </row>
    <row r="42">
      <c r="A42" s="2" t="inlineStr">
        <is>
          <t>COO (Investment Office)</t>
        </is>
      </c>
      <c r="B42">
        <f>B33</f>
        <v/>
      </c>
      <c r="C42" s="28">
        <f>IF(OR(C40="",F33=""),"",C40*F33)</f>
        <v/>
      </c>
      <c r="D42" s="28">
        <f>IF(OR(D40="",F33=""),"",D40*F33)</f>
        <v/>
      </c>
      <c r="E42" s="28">
        <f>IF(OR(E40="",F33=""),"",E40*F33)</f>
        <v/>
      </c>
      <c r="F42" s="29">
        <f>IF(OR(F40="",F33=""),"",F40*F33)</f>
        <v/>
      </c>
      <c r="G42" s="28">
        <f>IF(OR(G40="",F33=""),"",G40*F33)</f>
        <v/>
      </c>
      <c r="H42" s="28">
        <f>IF(OR(H40="",F33=""),"",H40*F33)</f>
        <v/>
      </c>
      <c r="I42" s="28">
        <f>IF(OR(I40="",F33=""),"",I40*F33)</f>
        <v/>
      </c>
    </row>
    <row r="43">
      <c r="A43" s="2" t="inlineStr">
        <is>
          <t>Other disclosed professionals</t>
        </is>
      </c>
      <c r="B43">
        <f>B34</f>
        <v/>
      </c>
      <c r="C43" s="28">
        <f>IF(OR(C40="",F34=""),"",C40*F34)</f>
        <v/>
      </c>
      <c r="D43" s="28">
        <f>IF(OR(D40="",F34=""),"",D40*F34)</f>
        <v/>
      </c>
      <c r="E43" s="28">
        <f>IF(OR(E40="",F34=""),"",E40*F34)</f>
        <v/>
      </c>
      <c r="F43" s="29">
        <f>IF(OR(F40="",F34=""),"",F40*F34)</f>
        <v/>
      </c>
      <c r="G43" s="28">
        <f>IF(OR(G40="",F34=""),"",G40*F34)</f>
        <v/>
      </c>
      <c r="H43" s="28">
        <f>IF(OR(H40="",F34=""),"",H40*F34)</f>
        <v/>
      </c>
      <c r="I43" s="28">
        <f>IF(OR(I40="",F34=""),"",I40*F34)</f>
        <v/>
      </c>
    </row>
    <row r="44"/>
    <row r="45">
      <c r="A45" s="32" t="inlineStr">
        <is>
          <t>What this corrects  ·  A Form 990 discloses only the highest paid, so a raw percentile for anyone below the chief is drawn from an upward-selected sample. Each person is expressed as a share of their own organization’s top job, and the median ratio is applied to the top-job ladder. The result is modelled, not observed. Rows marked with a sample below ten organizations are directional only.</t>
        </is>
      </c>
      <c r="B45" s="33" t="n"/>
      <c r="C45" s="33" t="n"/>
      <c r="D45" s="33" t="n"/>
      <c r="E45" s="33" t="n"/>
      <c r="F45" s="33" t="n"/>
      <c r="G45" s="33" t="n"/>
      <c r="H45" s="33" t="n"/>
      <c r="I45" s="33" t="n"/>
    </row>
    <row r="46"/>
    <row r="47"/>
    <row r="48"/>
    <row r="49">
      <c r="A49" s="3" t="inlineStr">
        <is>
          <t>All statistics are LIVE formulas. Change the Inputs tab to update.</t>
        </is>
      </c>
    </row>
    <row r="50">
      <c r="A50" s="3">
        <f>meta_BuildDate</f>
        <v/>
      </c>
    </row>
  </sheetData>
  <mergeCells count="1">
    <mergeCell ref="A45:I47"/>
  </mergeCells>
  <printOptions horizontalCentered="1"/>
  <pageMargins left="0.75" right="0.75" top="1" bottom="1" header="0.5" footer="0.5"/>
  <pageSetup orientation="landscape" fitToHeight="0" fitToWidth="1"/>
  <headerFooter>
    <oddHeader/>
    <oddFooter>&amp;LMichael Oak Advisors&amp;R&amp;P of &amp;N</oddFooter>
    <evenHeader/>
    <evenFooter/>
    <firstHeader/>
    <firstFooter/>
  </headerFooter>
</worksheet>
</file>

<file path=xl/worksheets/sheet3.xml><?xml version="1.0" encoding="utf-8"?>
<worksheet xmlns="http://schemas.openxmlformats.org/spreadsheetml/2006/main">
  <sheetPr>
    <tabColor rgb="001F3864"/>
    <outlinePr summaryBelow="1" summaryRight="1"/>
    <pageSetUpPr fitToPage="1"/>
  </sheetPr>
  <dimension ref="A1:T741"/>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34" customWidth="1" min="1" max="1"/>
    <col width="15" customWidth="1" min="2" max="2"/>
    <col width="12" customWidth="1" min="3" max="3"/>
    <col width="14" customWidth="1" min="4" max="4"/>
    <col width="12" customWidth="1" min="5" max="5"/>
    <col width="12" customWidth="1" min="6" max="6"/>
    <col width="24" customWidth="1" min="7" max="7"/>
    <col width="32"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s>
  <sheetData>
    <row r="1">
      <c r="A1" s="1" t="inlineStr">
        <is>
          <t>CIO - Top Investment Executive</t>
        </is>
      </c>
    </row>
    <row r="2">
      <c r="A2" s="19" t="inlineStr">
        <is>
          <t>Leadership</t>
        </is>
      </c>
    </row>
    <row r="3">
      <c r="A3" s="19">
        <f>Summary!$A$5&amp;""</f>
        <v/>
      </c>
    </row>
    <row r="4">
      <c r="A4" s="2">
        <f>IF(Inputs!$B$21="","Select your organization on Inputs to compare.","Your organization: "&amp;Inputs!$B$21&amp;", excluded from the market columns.")</f>
        <v/>
      </c>
    </row>
    <row r="5">
      <c r="A5" s="34">
        <f>IF($I13&gt;=2,"","Too few people for a market statistic at this filter: "&amp;$I13&amp;" at "&amp;$H13&amp;" organization(s). Records below.")</f>
        <v/>
      </c>
      <c r="C5" s="2" t="inlineStr">
        <is>
          <t>Market</t>
        </is>
      </c>
      <c r="J5" s="2" t="inlineStr">
        <is>
          <t>Your organization</t>
        </is>
      </c>
      <c r="N5" s="2" t="inlineStr">
        <is>
          <t>Estimated (1)</t>
        </is>
      </c>
    </row>
    <row r="6" ht="20" customHeight="1">
      <c r="A6" s="35" t="inlineStr"/>
      <c r="B6" s="35" t="inlineStr">
        <is>
          <t>basis</t>
        </is>
      </c>
      <c r="C6" s="35" t="inlineStr">
        <is>
          <t>P25</t>
        </is>
      </c>
      <c r="D6" s="35" t="inlineStr">
        <is>
          <t>P50</t>
        </is>
      </c>
      <c r="E6" s="35" t="inlineStr">
        <is>
          <t>P75</t>
        </is>
      </c>
      <c r="F6" s="35" t="inlineStr">
        <is>
          <t>P90</t>
        </is>
      </c>
      <c r="G6" s="35" t="inlineStr">
        <is>
          <t>Average</t>
        </is>
      </c>
      <c r="H6" s="35" t="inlineStr">
        <is>
          <t>#Orgs</t>
        </is>
      </c>
      <c r="I6" s="35" t="inlineStr">
        <is>
          <t>#People</t>
        </is>
      </c>
      <c r="J6" s="36" t="inlineStr">
        <is>
          <t>Value</t>
        </is>
      </c>
      <c r="K6" s="36" t="inlineStr">
        <is>
          <t>vs P50</t>
        </is>
      </c>
      <c r="L6" s="36" t="inlineStr">
        <is>
          <t>Percentile</t>
        </is>
      </c>
      <c r="M6" s="36" t="inlineStr">
        <is>
          <t>#People</t>
        </is>
      </c>
      <c r="N6" s="35" t="inlineStr">
        <is>
          <t>Est. P25</t>
        </is>
      </c>
      <c r="O6" s="35" t="inlineStr">
        <is>
          <t>Est. P75</t>
        </is>
      </c>
      <c r="P6" s="35" t="inlineStr">
        <is>
          <t>Est. P90</t>
        </is>
      </c>
    </row>
    <row r="7">
      <c r="A7" s="2" t="inlineStr">
        <is>
          <t>Base salary</t>
        </is>
      </c>
      <c r="B7" s="19" t="inlineStr">
        <is>
          <t>Schedule J only</t>
        </is>
      </c>
      <c r="C7" s="21">
        <f>IF($I7&gt;=k_MinQuartile,MROUND(_xlfn.PERCENTILE.INC(_xlfn._xlws.FILTER(Records[(B)(i) Base],(Records[Role Group]="CIO - Top Investment Executive")*(Records[Include]="Y")*(Records[Total Cash]&lt;&gt;"")),0.25),k_RoundTo),"")</f>
        <v/>
      </c>
      <c r="D7" s="22">
        <f>IF($I7&gt;=k_MinMedian,MROUND(_xlfn.PERCENTILE.INC(_xlfn._xlws.FILTER(Records[(B)(i) Base],(Records[Role Group]="CIO - Top Investment Executive")*(Records[Include]="Y")*(Records[Total Cash]&lt;&gt;"")),0.5),k_RoundTo),"")</f>
        <v/>
      </c>
      <c r="E7" s="21">
        <f>IF($I7&gt;=k_MinQuartile,MROUND(_xlfn.PERCENTILE.INC(_xlfn._xlws.FILTER(Records[(B)(i) Base],(Records[Role Group]="CIO - Top Investment Executive")*(Records[Include]="Y")*(Records[Total Cash]&lt;&gt;"")),0.75),k_RoundTo),"")</f>
        <v/>
      </c>
      <c r="F7" s="21">
        <f>IF($I7&gt;=k_MinQuartile,MROUND(_xlfn.PERCENTILE.INC(_xlfn._xlws.FILTER(Records[(B)(i) Base],(Records[Role Group]="CIO - Top Investment Executive")*(Records[Include]="Y")*(Records[Total Cash]&lt;&gt;"")),0.9),k_RoundTo),"")</f>
        <v/>
      </c>
      <c r="G7" s="21">
        <f>IF($I7&gt;=k_MinMedian,MROUND(AVERAGE(_xlfn._xlws.FILTER(Records[(B)(i) Base],(Records[Role Group]="CIO - Top Investment Executive")*(Records[Include]="Y")*(Records[Total Cash]&lt;&gt;""))),k_RoundTo),"")</f>
        <v/>
      </c>
      <c r="H7" s="20">
        <f>IFERROR(SUMPRODUCT(((Records[Role Group]="CIO - Top Investment Executive")*(Records[Include]="Y")*(Records[Total Cash]&lt;&gt;""))/(COUNTIFS(Records[Organization],Records[Organization]&amp;"",Records[Role Group],"CIO - Top Investment Executive",Records[Include],"Y")+(COUNTIFS(Records[Organization],Records[Organization]&amp;"",Records[Role Group],"CIO - Top Investment Executive",Records[Include],"Y")=0))),0)</f>
        <v/>
      </c>
      <c r="I7" s="20">
        <f>SUMPRODUCT((Records[Role Group]="CIO - Top Investment Executive")*(Records[Include]="Y")*(Records[Total Cash]&lt;&gt;""))</f>
        <v/>
      </c>
      <c r="J7" s="23">
        <f>IF(Inputs!$B$21="","",IFERROR(MAX(_xlfn._xlws.FILTER(Records[(B)(i) Base],(Records[Role Group]="CIO - Top Investment Executive")*(Records[Organization]=Inputs!$B$21)*(Records[Most Recent]="Y")*(Records[Total Cash]&lt;&gt;""))),""))</f>
        <v/>
      </c>
      <c r="K7" s="24">
        <f>IF(OR($J7="",$D7=""),"",$J7/$D7-1)</f>
        <v/>
      </c>
      <c r="L7" s="25">
        <f>IF($I7&gt;=k_MinQuartile,IF(OR($J7="",$J7=0),"",IFERROR(PERCENTRANK.INC(_xlfn._xlws.FILTER(Records[(B)(i) Base],(Records[Role Group]="CIO - Top Investment Executive")*(Records[Include]="Y")*(Records[Total Cash]&lt;&gt;"")),$J7,4),"")),"")</f>
        <v/>
      </c>
      <c r="M7" s="37">
        <f>IF(Inputs!$B$21="","",SUMPRODUCT((Records[Role Group]="CIO - Top Investment Executive")*(Records[Organization]=Inputs!$B$21)*(Records[Most Recent]="Y")*(Records[Total Cash]&lt;&gt;"")))</f>
        <v/>
      </c>
      <c r="N7" s="26">
        <f>IF(AND($I7&gt;=k_MinMedian,$I7&lt;k_MinQuartile,$D7&lt;&gt;""),MROUND($D7*k_Est_base_heads_25,k_RoundTo),"")</f>
        <v/>
      </c>
      <c r="O7" s="26">
        <f>IF(AND($I7&gt;=k_MinMedian,$I7&lt;k_MinQuartile,$D7&lt;&gt;""),MROUND($D7*k_Est_base_heads_75,k_RoundTo),"")</f>
        <v/>
      </c>
      <c r="P7" s="26">
        <f>IF(AND($I7&gt;=k_MinMedian,$I7&lt;k_MinQuartile,$D7&lt;&gt;""),MROUND($D7*k_Est_base_heads_90,k_RoundTo),"")</f>
        <v/>
      </c>
    </row>
    <row r="8">
      <c r="A8" s="2" t="inlineStr">
        <is>
          <t>Incentive / bonus</t>
        </is>
      </c>
      <c r="B8" s="19" t="inlineStr">
        <is>
          <t>Schedule J only</t>
        </is>
      </c>
      <c r="C8" s="21">
        <f>IF($I8&gt;=k_MinQuartile,MROUND(_xlfn.PERCENTILE.INC(_xlfn._xlws.FILTER(Records[(B)(ii) Bonus],(Records[Role Group]="CIO - Top Investment Executive")*(Records[Include]="Y")*(Records[Total Cash]&lt;&gt;"")),0.25),k_RoundTo),"")</f>
        <v/>
      </c>
      <c r="D8" s="22">
        <f>IF($I8&gt;=k_MinMedian,MROUND(_xlfn.PERCENTILE.INC(_xlfn._xlws.FILTER(Records[(B)(ii) Bonus],(Records[Role Group]="CIO - Top Investment Executive")*(Records[Include]="Y")*(Records[Total Cash]&lt;&gt;"")),0.5),k_RoundTo),"")</f>
        <v/>
      </c>
      <c r="E8" s="21">
        <f>IF($I8&gt;=k_MinQuartile,MROUND(_xlfn.PERCENTILE.INC(_xlfn._xlws.FILTER(Records[(B)(ii) Bonus],(Records[Role Group]="CIO - Top Investment Executive")*(Records[Include]="Y")*(Records[Total Cash]&lt;&gt;"")),0.75),k_RoundTo),"")</f>
        <v/>
      </c>
      <c r="F8" s="21">
        <f>IF($I8&gt;=k_MinQuartile,MROUND(_xlfn.PERCENTILE.INC(_xlfn._xlws.FILTER(Records[(B)(ii) Bonus],(Records[Role Group]="CIO - Top Investment Executive")*(Records[Include]="Y")*(Records[Total Cash]&lt;&gt;"")),0.9),k_RoundTo),"")</f>
        <v/>
      </c>
      <c r="G8" s="21">
        <f>IF($I8&gt;=k_MinMedian,MROUND(AVERAGE(_xlfn._xlws.FILTER(Records[(B)(ii) Bonus],(Records[Role Group]="CIO - Top Investment Executive")*(Records[Include]="Y")*(Records[Total Cash]&lt;&gt;""))),k_RoundTo),"")</f>
        <v/>
      </c>
      <c r="H8" s="20">
        <f>IFERROR(SUMPRODUCT(((Records[Role Group]="CIO - Top Investment Executive")*(Records[Include]="Y")*(Records[Total Cash]&lt;&gt;""))/(COUNTIFS(Records[Organization],Records[Organization]&amp;"",Records[Role Group],"CIO - Top Investment Executive",Records[Include],"Y")+(COUNTIFS(Records[Organization],Records[Organization]&amp;"",Records[Role Group],"CIO - Top Investment Executive",Records[Include],"Y")=0))),0)</f>
        <v/>
      </c>
      <c r="I8" s="20">
        <f>SUMPRODUCT((Records[Role Group]="CIO - Top Investment Executive")*(Records[Include]="Y")*(Records[Total Cash]&lt;&gt;""))</f>
        <v/>
      </c>
      <c r="J8" s="23">
        <f>IF(Inputs!$B$21="","",IFERROR(MAX(_xlfn._xlws.FILTER(Records[(B)(ii) Bonus],(Records[Role Group]="CIO - Top Investment Executive")*(Records[Organization]=Inputs!$B$21)*(Records[Most Recent]="Y")*(Records[Total Cash]&lt;&gt;""))),""))</f>
        <v/>
      </c>
      <c r="K8" s="24">
        <f>IF(OR($J8="",$D8=""),"",$J8/$D8-1)</f>
        <v/>
      </c>
      <c r="L8" s="25">
        <f>IF($I8&gt;=k_MinQuartile,IF(OR($J8="",$J8=0),"",IFERROR(PERCENTRANK.INC(_xlfn._xlws.FILTER(Records[(B)(ii) Bonus],(Records[Role Group]="CIO - Top Investment Executive")*(Records[Include]="Y")*(Records[Total Cash]&lt;&gt;"")),$J8,4),"")),"")</f>
        <v/>
      </c>
      <c r="M8" s="37">
        <f>IF(Inputs!$B$21="","",SUMPRODUCT((Records[Role Group]="CIO - Top Investment Executive")*(Records[Organization]=Inputs!$B$21)*(Records[Most Recent]="Y")*(Records[Total Cash]&lt;&gt;"")))</f>
        <v/>
      </c>
    </row>
    <row r="9">
      <c r="A9" s="2" t="inlineStr">
        <is>
          <t>Total cash</t>
        </is>
      </c>
      <c r="B9" s="19" t="inlineStr">
        <is>
          <t>all filers</t>
        </is>
      </c>
      <c r="C9" s="21">
        <f>IF($I9&gt;=k_MinQuartile,MROUND(_xlfn.PERCENTILE.INC(_xlfn._xlws.FILTER(Records[Total Cash],(Records[Role Group]="CIO - Top Investment Executive")*(Records[Include]="Y")*(Records[Total Cash]&gt;0)),0.25),k_RoundTo),"")</f>
        <v/>
      </c>
      <c r="D9" s="22">
        <f>IF($I9&gt;=k_MinMedian,MROUND(_xlfn.PERCENTILE.INC(_xlfn._xlws.FILTER(Records[Total Cash],(Records[Role Group]="CIO - Top Investment Executive")*(Records[Include]="Y")*(Records[Total Cash]&gt;0)),0.5),k_RoundTo),"")</f>
        <v/>
      </c>
      <c r="E9" s="21">
        <f>IF($I9&gt;=k_MinQuartile,MROUND(_xlfn.PERCENTILE.INC(_xlfn._xlws.FILTER(Records[Total Cash],(Records[Role Group]="CIO - Top Investment Executive")*(Records[Include]="Y")*(Records[Total Cash]&gt;0)),0.75),k_RoundTo),"")</f>
        <v/>
      </c>
      <c r="F9" s="21">
        <f>IF($I9&gt;=k_MinQuartile,MROUND(_xlfn.PERCENTILE.INC(_xlfn._xlws.FILTER(Records[Total Cash],(Records[Role Group]="CIO - Top Investment Executive")*(Records[Include]="Y")*(Records[Total Cash]&gt;0)),0.9),k_RoundTo),"")</f>
        <v/>
      </c>
      <c r="G9" s="21">
        <f>IF($I9&gt;=k_MinMedian,MROUND(AVERAGE(_xlfn._xlws.FILTER(Records[Total Cash],(Records[Role Group]="CIO - Top Investment Executive")*(Records[Include]="Y")*(Records[Total Cash]&gt;0))),k_RoundTo),"")</f>
        <v/>
      </c>
      <c r="H9" s="20">
        <f>IFERROR(SUMPRODUCT(((Records[Role Group]="CIO - Top Investment Executive")*(Records[Include]="Y")*(Records[Total Cash]&gt;0))/(COUNTIFS(Records[Organization],Records[Organization]&amp;"",Records[Role Group],"CIO - Top Investment Executive",Records[Include],"Y")+(COUNTIFS(Records[Organization],Records[Organization]&amp;"",Records[Role Group],"CIO - Top Investment Executive",Records[Include],"Y")=0))),0)</f>
        <v/>
      </c>
      <c r="I9" s="20">
        <f>SUMPRODUCT((Records[Role Group]="CIO - Top Investment Executive")*(Records[Include]="Y")*(Records[Total Cash]&gt;0))</f>
        <v/>
      </c>
      <c r="J9" s="23">
        <f>IF(Inputs!$B$21="","",IFERROR(MAX(_xlfn._xlws.FILTER(Records[Total Cash],(Records[Role Group]="CIO - Top Investment Executive")*(Records[Organization]=Inputs!$B$21)*(Records[Most Recent]="Y")*(Records[Total Cash]&gt;0))),""))</f>
        <v/>
      </c>
      <c r="K9" s="24">
        <f>IF(OR($J9="",$D9=""),"",$J9/$D9-1)</f>
        <v/>
      </c>
      <c r="L9" s="25">
        <f>IF($I9&gt;=k_MinQuartile,IF(OR($J9="",$J9=0),"",IFERROR(PERCENTRANK.INC(_xlfn._xlws.FILTER(Records[Total Cash],(Records[Role Group]="CIO - Top Investment Executive")*(Records[Include]="Y")*(Records[Total Cash]&gt;0)),$J9,4),"")),"")</f>
        <v/>
      </c>
      <c r="M9" s="37">
        <f>IF(Inputs!$B$21="","",SUMPRODUCT((Records[Role Group]="CIO - Top Investment Executive")*(Records[Organization]=Inputs!$B$21)*(Records[Most Recent]="Y")*(Records[Total Cash]&gt;0)))</f>
        <v/>
      </c>
    </row>
    <row r="10">
      <c r="A10" s="2" t="inlineStr">
        <is>
          <t>Other reportable</t>
        </is>
      </c>
      <c r="B10" s="19" t="inlineStr">
        <is>
          <t>Schedule J only</t>
        </is>
      </c>
      <c r="C10" s="21">
        <f>IF($I10&gt;=k_MinQuartile,MROUND(_xlfn.PERCENTILE.INC(_xlfn._xlws.FILTER(Records[(B)(iii) Other],(Records[Role Group]="CIO - Top Investment Executive")*(Records[Include]="Y")*(Records[Total Cash]&lt;&gt;"")),0.25),k_RoundTo),"")</f>
        <v/>
      </c>
      <c r="D10" s="22">
        <f>IF($I10&gt;=k_MinMedian,MROUND(_xlfn.PERCENTILE.INC(_xlfn._xlws.FILTER(Records[(B)(iii) Other],(Records[Role Group]="CIO - Top Investment Executive")*(Records[Include]="Y")*(Records[Total Cash]&lt;&gt;"")),0.5),k_RoundTo),"")</f>
        <v/>
      </c>
      <c r="E10" s="21">
        <f>IF($I10&gt;=k_MinQuartile,MROUND(_xlfn.PERCENTILE.INC(_xlfn._xlws.FILTER(Records[(B)(iii) Other],(Records[Role Group]="CIO - Top Investment Executive")*(Records[Include]="Y")*(Records[Total Cash]&lt;&gt;"")),0.75),k_RoundTo),"")</f>
        <v/>
      </c>
      <c r="F10" s="21">
        <f>IF($I10&gt;=k_MinQuartile,MROUND(_xlfn.PERCENTILE.INC(_xlfn._xlws.FILTER(Records[(B)(iii) Other],(Records[Role Group]="CIO - Top Investment Executive")*(Records[Include]="Y")*(Records[Total Cash]&lt;&gt;"")),0.9),k_RoundTo),"")</f>
        <v/>
      </c>
      <c r="G10" s="21">
        <f>IF($I10&gt;=k_MinMedian,MROUND(AVERAGE(_xlfn._xlws.FILTER(Records[(B)(iii) Other],(Records[Role Group]="CIO - Top Investment Executive")*(Records[Include]="Y")*(Records[Total Cash]&lt;&gt;""))),k_RoundTo),"")</f>
        <v/>
      </c>
      <c r="H10" s="20">
        <f>IFERROR(SUMPRODUCT(((Records[Role Group]="CIO - Top Investment Executive")*(Records[Include]="Y")*(Records[Total Cash]&lt;&gt;""))/(COUNTIFS(Records[Organization],Records[Organization]&amp;"",Records[Role Group],"CIO - Top Investment Executive",Records[Include],"Y")+(COUNTIFS(Records[Organization],Records[Organization]&amp;"",Records[Role Group],"CIO - Top Investment Executive",Records[Include],"Y")=0))),0)</f>
        <v/>
      </c>
      <c r="I10" s="20">
        <f>SUMPRODUCT((Records[Role Group]="CIO - Top Investment Executive")*(Records[Include]="Y")*(Records[Total Cash]&lt;&gt;""))</f>
        <v/>
      </c>
      <c r="J10" s="23">
        <f>IF(Inputs!$B$21="","",IFERROR(MAX(_xlfn._xlws.FILTER(Records[(B)(iii) Other],(Records[Role Group]="CIO - Top Investment Executive")*(Records[Organization]=Inputs!$B$21)*(Records[Most Recent]="Y")*(Records[Total Cash]&lt;&gt;""))),""))</f>
        <v/>
      </c>
      <c r="K10" s="24">
        <f>IF(OR($J10="",$D10=""),"",$J10/$D10-1)</f>
        <v/>
      </c>
      <c r="L10" s="25">
        <f>IF($I10&gt;=k_MinQuartile,IF(OR($J10="",$J10=0),"",IFERROR(PERCENTRANK.INC(_xlfn._xlws.FILTER(Records[(B)(iii) Other],(Records[Role Group]="CIO - Top Investment Executive")*(Records[Include]="Y")*(Records[Total Cash]&lt;&gt;"")),$J10,4),"")),"")</f>
        <v/>
      </c>
      <c r="M10" s="37">
        <f>IF(Inputs!$B$21="","",SUMPRODUCT((Records[Role Group]="CIO - Top Investment Executive")*(Records[Organization]=Inputs!$B$21)*(Records[Most Recent]="Y")*(Records[Total Cash]&lt;&gt;"")))</f>
        <v/>
      </c>
    </row>
    <row r="11">
      <c r="A11" s="2" t="inlineStr">
        <is>
          <t>Deferred</t>
        </is>
      </c>
      <c r="B11" s="19" t="inlineStr">
        <is>
          <t>Schedule J only</t>
        </is>
      </c>
      <c r="C11" s="21">
        <f>IF($I11&gt;=k_MinQuartile,MROUND(_xlfn.PERCENTILE.INC(_xlfn._xlws.FILTER(Records[(C) Deferred],(Records[Role Group]="CIO - Top Investment Executive")*(Records[Include]="Y")*(Records[Total Cash]&lt;&gt;"")),0.25),k_RoundTo),"")</f>
        <v/>
      </c>
      <c r="D11" s="22">
        <f>IF($I11&gt;=k_MinMedian,MROUND(_xlfn.PERCENTILE.INC(_xlfn._xlws.FILTER(Records[(C) Deferred],(Records[Role Group]="CIO - Top Investment Executive")*(Records[Include]="Y")*(Records[Total Cash]&lt;&gt;"")),0.5),k_RoundTo),"")</f>
        <v/>
      </c>
      <c r="E11" s="21">
        <f>IF($I11&gt;=k_MinQuartile,MROUND(_xlfn.PERCENTILE.INC(_xlfn._xlws.FILTER(Records[(C) Deferred],(Records[Role Group]="CIO - Top Investment Executive")*(Records[Include]="Y")*(Records[Total Cash]&lt;&gt;"")),0.75),k_RoundTo),"")</f>
        <v/>
      </c>
      <c r="F11" s="21">
        <f>IF($I11&gt;=k_MinQuartile,MROUND(_xlfn.PERCENTILE.INC(_xlfn._xlws.FILTER(Records[(C) Deferred],(Records[Role Group]="CIO - Top Investment Executive")*(Records[Include]="Y")*(Records[Total Cash]&lt;&gt;"")),0.9),k_RoundTo),"")</f>
        <v/>
      </c>
      <c r="G11" s="21">
        <f>IF($I11&gt;=k_MinMedian,MROUND(AVERAGE(_xlfn._xlws.FILTER(Records[(C) Deferred],(Records[Role Group]="CIO - Top Investment Executive")*(Records[Include]="Y")*(Records[Total Cash]&lt;&gt;""))),k_RoundTo),"")</f>
        <v/>
      </c>
      <c r="H11" s="20">
        <f>IFERROR(SUMPRODUCT(((Records[Role Group]="CIO - Top Investment Executive")*(Records[Include]="Y")*(Records[Total Cash]&lt;&gt;""))/(COUNTIFS(Records[Organization],Records[Organization]&amp;"",Records[Role Group],"CIO - Top Investment Executive",Records[Include],"Y")+(COUNTIFS(Records[Organization],Records[Organization]&amp;"",Records[Role Group],"CIO - Top Investment Executive",Records[Include],"Y")=0))),0)</f>
        <v/>
      </c>
      <c r="I11" s="20">
        <f>SUMPRODUCT((Records[Role Group]="CIO - Top Investment Executive")*(Records[Include]="Y")*(Records[Total Cash]&lt;&gt;""))</f>
        <v/>
      </c>
      <c r="J11" s="23">
        <f>IF(Inputs!$B$21="","",IFERROR(MAX(_xlfn._xlws.FILTER(Records[(C) Deferred],(Records[Role Group]="CIO - Top Investment Executive")*(Records[Organization]=Inputs!$B$21)*(Records[Most Recent]="Y")*(Records[Total Cash]&lt;&gt;""))),""))</f>
        <v/>
      </c>
      <c r="K11" s="24">
        <f>IF(OR($J11="",$D11=""),"",$J11/$D11-1)</f>
        <v/>
      </c>
      <c r="L11" s="25">
        <f>IF($I11&gt;=k_MinQuartile,IF(OR($J11="",$J11=0),"",IFERROR(PERCENTRANK.INC(_xlfn._xlws.FILTER(Records[(C) Deferred],(Records[Role Group]="CIO - Top Investment Executive")*(Records[Include]="Y")*(Records[Total Cash]&lt;&gt;"")),$J11,4),"")),"")</f>
        <v/>
      </c>
      <c r="M11" s="37">
        <f>IF(Inputs!$B$21="","",SUMPRODUCT((Records[Role Group]="CIO - Top Investment Executive")*(Records[Organization]=Inputs!$B$21)*(Records[Most Recent]="Y")*(Records[Total Cash]&lt;&gt;"")))</f>
        <v/>
      </c>
    </row>
    <row r="12">
      <c r="A12" s="2" t="inlineStr">
        <is>
          <t>Nontaxable benefits</t>
        </is>
      </c>
      <c r="B12" s="19" t="inlineStr">
        <is>
          <t>Schedule J only</t>
        </is>
      </c>
      <c r="C12" s="21">
        <f>IF($I12&gt;=k_MinQuartile,MROUND(_xlfn.PERCENTILE.INC(_xlfn._xlws.FILTER(Records[(D) Nontax Benefits],(Records[Role Group]="CIO - Top Investment Executive")*(Records[Include]="Y")*(Records[Total Cash]&lt;&gt;"")),0.25),k_RoundTo),"")</f>
        <v/>
      </c>
      <c r="D12" s="22">
        <f>IF($I12&gt;=k_MinMedian,MROUND(_xlfn.PERCENTILE.INC(_xlfn._xlws.FILTER(Records[(D) Nontax Benefits],(Records[Role Group]="CIO - Top Investment Executive")*(Records[Include]="Y")*(Records[Total Cash]&lt;&gt;"")),0.5),k_RoundTo),"")</f>
        <v/>
      </c>
      <c r="E12" s="21">
        <f>IF($I12&gt;=k_MinQuartile,MROUND(_xlfn.PERCENTILE.INC(_xlfn._xlws.FILTER(Records[(D) Nontax Benefits],(Records[Role Group]="CIO - Top Investment Executive")*(Records[Include]="Y")*(Records[Total Cash]&lt;&gt;"")),0.75),k_RoundTo),"")</f>
        <v/>
      </c>
      <c r="F12" s="21">
        <f>IF($I12&gt;=k_MinQuartile,MROUND(_xlfn.PERCENTILE.INC(_xlfn._xlws.FILTER(Records[(D) Nontax Benefits],(Records[Role Group]="CIO - Top Investment Executive")*(Records[Include]="Y")*(Records[Total Cash]&lt;&gt;"")),0.9),k_RoundTo),"")</f>
        <v/>
      </c>
      <c r="G12" s="21">
        <f>IF($I12&gt;=k_MinMedian,MROUND(AVERAGE(_xlfn._xlws.FILTER(Records[(D) Nontax Benefits],(Records[Role Group]="CIO - Top Investment Executive")*(Records[Include]="Y")*(Records[Total Cash]&lt;&gt;""))),k_RoundTo),"")</f>
        <v/>
      </c>
      <c r="H12" s="20">
        <f>IFERROR(SUMPRODUCT(((Records[Role Group]="CIO - Top Investment Executive")*(Records[Include]="Y")*(Records[Total Cash]&lt;&gt;""))/(COUNTIFS(Records[Organization],Records[Organization]&amp;"",Records[Role Group],"CIO - Top Investment Executive",Records[Include],"Y")+(COUNTIFS(Records[Organization],Records[Organization]&amp;"",Records[Role Group],"CIO - Top Investment Executive",Records[Include],"Y")=0))),0)</f>
        <v/>
      </c>
      <c r="I12" s="20">
        <f>SUMPRODUCT((Records[Role Group]="CIO - Top Investment Executive")*(Records[Include]="Y")*(Records[Total Cash]&lt;&gt;""))</f>
        <v/>
      </c>
      <c r="J12" s="23">
        <f>IF(Inputs!$B$21="","",IFERROR(MAX(_xlfn._xlws.FILTER(Records[(D) Nontax Benefits],(Records[Role Group]="CIO - Top Investment Executive")*(Records[Organization]=Inputs!$B$21)*(Records[Most Recent]="Y")*(Records[Total Cash]&lt;&gt;""))),""))</f>
        <v/>
      </c>
      <c r="K12" s="24">
        <f>IF(OR($J12="",$D12=""),"",$J12/$D12-1)</f>
        <v/>
      </c>
      <c r="L12" s="25">
        <f>IF($I12&gt;=k_MinQuartile,IF(OR($J12="",$J12=0),"",IFERROR(PERCENTRANK.INC(_xlfn._xlws.FILTER(Records[(D) Nontax Benefits],(Records[Role Group]="CIO - Top Investment Executive")*(Records[Include]="Y")*(Records[Total Cash]&lt;&gt;"")),$J12,4),"")),"")</f>
        <v/>
      </c>
      <c r="M12" s="37">
        <f>IF(Inputs!$B$21="","",SUMPRODUCT((Records[Role Group]="CIO - Top Investment Executive")*(Records[Organization]=Inputs!$B$21)*(Records[Most Recent]="Y")*(Records[Total Cash]&lt;&gt;"")))</f>
        <v/>
      </c>
    </row>
    <row r="13">
      <c r="A13" s="2" t="inlineStr">
        <is>
          <t>Total compensation</t>
        </is>
      </c>
      <c r="B13" s="19" t="inlineStr">
        <is>
          <t>all filers</t>
        </is>
      </c>
      <c r="C13" s="21">
        <f>IF($I13&gt;=k_MinQuartile,MROUND(_xlfn.PERCENTILE.INC(_xlfn._xlws.FILTER(Records[(E) Total Comp],(Records[Role Group]="CIO - Top Investment Executive")*(Records[Include]="Y")*(Records[(E) Total Comp]&gt;0)),0.25),k_RoundTo),"")</f>
        <v/>
      </c>
      <c r="D13" s="22">
        <f>IF($I13&gt;=k_MinMedian,MROUND(_xlfn.PERCENTILE.INC(_xlfn._xlws.FILTER(Records[(E) Total Comp],(Records[Role Group]="CIO - Top Investment Executive")*(Records[Include]="Y")*(Records[(E) Total Comp]&gt;0)),0.5),k_RoundTo),"")</f>
        <v/>
      </c>
      <c r="E13" s="21">
        <f>IF($I13&gt;=k_MinQuartile,MROUND(_xlfn.PERCENTILE.INC(_xlfn._xlws.FILTER(Records[(E) Total Comp],(Records[Role Group]="CIO - Top Investment Executive")*(Records[Include]="Y")*(Records[(E) Total Comp]&gt;0)),0.75),k_RoundTo),"")</f>
        <v/>
      </c>
      <c r="F13" s="21">
        <f>IF($I13&gt;=k_MinQuartile,MROUND(_xlfn.PERCENTILE.INC(_xlfn._xlws.FILTER(Records[(E) Total Comp],(Records[Role Group]="CIO - Top Investment Executive")*(Records[Include]="Y")*(Records[(E) Total Comp]&gt;0)),0.9),k_RoundTo),"")</f>
        <v/>
      </c>
      <c r="G13" s="21">
        <f>IF($I13&gt;=k_MinMedian,MROUND(AVERAGE(_xlfn._xlws.FILTER(Records[(E) Total Comp],(Records[Role Group]="CIO - Top Investment Executive")*(Records[Include]="Y")*(Records[(E) Total Comp]&gt;0))),k_RoundTo),"")</f>
        <v/>
      </c>
      <c r="H13" s="20">
        <f>IFERROR(SUMPRODUCT(((Records[Role Group]="CIO - Top Investment Executive")*(Records[Include]="Y")*(Records[(E) Total Comp]&gt;0))/(COUNTIFS(Records[Organization],Records[Organization]&amp;"",Records[Role Group],"CIO - Top Investment Executive",Records[Include],"Y")+(COUNTIFS(Records[Organization],Records[Organization]&amp;"",Records[Role Group],"CIO - Top Investment Executive",Records[Include],"Y")=0))),0)</f>
        <v/>
      </c>
      <c r="I13" s="20">
        <f>SUMPRODUCT((Records[Role Group]="CIO - Top Investment Executive")*(Records[Include]="Y")*(Records[(E) Total Comp]&gt;0))</f>
        <v/>
      </c>
      <c r="J13" s="23">
        <f>IF(Inputs!$B$21="","",IFERROR(MAX(_xlfn._xlws.FILTER(Records[(E) Total Comp],(Records[Role Group]="CIO - Top Investment Executive")*(Records[Organization]=Inputs!$B$21)*(Records[Most Recent]="Y")*(Records[(E) Total Comp]&gt;0))),""))</f>
        <v/>
      </c>
      <c r="K13" s="24">
        <f>IF(OR($J13="",$D13=""),"",$J13/$D13-1)</f>
        <v/>
      </c>
      <c r="L13" s="25">
        <f>IF($I13&gt;=k_MinQuartile,IF(OR($J13="",$J13=0),"",IFERROR(PERCENTRANK.INC(_xlfn._xlws.FILTER(Records[(E) Total Comp],(Records[Role Group]="CIO - Top Investment Executive")*(Records[Include]="Y")*(Records[(E) Total Comp]&gt;0)),$J13,4),"")),"")</f>
        <v/>
      </c>
      <c r="M13" s="37">
        <f>IF(Inputs!$B$21="","",SUMPRODUCT((Records[Role Group]="CIO - Top Investment Executive")*(Records[Organization]=Inputs!$B$21)*(Records[Most Recent]="Y")*(Records[(E) Total Comp]&gt;0)))</f>
        <v/>
      </c>
    </row>
    <row r="14">
      <c r="A14" s="2" t="inlineStr">
        <is>
          <t>Adjusted total</t>
        </is>
      </c>
      <c r="B14" s="19" t="inlineStr">
        <is>
          <t>all filers</t>
        </is>
      </c>
      <c r="C14" s="21">
        <f>IF($I14&gt;=k_MinQuartile,MROUND(_xlfn.PERCENTILE.INC(_xlfn._xlws.FILTER(Records[Adj Total],(Records[Role Group]="CIO - Top Investment Executive")*(Records[Include]="Y")*(Records[Adj Total]&gt;0)),0.25),k_RoundTo),"")</f>
        <v/>
      </c>
      <c r="D14" s="22">
        <f>IF($I14&gt;=k_MinMedian,MROUND(_xlfn.PERCENTILE.INC(_xlfn._xlws.FILTER(Records[Adj Total],(Records[Role Group]="CIO - Top Investment Executive")*(Records[Include]="Y")*(Records[Adj Total]&gt;0)),0.5),k_RoundTo),"")</f>
        <v/>
      </c>
      <c r="E14" s="21">
        <f>IF($I14&gt;=k_MinQuartile,MROUND(_xlfn.PERCENTILE.INC(_xlfn._xlws.FILTER(Records[Adj Total],(Records[Role Group]="CIO - Top Investment Executive")*(Records[Include]="Y")*(Records[Adj Total]&gt;0)),0.75),k_RoundTo),"")</f>
        <v/>
      </c>
      <c r="F14" s="21">
        <f>IF($I14&gt;=k_MinQuartile,MROUND(_xlfn.PERCENTILE.INC(_xlfn._xlws.FILTER(Records[Adj Total],(Records[Role Group]="CIO - Top Investment Executive")*(Records[Include]="Y")*(Records[Adj Total]&gt;0)),0.9),k_RoundTo),"")</f>
        <v/>
      </c>
      <c r="G14" s="21">
        <f>IF($I14&gt;=k_MinMedian,MROUND(AVERAGE(_xlfn._xlws.FILTER(Records[Adj Total],(Records[Role Group]="CIO - Top Investment Executive")*(Records[Include]="Y")*(Records[Adj Total]&gt;0))),k_RoundTo),"")</f>
        <v/>
      </c>
      <c r="H14" s="20">
        <f>IFERROR(SUMPRODUCT(((Records[Role Group]="CIO - Top Investment Executive")*(Records[Include]="Y")*(Records[Adj Total]&gt;0))/(COUNTIFS(Records[Organization],Records[Organization]&amp;"",Records[Role Group],"CIO - Top Investment Executive",Records[Include],"Y")+(COUNTIFS(Records[Organization],Records[Organization]&amp;"",Records[Role Group],"CIO - Top Investment Executive",Records[Include],"Y")=0))),0)</f>
        <v/>
      </c>
      <c r="I14" s="20">
        <f>SUMPRODUCT((Records[Role Group]="CIO - Top Investment Executive")*(Records[Include]="Y")*(Records[Adj Total]&gt;0))</f>
        <v/>
      </c>
      <c r="J14" s="23">
        <f>IF(Inputs!$B$21="","",IFERROR(MAX(_xlfn._xlws.FILTER(Records[Adj Total],(Records[Role Group]="CIO - Top Investment Executive")*(Records[Organization]=Inputs!$B$21)*(Records[Most Recent]="Y")*(Records[Adj Total]&gt;0))),""))</f>
        <v/>
      </c>
      <c r="K14" s="24">
        <f>IF(OR($J14="",$D14=""),"",$J14/$D14-1)</f>
        <v/>
      </c>
      <c r="L14" s="25">
        <f>IF($I14&gt;=k_MinQuartile,IF(OR($J14="",$J14=0),"",IFERROR(PERCENTRANK.INC(_xlfn._xlws.FILTER(Records[Adj Total],(Records[Role Group]="CIO - Top Investment Executive")*(Records[Include]="Y")*(Records[Adj Total]&gt;0)),$J14,4),"")),"")</f>
        <v/>
      </c>
      <c r="M14" s="37">
        <f>IF(Inputs!$B$21="","",SUMPRODUCT((Records[Role Group]="CIO - Top Investment Executive")*(Records[Organization]=Inputs!$B$21)*(Records[Most Recent]="Y")*(Records[Adj Total]&gt;0)))</f>
        <v/>
      </c>
      <c r="N14" s="26">
        <f>IF(AND($I14&gt;=k_MinMedian,$I14&lt;k_MinQuartile,$D14&lt;&gt;""),MROUND($D14*k_Est_adj_heads_25,k_RoundTo),"")</f>
        <v/>
      </c>
      <c r="O14" s="26">
        <f>IF(AND($I14&gt;=k_MinMedian,$I14&lt;k_MinQuartile,$D14&lt;&gt;""),MROUND($D14*k_Est_adj_heads_75,k_RoundTo),"")</f>
        <v/>
      </c>
      <c r="P14" s="26">
        <f>IF(AND($I14&gt;=k_MinMedian,$I14&lt;k_MinQuartile,$D14&lt;&gt;""),MROUND($D14*k_Est_adj_heads_90,k_RoundTo),"")</f>
        <v/>
      </c>
    </row>
    <row r="15">
      <c r="A15" s="2" t="inlineStr">
        <is>
          <t>Adjusted total, aged</t>
        </is>
      </c>
      <c r="B15" s="19" t="inlineStr">
        <is>
          <t>all filers</t>
        </is>
      </c>
      <c r="C15" s="21">
        <f>IF($I15&gt;=k_MinQuartile,MROUND(_xlfn.PERCENTILE.INC(_xlfn._xlws.FILTER(Records[Aged Adj Total],(Records[Role Group]="CIO - Top Investment Executive")*(Records[Include]="Y")*(Records[Aged Adj Total]&gt;0)),0.25),k_RoundTo),"")</f>
        <v/>
      </c>
      <c r="D15" s="22">
        <f>IF($I15&gt;=k_MinMedian,MROUND(_xlfn.PERCENTILE.INC(_xlfn._xlws.FILTER(Records[Aged Adj Total],(Records[Role Group]="CIO - Top Investment Executive")*(Records[Include]="Y")*(Records[Aged Adj Total]&gt;0)),0.5),k_RoundTo),"")</f>
        <v/>
      </c>
      <c r="E15" s="21">
        <f>IF($I15&gt;=k_MinQuartile,MROUND(_xlfn.PERCENTILE.INC(_xlfn._xlws.FILTER(Records[Aged Adj Total],(Records[Role Group]="CIO - Top Investment Executive")*(Records[Include]="Y")*(Records[Aged Adj Total]&gt;0)),0.75),k_RoundTo),"")</f>
        <v/>
      </c>
      <c r="F15" s="21">
        <f>IF($I15&gt;=k_MinQuartile,MROUND(_xlfn.PERCENTILE.INC(_xlfn._xlws.FILTER(Records[Aged Adj Total],(Records[Role Group]="CIO - Top Investment Executive")*(Records[Include]="Y")*(Records[Aged Adj Total]&gt;0)),0.9),k_RoundTo),"")</f>
        <v/>
      </c>
      <c r="G15" s="21">
        <f>IF($I15&gt;=k_MinMedian,MROUND(AVERAGE(_xlfn._xlws.FILTER(Records[Aged Adj Total],(Records[Role Group]="CIO - Top Investment Executive")*(Records[Include]="Y")*(Records[Aged Adj Total]&gt;0))),k_RoundTo),"")</f>
        <v/>
      </c>
      <c r="H15" s="20">
        <f>IFERROR(SUMPRODUCT(((Records[Role Group]="CIO - Top Investment Executive")*(Records[Include]="Y")*(Records[Aged Adj Total]&gt;0))/(COUNTIFS(Records[Organization],Records[Organization]&amp;"",Records[Role Group],"CIO - Top Investment Executive",Records[Include],"Y")+(COUNTIFS(Records[Organization],Records[Organization]&amp;"",Records[Role Group],"CIO - Top Investment Executive",Records[Include],"Y")=0))),0)</f>
        <v/>
      </c>
      <c r="I15" s="20">
        <f>SUMPRODUCT((Records[Role Group]="CIO - Top Investment Executive")*(Records[Include]="Y")*(Records[Aged Adj Total]&gt;0))</f>
        <v/>
      </c>
      <c r="J15" s="23">
        <f>IF(Inputs!$B$21="","",IFERROR(MAX(_xlfn._xlws.FILTER(Records[Aged Adj Total],(Records[Role Group]="CIO - Top Investment Executive")*(Records[Organization]=Inputs!$B$21)*(Records[Most Recent]="Y")*(Records[Aged Adj Total]&gt;0))),""))</f>
        <v/>
      </c>
      <c r="K15" s="24">
        <f>IF(OR($J15="",$D15=""),"",$J15/$D15-1)</f>
        <v/>
      </c>
      <c r="L15" s="25">
        <f>IF($I15&gt;=k_MinQuartile,IF(OR($J15="",$J15=0),"",IFERROR(PERCENTRANK.INC(_xlfn._xlws.FILTER(Records[Aged Adj Total],(Records[Role Group]="CIO - Top Investment Executive")*(Records[Include]="Y")*(Records[Aged Adj Total]&gt;0)),$J15,4),"")),"")</f>
        <v/>
      </c>
      <c r="M15" s="37">
        <f>IF(Inputs!$B$21="","",SUMPRODUCT((Records[Role Group]="CIO - Top Investment Executive")*(Records[Organization]=Inputs!$B$21)*(Records[Most Recent]="Y")*(Records[Aged Adj Total]&gt;0)))</f>
        <v/>
      </c>
      <c r="N15" s="26">
        <f>IF(AND($I15&gt;=k_MinMedian,$I15&lt;k_MinQuartile,$D15&lt;&gt;""),MROUND($D15*k_Est_adj_heads_25,k_RoundTo),"")</f>
        <v/>
      </c>
      <c r="O15" s="26">
        <f>IF(AND($I15&gt;=k_MinMedian,$I15&lt;k_MinQuartile,$D15&lt;&gt;""),MROUND($D15*k_Est_adj_heads_75,k_RoundTo),"")</f>
        <v/>
      </c>
      <c r="P15" s="26">
        <f>IF(AND($I15&gt;=k_MinMedian,$I15&lt;k_MinQuartile,$D15&lt;&gt;""),MROUND($D15*k_Est_adj_heads_90,k_RoundTo),"")</f>
        <v/>
      </c>
    </row>
    <row r="16">
      <c r="A16" s="2" t="inlineStr">
        <is>
          <t>Incentive as % of base</t>
        </is>
      </c>
      <c r="B16" s="19" t="inlineStr">
        <is>
          <t>Schedule J only</t>
        </is>
      </c>
      <c r="C16" s="38">
        <f>IF($I16&gt;=k_MinQuartile,_xlfn.PERCENTILE.INC(_xlfn._xlws.FILTER(Records[Incentive % of Base],(Records[Role Group]="CIO - Top Investment Executive")*(Records[Include]="Y")*(Records[Total Cash]&lt;&gt;"")),0.25),"")</f>
        <v/>
      </c>
      <c r="D16" s="39">
        <f>IF($I16&gt;=k_MinMedian,_xlfn.PERCENTILE.INC(_xlfn._xlws.FILTER(Records[Incentive % of Base],(Records[Role Group]="CIO - Top Investment Executive")*(Records[Include]="Y")*(Records[Total Cash]&lt;&gt;"")),0.5),"")</f>
        <v/>
      </c>
      <c r="E16" s="38">
        <f>IF($I16&gt;=k_MinQuartile,_xlfn.PERCENTILE.INC(_xlfn._xlws.FILTER(Records[Incentive % of Base],(Records[Role Group]="CIO - Top Investment Executive")*(Records[Include]="Y")*(Records[Total Cash]&lt;&gt;"")),0.75),"")</f>
        <v/>
      </c>
      <c r="F16" s="38">
        <f>IF($I16&gt;=k_MinQuartile,_xlfn.PERCENTILE.INC(_xlfn._xlws.FILTER(Records[Incentive % of Base],(Records[Role Group]="CIO - Top Investment Executive")*(Records[Include]="Y")*(Records[Total Cash]&lt;&gt;"")),0.9),"")</f>
        <v/>
      </c>
      <c r="G16" s="38">
        <f>IF($I16&gt;=k_MinMedian,AVERAGE(_xlfn._xlws.FILTER(Records[Incentive % of Base],(Records[Role Group]="CIO - Top Investment Executive")*(Records[Include]="Y")*(Records[Total Cash]&lt;&gt;""))),"")</f>
        <v/>
      </c>
      <c r="H16" s="20">
        <f>IFERROR(SUMPRODUCT(((Records[Role Group]="CIO - Top Investment Executive")*(Records[Include]="Y")*(Records[Total Cash]&lt;&gt;""))/(COUNTIFS(Records[Organization],Records[Organization]&amp;"",Records[Role Group],"CIO - Top Investment Executive",Records[Include],"Y")+(COUNTIFS(Records[Organization],Records[Organization]&amp;"",Records[Role Group],"CIO - Top Investment Executive",Records[Include],"Y")=0))),0)</f>
        <v/>
      </c>
      <c r="I16" s="20">
        <f>SUMPRODUCT((Records[Role Group]="CIO - Top Investment Executive")*(Records[Include]="Y")*(Records[Total Cash]&lt;&gt;""))</f>
        <v/>
      </c>
      <c r="J16" s="40">
        <f>IF(Inputs!$B$21="","",IFERROR(MAX(_xlfn._xlws.FILTER(Records[Incentive % of Base],(Records[Role Group]="CIO - Top Investment Executive")*(Records[Organization]=Inputs!$B$21)*(Records[Most Recent]="Y")*(Records[Total Cash]&lt;&gt;""))),""))</f>
        <v/>
      </c>
      <c r="K16" s="41">
        <f>IF(OR($J16="",$D16=""),"",$J16-$D16)</f>
        <v/>
      </c>
      <c r="L16" s="25">
        <f>IF($I16&gt;=k_MinQuartile,IF(OR($J16="",$J16=0),"",IFERROR(PERCENTRANK.INC(_xlfn._xlws.FILTER(Records[Incentive % of Base],(Records[Role Group]="CIO - Top Investment Executive")*(Records[Include]="Y")*(Records[Total Cash]&lt;&gt;"")),$J16,4),"")),"")</f>
        <v/>
      </c>
      <c r="M16" s="37">
        <f>IF(Inputs!$B$21="","",SUMPRODUCT((Records[Role Group]="CIO - Top Investment Executive")*(Records[Organization]=Inputs!$B$21)*(Records[Most Recent]="Y")*(Records[Total Cash]&lt;&gt;"")))</f>
        <v/>
      </c>
    </row>
    <row r="17"/>
    <row r="18">
      <c r="A18" s="19" t="inlineStr">
        <is>
          <t>Blank = too few people, not zero. Median 2+, quartiles 5+.</t>
        </is>
      </c>
    </row>
    <row r="19">
      <c r="A19" s="19" t="inlineStr">
        <is>
          <t>(1) Est. columns, italic: where the median exists but fewer than 5 people, the median times the ratio measured on endowments and foundations at $2b+ (Methodology). Never the median; not a measured figure.</t>
        </is>
      </c>
    </row>
    <row r="20"/>
    <row r="21">
      <c r="A21" s="1" t="inlineStr">
        <is>
          <t>Peer records</t>
        </is>
      </c>
    </row>
    <row r="22">
      <c r="A22" s="19" t="inlineStr">
        <is>
          <t>Filter Include = "Y" for the peer set.</t>
        </is>
      </c>
    </row>
    <row r="23"/>
    <row r="24" ht="30" customHeight="1">
      <c r="A24" s="35" t="inlineStr">
        <is>
          <t>Organization</t>
        </is>
      </c>
      <c r="B24" s="35" t="inlineStr">
        <is>
          <t>State</t>
        </is>
      </c>
      <c r="C24" s="35" t="inlineStr">
        <is>
          <t>AUM ($B)</t>
        </is>
      </c>
      <c r="D24" s="35" t="inlineStr">
        <is>
          <t>Institution Type</t>
        </is>
      </c>
      <c r="E24" s="35" t="inlineStr">
        <is>
          <t>Year</t>
        </is>
      </c>
      <c r="F24" s="35" t="inlineStr">
        <is>
          <t>Include</t>
        </is>
      </c>
      <c r="G24" s="35" t="inlineStr">
        <is>
          <t>Name</t>
        </is>
      </c>
      <c r="H24" s="35" t="inlineStr">
        <is>
          <t>Raw Title</t>
        </is>
      </c>
      <c r="I24" s="35" t="inlineStr">
        <is>
          <t>Standardized Title</t>
        </is>
      </c>
      <c r="J24" s="35" t="inlineStr">
        <is>
          <t>(B)(i) Base</t>
        </is>
      </c>
      <c r="K24" s="35" t="inlineStr">
        <is>
          <t>(B)(ii) Bonus</t>
        </is>
      </c>
      <c r="L24" s="35" t="inlineStr">
        <is>
          <t>Total Cash</t>
        </is>
      </c>
      <c r="M24" s="35" t="inlineStr">
        <is>
          <t>(B)(iii) Other</t>
        </is>
      </c>
      <c r="N24" s="35" t="inlineStr">
        <is>
          <t>(C) Deferred</t>
        </is>
      </c>
      <c r="O24" s="35" t="inlineStr">
        <is>
          <t>(D) Nontax Benefits</t>
        </is>
      </c>
      <c r="P24" s="35" t="inlineStr">
        <is>
          <t>(E) Total Comp</t>
        </is>
      </c>
      <c r="Q24" s="35" t="inlineStr">
        <is>
          <t>Adj Total</t>
        </is>
      </c>
      <c r="R24" s="35" t="inlineStr">
        <is>
          <t>Aged Adj Total</t>
        </is>
      </c>
      <c r="S24" s="35" t="inlineStr">
        <is>
          <t>Incentive % of Base</t>
        </is>
      </c>
      <c r="T24" s="35" t="inlineStr">
        <is>
          <t>Filing</t>
        </is>
      </c>
    </row>
    <row r="25">
      <c r="A25" t="inlineStr">
        <is>
          <t>Abilene Christian University</t>
        </is>
      </c>
      <c r="B25" s="20" t="inlineStr">
        <is>
          <t>TX</t>
        </is>
      </c>
      <c r="C25" s="42" t="n">
        <v>0.89</v>
      </c>
      <c r="D25" t="inlineStr">
        <is>
          <t>Endowment</t>
        </is>
      </c>
      <c r="E25" s="20" t="n">
        <v>2025</v>
      </c>
      <c r="F25" s="20">
        <f>IF(AND(OR(in_Mode="All Funds",AND(C25&gt;=in_BandFloor,C25&lt;=in_BandCeiling,OR(in_Geography="National",COUNTIFS(lst_GeoPreset,in_Geography,lst_GeoState,B25)&gt;0,AND(in_Geography="Custom",ISNUMBER(SEARCH(B25,SUBSTITUTE(in_CustomStates," ",""))))),OR(AND(D25="Endowment",Inputs!$B$14="Y"),AND(D25="Foundation",Inputs!$B$15="Y"),AND(D25="Healthcare",Inputs!$B$16="Y"),AND(D25="Pension",Inputs!$B$17="Y"),AND(D25="OCIO",Inputs!$B$18="Y"),AND(D25="Other",Inputs!$B$19="Y")))),A25&lt;&gt;in_ClientOrg,NOT(AND(in_ExclHarvard="Y",ISNUMBER(SEARCH("Harvard",A25))))),"Y","")</f>
        <v/>
      </c>
      <c r="G25" t="inlineStr">
        <is>
          <t>Joe Lee</t>
        </is>
      </c>
      <c r="H25" t="inlineStr">
        <is>
          <t>CIO</t>
        </is>
      </c>
      <c r="I25" t="inlineStr">
        <is>
          <t>CIO</t>
        </is>
      </c>
      <c r="J25" s="21" t="n">
        <v>405623</v>
      </c>
      <c r="K25" s="21" t="n">
        <v>100000</v>
      </c>
      <c r="L25" s="21" t="n">
        <v>505623</v>
      </c>
      <c r="M25" s="21" t="n"/>
      <c r="N25" s="21" t="n">
        <v>45978</v>
      </c>
      <c r="O25" s="21" t="n">
        <v>24722</v>
      </c>
      <c r="P25" s="21" t="n">
        <v>576323</v>
      </c>
      <c r="Q25" s="21" t="n">
        <v>576323</v>
      </c>
      <c r="R25" s="21">
        <f>IF(Q25="","",Q25*(1+in_GrowthRate)^(YEARFRAC(DATE(2025,5,31),in_AgeToDate)*IF(in_AgeToDate&lt;DATE(2025,5,31),-1,1)+1))</f>
        <v/>
      </c>
      <c r="S25" s="38" t="n">
        <v>0.2465343434667166</v>
      </c>
      <c r="T25" s="43">
        <f>HYPERLINK("https://projects.propublica.org/nonprofits/organizations/750851900/202640589349301804/full","view filing")</f>
        <v/>
      </c>
    </row>
    <row r="26">
      <c r="A26" t="inlineStr">
        <is>
          <t>Abilene Christian University</t>
        </is>
      </c>
      <c r="B26" s="20" t="inlineStr">
        <is>
          <t>TX</t>
        </is>
      </c>
      <c r="C26" s="42" t="n">
        <v>0.89</v>
      </c>
      <c r="D26" t="inlineStr">
        <is>
          <t>Endowment</t>
        </is>
      </c>
      <c r="E26" s="20" t="n">
        <v>2024</v>
      </c>
      <c r="F26" s="20" t="inlineStr"/>
      <c r="G26" t="inlineStr">
        <is>
          <t>Joe Lee</t>
        </is>
      </c>
      <c r="H26" t="inlineStr">
        <is>
          <t>CIO</t>
        </is>
      </c>
      <c r="I26" t="inlineStr">
        <is>
          <t>CIO</t>
        </is>
      </c>
      <c r="J26" s="21" t="n">
        <v>386218</v>
      </c>
      <c r="K26" s="21" t="n">
        <v>100000</v>
      </c>
      <c r="L26" s="21" t="n">
        <v>486218</v>
      </c>
      <c r="M26" s="21" t="n"/>
      <c r="N26" s="21" t="n">
        <v>45000</v>
      </c>
      <c r="O26" s="21" t="n">
        <v>23973</v>
      </c>
      <c r="P26" s="21" t="n">
        <v>555191</v>
      </c>
      <c r="Q26" s="21" t="n">
        <v>555191</v>
      </c>
      <c r="R26" s="21">
        <f>IF(Q26="","",Q26*(1+in_GrowthRate)^(YEARFRAC(DATE(2024,5,31),in_AgeToDate)*IF(in_AgeToDate&lt;DATE(2024,5,31),-1,1)+1))</f>
        <v/>
      </c>
      <c r="S26" s="38" t="n">
        <v>0.2589211274461574</v>
      </c>
      <c r="T26" s="43">
        <f>HYPERLINK("https://projects.propublica.org/nonprofits/organizations/750851900/202500489349301250/full","view filing")</f>
        <v/>
      </c>
    </row>
    <row r="27">
      <c r="A27" t="inlineStr">
        <is>
          <t>Abilene Christian University</t>
        </is>
      </c>
      <c r="B27" s="20" t="inlineStr">
        <is>
          <t>TX</t>
        </is>
      </c>
      <c r="C27" s="42" t="n">
        <v>0.89</v>
      </c>
      <c r="D27" t="inlineStr">
        <is>
          <t>Endowment</t>
        </is>
      </c>
      <c r="E27" s="20" t="n">
        <v>2023</v>
      </c>
      <c r="F27" s="20" t="inlineStr"/>
      <c r="G27" t="inlineStr">
        <is>
          <t>Joe Lee</t>
        </is>
      </c>
      <c r="H27" t="inlineStr">
        <is>
          <t>CIO</t>
        </is>
      </c>
      <c r="I27" t="inlineStr">
        <is>
          <t>CIO</t>
        </is>
      </c>
      <c r="J27" s="21" t="n">
        <v>158501</v>
      </c>
      <c r="K27" s="21" t="n"/>
      <c r="L27" s="21" t="n">
        <v>158501</v>
      </c>
      <c r="M27" s="21" t="n"/>
      <c r="N27" s="21" t="n">
        <v>12923</v>
      </c>
      <c r="O27" s="21" t="n">
        <v>9659</v>
      </c>
      <c r="P27" s="21" t="n">
        <v>181083</v>
      </c>
      <c r="Q27" s="21" t="n">
        <v>181083</v>
      </c>
      <c r="R27" s="21">
        <f>IF(Q27="","",Q27*(1+in_GrowthRate)^(YEARFRAC(DATE(2023,5,31),in_AgeToDate)*IF(in_AgeToDate&lt;DATE(2023,5,31),-1,1)+1))</f>
        <v/>
      </c>
      <c r="S27" s="38" t="n">
        <v>0</v>
      </c>
      <c r="T27" s="43">
        <f>HYPERLINK("https://projects.propublica.org/nonprofits/organizations/750851900/202440479349301369/full","view filing")</f>
        <v/>
      </c>
    </row>
    <row r="28">
      <c r="A28" t="inlineStr">
        <is>
          <t>Advocate Aurora Health Inc</t>
        </is>
      </c>
      <c r="B28" s="20" t="inlineStr">
        <is>
          <t>IL</t>
        </is>
      </c>
      <c r="C28" s="42" t="n">
        <v>18.93</v>
      </c>
      <c r="D28" t="inlineStr">
        <is>
          <t>Healthcare</t>
        </is>
      </c>
      <c r="E28" s="20" t="n">
        <v>2024</v>
      </c>
      <c r="F28" s="20">
        <f>IF(AND(OR(in_Mode="All Funds",AND(C28&gt;=in_BandFloor,C28&lt;=in_BandCeiling,OR(in_Geography="National",COUNTIFS(lst_GeoPreset,in_Geography,lst_GeoState,B28)&gt;0,AND(in_Geography="Custom",ISNUMBER(SEARCH(B28,SUBSTITUTE(in_CustomStates," ",""))))),OR(AND(D28="Endowment",Inputs!$B$14="Y"),AND(D28="Foundation",Inputs!$B$15="Y"),AND(D28="Healthcare",Inputs!$B$16="Y"),AND(D28="Pension",Inputs!$B$17="Y"),AND(D28="OCIO",Inputs!$B$18="Y"),AND(D28="Other",Inputs!$B$19="Y")))),A28&lt;&gt;in_ClientOrg,NOT(AND(in_ExclHarvard="Y",ISNUMBER(SEARCH("Harvard",A28))))),"Y","")</f>
        <v/>
      </c>
      <c r="G28" t="inlineStr">
        <is>
          <t>Laura Hill</t>
        </is>
      </c>
      <c r="H28" t="inlineStr">
        <is>
          <t>SENIOR VP CHIEF INVESTMENT OFFICER</t>
        </is>
      </c>
      <c r="I28" t="inlineStr">
        <is>
          <t>CIO</t>
        </is>
      </c>
      <c r="J28" s="21" t="n">
        <v>585083</v>
      </c>
      <c r="K28" s="21" t="n">
        <v>286863</v>
      </c>
      <c r="L28" s="21" t="n">
        <v>871946</v>
      </c>
      <c r="M28" s="21" t="n">
        <v>24539</v>
      </c>
      <c r="N28" s="21" t="n">
        <v>33350</v>
      </c>
      <c r="O28" s="21" t="n">
        <v>1324</v>
      </c>
      <c r="P28" s="21" t="n">
        <v>931159</v>
      </c>
      <c r="Q28" s="21" t="n">
        <v>931159</v>
      </c>
      <c r="R28" s="21">
        <f>IF(Q28="","",Q28*(1+in_GrowthRate)^(YEARFRAC(DATE(2024,12,31),in_AgeToDate)*IF(in_AgeToDate&lt;DATE(2024,12,31),-1,1)+1))</f>
        <v/>
      </c>
      <c r="S28" s="38" t="n">
        <v>0.4902945394072294</v>
      </c>
      <c r="T28" s="43">
        <f>HYPERLINK("https://projects.propublica.org/nonprofits/organizations/824184596/202503219349328340/full","view filing")</f>
        <v/>
      </c>
    </row>
    <row r="29">
      <c r="A29" t="inlineStr">
        <is>
          <t>Alfred P Sloan Foundation</t>
        </is>
      </c>
      <c r="B29" s="20" t="inlineStr">
        <is>
          <t>NY</t>
        </is>
      </c>
      <c r="C29" s="42" t="n">
        <v>2.05</v>
      </c>
      <c r="D29" t="inlineStr">
        <is>
          <t>Foundation</t>
        </is>
      </c>
      <c r="E29" s="20" t="n">
        <v>2024</v>
      </c>
      <c r="F29" s="20">
        <f>IF(AND(OR(in_Mode="All Funds",AND(C29&gt;=in_BandFloor,C29&lt;=in_BandCeiling,OR(in_Geography="National",COUNTIFS(lst_GeoPreset,in_Geography,lst_GeoState,B29)&gt;0,AND(in_Geography="Custom",ISNUMBER(SEARCH(B29,SUBSTITUTE(in_CustomStates," ",""))))),OR(AND(D29="Endowment",Inputs!$B$14="Y"),AND(D29="Foundation",Inputs!$B$15="Y"),AND(D29="Healthcare",Inputs!$B$16="Y"),AND(D29="Pension",Inputs!$B$17="Y"),AND(D29="OCIO",Inputs!$B$18="Y"),AND(D29="Other",Inputs!$B$19="Y")))),A29&lt;&gt;in_ClientOrg,NOT(AND(in_ExclHarvard="Y",ISNUMBER(SEARCH("Harvard",A29))))),"Y","")</f>
        <v/>
      </c>
      <c r="G29" t="inlineStr">
        <is>
          <t>Elizabeth Hewitt</t>
        </is>
      </c>
      <c r="H29" t="inlineStr">
        <is>
          <t>CHIEF INVT. OFFICER</t>
        </is>
      </c>
      <c r="I29" t="inlineStr">
        <is>
          <t>CIO</t>
        </is>
      </c>
      <c r="J29" s="21" t="n"/>
      <c r="K29" s="21" t="n"/>
      <c r="L29" s="21" t="n"/>
      <c r="M29" s="21" t="n"/>
      <c r="N29" s="21" t="n"/>
      <c r="O29" s="21" t="n"/>
      <c r="P29" s="21" t="n">
        <v>1335736</v>
      </c>
      <c r="Q29" s="21" t="n">
        <v>1335736</v>
      </c>
      <c r="R29" s="21">
        <f>IF(Q29="","",Q29*(1+in_GrowthRate)^(YEARFRAC(DATE(2024,12,31),in_AgeToDate)*IF(in_AgeToDate&lt;DATE(2024,12,31),-1,1)+1))</f>
        <v/>
      </c>
      <c r="S29" s="38" t="n"/>
      <c r="T29" s="43">
        <f>HYPERLINK("https://projects.propublica.org/nonprofits/organizations/131623877/202533189349105603/full","view filing")</f>
        <v/>
      </c>
    </row>
    <row r="30">
      <c r="A30" t="inlineStr">
        <is>
          <t>Alfred P Sloan Foundation</t>
        </is>
      </c>
      <c r="B30" s="20" t="inlineStr">
        <is>
          <t>NY</t>
        </is>
      </c>
      <c r="C30" s="42" t="n">
        <v>2.05</v>
      </c>
      <c r="D30" t="inlineStr">
        <is>
          <t>Foundation</t>
        </is>
      </c>
      <c r="E30" s="20" t="n">
        <v>2023</v>
      </c>
      <c r="F30" s="20" t="inlineStr"/>
      <c r="G30" t="inlineStr">
        <is>
          <t>Elizabeth Hewitt</t>
        </is>
      </c>
      <c r="H30" t="inlineStr">
        <is>
          <t>CHIEF INVESTMENT OFF</t>
        </is>
      </c>
      <c r="I30" t="inlineStr">
        <is>
          <t>CIO</t>
        </is>
      </c>
      <c r="J30" s="21" t="n"/>
      <c r="K30" s="21" t="n"/>
      <c r="L30" s="21" t="n"/>
      <c r="M30" s="21" t="n"/>
      <c r="N30" s="21" t="n"/>
      <c r="O30" s="21" t="n"/>
      <c r="P30" s="21" t="n">
        <v>1579657</v>
      </c>
      <c r="Q30" s="21" t="n">
        <v>1579657</v>
      </c>
      <c r="R30" s="21">
        <f>IF(Q30="","",Q30*(1+in_GrowthRate)^(YEARFRAC(DATE(2023,12,31),in_AgeToDate)*IF(in_AgeToDate&lt;DATE(2023,12,31),-1,1)+1))</f>
        <v/>
      </c>
      <c r="S30" s="38" t="n"/>
      <c r="T30" s="43">
        <f>HYPERLINK("https://projects.propublica.org/nonprofits/organizations/131623877/202443199349105344/full","view filing")</f>
        <v/>
      </c>
    </row>
    <row r="31">
      <c r="A31" t="inlineStr">
        <is>
          <t>Alfred P Sloan Foundation</t>
        </is>
      </c>
      <c r="B31" s="20" t="inlineStr">
        <is>
          <t>NY</t>
        </is>
      </c>
      <c r="C31" s="42" t="n">
        <v>2.05</v>
      </c>
      <c r="D31" t="inlineStr">
        <is>
          <t>Foundation</t>
        </is>
      </c>
      <c r="E31" s="20" t="n">
        <v>2022</v>
      </c>
      <c r="F31" s="20" t="inlineStr"/>
      <c r="G31" t="inlineStr">
        <is>
          <t>Elizabeth Hewitt</t>
        </is>
      </c>
      <c r="H31" t="inlineStr">
        <is>
          <t>CHIEF INVESTMENT OFF</t>
        </is>
      </c>
      <c r="I31" t="inlineStr">
        <is>
          <t>CIO</t>
        </is>
      </c>
      <c r="J31" s="21" t="n"/>
      <c r="K31" s="21" t="n"/>
      <c r="L31" s="21" t="n"/>
      <c r="M31" s="21" t="n"/>
      <c r="N31" s="21" t="n"/>
      <c r="O31" s="21" t="n"/>
      <c r="P31" s="21" t="n">
        <v>1521250</v>
      </c>
      <c r="Q31" s="21" t="n">
        <v>1521250</v>
      </c>
      <c r="R31" s="21">
        <f>IF(Q31="","",Q31*(1+in_GrowthRate)^(YEARFRAC(DATE(2022,12,31),in_AgeToDate)*IF(in_AgeToDate&lt;DATE(2022,12,31),-1,1)+1))</f>
        <v/>
      </c>
      <c r="S31" s="38" t="n"/>
      <c r="T31" s="43">
        <f>HYPERLINK("https://projects.propublica.org/nonprofits/organizations/131623877/202323179349103742/full","view filing")</f>
        <v/>
      </c>
    </row>
    <row r="32">
      <c r="A32" t="inlineStr">
        <is>
          <t>American Armed Forces Mutual Aid Association</t>
        </is>
      </c>
      <c r="B32" s="20" t="inlineStr">
        <is>
          <t>VA</t>
        </is>
      </c>
      <c r="C32" s="42" t="n">
        <v>0.55</v>
      </c>
      <c r="D32" t="inlineStr">
        <is>
          <t>Pension</t>
        </is>
      </c>
      <c r="E32" s="20" t="n">
        <v>2025</v>
      </c>
      <c r="F32" s="20">
        <f>IF(AND(OR(in_Mode="All Funds",AND(C32&gt;=in_BandFloor,C32&lt;=in_BandCeiling,OR(in_Geography="National",COUNTIFS(lst_GeoPreset,in_Geography,lst_GeoState,B32)&gt;0,AND(in_Geography="Custom",ISNUMBER(SEARCH(B32,SUBSTITUTE(in_CustomStates," ",""))))),OR(AND(D32="Endowment",Inputs!$B$14="Y"),AND(D32="Foundation",Inputs!$B$15="Y"),AND(D32="Healthcare",Inputs!$B$16="Y"),AND(D32="Pension",Inputs!$B$17="Y"),AND(D32="OCIO",Inputs!$B$18="Y"),AND(D32="Other",Inputs!$B$19="Y")))),A32&lt;&gt;in_ClientOrg,NOT(AND(in_ExclHarvard="Y",ISNUMBER(SEARCH("Harvard",A32))))),"Y","")</f>
        <v/>
      </c>
      <c r="G32" t="inlineStr">
        <is>
          <t>Paul E Jablansky</t>
        </is>
      </c>
      <c r="H32" t="inlineStr">
        <is>
          <t>CHIEF INVESTMENT OFFICER, AWMT</t>
        </is>
      </c>
      <c r="I32" t="inlineStr">
        <is>
          <t>CIO</t>
        </is>
      </c>
      <c r="J32" s="21" t="n">
        <v>232513</v>
      </c>
      <c r="K32" s="21" t="n">
        <v>11500</v>
      </c>
      <c r="L32" s="21" t="n">
        <v>244013</v>
      </c>
      <c r="M32" s="21" t="n"/>
      <c r="N32" s="21" t="n">
        <v>7479</v>
      </c>
      <c r="O32" s="21" t="n">
        <v>23655</v>
      </c>
      <c r="P32" s="21" t="n">
        <v>275147</v>
      </c>
      <c r="Q32" s="21" t="n">
        <v>275147</v>
      </c>
      <c r="R32" s="21">
        <f>IF(Q32="","",Q32*(1+in_GrowthRate)^(YEARFRAC(DATE(2025,12,31),in_AgeToDate)*IF(in_AgeToDate&lt;DATE(2025,12,31),-1,1)+1))</f>
        <v/>
      </c>
      <c r="S32" s="38" t="n">
        <v>0.04945960010838104</v>
      </c>
      <c r="T32" s="43">
        <f>HYPERLINK("https://projects.propublica.org/nonprofits/organizations/530213841/202631139349300703/full","view filing")</f>
        <v/>
      </c>
    </row>
    <row r="33">
      <c r="A33" t="inlineStr">
        <is>
          <t>American Armed Forces Mutual Aid Association</t>
        </is>
      </c>
      <c r="B33" s="20" t="inlineStr">
        <is>
          <t>VA</t>
        </is>
      </c>
      <c r="C33" s="42" t="n">
        <v>0.55</v>
      </c>
      <c r="D33" t="inlineStr">
        <is>
          <t>Pension</t>
        </is>
      </c>
      <c r="E33" s="20" t="n">
        <v>2024</v>
      </c>
      <c r="F33" s="20" t="inlineStr"/>
      <c r="G33" t="inlineStr">
        <is>
          <t>Paul E Jablansky</t>
        </is>
      </c>
      <c r="H33" t="inlineStr">
        <is>
          <t>CHIEF INVESTMENT OFFICER, AWMT</t>
        </is>
      </c>
      <c r="I33" t="inlineStr">
        <is>
          <t>CIO</t>
        </is>
      </c>
      <c r="J33" s="21" t="n">
        <v>224082</v>
      </c>
      <c r="K33" s="21" t="n">
        <v>33700</v>
      </c>
      <c r="L33" s="21" t="n">
        <v>257782</v>
      </c>
      <c r="M33" s="21" t="n"/>
      <c r="N33" s="21" t="n">
        <v>7881</v>
      </c>
      <c r="O33" s="21" t="n">
        <v>22179</v>
      </c>
      <c r="P33" s="21" t="n">
        <v>287842</v>
      </c>
      <c r="Q33" s="21" t="n">
        <v>287842</v>
      </c>
      <c r="R33" s="21">
        <f>IF(Q33="","",Q33*(1+in_GrowthRate)^(YEARFRAC(DATE(2024,12,31),in_AgeToDate)*IF(in_AgeToDate&lt;DATE(2024,12,31),-1,1)+1))</f>
        <v/>
      </c>
      <c r="S33" s="38" t="n">
        <v>0.150391374586089</v>
      </c>
      <c r="T33" s="43">
        <f>HYPERLINK("https://projects.propublica.org/nonprofits/organizations/530213841/202541229349300529/full","view filing")</f>
        <v/>
      </c>
    </row>
    <row r="34">
      <c r="A34" t="inlineStr">
        <is>
          <t>American Armed Forces Mutual Aid Association</t>
        </is>
      </c>
      <c r="B34" s="20" t="inlineStr">
        <is>
          <t>VA</t>
        </is>
      </c>
      <c r="C34" s="42" t="n">
        <v>0.55</v>
      </c>
      <c r="D34" t="inlineStr">
        <is>
          <t>Pension</t>
        </is>
      </c>
      <c r="E34" s="20" t="n">
        <v>2023</v>
      </c>
      <c r="F34" s="20" t="inlineStr"/>
      <c r="G34" t="inlineStr">
        <is>
          <t>Paul E Jablansky</t>
        </is>
      </c>
      <c r="H34" t="inlineStr">
        <is>
          <t>CHIEF INVESTMENT OFFICER, AWMT</t>
        </is>
      </c>
      <c r="I34" t="inlineStr">
        <is>
          <t>CIO</t>
        </is>
      </c>
      <c r="J34" s="21" t="n">
        <v>165881</v>
      </c>
      <c r="K34" s="21" t="n"/>
      <c r="L34" s="21" t="n">
        <v>165881</v>
      </c>
      <c r="M34" s="21" t="n"/>
      <c r="N34" s="21" t="n">
        <v>3349</v>
      </c>
      <c r="O34" s="21" t="n">
        <v>11286</v>
      </c>
      <c r="P34" s="21" t="n">
        <v>180516</v>
      </c>
      <c r="Q34" s="21" t="n">
        <v>180516</v>
      </c>
      <c r="R34" s="21">
        <f>IF(Q34="","",Q34*(1+in_GrowthRate)^(YEARFRAC(DATE(2023,12,31),in_AgeToDate)*IF(in_AgeToDate&lt;DATE(2023,12,31),-1,1)+1))</f>
        <v/>
      </c>
      <c r="S34" s="38" t="n">
        <v>0</v>
      </c>
      <c r="T34" s="43">
        <f>HYPERLINK("https://projects.propublica.org/nonprofits/organizations/530213841/202441319349303579/full","view filing")</f>
        <v/>
      </c>
    </row>
    <row r="35">
      <c r="A35" t="inlineStr">
        <is>
          <t>American Armed Forces Mutual Aid Association</t>
        </is>
      </c>
      <c r="B35" s="20" t="inlineStr">
        <is>
          <t>VA</t>
        </is>
      </c>
      <c r="C35" s="42" t="n">
        <v>0.55</v>
      </c>
      <c r="D35" t="inlineStr">
        <is>
          <t>Pension</t>
        </is>
      </c>
      <c r="E35" s="20" t="n">
        <v>2022</v>
      </c>
      <c r="F35" s="20" t="inlineStr"/>
      <c r="G35" t="inlineStr">
        <is>
          <t>Gary N Aiken</t>
        </is>
      </c>
      <c r="H35" t="inlineStr">
        <is>
          <t>CIO, AWMT</t>
        </is>
      </c>
      <c r="I35" t="inlineStr">
        <is>
          <t>CIO</t>
        </is>
      </c>
      <c r="J35" s="21" t="n">
        <v>208849</v>
      </c>
      <c r="K35" s="21" t="n">
        <v>41117</v>
      </c>
      <c r="L35" s="21" t="n">
        <v>249966</v>
      </c>
      <c r="M35" s="21" t="n"/>
      <c r="N35" s="21" t="n">
        <v>11248</v>
      </c>
      <c r="O35" s="21" t="n">
        <v>978</v>
      </c>
      <c r="P35" s="21" t="n">
        <v>262192</v>
      </c>
      <c r="Q35" s="21" t="n">
        <v>262192</v>
      </c>
      <c r="R35" s="21">
        <f>IF(Q35="","",Q35*(1+in_GrowthRate)^(YEARFRAC(DATE(2022,12,31),in_AgeToDate)*IF(in_AgeToDate&lt;DATE(2022,12,31),-1,1)+1))</f>
        <v/>
      </c>
      <c r="S35" s="38" t="n">
        <v>0.1968742967407074</v>
      </c>
      <c r="T35" s="43">
        <f>HYPERLINK("https://projects.propublica.org/nonprofits/organizations/530213841/202301319349303645/full","view filing")</f>
        <v/>
      </c>
    </row>
    <row r="36">
      <c r="A36" t="inlineStr">
        <is>
          <t>American Institutes For Research In The Behavioral Sciences</t>
        </is>
      </c>
      <c r="B36" s="20" t="inlineStr">
        <is>
          <t>VA</t>
        </is>
      </c>
      <c r="C36" s="42" t="n">
        <v>0.82</v>
      </c>
      <c r="D36" t="inlineStr">
        <is>
          <t>Other</t>
        </is>
      </c>
      <c r="E36" s="20" t="n">
        <v>2024</v>
      </c>
      <c r="F36" s="20">
        <f>IF(AND(OR(in_Mode="All Funds",AND(C36&gt;=in_BandFloor,C36&lt;=in_BandCeiling,OR(in_Geography="National",COUNTIFS(lst_GeoPreset,in_Geography,lst_GeoState,B36)&gt;0,AND(in_Geography="Custom",ISNUMBER(SEARCH(B36,SUBSTITUTE(in_CustomStates," ",""))))),OR(AND(D36="Endowment",Inputs!$B$14="Y"),AND(D36="Foundation",Inputs!$B$15="Y"),AND(D36="Healthcare",Inputs!$B$16="Y"),AND(D36="Pension",Inputs!$B$17="Y"),AND(D36="OCIO",Inputs!$B$18="Y"),AND(D36="Other",Inputs!$B$19="Y")))),A36&lt;&gt;in_ClientOrg,NOT(AND(in_ExclHarvard="Y",ISNUMBER(SEARCH("Harvard",A36))))),"Y","")</f>
        <v/>
      </c>
      <c r="G36" t="inlineStr">
        <is>
          <t>Donald Lindsey</t>
        </is>
      </c>
      <c r="H36" t="inlineStr">
        <is>
          <t>CHIEF INVESTMENT OFFICER</t>
        </is>
      </c>
      <c r="I36" t="inlineStr">
        <is>
          <t>CIO</t>
        </is>
      </c>
      <c r="J36" s="21" t="n">
        <v>346544</v>
      </c>
      <c r="K36" s="21" t="n">
        <v>4132</v>
      </c>
      <c r="L36" s="21" t="n">
        <v>350676</v>
      </c>
      <c r="M36" s="21" t="n">
        <v>20400</v>
      </c>
      <c r="N36" s="21" t="n">
        <v>24150</v>
      </c>
      <c r="O36" s="21" t="n">
        <v>24697</v>
      </c>
      <c r="P36" s="21" t="n">
        <v>419923</v>
      </c>
      <c r="Q36" s="21" t="n">
        <v>419923</v>
      </c>
      <c r="R36" s="21">
        <f>IF(Q36="","",Q36*(1+in_GrowthRate)^(YEARFRAC(DATE(2024,12,31),in_AgeToDate)*IF(in_AgeToDate&lt;DATE(2024,12,31),-1,1)+1))</f>
        <v/>
      </c>
      <c r="S36" s="38" t="n">
        <v>0.01192344983609585</v>
      </c>
      <c r="T36" s="43">
        <f>HYPERLINK("https://projects.propublica.org/nonprofits/organizations/250965219/202503219349319345/full","view filing")</f>
        <v/>
      </c>
    </row>
    <row r="37">
      <c r="A37" t="inlineStr">
        <is>
          <t>American Journalism Project Inc</t>
        </is>
      </c>
      <c r="B37" s="20" t="inlineStr">
        <is>
          <t>DC</t>
        </is>
      </c>
      <c r="C37" s="42" t="n">
        <v>0.04</v>
      </c>
      <c r="D37" t="inlineStr">
        <is>
          <t>Other</t>
        </is>
      </c>
      <c r="E37" s="20" t="n">
        <v>2024</v>
      </c>
      <c r="F37" s="20">
        <f>IF(AND(OR(in_Mode="All Funds",AND(C37&gt;=in_BandFloor,C37&lt;=in_BandCeiling,OR(in_Geography="National",COUNTIFS(lst_GeoPreset,in_Geography,lst_GeoState,B37)&gt;0,AND(in_Geography="Custom",ISNUMBER(SEARCH(B37,SUBSTITUTE(in_CustomStates," ",""))))),OR(AND(D37="Endowment",Inputs!$B$14="Y"),AND(D37="Foundation",Inputs!$B$15="Y"),AND(D37="Healthcare",Inputs!$B$16="Y"),AND(D37="Pension",Inputs!$B$17="Y"),AND(D37="OCIO",Inputs!$B$18="Y"),AND(D37="Other",Inputs!$B$19="Y")))),A37&lt;&gt;in_ClientOrg,NOT(AND(in_ExclHarvard="Y",ISNUMBER(SEARCH("Harvard",A37))))),"Y","")</f>
        <v/>
      </c>
      <c r="G37" t="inlineStr">
        <is>
          <t>Michael Ouimette</t>
        </is>
      </c>
      <c r="H37" t="inlineStr">
        <is>
          <t>CHIEF INVESTMENT OFFICER</t>
        </is>
      </c>
      <c r="I37" t="inlineStr">
        <is>
          <t>CIO</t>
        </is>
      </c>
      <c r="J37" s="21" t="n">
        <v>247725</v>
      </c>
      <c r="K37" s="21" t="n"/>
      <c r="L37" s="21" t="n">
        <v>247725</v>
      </c>
      <c r="M37" s="21" t="n"/>
      <c r="N37" s="21" t="n">
        <v>413</v>
      </c>
      <c r="O37" s="21" t="n">
        <v>9591</v>
      </c>
      <c r="P37" s="21" t="n">
        <v>257729</v>
      </c>
      <c r="Q37" s="21" t="n">
        <v>257729</v>
      </c>
      <c r="R37" s="21">
        <f>IF(Q37="","",Q37*(1+in_GrowthRate)^(YEARFRAC(DATE(2024,12,31),in_AgeToDate)*IF(in_AgeToDate&lt;DATE(2024,12,31),-1,1)+1))</f>
        <v/>
      </c>
      <c r="S37" s="38" t="n">
        <v>0</v>
      </c>
      <c r="T37" s="43">
        <f>HYPERLINK("https://projects.propublica.org/nonprofits/organizations/831772542/202503169349304355/full","view filing")</f>
        <v/>
      </c>
    </row>
    <row r="38">
      <c r="A38" t="inlineStr">
        <is>
          <t>American Journalism Project Inc</t>
        </is>
      </c>
      <c r="B38" s="20" t="inlineStr">
        <is>
          <t>DC</t>
        </is>
      </c>
      <c r="C38" s="42" t="n">
        <v>0.04</v>
      </c>
      <c r="D38" t="inlineStr">
        <is>
          <t>Other</t>
        </is>
      </c>
      <c r="E38" s="20" t="n">
        <v>2023</v>
      </c>
      <c r="F38" s="20" t="inlineStr"/>
      <c r="G38" t="inlineStr">
        <is>
          <t>Michael Ouimette</t>
        </is>
      </c>
      <c r="H38" t="inlineStr">
        <is>
          <t>CHIEF INVESTMENT OFFICER</t>
        </is>
      </c>
      <c r="I38" t="inlineStr">
        <is>
          <t>CIO</t>
        </is>
      </c>
      <c r="J38" s="21" t="n">
        <v>228310</v>
      </c>
      <c r="K38" s="21" t="n">
        <v>3500</v>
      </c>
      <c r="L38" s="21" t="n">
        <v>231810</v>
      </c>
      <c r="M38" s="21" t="n"/>
      <c r="N38" s="21" t="n"/>
      <c r="O38" s="21" t="n">
        <v>9372</v>
      </c>
      <c r="P38" s="21" t="n">
        <v>241182</v>
      </c>
      <c r="Q38" s="21" t="n">
        <v>241182</v>
      </c>
      <c r="R38" s="21">
        <f>IF(Q38="","",Q38*(1+in_GrowthRate)^(YEARFRAC(DATE(2023,12,31),in_AgeToDate)*IF(in_AgeToDate&lt;DATE(2023,12,31),-1,1)+1))</f>
        <v/>
      </c>
      <c r="S38" s="38" t="n">
        <v>0.0153300337260742</v>
      </c>
      <c r="T38" s="43">
        <f>HYPERLINK("https://projects.propublica.org/nonprofits/organizations/831772542/202443189349300539/full","view filing")</f>
        <v/>
      </c>
    </row>
    <row r="39">
      <c r="A39" t="inlineStr">
        <is>
          <t>American Lebanese Syrian Assoc Char Inc</t>
        </is>
      </c>
      <c r="B39" s="20" t="inlineStr">
        <is>
          <t>TN</t>
        </is>
      </c>
      <c r="C39" s="42" t="n">
        <v>10.46</v>
      </c>
      <c r="D39" t="inlineStr">
        <is>
          <t>Other</t>
        </is>
      </c>
      <c r="E39" s="20" t="n">
        <v>2025</v>
      </c>
      <c r="F39" s="20">
        <f>IF(AND(OR(in_Mode="All Funds",AND(C39&gt;=in_BandFloor,C39&lt;=in_BandCeiling,OR(in_Geography="National",COUNTIFS(lst_GeoPreset,in_Geography,lst_GeoState,B39)&gt;0,AND(in_Geography="Custom",ISNUMBER(SEARCH(B39,SUBSTITUTE(in_CustomStates," ",""))))),OR(AND(D39="Endowment",Inputs!$B$14="Y"),AND(D39="Foundation",Inputs!$B$15="Y"),AND(D39="Healthcare",Inputs!$B$16="Y"),AND(D39="Pension",Inputs!$B$17="Y"),AND(D39="OCIO",Inputs!$B$18="Y"),AND(D39="Other",Inputs!$B$19="Y")))),A39&lt;&gt;in_ClientOrg,NOT(AND(in_ExclHarvard="Y",ISNUMBER(SEARCH("Harvard",A39))))),"Y","")</f>
        <v/>
      </c>
      <c r="G39" t="inlineStr">
        <is>
          <t>Anurag Pandit</t>
        </is>
      </c>
      <c r="H39" t="inlineStr">
        <is>
          <t>CHIEF INVESTMENT OFFICER</t>
        </is>
      </c>
      <c r="I39" t="inlineStr">
        <is>
          <t>CIO</t>
        </is>
      </c>
      <c r="J39" s="21" t="n">
        <v>768159</v>
      </c>
      <c r="K39" s="21" t="n"/>
      <c r="L39" s="21" t="n">
        <v>768159</v>
      </c>
      <c r="M39" s="21" t="n">
        <v>50061</v>
      </c>
      <c r="N39" s="21" t="n">
        <v>86618</v>
      </c>
      <c r="O39" s="21" t="n">
        <v>26495</v>
      </c>
      <c r="P39" s="21" t="n">
        <v>931333</v>
      </c>
      <c r="Q39" s="21" t="n">
        <v>886024</v>
      </c>
      <c r="R39" s="21">
        <f>IF(Q39="","",Q39*(1+in_GrowthRate)^(YEARFRAC(DATE(2025,6,30),in_AgeToDate)*IF(in_AgeToDate&lt;DATE(2025,6,30),-1,1)+1))</f>
        <v/>
      </c>
      <c r="S39" s="38" t="n">
        <v>0</v>
      </c>
      <c r="T39" s="43">
        <f>HYPERLINK("https://projects.propublica.org/nonprofits/organizations/351044585/202621339349308397/full","view filing")</f>
        <v/>
      </c>
    </row>
    <row r="40">
      <c r="A40" t="inlineStr">
        <is>
          <t>American Lebanese Syrian Assoc Char Inc</t>
        </is>
      </c>
      <c r="B40" s="20" t="inlineStr">
        <is>
          <t>TN</t>
        </is>
      </c>
      <c r="C40" s="42" t="n">
        <v>10.46</v>
      </c>
      <c r="D40" t="inlineStr">
        <is>
          <t>Other</t>
        </is>
      </c>
      <c r="E40" s="20" t="n">
        <v>2024</v>
      </c>
      <c r="F40" s="20" t="inlineStr"/>
      <c r="G40" t="inlineStr">
        <is>
          <t>Anurag Pandit</t>
        </is>
      </c>
      <c r="H40" t="inlineStr">
        <is>
          <t>CHIEF INVESTMENT OFFICER</t>
        </is>
      </c>
      <c r="I40" t="inlineStr">
        <is>
          <t>CIO</t>
        </is>
      </c>
      <c r="J40" s="21" t="n">
        <v>700861</v>
      </c>
      <c r="K40" s="21" t="n"/>
      <c r="L40" s="21" t="n">
        <v>700861</v>
      </c>
      <c r="M40" s="21" t="n">
        <v>41806</v>
      </c>
      <c r="N40" s="21" t="n">
        <v>83170</v>
      </c>
      <c r="O40" s="21" t="n">
        <v>25917</v>
      </c>
      <c r="P40" s="21" t="n">
        <v>851754</v>
      </c>
      <c r="Q40" s="21" t="n">
        <v>814700</v>
      </c>
      <c r="R40" s="21">
        <f>IF(Q40="","",Q40*(1+in_GrowthRate)^(YEARFRAC(DATE(2024,6,30),in_AgeToDate)*IF(in_AgeToDate&lt;DATE(2024,6,30),-1,1)+1))</f>
        <v/>
      </c>
      <c r="S40" s="38" t="n">
        <v>0</v>
      </c>
      <c r="T40" s="43">
        <f>HYPERLINK("https://projects.propublica.org/nonprofits/organizations/351044585/202531339349302178/full","view filing")</f>
        <v/>
      </c>
    </row>
    <row r="41">
      <c r="A41" t="inlineStr">
        <is>
          <t>American Lebanese Syrian Assoc Char Inc</t>
        </is>
      </c>
      <c r="B41" s="20" t="inlineStr">
        <is>
          <t>TN</t>
        </is>
      </c>
      <c r="C41" s="42" t="n">
        <v>10.46</v>
      </c>
      <c r="D41" t="inlineStr">
        <is>
          <t>Other</t>
        </is>
      </c>
      <c r="E41" s="20" t="n">
        <v>2023</v>
      </c>
      <c r="F41" s="20" t="inlineStr"/>
      <c r="G41" t="inlineStr">
        <is>
          <t>Anurag Pandit</t>
        </is>
      </c>
      <c r="H41" t="inlineStr">
        <is>
          <t>CHIEF INVESTMENT OFFICER</t>
        </is>
      </c>
      <c r="I41" t="inlineStr">
        <is>
          <t>CIO</t>
        </is>
      </c>
      <c r="J41" s="21" t="n">
        <v>626180</v>
      </c>
      <c r="K41" s="21" t="n"/>
      <c r="L41" s="21" t="n">
        <v>626180</v>
      </c>
      <c r="M41" s="21" t="n">
        <v>34826</v>
      </c>
      <c r="N41" s="21" t="n">
        <v>72640</v>
      </c>
      <c r="O41" s="21" t="n">
        <v>26495</v>
      </c>
      <c r="P41" s="21" t="n">
        <v>760141</v>
      </c>
      <c r="Q41" s="21" t="n">
        <v>730067</v>
      </c>
      <c r="R41" s="21">
        <f>IF(Q41="","",Q41*(1+in_GrowthRate)^(YEARFRAC(DATE(2023,6,30),in_AgeToDate)*IF(in_AgeToDate&lt;DATE(2023,6,30),-1,1)+1))</f>
        <v/>
      </c>
      <c r="S41" s="38" t="n">
        <v>0</v>
      </c>
      <c r="T41" s="43">
        <f>HYPERLINK("https://projects.propublica.org/nonprofits/organizations/351044585/202441319349304049/full","view filing")</f>
        <v/>
      </c>
    </row>
    <row r="42">
      <c r="A42" t="inlineStr">
        <is>
          <t>American Lebanese Syrian Assoc Char Inc</t>
        </is>
      </c>
      <c r="B42" s="20" t="inlineStr">
        <is>
          <t>TN</t>
        </is>
      </c>
      <c r="C42" s="42" t="n">
        <v>10.46</v>
      </c>
      <c r="D42" t="inlineStr">
        <is>
          <t>Other</t>
        </is>
      </c>
      <c r="E42" s="20" t="n">
        <v>2022</v>
      </c>
      <c r="F42" s="20" t="inlineStr"/>
      <c r="G42" t="inlineStr">
        <is>
          <t>Anurag Pandit</t>
        </is>
      </c>
      <c r="H42" t="inlineStr">
        <is>
          <t>CHIEF INVESTMENT OFFICER</t>
        </is>
      </c>
      <c r="I42" t="inlineStr">
        <is>
          <t>CIO</t>
        </is>
      </c>
      <c r="J42" s="21" t="n">
        <v>579134</v>
      </c>
      <c r="K42" s="21" t="n"/>
      <c r="L42" s="21" t="n">
        <v>579134</v>
      </c>
      <c r="M42" s="21" t="n">
        <v>36648</v>
      </c>
      <c r="N42" s="21" t="n">
        <v>71789</v>
      </c>
      <c r="O42" s="21" t="n">
        <v>22564</v>
      </c>
      <c r="P42" s="21" t="n">
        <v>710135</v>
      </c>
      <c r="Q42" s="21" t="n">
        <v>678239</v>
      </c>
      <c r="R42" s="21">
        <f>IF(Q42="","",Q42*(1+in_GrowthRate)^(YEARFRAC(DATE(2022,6,30),in_AgeToDate)*IF(in_AgeToDate&lt;DATE(2022,6,30),-1,1)+1))</f>
        <v/>
      </c>
      <c r="S42" s="38" t="n">
        <v>0</v>
      </c>
      <c r="T42" s="43">
        <f>HYPERLINK("https://projects.propublica.org/nonprofits/organizations/351044585/202311319349307636/full","view filing")</f>
        <v/>
      </c>
    </row>
    <row r="43">
      <c r="A43" t="inlineStr">
        <is>
          <t>American National Red Cross</t>
        </is>
      </c>
      <c r="B43" s="20" t="inlineStr">
        <is>
          <t>DC</t>
        </is>
      </c>
      <c r="C43" s="42" t="n">
        <v>3.08</v>
      </c>
      <c r="D43" t="inlineStr">
        <is>
          <t>Other</t>
        </is>
      </c>
      <c r="E43" s="20" t="n">
        <v>2025</v>
      </c>
      <c r="F43" s="20">
        <f>IF(AND(OR(in_Mode="All Funds",AND(C43&gt;=in_BandFloor,C43&lt;=in_BandCeiling,OR(in_Geography="National",COUNTIFS(lst_GeoPreset,in_Geography,lst_GeoState,B43)&gt;0,AND(in_Geography="Custom",ISNUMBER(SEARCH(B43,SUBSTITUTE(in_CustomStates," ",""))))),OR(AND(D43="Endowment",Inputs!$B$14="Y"),AND(D43="Foundation",Inputs!$B$15="Y"),AND(D43="Healthcare",Inputs!$B$16="Y"),AND(D43="Pension",Inputs!$B$17="Y"),AND(D43="OCIO",Inputs!$B$18="Y"),AND(D43="Other",Inputs!$B$19="Y")))),A43&lt;&gt;in_ClientOrg,NOT(AND(in_ExclHarvard="Y",ISNUMBER(SEARCH("Harvard",A43))))),"Y","")</f>
        <v/>
      </c>
      <c r="G43" t="inlineStr">
        <is>
          <t>Brian Rhoa</t>
        </is>
      </c>
      <c r="H43" t="inlineStr">
        <is>
          <t>CHIEF INVESTMENT OFFICER</t>
        </is>
      </c>
      <c r="I43" t="inlineStr">
        <is>
          <t>CIO</t>
        </is>
      </c>
      <c r="J43" s="21" t="n">
        <v>553745</v>
      </c>
      <c r="K43" s="21" t="n">
        <v>150896</v>
      </c>
      <c r="L43" s="21" t="n">
        <v>704641</v>
      </c>
      <c r="M43" s="21" t="n">
        <v>26564</v>
      </c>
      <c r="N43" s="21" t="n">
        <v>17250</v>
      </c>
      <c r="O43" s="21" t="n">
        <v>22440</v>
      </c>
      <c r="P43" s="21" t="n">
        <v>770895</v>
      </c>
      <c r="Q43" s="21" t="n">
        <v>770895</v>
      </c>
      <c r="R43" s="21">
        <f>IF(Q43="","",Q43*(1+in_GrowthRate)^(YEARFRAC(DATE(2025,6,30),in_AgeToDate)*IF(in_AgeToDate&lt;DATE(2025,6,30),-1,1)+1))</f>
        <v/>
      </c>
      <c r="S43" s="38" t="n">
        <v>0.272500880369123</v>
      </c>
      <c r="T43" s="43">
        <f>HYPERLINK("https://projects.propublica.org/nonprofits/organizations/530196605/202640829349300109/full","view filing")</f>
        <v/>
      </c>
    </row>
    <row r="44">
      <c r="A44" t="inlineStr">
        <is>
          <t>American National Red Cross</t>
        </is>
      </c>
      <c r="B44" s="20" t="inlineStr">
        <is>
          <t>DC</t>
        </is>
      </c>
      <c r="C44" s="42" t="n">
        <v>3.08</v>
      </c>
      <c r="D44" t="inlineStr">
        <is>
          <t>Other</t>
        </is>
      </c>
      <c r="E44" s="20" t="n">
        <v>2024</v>
      </c>
      <c r="F44" s="20" t="inlineStr"/>
      <c r="G44" t="inlineStr">
        <is>
          <t>Brian Rhoa</t>
        </is>
      </c>
      <c r="H44" t="inlineStr">
        <is>
          <t>CHIEF INVESTMENT OFFICER</t>
        </is>
      </c>
      <c r="I44" t="inlineStr">
        <is>
          <t>CIO</t>
        </is>
      </c>
      <c r="J44" s="21" t="n">
        <v>532078</v>
      </c>
      <c r="K44" s="21" t="n">
        <v>146077</v>
      </c>
      <c r="L44" s="21" t="n">
        <v>678155</v>
      </c>
      <c r="M44" s="21" t="n">
        <v>25977</v>
      </c>
      <c r="N44" s="21" t="n">
        <v>13200</v>
      </c>
      <c r="O44" s="21" t="n">
        <v>17757</v>
      </c>
      <c r="P44" s="21" t="n">
        <v>735089</v>
      </c>
      <c r="Q44" s="21" t="n">
        <v>735089</v>
      </c>
      <c r="R44" s="21">
        <f>IF(Q44="","",Q44*(1+in_GrowthRate)^(YEARFRAC(DATE(2024,6,30),in_AgeToDate)*IF(in_AgeToDate&lt;DATE(2024,6,30),-1,1)+1))</f>
        <v/>
      </c>
      <c r="S44" s="38" t="n">
        <v>0.2745405748781194</v>
      </c>
      <c r="T44" s="43">
        <f>HYPERLINK("https://projects.propublica.org/nonprofits/organizations/530196605/202511189349301681/full","view filing")</f>
        <v/>
      </c>
    </row>
    <row r="45">
      <c r="A45" t="inlineStr">
        <is>
          <t>American National Red Cross</t>
        </is>
      </c>
      <c r="B45" s="20" t="inlineStr">
        <is>
          <t>DC</t>
        </is>
      </c>
      <c r="C45" s="42" t="n">
        <v>3.08</v>
      </c>
      <c r="D45" t="inlineStr">
        <is>
          <t>Other</t>
        </is>
      </c>
      <c r="E45" s="20" t="n">
        <v>2023</v>
      </c>
      <c r="F45" s="20" t="inlineStr"/>
      <c r="G45" t="inlineStr">
        <is>
          <t>Brian Rhoa</t>
        </is>
      </c>
      <c r="H45" t="inlineStr">
        <is>
          <t>CHIEF INVESTMENT OFFICER</t>
        </is>
      </c>
      <c r="I45" t="inlineStr">
        <is>
          <t>CIO</t>
        </is>
      </c>
      <c r="J45" s="21" t="n">
        <v>466809</v>
      </c>
      <c r="K45" s="21" t="n">
        <v>120788</v>
      </c>
      <c r="L45" s="21" t="n">
        <v>587597</v>
      </c>
      <c r="M45" s="21" t="n">
        <v>22642</v>
      </c>
      <c r="N45" s="21" t="n">
        <v>12200</v>
      </c>
      <c r="O45" s="21" t="n">
        <v>15750</v>
      </c>
      <c r="P45" s="21" t="n">
        <v>638189</v>
      </c>
      <c r="Q45" s="21" t="n">
        <v>638189</v>
      </c>
      <c r="R45" s="21">
        <f>IF(Q45="","",Q45*(1+in_GrowthRate)^(YEARFRAC(DATE(2023,6,30),in_AgeToDate)*IF(in_AgeToDate&lt;DATE(2023,6,30),-1,1)+1))</f>
        <v/>
      </c>
      <c r="S45" s="38" t="n">
        <v>0.2587525090561664</v>
      </c>
      <c r="T45" s="43">
        <f>HYPERLINK("https://projects.propublica.org/nonprofits/organizations/530196605/202420679349300232/full","view filing")</f>
        <v/>
      </c>
    </row>
    <row r="46">
      <c r="A46" t="inlineStr">
        <is>
          <t>Andrew W Mellon Foundation</t>
        </is>
      </c>
      <c r="B46" s="20" t="inlineStr">
        <is>
          <t>NY</t>
        </is>
      </c>
      <c r="C46" s="42" t="n">
        <v>7.85</v>
      </c>
      <c r="D46" t="inlineStr">
        <is>
          <t>Foundation</t>
        </is>
      </c>
      <c r="E46" s="20" t="n">
        <v>2024</v>
      </c>
      <c r="F46" s="20">
        <f>IF(AND(OR(in_Mode="All Funds",AND(C46&gt;=in_BandFloor,C46&lt;=in_BandCeiling,OR(in_Geography="National",COUNTIFS(lst_GeoPreset,in_Geography,lst_GeoState,B46)&gt;0,AND(in_Geography="Custom",ISNUMBER(SEARCH(B46,SUBSTITUTE(in_CustomStates," ",""))))),OR(AND(D46="Endowment",Inputs!$B$14="Y"),AND(D46="Foundation",Inputs!$B$15="Y"),AND(D46="Healthcare",Inputs!$B$16="Y"),AND(D46="Pension",Inputs!$B$17="Y"),AND(D46="OCIO",Inputs!$B$18="Y"),AND(D46="Other",Inputs!$B$19="Y")))),A46&lt;&gt;in_ClientOrg,NOT(AND(in_ExclHarvard="Y",ISNUMBER(SEARCH("Harvard",A46))))),"Y","")</f>
        <v/>
      </c>
      <c r="G46" t="inlineStr">
        <is>
          <t>Scott Taylor</t>
        </is>
      </c>
      <c r="H46" t="inlineStr">
        <is>
          <t>CHIEF INVESTMENT OFFICER</t>
        </is>
      </c>
      <c r="I46" t="inlineStr">
        <is>
          <t>CIO</t>
        </is>
      </c>
      <c r="J46" s="21" t="n"/>
      <c r="K46" s="21" t="n"/>
      <c r="L46" s="21" t="n"/>
      <c r="M46" s="21" t="n"/>
      <c r="N46" s="21" t="n"/>
      <c r="O46" s="21" t="n">
        <v>577936</v>
      </c>
      <c r="P46" s="21" t="n">
        <v>1973872</v>
      </c>
      <c r="Q46" s="21" t="n">
        <v>1973872</v>
      </c>
      <c r="R46" s="21">
        <f>IF(Q46="","",Q46*(1+in_GrowthRate)^(YEARFRAC(DATE(2024,12,31),in_AgeToDate)*IF(in_AgeToDate&lt;DATE(2024,12,31),-1,1)+1))</f>
        <v/>
      </c>
      <c r="S46" s="38" t="n"/>
      <c r="T46" s="43">
        <f>HYPERLINK("https://projects.propublica.org/nonprofits/organizations/131879954/202523189349104752/full","view filing")</f>
        <v/>
      </c>
    </row>
    <row r="47">
      <c r="A47" t="inlineStr">
        <is>
          <t>Andrew W Mellon Foundation</t>
        </is>
      </c>
      <c r="B47" s="20" t="inlineStr">
        <is>
          <t>NY</t>
        </is>
      </c>
      <c r="C47" s="42" t="n">
        <v>7.85</v>
      </c>
      <c r="D47" t="inlineStr">
        <is>
          <t>Foundation</t>
        </is>
      </c>
      <c r="E47" s="20" t="n">
        <v>2023</v>
      </c>
      <c r="F47" s="20" t="inlineStr"/>
      <c r="G47" t="inlineStr">
        <is>
          <t>Scott Taylor</t>
        </is>
      </c>
      <c r="H47" t="inlineStr">
        <is>
          <t>CHIEF INVESTMENT OFFICER</t>
        </is>
      </c>
      <c r="I47" t="inlineStr">
        <is>
          <t>CIO</t>
        </is>
      </c>
      <c r="J47" s="21" t="n"/>
      <c r="K47" s="21" t="n"/>
      <c r="L47" s="21" t="n"/>
      <c r="M47" s="21" t="n"/>
      <c r="N47" s="21" t="n"/>
      <c r="O47" s="21" t="n">
        <v>1049082</v>
      </c>
      <c r="P47" s="21" t="n">
        <v>4060294</v>
      </c>
      <c r="Q47" s="21" t="n">
        <v>4060294</v>
      </c>
      <c r="R47" s="21">
        <f>IF(Q47="","",Q47*(1+in_GrowthRate)^(YEARFRAC(DATE(2023,12,31),in_AgeToDate)*IF(in_AgeToDate&lt;DATE(2023,12,31),-1,1)+1))</f>
        <v/>
      </c>
      <c r="S47" s="38" t="n"/>
      <c r="T47" s="43">
        <f>HYPERLINK("https://projects.propublica.org/nonprofits/organizations/131879954/202413199349106571/full","view filing")</f>
        <v/>
      </c>
    </row>
    <row r="48">
      <c r="A48" t="inlineStr">
        <is>
          <t>Andrew W Mellon Foundation</t>
        </is>
      </c>
      <c r="B48" s="20" t="inlineStr">
        <is>
          <t>NY</t>
        </is>
      </c>
      <c r="C48" s="42" t="n">
        <v>7.85</v>
      </c>
      <c r="D48" t="inlineStr">
        <is>
          <t>Foundation</t>
        </is>
      </c>
      <c r="E48" s="20" t="n">
        <v>2022</v>
      </c>
      <c r="F48" s="20" t="inlineStr"/>
      <c r="G48" t="inlineStr">
        <is>
          <t>Scott Taylor</t>
        </is>
      </c>
      <c r="H48" t="inlineStr">
        <is>
          <t>CHIEF INVESTMENT OFFICER</t>
        </is>
      </c>
      <c r="I48" t="inlineStr">
        <is>
          <t>CIO</t>
        </is>
      </c>
      <c r="J48" s="21" t="n"/>
      <c r="K48" s="21" t="n"/>
      <c r="L48" s="21" t="n"/>
      <c r="M48" s="21" t="n"/>
      <c r="N48" s="21" t="n"/>
      <c r="O48" s="21" t="n">
        <v>1912745</v>
      </c>
      <c r="P48" s="21" t="n">
        <v>4574185</v>
      </c>
      <c r="Q48" s="21" t="n">
        <v>4574185</v>
      </c>
      <c r="R48" s="21">
        <f>IF(Q48="","",Q48*(1+in_GrowthRate)^(YEARFRAC(DATE(2022,12,31),in_AgeToDate)*IF(in_AgeToDate&lt;DATE(2022,12,31),-1,1)+1))</f>
        <v/>
      </c>
      <c r="S48" s="38" t="n"/>
      <c r="T48" s="43">
        <f>HYPERLINK("https://projects.propublica.org/nonprofits/organizations/131879954/202303179349100635/full","view filing")</f>
        <v/>
      </c>
    </row>
    <row r="49">
      <c r="A49" t="inlineStr">
        <is>
          <t>Annie E Casey Foundation</t>
        </is>
      </c>
      <c r="B49" s="20" t="inlineStr">
        <is>
          <t>MD</t>
        </is>
      </c>
      <c r="C49" s="42" t="n">
        <v>3.11</v>
      </c>
      <c r="D49" t="inlineStr">
        <is>
          <t>Foundation</t>
        </is>
      </c>
      <c r="E49" s="20" t="n">
        <v>2024</v>
      </c>
      <c r="F49" s="20">
        <f>IF(AND(OR(in_Mode="All Funds",AND(C49&gt;=in_BandFloor,C49&lt;=in_BandCeiling,OR(in_Geography="National",COUNTIFS(lst_GeoPreset,in_Geography,lst_GeoState,B49)&gt;0,AND(in_Geography="Custom",ISNUMBER(SEARCH(B49,SUBSTITUTE(in_CustomStates," ",""))))),OR(AND(D49="Endowment",Inputs!$B$14="Y"),AND(D49="Foundation",Inputs!$B$15="Y"),AND(D49="Healthcare",Inputs!$B$16="Y"),AND(D49="Pension",Inputs!$B$17="Y"),AND(D49="OCIO",Inputs!$B$18="Y"),AND(D49="Other",Inputs!$B$19="Y")))),A49&lt;&gt;in_ClientOrg,NOT(AND(in_ExclHarvard="Y",ISNUMBER(SEARCH("Harvard",A49))))),"Y","")</f>
        <v/>
      </c>
      <c r="G49" t="inlineStr">
        <is>
          <t>Alexander Perry</t>
        </is>
      </c>
      <c r="H49" t="inlineStr">
        <is>
          <t>VICE PRESIDENT &amp; Chief Investment Officer</t>
        </is>
      </c>
      <c r="I49" t="inlineStr">
        <is>
          <t>CIO</t>
        </is>
      </c>
      <c r="J49" s="21" t="n"/>
      <c r="K49" s="21" t="n"/>
      <c r="L49" s="21" t="n"/>
      <c r="M49" s="21" t="n"/>
      <c r="N49" s="21" t="n"/>
      <c r="O49" s="21" t="n">
        <v>84551</v>
      </c>
      <c r="P49" s="21" t="n">
        <v>936407</v>
      </c>
      <c r="Q49" s="21" t="n">
        <v>936407</v>
      </c>
      <c r="R49" s="21">
        <f>IF(Q49="","",Q49*(1+in_GrowthRate)^(YEARFRAC(DATE(2024,12,31),in_AgeToDate)*IF(in_AgeToDate&lt;DATE(2024,12,31),-1,1)+1))</f>
        <v/>
      </c>
      <c r="S49" s="38" t="n"/>
      <c r="T49" s="43">
        <f>HYPERLINK("https://projects.propublica.org/nonprofits/organizations/521951681/202513219349100241/full","view filing")</f>
        <v/>
      </c>
    </row>
    <row r="50">
      <c r="A50" t="inlineStr">
        <is>
          <t>Annie E Casey Foundation</t>
        </is>
      </c>
      <c r="B50" s="20" t="inlineStr">
        <is>
          <t>MD</t>
        </is>
      </c>
      <c r="C50" s="42" t="n">
        <v>3.11</v>
      </c>
      <c r="D50" t="inlineStr">
        <is>
          <t>Foundation</t>
        </is>
      </c>
      <c r="E50" s="20" t="n">
        <v>2023</v>
      </c>
      <c r="F50" s="20" t="inlineStr"/>
      <c r="G50" t="inlineStr">
        <is>
          <t>Alexander Perry</t>
        </is>
      </c>
      <c r="H50" t="inlineStr">
        <is>
          <t>VICE PRESIDENT &amp; Chief Investment Officer</t>
        </is>
      </c>
      <c r="I50" t="inlineStr">
        <is>
          <t>CIO</t>
        </is>
      </c>
      <c r="J50" s="21" t="n"/>
      <c r="K50" s="21" t="n"/>
      <c r="L50" s="21" t="n"/>
      <c r="M50" s="21" t="n"/>
      <c r="N50" s="21" t="n"/>
      <c r="O50" s="21" t="n">
        <v>76902</v>
      </c>
      <c r="P50" s="21" t="n">
        <v>782722</v>
      </c>
      <c r="Q50" s="21" t="n">
        <v>782722</v>
      </c>
      <c r="R50" s="21">
        <f>IF(Q50="","",Q50*(1+in_GrowthRate)^(YEARFRAC(DATE(2023,12,31),in_AgeToDate)*IF(in_AgeToDate&lt;DATE(2023,12,31),-1,1)+1))</f>
        <v/>
      </c>
      <c r="S50" s="38" t="n"/>
      <c r="T50" s="43">
        <f>HYPERLINK("https://projects.propublica.org/nonprofits/organizations/521951681/202533099349102133/full","view filing")</f>
        <v/>
      </c>
    </row>
    <row r="51">
      <c r="A51" t="inlineStr">
        <is>
          <t>Annie E Casey Foundation</t>
        </is>
      </c>
      <c r="B51" s="20" t="inlineStr">
        <is>
          <t>MD</t>
        </is>
      </c>
      <c r="C51" s="42" t="n">
        <v>3.11</v>
      </c>
      <c r="D51" t="inlineStr">
        <is>
          <t>Foundation</t>
        </is>
      </c>
      <c r="E51" s="20" t="n">
        <v>2022</v>
      </c>
      <c r="F51" s="20" t="inlineStr"/>
      <c r="G51" t="inlineStr">
        <is>
          <t>May Ng</t>
        </is>
      </c>
      <c r="H51" t="inlineStr">
        <is>
          <t>VICE PRESIDENT &amp; CHIEF INVESTMENT OFFICER</t>
        </is>
      </c>
      <c r="I51" t="inlineStr">
        <is>
          <t>CIO</t>
        </is>
      </c>
      <c r="J51" s="21" t="n"/>
      <c r="K51" s="21" t="n"/>
      <c r="L51" s="21" t="n"/>
      <c r="M51" s="21" t="n"/>
      <c r="N51" s="21" t="n"/>
      <c r="O51" s="21" t="n">
        <v>39682</v>
      </c>
      <c r="P51" s="21" t="n">
        <v>812278</v>
      </c>
      <c r="Q51" s="21" t="n">
        <v>812278</v>
      </c>
      <c r="R51" s="21">
        <f>IF(Q51="","",Q51*(1+in_GrowthRate)^(YEARFRAC(DATE(2022,12,31),in_AgeToDate)*IF(in_AgeToDate&lt;DATE(2022,12,31),-1,1)+1))</f>
        <v/>
      </c>
      <c r="S51" s="38" t="n"/>
      <c r="T51" s="43">
        <f>HYPERLINK("https://projects.propublica.org/nonprofits/organizations/521951681/202543099349102364/full","view filing")</f>
        <v/>
      </c>
    </row>
    <row r="52">
      <c r="A52" t="inlineStr">
        <is>
          <t>Asu Enterprise Partners</t>
        </is>
      </c>
      <c r="B52" s="20" t="inlineStr">
        <is>
          <t>AZ</t>
        </is>
      </c>
      <c r="C52" s="42" t="n">
        <v>0.28</v>
      </c>
      <c r="D52" t="inlineStr">
        <is>
          <t>Endowment</t>
        </is>
      </c>
      <c r="E52" s="20" t="n">
        <v>2025</v>
      </c>
      <c r="F52" s="20">
        <f>IF(AND(OR(in_Mode="All Funds",AND(C52&gt;=in_BandFloor,C52&lt;=in_BandCeiling,OR(in_Geography="National",COUNTIFS(lst_GeoPreset,in_Geography,lst_GeoState,B52)&gt;0,AND(in_Geography="Custom",ISNUMBER(SEARCH(B52,SUBSTITUTE(in_CustomStates," ",""))))),OR(AND(D52="Endowment",Inputs!$B$14="Y"),AND(D52="Foundation",Inputs!$B$15="Y"),AND(D52="Healthcare",Inputs!$B$16="Y"),AND(D52="Pension",Inputs!$B$17="Y"),AND(D52="OCIO",Inputs!$B$18="Y"),AND(D52="Other",Inputs!$B$19="Y")))),A52&lt;&gt;in_ClientOrg,NOT(AND(in_ExclHarvard="Y",ISNUMBER(SEARCH("Harvard",A52))))),"Y","")</f>
        <v/>
      </c>
      <c r="G52" t="inlineStr">
        <is>
          <t>Jeff Mindlin</t>
        </is>
      </c>
      <c r="H52" t="inlineStr">
        <is>
          <t>CHIEF INVEST. OFFICER/MANAGING DIR. UR</t>
        </is>
      </c>
      <c r="I52" t="inlineStr">
        <is>
          <t>CIO</t>
        </is>
      </c>
      <c r="J52" s="21" t="n">
        <v>319450</v>
      </c>
      <c r="K52" s="21" t="n">
        <v>64272</v>
      </c>
      <c r="L52" s="21" t="n">
        <v>383722</v>
      </c>
      <c r="M52" s="21" t="n"/>
      <c r="N52" s="21" t="n">
        <v>23883</v>
      </c>
      <c r="O52" s="21" t="n">
        <v>37486</v>
      </c>
      <c r="P52" s="21" t="n">
        <v>445091</v>
      </c>
      <c r="Q52" s="21" t="n">
        <v>445091</v>
      </c>
      <c r="R52" s="21">
        <f>IF(Q52="","",Q52*(1+in_GrowthRate)^(YEARFRAC(DATE(2025,6,30),in_AgeToDate)*IF(in_AgeToDate&lt;DATE(2025,6,30),-1,1)+1))</f>
        <v/>
      </c>
      <c r="S52" s="38" t="n">
        <v>0.2011958052903428</v>
      </c>
      <c r="T52" s="43">
        <f>HYPERLINK("https://projects.propublica.org/nonprofits/organizations/475599177/202600799349301450/full","view filing")</f>
        <v/>
      </c>
    </row>
    <row r="53">
      <c r="A53" t="inlineStr">
        <is>
          <t>Asu Enterprise Partners</t>
        </is>
      </c>
      <c r="B53" s="20" t="inlineStr">
        <is>
          <t>AZ</t>
        </is>
      </c>
      <c r="C53" s="42" t="n">
        <v>0.28</v>
      </c>
      <c r="D53" t="inlineStr">
        <is>
          <t>Endowment</t>
        </is>
      </c>
      <c r="E53" s="20" t="n">
        <v>2024</v>
      </c>
      <c r="F53" s="20" t="inlineStr"/>
      <c r="G53" t="inlineStr">
        <is>
          <t>Jeff Mindlin</t>
        </is>
      </c>
      <c r="H53" t="inlineStr">
        <is>
          <t>CHIEF INVESTMENT OFFICER</t>
        </is>
      </c>
      <c r="I53" t="inlineStr">
        <is>
          <t>CIO</t>
        </is>
      </c>
      <c r="J53" s="21" t="n">
        <v>310031</v>
      </c>
      <c r="K53" s="21" t="n">
        <v>62400</v>
      </c>
      <c r="L53" s="21" t="n">
        <v>372431</v>
      </c>
      <c r="M53" s="21" t="n"/>
      <c r="N53" s="21" t="n">
        <v>21910</v>
      </c>
      <c r="O53" s="21" t="n">
        <v>37237</v>
      </c>
      <c r="P53" s="21" t="n">
        <v>431578</v>
      </c>
      <c r="Q53" s="21" t="n">
        <v>431578</v>
      </c>
      <c r="R53" s="21">
        <f>IF(Q53="","",Q53*(1+in_GrowthRate)^(YEARFRAC(DATE(2024,6,30),in_AgeToDate)*IF(in_AgeToDate&lt;DATE(2024,6,30),-1,1)+1))</f>
        <v/>
      </c>
      <c r="S53" s="38" t="n">
        <v>0.201270195561089</v>
      </c>
      <c r="T53" s="43">
        <f>HYPERLINK("https://projects.propublica.org/nonprofits/organizations/475599177/202520739349301867/full","view filing")</f>
        <v/>
      </c>
    </row>
    <row r="54">
      <c r="A54" t="inlineStr">
        <is>
          <t>Asu Enterprise Partners</t>
        </is>
      </c>
      <c r="B54" s="20" t="inlineStr">
        <is>
          <t>AZ</t>
        </is>
      </c>
      <c r="C54" s="42" t="n">
        <v>0.28</v>
      </c>
      <c r="D54" t="inlineStr">
        <is>
          <t>Endowment</t>
        </is>
      </c>
      <c r="E54" s="20" t="n">
        <v>2023</v>
      </c>
      <c r="F54" s="20" t="inlineStr"/>
      <c r="G54" t="inlineStr">
        <is>
          <t>Jeff Mindlin</t>
        </is>
      </c>
      <c r="H54" t="inlineStr">
        <is>
          <t>CHIEF INVESTMENT OFFICER</t>
        </is>
      </c>
      <c r="I54" t="inlineStr">
        <is>
          <t>CIO</t>
        </is>
      </c>
      <c r="J54" s="21" t="n">
        <v>297367</v>
      </c>
      <c r="K54" s="21" t="n">
        <v>62400</v>
      </c>
      <c r="L54" s="21" t="n">
        <v>359767</v>
      </c>
      <c r="M54" s="21" t="n">
        <v>74</v>
      </c>
      <c r="N54" s="21" t="n">
        <v>21350</v>
      </c>
      <c r="O54" s="21" t="n">
        <v>30703</v>
      </c>
      <c r="P54" s="21" t="n">
        <v>411894</v>
      </c>
      <c r="Q54" s="21" t="n">
        <v>411894</v>
      </c>
      <c r="R54" s="21">
        <f>IF(Q54="","",Q54*(1+in_GrowthRate)^(YEARFRAC(DATE(2023,6,30),in_AgeToDate)*IF(in_AgeToDate&lt;DATE(2023,6,30),-1,1)+1))</f>
        <v/>
      </c>
      <c r="S54" s="38" t="n">
        <v>0.2098417107479983</v>
      </c>
      <c r="T54" s="43">
        <f>HYPERLINK("https://projects.propublica.org/nonprofits/organizations/475599177/202410889349301906/full","view filing")</f>
        <v/>
      </c>
    </row>
    <row r="55">
      <c r="A55" t="inlineStr">
        <is>
          <t>Asu Enterprise Partners</t>
        </is>
      </c>
      <c r="B55" s="20" t="inlineStr">
        <is>
          <t>AZ</t>
        </is>
      </c>
      <c r="C55" s="42" t="n">
        <v>0.28</v>
      </c>
      <c r="D55" t="inlineStr">
        <is>
          <t>Endowment</t>
        </is>
      </c>
      <c r="E55" s="20" t="n">
        <v>2022</v>
      </c>
      <c r="F55" s="20" t="inlineStr"/>
      <c r="G55" t="inlineStr">
        <is>
          <t>Jeff Mindlin</t>
        </is>
      </c>
      <c r="H55" t="inlineStr">
        <is>
          <t>CHIEF INVESTMENT OFFICER</t>
        </is>
      </c>
      <c r="I55" t="inlineStr">
        <is>
          <t>CIO</t>
        </is>
      </c>
      <c r="J55" s="21" t="n">
        <v>266353</v>
      </c>
      <c r="K55" s="21" t="n">
        <v>33000</v>
      </c>
      <c r="L55" s="21" t="n">
        <v>299353</v>
      </c>
      <c r="M55" s="21" t="n">
        <v>37</v>
      </c>
      <c r="N55" s="21" t="n">
        <v>20300</v>
      </c>
      <c r="O55" s="21" t="n">
        <v>25539</v>
      </c>
      <c r="P55" s="21" t="n">
        <v>345229</v>
      </c>
      <c r="Q55" s="21" t="n">
        <v>345229</v>
      </c>
      <c r="R55" s="21">
        <f>IF(Q55="","",Q55*(1+in_GrowthRate)^(YEARFRAC(DATE(2022,6,30),in_AgeToDate)*IF(in_AgeToDate&lt;DATE(2022,6,30),-1,1)+1))</f>
        <v/>
      </c>
      <c r="S55" s="38" t="n">
        <v>0.1238957323551828</v>
      </c>
      <c r="T55" s="43">
        <f>HYPERLINK("https://projects.propublica.org/nonprofits/organizations/475599177/202311109349300116/full","view filing")</f>
        <v/>
      </c>
    </row>
    <row r="56">
      <c r="A56" t="inlineStr">
        <is>
          <t>Baylor College Of Medicine</t>
        </is>
      </c>
      <c r="B56" s="20" t="inlineStr">
        <is>
          <t>TX</t>
        </is>
      </c>
      <c r="C56" s="42" t="n">
        <v>1.43</v>
      </c>
      <c r="D56" t="inlineStr">
        <is>
          <t>Endowment</t>
        </is>
      </c>
      <c r="E56" s="20" t="n">
        <v>2025</v>
      </c>
      <c r="F56" s="20">
        <f>IF(AND(OR(in_Mode="All Funds",AND(C56&gt;=in_BandFloor,C56&lt;=in_BandCeiling,OR(in_Geography="National",COUNTIFS(lst_GeoPreset,in_Geography,lst_GeoState,B56)&gt;0,AND(in_Geography="Custom",ISNUMBER(SEARCH(B56,SUBSTITUTE(in_CustomStates," ",""))))),OR(AND(D56="Endowment",Inputs!$B$14="Y"),AND(D56="Foundation",Inputs!$B$15="Y"),AND(D56="Healthcare",Inputs!$B$16="Y"),AND(D56="Pension",Inputs!$B$17="Y"),AND(D56="OCIO",Inputs!$B$18="Y"),AND(D56="Other",Inputs!$B$19="Y")))),A56&lt;&gt;in_ClientOrg,NOT(AND(in_ExclHarvard="Y",ISNUMBER(SEARCH("Harvard",A56))))),"Y","")</f>
        <v/>
      </c>
      <c r="G56" t="inlineStr">
        <is>
          <t>William D Walker</t>
        </is>
      </c>
      <c r="H56" t="inlineStr">
        <is>
          <t>VP - CHIEF INVESTMENT OFFICER</t>
        </is>
      </c>
      <c r="I56" t="inlineStr">
        <is>
          <t>CIO</t>
        </is>
      </c>
      <c r="J56" s="21" t="n">
        <v>580800</v>
      </c>
      <c r="K56" s="21" t="n">
        <v>588700</v>
      </c>
      <c r="L56" s="21" t="n">
        <v>1169500</v>
      </c>
      <c r="M56" s="21" t="n">
        <v>4326</v>
      </c>
      <c r="N56" s="21" t="n">
        <v>28487</v>
      </c>
      <c r="O56" s="21" t="n">
        <v>20138</v>
      </c>
      <c r="P56" s="21" t="n">
        <v>1222451</v>
      </c>
      <c r="Q56" s="21" t="n">
        <v>1222451</v>
      </c>
      <c r="R56" s="21">
        <f>IF(Q56="","",Q56*(1+in_GrowthRate)^(YEARFRAC(DATE(2025,6,30),in_AgeToDate)*IF(in_AgeToDate&lt;DATE(2025,6,30),-1,1)+1))</f>
        <v/>
      </c>
      <c r="S56" s="38" t="n">
        <v>1.013601928374656</v>
      </c>
      <c r="T56" s="43">
        <f>HYPERLINK("https://projects.propublica.org/nonprofits/organizations/741613878/202621319349301417/full","view filing")</f>
        <v/>
      </c>
    </row>
    <row r="57">
      <c r="A57" t="inlineStr">
        <is>
          <t>Baylor College Of Medicine</t>
        </is>
      </c>
      <c r="B57" s="20" t="inlineStr">
        <is>
          <t>TX</t>
        </is>
      </c>
      <c r="C57" s="42" t="n">
        <v>1.43</v>
      </c>
      <c r="D57" t="inlineStr">
        <is>
          <t>Endowment</t>
        </is>
      </c>
      <c r="E57" s="20" t="n">
        <v>2024</v>
      </c>
      <c r="F57" s="20" t="inlineStr"/>
      <c r="G57" t="inlineStr">
        <is>
          <t>William D Walker</t>
        </is>
      </c>
      <c r="H57" t="inlineStr">
        <is>
          <t>VP - CHIEF INVESTMENT OFFICER</t>
        </is>
      </c>
      <c r="I57" t="inlineStr">
        <is>
          <t>CIO</t>
        </is>
      </c>
      <c r="J57" s="21" t="n">
        <v>578769</v>
      </c>
      <c r="K57" s="21" t="n">
        <v>527800</v>
      </c>
      <c r="L57" s="21" t="n">
        <v>1106569</v>
      </c>
      <c r="M57" s="21" t="n">
        <v>5238</v>
      </c>
      <c r="N57" s="21" t="n">
        <v>27258</v>
      </c>
      <c r="O57" s="21" t="n">
        <v>20888</v>
      </c>
      <c r="P57" s="21" t="n">
        <v>1159953</v>
      </c>
      <c r="Q57" s="21" t="n">
        <v>1159953</v>
      </c>
      <c r="R57" s="21">
        <f>IF(Q57="","",Q57*(1+in_GrowthRate)^(YEARFRAC(DATE(2024,6,30),in_AgeToDate)*IF(in_AgeToDate&lt;DATE(2024,6,30),-1,1)+1))</f>
        <v/>
      </c>
      <c r="S57" s="38" t="n">
        <v>0.9119355044931571</v>
      </c>
      <c r="T57" s="43">
        <f>HYPERLINK("https://projects.propublica.org/nonprofits/organizations/741613878/202541339349305639/full","view filing")</f>
        <v/>
      </c>
    </row>
    <row r="58">
      <c r="A58" t="inlineStr">
        <is>
          <t>Baylor College Of Medicine</t>
        </is>
      </c>
      <c r="B58" s="20" t="inlineStr">
        <is>
          <t>TX</t>
        </is>
      </c>
      <c r="C58" s="42" t="n">
        <v>1.43</v>
      </c>
      <c r="D58" t="inlineStr">
        <is>
          <t>Endowment</t>
        </is>
      </c>
      <c r="E58" s="20" t="n">
        <v>2023</v>
      </c>
      <c r="F58" s="20" t="inlineStr"/>
      <c r="G58" t="inlineStr">
        <is>
          <t>William D Walker</t>
        </is>
      </c>
      <c r="H58" t="inlineStr">
        <is>
          <t>VP - CHIEF INVESTMENT OFFICER</t>
        </is>
      </c>
      <c r="I58" t="inlineStr">
        <is>
          <t>CIO</t>
        </is>
      </c>
      <c r="J58" s="21" t="n">
        <v>526154</v>
      </c>
      <c r="K58" s="21" t="n">
        <v>572880</v>
      </c>
      <c r="L58" s="21" t="n">
        <v>1099034</v>
      </c>
      <c r="M58" s="21" t="n">
        <v>4191</v>
      </c>
      <c r="N58" s="21" t="n">
        <v>25224</v>
      </c>
      <c r="O58" s="21" t="n">
        <v>20809</v>
      </c>
      <c r="P58" s="21" t="n">
        <v>1149258</v>
      </c>
      <c r="Q58" s="21" t="n">
        <v>1149258</v>
      </c>
      <c r="R58" s="21">
        <f>IF(Q58="","",Q58*(1+in_GrowthRate)^(YEARFRAC(DATE(2023,6,30),in_AgeToDate)*IF(in_AgeToDate&lt;DATE(2023,6,30),-1,1)+1))</f>
        <v/>
      </c>
      <c r="S58" s="38" t="n">
        <v>1.088806699179328</v>
      </c>
      <c r="T58" s="43">
        <f>HYPERLINK("https://projects.propublica.org/nonprofits/organizations/741613878/202421349349308542/full","view filing")</f>
        <v/>
      </c>
    </row>
    <row r="59">
      <c r="A59" t="inlineStr">
        <is>
          <t>Baylor College Of Medicine</t>
        </is>
      </c>
      <c r="B59" s="20" t="inlineStr">
        <is>
          <t>TX</t>
        </is>
      </c>
      <c r="C59" s="42" t="n">
        <v>1.43</v>
      </c>
      <c r="D59" t="inlineStr">
        <is>
          <t>Endowment</t>
        </is>
      </c>
      <c r="E59" s="20" t="n">
        <v>2022</v>
      </c>
      <c r="F59" s="20" t="inlineStr"/>
      <c r="G59" t="inlineStr">
        <is>
          <t>William D Walker</t>
        </is>
      </c>
      <c r="H59" t="inlineStr">
        <is>
          <t>VP - CHIEF INVESTMENT OFFICER</t>
        </is>
      </c>
      <c r="I59" t="inlineStr">
        <is>
          <t>CIO</t>
        </is>
      </c>
      <c r="J59" s="21" t="n">
        <v>480000</v>
      </c>
      <c r="K59" s="21" t="n">
        <v>319200</v>
      </c>
      <c r="L59" s="21" t="n">
        <v>799200</v>
      </c>
      <c r="M59" s="21" t="n">
        <v>4191</v>
      </c>
      <c r="N59" s="21" t="n">
        <v>16310</v>
      </c>
      <c r="O59" s="21" t="n">
        <v>20743</v>
      </c>
      <c r="P59" s="21" t="n">
        <v>840444</v>
      </c>
      <c r="Q59" s="21" t="n">
        <v>840444</v>
      </c>
      <c r="R59" s="21">
        <f>IF(Q59="","",Q59*(1+in_GrowthRate)^(YEARFRAC(DATE(2022,6,30),in_AgeToDate)*IF(in_AgeToDate&lt;DATE(2022,6,30),-1,1)+1))</f>
        <v/>
      </c>
      <c r="S59" s="38" t="n">
        <v>0.665</v>
      </c>
      <c r="T59" s="43">
        <f>HYPERLINK("https://projects.propublica.org/nonprofits/organizations/741613878/202301329349308855/full","view filing")</f>
        <v/>
      </c>
    </row>
    <row r="60">
      <c r="A60" t="inlineStr">
        <is>
          <t>Baylor University</t>
        </is>
      </c>
      <c r="B60" s="20" t="inlineStr">
        <is>
          <t>TX</t>
        </is>
      </c>
      <c r="C60" s="42" t="n">
        <v>2.18</v>
      </c>
      <c r="D60" t="inlineStr">
        <is>
          <t>Endowment</t>
        </is>
      </c>
      <c r="E60" s="20" t="n">
        <v>2025</v>
      </c>
      <c r="F60" s="20">
        <f>IF(AND(OR(in_Mode="All Funds",AND(C60&gt;=in_BandFloor,C60&lt;=in_BandCeiling,OR(in_Geography="National",COUNTIFS(lst_GeoPreset,in_Geography,lst_GeoState,B60)&gt;0,AND(in_Geography="Custom",ISNUMBER(SEARCH(B60,SUBSTITUTE(in_CustomStates," ",""))))),OR(AND(D60="Endowment",Inputs!$B$14="Y"),AND(D60="Foundation",Inputs!$B$15="Y"),AND(D60="Healthcare",Inputs!$B$16="Y"),AND(D60="Pension",Inputs!$B$17="Y"),AND(D60="OCIO",Inputs!$B$18="Y"),AND(D60="Other",Inputs!$B$19="Y")))),A60&lt;&gt;in_ClientOrg,NOT(AND(in_ExclHarvard="Y",ISNUMBER(SEARCH("Harvard",A60))))),"Y","")</f>
        <v/>
      </c>
      <c r="G60" t="inlineStr">
        <is>
          <t>David Morehead</t>
        </is>
      </c>
      <c r="H60" t="inlineStr">
        <is>
          <t>CHIEF INVESTMENT OFFICER</t>
        </is>
      </c>
      <c r="I60" t="inlineStr">
        <is>
          <t>CIO</t>
        </is>
      </c>
      <c r="J60" s="21" t="n">
        <v>514162</v>
      </c>
      <c r="K60" s="21" t="n">
        <v>735797</v>
      </c>
      <c r="L60" s="21" t="n">
        <v>1249959</v>
      </c>
      <c r="M60" s="21" t="n"/>
      <c r="N60" s="21" t="n">
        <v>37260</v>
      </c>
      <c r="O60" s="21" t="n">
        <v>26437</v>
      </c>
      <c r="P60" s="21" t="n">
        <v>1313656</v>
      </c>
      <c r="Q60" s="21" t="n">
        <v>1313656</v>
      </c>
      <c r="R60" s="21">
        <f>IF(Q60="","",Q60*(1+in_GrowthRate)^(YEARFRAC(DATE(2025,5,31),in_AgeToDate)*IF(in_AgeToDate&lt;DATE(2025,5,31),-1,1)+1))</f>
        <v/>
      </c>
      <c r="S60" s="38" t="n">
        <v>1.431060638475811</v>
      </c>
      <c r="T60" s="43">
        <f>HYPERLINK("https://projects.propublica.org/nonprofits/organizations/741159753/202641009349300714/full","view filing")</f>
        <v/>
      </c>
    </row>
    <row r="61">
      <c r="A61" t="inlineStr">
        <is>
          <t>Baylor University</t>
        </is>
      </c>
      <c r="B61" s="20" t="inlineStr">
        <is>
          <t>TX</t>
        </is>
      </c>
      <c r="C61" s="42" t="n">
        <v>2.18</v>
      </c>
      <c r="D61" t="inlineStr">
        <is>
          <t>Endowment</t>
        </is>
      </c>
      <c r="E61" s="20" t="n">
        <v>2024</v>
      </c>
      <c r="F61" s="20" t="inlineStr"/>
      <c r="G61" t="inlineStr">
        <is>
          <t>David Morehead</t>
        </is>
      </c>
      <c r="H61" t="inlineStr">
        <is>
          <t>CHIEF INVESTMENT OFFICER</t>
        </is>
      </c>
      <c r="I61" t="inlineStr">
        <is>
          <t>CIO</t>
        </is>
      </c>
      <c r="J61" s="21" t="n">
        <v>1299242</v>
      </c>
      <c r="K61" s="21" t="n"/>
      <c r="L61" s="21" t="n">
        <v>1299242</v>
      </c>
      <c r="M61" s="21" t="n"/>
      <c r="N61" s="21" t="n">
        <v>35640</v>
      </c>
      <c r="O61" s="21" t="n">
        <v>25287</v>
      </c>
      <c r="P61" s="21" t="n">
        <v>1360169</v>
      </c>
      <c r="Q61" s="21" t="n">
        <v>1360169</v>
      </c>
      <c r="R61" s="21">
        <f>IF(Q61="","",Q61*(1+in_GrowthRate)^(YEARFRAC(DATE(2024,5,31),in_AgeToDate)*IF(in_AgeToDate&lt;DATE(2024,5,31),-1,1)+1))</f>
        <v/>
      </c>
      <c r="S61" s="38" t="n">
        <v>0</v>
      </c>
      <c r="T61" s="43">
        <f>HYPERLINK("https://projects.propublica.org/nonprofits/organizations/741159753/202540989349300624/full","view filing")</f>
        <v/>
      </c>
    </row>
    <row r="62">
      <c r="A62" t="inlineStr">
        <is>
          <t>Baylor University</t>
        </is>
      </c>
      <c r="B62" s="20" t="inlineStr">
        <is>
          <t>TX</t>
        </is>
      </c>
      <c r="C62" s="42" t="n">
        <v>2.18</v>
      </c>
      <c r="D62" t="inlineStr">
        <is>
          <t>Endowment</t>
        </is>
      </c>
      <c r="E62" s="20" t="n">
        <v>2023</v>
      </c>
      <c r="F62" s="20" t="inlineStr"/>
      <c r="G62" t="inlineStr">
        <is>
          <t>David Morehead</t>
        </is>
      </c>
      <c r="H62" t="inlineStr">
        <is>
          <t>Chief Investment Officer</t>
        </is>
      </c>
      <c r="I62" t="inlineStr">
        <is>
          <t>CIO</t>
        </is>
      </c>
      <c r="J62" s="21" t="n">
        <v>410059</v>
      </c>
      <c r="K62" s="21" t="n">
        <v>789050</v>
      </c>
      <c r="L62" s="21" t="n">
        <v>1199109</v>
      </c>
      <c r="M62" s="21" t="n"/>
      <c r="N62" s="21" t="n">
        <v>32940</v>
      </c>
      <c r="O62" s="21" t="n">
        <v>25594</v>
      </c>
      <c r="P62" s="21" t="n">
        <v>1257643</v>
      </c>
      <c r="Q62" s="21" t="n">
        <v>1257643</v>
      </c>
      <c r="R62" s="21">
        <f>IF(Q62="","",Q62*(1+in_GrowthRate)^(YEARFRAC(DATE(2023,5,31),in_AgeToDate)*IF(in_AgeToDate&lt;DATE(2023,5,31),-1,1)+1))</f>
        <v/>
      </c>
      <c r="S62" s="38" t="n">
        <v>1.924235292970036</v>
      </c>
      <c r="T62" s="43">
        <f>HYPERLINK("https://projects.propublica.org/nonprofits/organizations/741159753/202411009349301426/full","view filing")</f>
        <v/>
      </c>
    </row>
    <row r="63">
      <c r="A63" t="inlineStr">
        <is>
          <t>Baylor University</t>
        </is>
      </c>
      <c r="B63" s="20" t="inlineStr">
        <is>
          <t>TX</t>
        </is>
      </c>
      <c r="C63" s="42" t="n">
        <v>2.18</v>
      </c>
      <c r="D63" t="inlineStr">
        <is>
          <t>Endowment</t>
        </is>
      </c>
      <c r="E63" s="20" t="n">
        <v>2022</v>
      </c>
      <c r="F63" s="20" t="inlineStr"/>
      <c r="G63" t="inlineStr">
        <is>
          <t>David Morehead</t>
        </is>
      </c>
      <c r="H63" t="inlineStr">
        <is>
          <t>Chief Investment Officer</t>
        </is>
      </c>
      <c r="I63" t="inlineStr">
        <is>
          <t>CIO</t>
        </is>
      </c>
      <c r="J63" s="21" t="n">
        <v>400658</v>
      </c>
      <c r="K63" s="21" t="n">
        <v>777500</v>
      </c>
      <c r="L63" s="21" t="n">
        <v>1178158</v>
      </c>
      <c r="M63" s="21" t="n"/>
      <c r="N63" s="21" t="n">
        <v>26490</v>
      </c>
      <c r="O63" s="21" t="n">
        <v>23418</v>
      </c>
      <c r="P63" s="21" t="n">
        <v>1228066</v>
      </c>
      <c r="Q63" s="21" t="n">
        <v>1228066</v>
      </c>
      <c r="R63" s="21">
        <f>IF(Q63="","",Q63*(1+in_GrowthRate)^(YEARFRAC(DATE(2022,5,31),in_AgeToDate)*IF(in_AgeToDate&lt;DATE(2022,5,31),-1,1)+1))</f>
        <v/>
      </c>
      <c r="S63" s="38" t="n">
        <v>1.940557782447873</v>
      </c>
      <c r="T63" s="43">
        <f>HYPERLINK("https://projects.propublica.org/nonprofits/organizations/741159753/202320979349301117/full","view filing")</f>
        <v/>
      </c>
    </row>
    <row r="64">
      <c r="A64" t="inlineStr">
        <is>
          <t>Beth Israel Deaconess Medical Center Inc</t>
        </is>
      </c>
      <c r="B64" s="20" t="inlineStr">
        <is>
          <t>MA</t>
        </is>
      </c>
      <c r="C64" s="42" t="n">
        <v>1.21</v>
      </c>
      <c r="D64" t="inlineStr">
        <is>
          <t>Healthcare</t>
        </is>
      </c>
      <c r="E64" s="20" t="n">
        <v>2022</v>
      </c>
      <c r="F64" s="20" t="inlineStr"/>
      <c r="G64" t="inlineStr">
        <is>
          <t>Bell James</t>
        </is>
      </c>
      <c r="H64" t="inlineStr">
        <is>
          <t>CHIEF INVESTMENT OFFICER</t>
        </is>
      </c>
      <c r="I64" t="inlineStr">
        <is>
          <t>CIO</t>
        </is>
      </c>
      <c r="J64" s="21" t="n">
        <v>600111</v>
      </c>
      <c r="K64" s="21" t="n"/>
      <c r="L64" s="21" t="n">
        <v>600111</v>
      </c>
      <c r="M64" s="21" t="n">
        <v>27541</v>
      </c>
      <c r="N64" s="21" t="n">
        <v>60361</v>
      </c>
      <c r="O64" s="21" t="n">
        <v>31820</v>
      </c>
      <c r="P64" s="21" t="n">
        <v>719833</v>
      </c>
      <c r="Q64" s="21" t="n">
        <v>719833</v>
      </c>
      <c r="R64" s="21">
        <f>IF(Q64="","",Q64*(1+in_GrowthRate)^(YEARFRAC(DATE(2022,9,30),in_AgeToDate)*IF(in_AgeToDate&lt;DATE(2022,9,30),-1,1)+1))</f>
        <v/>
      </c>
      <c r="S64" s="38" t="n">
        <v>0</v>
      </c>
      <c r="T64" s="43">
        <f>HYPERLINK("https://projects.propublica.org/nonprofits/organizations/42103881/202322279349302277/full","view filing")</f>
        <v/>
      </c>
    </row>
    <row r="65">
      <c r="A65" t="inlineStr">
        <is>
          <t>Beth Israel Lahey Health Inc Hcsr</t>
        </is>
      </c>
      <c r="B65" s="20" t="inlineStr">
        <is>
          <t>MA</t>
        </is>
      </c>
      <c r="C65" s="42" t="n">
        <v>0.14</v>
      </c>
      <c r="D65" t="inlineStr">
        <is>
          <t>Healthcare</t>
        </is>
      </c>
      <c r="E65" s="20" t="n">
        <v>2025</v>
      </c>
      <c r="F65" s="20">
        <f>IF(AND(OR(in_Mode="All Funds",AND(C65&gt;=in_BandFloor,C65&lt;=in_BandCeiling,OR(in_Geography="National",COUNTIFS(lst_GeoPreset,in_Geography,lst_GeoState,B65)&gt;0,AND(in_Geography="Custom",ISNUMBER(SEARCH(B65,SUBSTITUTE(in_CustomStates," ",""))))),OR(AND(D65="Endowment",Inputs!$B$14="Y"),AND(D65="Foundation",Inputs!$B$15="Y"),AND(D65="Healthcare",Inputs!$B$16="Y"),AND(D65="Pension",Inputs!$B$17="Y"),AND(D65="OCIO",Inputs!$B$18="Y"),AND(D65="Other",Inputs!$B$19="Y")))),A65&lt;&gt;in_ClientOrg,NOT(AND(in_ExclHarvard="Y",ISNUMBER(SEARCH("Harvard",A65))))),"Y","")</f>
        <v/>
      </c>
      <c r="G65" t="inlineStr">
        <is>
          <t>Bell James</t>
        </is>
      </c>
      <c r="H65" t="inlineStr">
        <is>
          <t>SVP/CHIEF INVESTMENT OFFICER</t>
        </is>
      </c>
      <c r="I65" t="inlineStr">
        <is>
          <t>CIO</t>
        </is>
      </c>
      <c r="J65" s="21" t="n">
        <v>883233</v>
      </c>
      <c r="K65" s="21" t="n"/>
      <c r="L65" s="21" t="n">
        <v>883233</v>
      </c>
      <c r="M65" s="21" t="n">
        <v>63953</v>
      </c>
      <c r="N65" s="21" t="n">
        <v>19830</v>
      </c>
      <c r="O65" s="21" t="n">
        <v>35798</v>
      </c>
      <c r="P65" s="21" t="n">
        <v>1002814</v>
      </c>
      <c r="Q65" s="21" t="n">
        <v>1002814</v>
      </c>
      <c r="R65" s="21">
        <f>IF(Q65="","",Q65*(1+in_GrowthRate)^(YEARFRAC(DATE(2025,9,30),in_AgeToDate)*IF(in_AgeToDate&lt;DATE(2025,9,30),-1,1)+1))</f>
        <v/>
      </c>
      <c r="S65" s="38" t="n">
        <v>0</v>
      </c>
      <c r="T65" s="43">
        <f>HYPERLINK("https://projects.propublica.org/nonprofits/organizations/832671600/202612269349303551/full","view filing")</f>
        <v/>
      </c>
    </row>
    <row r="66">
      <c r="A66" t="inlineStr">
        <is>
          <t>Beth Israel Lahey Health Inc Hcsr</t>
        </is>
      </c>
      <c r="B66" s="20" t="inlineStr">
        <is>
          <t>MA</t>
        </is>
      </c>
      <c r="C66" s="42" t="n">
        <v>0.14</v>
      </c>
      <c r="D66" t="inlineStr">
        <is>
          <t>Healthcare</t>
        </is>
      </c>
      <c r="E66" s="20" t="n">
        <v>2024</v>
      </c>
      <c r="F66" s="20" t="inlineStr"/>
      <c r="G66" t="inlineStr">
        <is>
          <t>Bell James</t>
        </is>
      </c>
      <c r="H66" t="inlineStr">
        <is>
          <t>SVP/CHIEF INVESTMENT OFFICER</t>
        </is>
      </c>
      <c r="I66" t="inlineStr">
        <is>
          <t>CIO</t>
        </is>
      </c>
      <c r="J66" s="21" t="n">
        <v>620464</v>
      </c>
      <c r="K66" s="21" t="n">
        <v>225000</v>
      </c>
      <c r="L66" s="21" t="n">
        <v>845464</v>
      </c>
      <c r="M66" s="21" t="n">
        <v>171618</v>
      </c>
      <c r="N66" s="21" t="n">
        <v>82785</v>
      </c>
      <c r="O66" s="21" t="n">
        <v>35204</v>
      </c>
      <c r="P66" s="21" t="n">
        <v>1135071</v>
      </c>
      <c r="Q66" s="21" t="n">
        <v>1135071</v>
      </c>
      <c r="R66" s="21">
        <f>IF(Q66="","",Q66*(1+in_GrowthRate)^(YEARFRAC(DATE(2024,9,30),in_AgeToDate)*IF(in_AgeToDate&lt;DATE(2024,9,30),-1,1)+1))</f>
        <v/>
      </c>
      <c r="S66" s="38" t="n">
        <v>0.3626318368188968</v>
      </c>
      <c r="T66" s="43">
        <f>HYPERLINK("https://projects.propublica.org/nonprofits/organizations/832671600/202542279349302704/full","view filing")</f>
        <v/>
      </c>
    </row>
    <row r="67">
      <c r="A67" t="inlineStr">
        <is>
          <t>Beth Israel Lahey Health Inc Hcsr</t>
        </is>
      </c>
      <c r="B67" s="20" t="inlineStr">
        <is>
          <t>MA</t>
        </is>
      </c>
      <c r="C67" s="42" t="n">
        <v>0.14</v>
      </c>
      <c r="D67" t="inlineStr">
        <is>
          <t>Healthcare</t>
        </is>
      </c>
      <c r="E67" s="20" t="n">
        <v>2023</v>
      </c>
      <c r="F67" s="20" t="inlineStr"/>
      <c r="G67" t="inlineStr">
        <is>
          <t>Bell James</t>
        </is>
      </c>
      <c r="H67" t="inlineStr">
        <is>
          <t>SVP/CHIEF INVESTMENT OFFICER</t>
        </is>
      </c>
      <c r="I67" t="inlineStr">
        <is>
          <t>CIO</t>
        </is>
      </c>
      <c r="J67" s="21" t="n">
        <v>812574</v>
      </c>
      <c r="K67" s="21" t="n">
        <v>200000</v>
      </c>
      <c r="L67" s="21" t="n">
        <v>1012574</v>
      </c>
      <c r="M67" s="21" t="n">
        <v>40803</v>
      </c>
      <c r="N67" s="21" t="n">
        <v>7320</v>
      </c>
      <c r="O67" s="21" t="n">
        <v>32030</v>
      </c>
      <c r="P67" s="21" t="n">
        <v>1092727</v>
      </c>
      <c r="Q67" s="21" t="n">
        <v>1092727</v>
      </c>
      <c r="R67" s="21">
        <f>IF(Q67="","",Q67*(1+in_GrowthRate)^(YEARFRAC(DATE(2023,9,30),in_AgeToDate)*IF(in_AgeToDate&lt;DATE(2023,9,30),-1,1)+1))</f>
        <v/>
      </c>
      <c r="S67" s="38" t="n">
        <v>0.2461314292605966</v>
      </c>
      <c r="T67" s="43">
        <f>HYPERLINK("https://projects.propublica.org/nonprofits/organizations/832671600/202412279349301811/full","view filing")</f>
        <v/>
      </c>
    </row>
    <row r="68">
      <c r="A68" t="inlineStr">
        <is>
          <t>Bethune-cookman University</t>
        </is>
      </c>
      <c r="B68" s="20" t="inlineStr">
        <is>
          <t>FL</t>
        </is>
      </c>
      <c r="C68" s="42" t="n">
        <v>0.06</v>
      </c>
      <c r="D68" t="inlineStr">
        <is>
          <t>Endowment</t>
        </is>
      </c>
      <c r="E68" s="20" t="n">
        <v>2025</v>
      </c>
      <c r="F68" s="20">
        <f>IF(AND(OR(in_Mode="All Funds",AND(C68&gt;=in_BandFloor,C68&lt;=in_BandCeiling,OR(in_Geography="National",COUNTIFS(lst_GeoPreset,in_Geography,lst_GeoState,B68)&gt;0,AND(in_Geography="Custom",ISNUMBER(SEARCH(B68,SUBSTITUTE(in_CustomStates," ",""))))),OR(AND(D68="Endowment",Inputs!$B$14="Y"),AND(D68="Foundation",Inputs!$B$15="Y"),AND(D68="Healthcare",Inputs!$B$16="Y"),AND(D68="Pension",Inputs!$B$17="Y"),AND(D68="OCIO",Inputs!$B$18="Y"),AND(D68="Other",Inputs!$B$19="Y")))),A68&lt;&gt;in_ClientOrg,NOT(AND(in_ExclHarvard="Y",ISNUMBER(SEARCH("Harvard",A68))))),"Y","")</f>
        <v/>
      </c>
      <c r="G68" t="inlineStr">
        <is>
          <t>James A Cleveland</t>
        </is>
      </c>
      <c r="H68" t="inlineStr">
        <is>
          <t>CHIEF INVESTMENT OFFICER/VP FISCAL AFFAIRS</t>
        </is>
      </c>
      <c r="I68" t="inlineStr">
        <is>
          <t>CIO</t>
        </is>
      </c>
      <c r="J68" s="21" t="n">
        <v>206713</v>
      </c>
      <c r="K68" s="21" t="n"/>
      <c r="L68" s="21" t="n">
        <v>206713</v>
      </c>
      <c r="M68" s="21" t="n"/>
      <c r="N68" s="21" t="n">
        <v>2552</v>
      </c>
      <c r="O68" s="21" t="n">
        <v>386</v>
      </c>
      <c r="P68" s="21" t="n">
        <v>209651</v>
      </c>
      <c r="Q68" s="21" t="n">
        <v>209651</v>
      </c>
      <c r="R68" s="21">
        <f>IF(Q68="","",Q68*(1+in_GrowthRate)^(YEARFRAC(DATE(2025,6,30),in_AgeToDate)*IF(in_AgeToDate&lt;DATE(2025,6,30),-1,1)+1))</f>
        <v/>
      </c>
      <c r="S68" s="38" t="n">
        <v>0</v>
      </c>
      <c r="T68" s="43">
        <f>HYPERLINK("https://projects.propublica.org/nonprofits/organizations/590704726/202611359349301841/full","view filing")</f>
        <v/>
      </c>
    </row>
    <row r="69">
      <c r="A69" t="inlineStr">
        <is>
          <t>Bethune-cookman University</t>
        </is>
      </c>
      <c r="B69" s="20" t="inlineStr">
        <is>
          <t>FL</t>
        </is>
      </c>
      <c r="C69" s="42" t="n">
        <v>0.06</v>
      </c>
      <c r="D69" t="inlineStr">
        <is>
          <t>Endowment</t>
        </is>
      </c>
      <c r="E69" s="20" t="n">
        <v>2024</v>
      </c>
      <c r="F69" s="20" t="inlineStr"/>
      <c r="G69" t="inlineStr">
        <is>
          <t>James A Cleveland</t>
        </is>
      </c>
      <c r="H69" t="inlineStr">
        <is>
          <t>CHIEF INVESTMENT OFFICER/VP OF FISCAL AFFAIRS</t>
        </is>
      </c>
      <c r="I69" t="inlineStr">
        <is>
          <t>CIO</t>
        </is>
      </c>
      <c r="J69" s="21" t="n">
        <v>175000</v>
      </c>
      <c r="K69" s="21" t="n"/>
      <c r="L69" s="21" t="n">
        <v>175000</v>
      </c>
      <c r="M69" s="21" t="n"/>
      <c r="N69" s="21" t="n"/>
      <c r="O69" s="21" t="n">
        <v>18000</v>
      </c>
      <c r="P69" s="21" t="n">
        <v>193000</v>
      </c>
      <c r="Q69" s="21" t="n">
        <v>193000</v>
      </c>
      <c r="R69" s="21">
        <f>IF(Q69="","",Q69*(1+in_GrowthRate)^(YEARFRAC(DATE(2024,6,30),in_AgeToDate)*IF(in_AgeToDate&lt;DATE(2024,6,30),-1,1)+1))</f>
        <v/>
      </c>
      <c r="S69" s="38" t="n">
        <v>0</v>
      </c>
      <c r="T69" s="43">
        <f>HYPERLINK("https://projects.propublica.org/nonprofits/organizations/590704726/202531429349300723/full","view filing")</f>
        <v/>
      </c>
    </row>
    <row r="70">
      <c r="A70" t="inlineStr">
        <is>
          <t>Betterlife</t>
        </is>
      </c>
      <c r="B70" s="20" t="inlineStr">
        <is>
          <t>WI</t>
        </is>
      </c>
      <c r="C70" s="42" t="n">
        <v>0.59</v>
      </c>
      <c r="D70" t="inlineStr">
        <is>
          <t>Other</t>
        </is>
      </c>
      <c r="E70" s="20" t="n">
        <v>2023</v>
      </c>
      <c r="F70" s="20" t="inlineStr"/>
      <c r="G70" t="inlineStr">
        <is>
          <t>Craig A Van Dyke</t>
        </is>
      </c>
      <c r="H70" t="inlineStr">
        <is>
          <t>President/Chief Investment Officer</t>
        </is>
      </c>
      <c r="I70" t="inlineStr">
        <is>
          <t>CIO</t>
        </is>
      </c>
      <c r="J70" s="21" t="n">
        <v>317046</v>
      </c>
      <c r="K70" s="21" t="n">
        <v>45643</v>
      </c>
      <c r="L70" s="21" t="n">
        <v>362689</v>
      </c>
      <c r="M70" s="21" t="n">
        <v>1473</v>
      </c>
      <c r="N70" s="21" t="n">
        <v>40568</v>
      </c>
      <c r="O70" s="21" t="n">
        <v>20886</v>
      </c>
      <c r="P70" s="21" t="n">
        <v>425616</v>
      </c>
      <c r="Q70" s="21" t="n">
        <v>425616</v>
      </c>
      <c r="R70" s="21">
        <f>IF(Q70="","",Q70*(1+in_GrowthRate)^(YEARFRAC(DATE(2023,12,31),in_AgeToDate)*IF(in_AgeToDate&lt;DATE(2023,12,31),-1,1)+1))</f>
        <v/>
      </c>
      <c r="S70" s="38" t="n">
        <v>0.1439633365505321</v>
      </c>
      <c r="T70" s="43">
        <f>HYPERLINK("https://projects.propublica.org/nonprofits/organizations/420594470/202441639349301364/full","view filing")</f>
        <v/>
      </c>
    </row>
    <row r="71">
      <c r="A71" t="inlineStr">
        <is>
          <t>Betterlife</t>
        </is>
      </c>
      <c r="B71" s="20" t="inlineStr">
        <is>
          <t>WI</t>
        </is>
      </c>
      <c r="C71" s="42" t="n">
        <v>0.59</v>
      </c>
      <c r="D71" t="inlineStr">
        <is>
          <t>Other</t>
        </is>
      </c>
      <c r="E71" s="20" t="n">
        <v>2022</v>
      </c>
      <c r="F71" s="20" t="inlineStr"/>
      <c r="G71" t="inlineStr">
        <is>
          <t>Craig A Van Dyke</t>
        </is>
      </c>
      <c r="H71" t="inlineStr">
        <is>
          <t>President/Chief Investment Officer</t>
        </is>
      </c>
      <c r="I71" t="inlineStr">
        <is>
          <t>CIO</t>
        </is>
      </c>
      <c r="J71" s="21" t="n">
        <v>293886</v>
      </c>
      <c r="K71" s="21" t="n">
        <v>38222</v>
      </c>
      <c r="L71" s="21" t="n">
        <v>332108</v>
      </c>
      <c r="M71" s="21" t="n">
        <v>1906</v>
      </c>
      <c r="N71" s="21" t="n">
        <v>44900</v>
      </c>
      <c r="O71" s="21" t="n">
        <v>43300</v>
      </c>
      <c r="P71" s="21" t="n">
        <v>422214</v>
      </c>
      <c r="Q71" s="21" t="n">
        <v>422214</v>
      </c>
      <c r="R71" s="21">
        <f>IF(Q71="","",Q71*(1+in_GrowthRate)^(YEARFRAC(DATE(2022,12,31),in_AgeToDate)*IF(in_AgeToDate&lt;DATE(2022,12,31),-1,1)+1))</f>
        <v/>
      </c>
      <c r="S71" s="38" t="n">
        <v>0.1300572330767713</v>
      </c>
      <c r="T71" s="43">
        <f>HYPERLINK("https://projects.propublica.org/nonprofits/organizations/420594470/202321989349301042/full","view filing")</f>
        <v/>
      </c>
    </row>
    <row r="72">
      <c r="A72" t="inlineStr">
        <is>
          <t>Boilermakers National Health &amp; Welfare Fund</t>
        </is>
      </c>
      <c r="B72" s="20" t="inlineStr">
        <is>
          <t>MN</t>
        </is>
      </c>
      <c r="C72" s="42" t="n">
        <v>1.3</v>
      </c>
      <c r="D72" t="inlineStr">
        <is>
          <t>Pension</t>
        </is>
      </c>
      <c r="E72" s="20" t="n">
        <v>2024</v>
      </c>
      <c r="F72" s="20">
        <f>IF(AND(OR(in_Mode="All Funds",AND(C72&gt;=in_BandFloor,C72&lt;=in_BandCeiling,OR(in_Geography="National",COUNTIFS(lst_GeoPreset,in_Geography,lst_GeoState,B72)&gt;0,AND(in_Geography="Custom",ISNUMBER(SEARCH(B72,SUBSTITUTE(in_CustomStates," ",""))))),OR(AND(D72="Endowment",Inputs!$B$14="Y"),AND(D72="Foundation",Inputs!$B$15="Y"),AND(D72="Healthcare",Inputs!$B$16="Y"),AND(D72="Pension",Inputs!$B$17="Y"),AND(D72="OCIO",Inputs!$B$18="Y"),AND(D72="Other",Inputs!$B$19="Y")))),A72&lt;&gt;in_ClientOrg,NOT(AND(in_ExclHarvard="Y",ISNUMBER(SEARCH("Harvard",A72))))),"Y","")</f>
        <v/>
      </c>
      <c r="G72" t="inlineStr">
        <is>
          <t>Mario Rodriquez</t>
        </is>
      </c>
      <c r="H72" t="inlineStr">
        <is>
          <t>CHIEF INVESTMENT OFFICER</t>
        </is>
      </c>
      <c r="I72" t="inlineStr">
        <is>
          <t>CIO</t>
        </is>
      </c>
      <c r="J72" s="21" t="n">
        <v>100852</v>
      </c>
      <c r="K72" s="21" t="n"/>
      <c r="L72" s="21" t="n">
        <v>100852</v>
      </c>
      <c r="M72" s="21" t="n">
        <v>34269</v>
      </c>
      <c r="N72" s="21" t="n">
        <v>43286</v>
      </c>
      <c r="O72" s="21" t="n">
        <v>4999</v>
      </c>
      <c r="P72" s="21" t="n">
        <v>183406</v>
      </c>
      <c r="Q72" s="21" t="n">
        <v>183406</v>
      </c>
      <c r="R72" s="21">
        <f>IF(Q72="","",Q72*(1+in_GrowthRate)^(YEARFRAC(DATE(2024,12,31),in_AgeToDate)*IF(in_AgeToDate&lt;DATE(2024,12,31),-1,1)+1))</f>
        <v/>
      </c>
      <c r="S72" s="38" t="n">
        <v>0</v>
      </c>
      <c r="T72" s="43">
        <f>HYPERLINK("https://projects.propublica.org/nonprofits/organizations/366090694/202503159349306020/full","view filing")</f>
        <v/>
      </c>
    </row>
    <row r="73">
      <c r="A73" t="inlineStr">
        <is>
          <t>Boilermakers National Health &amp; Welfare Fund</t>
        </is>
      </c>
      <c r="B73" s="20" t="inlineStr">
        <is>
          <t>MN</t>
        </is>
      </c>
      <c r="C73" s="42" t="n">
        <v>1.3</v>
      </c>
      <c r="D73" t="inlineStr">
        <is>
          <t>Pension</t>
        </is>
      </c>
      <c r="E73" s="20" t="n">
        <v>2023</v>
      </c>
      <c r="F73" s="20" t="inlineStr"/>
      <c r="G73" t="inlineStr">
        <is>
          <t>Mario Rodriquez</t>
        </is>
      </c>
      <c r="H73" t="inlineStr">
        <is>
          <t>CHIEF INVESTMENT OFFICER</t>
        </is>
      </c>
      <c r="I73" t="inlineStr">
        <is>
          <t>CIO</t>
        </is>
      </c>
      <c r="J73" s="21" t="n">
        <v>80969</v>
      </c>
      <c r="K73" s="21" t="n"/>
      <c r="L73" s="21" t="n">
        <v>80969</v>
      </c>
      <c r="M73" s="21" t="n">
        <v>26975</v>
      </c>
      <c r="N73" s="21" t="n">
        <v>34341</v>
      </c>
      <c r="O73" s="21" t="n">
        <v>7418</v>
      </c>
      <c r="P73" s="21" t="n">
        <v>149703</v>
      </c>
      <c r="Q73" s="21" t="n">
        <v>149703</v>
      </c>
      <c r="R73" s="21">
        <f>IF(Q73="","",Q73*(1+in_GrowthRate)^(YEARFRAC(DATE(2023,12,31),in_AgeToDate)*IF(in_AgeToDate&lt;DATE(2023,12,31),-1,1)+1))</f>
        <v/>
      </c>
      <c r="S73" s="38" t="n">
        <v>0</v>
      </c>
      <c r="T73" s="43">
        <f>HYPERLINK("https://projects.propublica.org/nonprofits/organizations/366090694/202443169349305164/full","view filing")</f>
        <v/>
      </c>
    </row>
    <row r="74">
      <c r="A74" t="inlineStr">
        <is>
          <t>Boilermakers National Health &amp; Welfare Fund</t>
        </is>
      </c>
      <c r="B74" s="20" t="inlineStr">
        <is>
          <t>MN</t>
        </is>
      </c>
      <c r="C74" s="42" t="n">
        <v>1.3</v>
      </c>
      <c r="D74" t="inlineStr">
        <is>
          <t>Pension</t>
        </is>
      </c>
      <c r="E74" s="20" t="n">
        <v>2022</v>
      </c>
      <c r="F74" s="20" t="inlineStr"/>
      <c r="G74" t="inlineStr">
        <is>
          <t>Mario Rodriquez</t>
        </is>
      </c>
      <c r="H74" t="inlineStr">
        <is>
          <t>CHIEF INVESTMENT OFFICER</t>
        </is>
      </c>
      <c r="I74" t="inlineStr">
        <is>
          <t>CIO</t>
        </is>
      </c>
      <c r="J74" s="21" t="n">
        <v>71066</v>
      </c>
      <c r="K74" s="21" t="n"/>
      <c r="L74" s="21" t="n">
        <v>71066</v>
      </c>
      <c r="M74" s="21" t="n">
        <v>24852</v>
      </c>
      <c r="N74" s="21" t="n">
        <v>31725</v>
      </c>
      <c r="O74" s="21" t="n">
        <v>7275</v>
      </c>
      <c r="P74" s="21" t="n">
        <v>134918</v>
      </c>
      <c r="Q74" s="21" t="n">
        <v>134918</v>
      </c>
      <c r="R74" s="21">
        <f>IF(Q74="","",Q74*(1+in_GrowthRate)^(YEARFRAC(DATE(2022,12,31),in_AgeToDate)*IF(in_AgeToDate&lt;DATE(2022,12,31),-1,1)+1))</f>
        <v/>
      </c>
      <c r="S74" s="38" t="n">
        <v>0</v>
      </c>
      <c r="T74" s="43">
        <f>HYPERLINK("https://projects.propublica.org/nonprofits/organizations/366090694/202303179349302730/full","view filing")</f>
        <v/>
      </c>
    </row>
    <row r="75">
      <c r="A75" t="inlineStr">
        <is>
          <t>Boston College Trustees</t>
        </is>
      </c>
      <c r="B75" s="20" t="inlineStr">
        <is>
          <t>MA</t>
        </is>
      </c>
      <c r="C75" s="42" t="n">
        <v>4.24</v>
      </c>
      <c r="D75" t="inlineStr">
        <is>
          <t>Endowment</t>
        </is>
      </c>
      <c r="E75" s="20" t="n">
        <v>2025</v>
      </c>
      <c r="F75" s="20">
        <f>IF(AND(OR(in_Mode="All Funds",AND(C75&gt;=in_BandFloor,C75&lt;=in_BandCeiling,OR(in_Geography="National",COUNTIFS(lst_GeoPreset,in_Geography,lst_GeoState,B75)&gt;0,AND(in_Geography="Custom",ISNUMBER(SEARCH(B75,SUBSTITUTE(in_CustomStates," ",""))))),OR(AND(D75="Endowment",Inputs!$B$14="Y"),AND(D75="Foundation",Inputs!$B$15="Y"),AND(D75="Healthcare",Inputs!$B$16="Y"),AND(D75="Pension",Inputs!$B$17="Y"),AND(D75="OCIO",Inputs!$B$18="Y"),AND(D75="Other",Inputs!$B$19="Y")))),A75&lt;&gt;in_ClientOrg,NOT(AND(in_ExclHarvard="Y",ISNUMBER(SEARCH("Harvard",A75))))),"Y","")</f>
        <v/>
      </c>
      <c r="G75" t="inlineStr">
        <is>
          <t>John J Zona</t>
        </is>
      </c>
      <c r="H75" t="inlineStr">
        <is>
          <t>CHIEF INVESTMENT OFFICER</t>
        </is>
      </c>
      <c r="I75" t="inlineStr">
        <is>
          <t>CIO</t>
        </is>
      </c>
      <c r="J75" s="21" t="n">
        <v>707386</v>
      </c>
      <c r="K75" s="21" t="n">
        <v>242782</v>
      </c>
      <c r="L75" s="21" t="n">
        <v>950168</v>
      </c>
      <c r="M75" s="21" t="n">
        <v>148762</v>
      </c>
      <c r="N75" s="21" t="n">
        <v>34500</v>
      </c>
      <c r="O75" s="21" t="n">
        <v>46069</v>
      </c>
      <c r="P75" s="21" t="n">
        <v>1179499</v>
      </c>
      <c r="Q75" s="21" t="n">
        <v>956271</v>
      </c>
      <c r="R75" s="21">
        <f>IF(Q75="","",Q75*(1+in_GrowthRate)^(YEARFRAC(DATE(2025,5,31),in_AgeToDate)*IF(in_AgeToDate&lt;DATE(2025,5,31),-1,1)+1))</f>
        <v/>
      </c>
      <c r="S75" s="38" t="n">
        <v>0.3432100720116033</v>
      </c>
      <c r="T75" s="43">
        <f>HYPERLINK("https://projects.propublica.org/nonprofits/organizations/42103545/202620939349301002/full","view filing")</f>
        <v/>
      </c>
    </row>
    <row r="76">
      <c r="A76" t="inlineStr">
        <is>
          <t>Boston College Trustees</t>
        </is>
      </c>
      <c r="B76" s="20" t="inlineStr">
        <is>
          <t>MA</t>
        </is>
      </c>
      <c r="C76" s="42" t="n">
        <v>4.24</v>
      </c>
      <c r="D76" t="inlineStr">
        <is>
          <t>Endowment</t>
        </is>
      </c>
      <c r="E76" s="20" t="n">
        <v>2024</v>
      </c>
      <c r="F76" s="20" t="inlineStr"/>
      <c r="G76" t="inlineStr">
        <is>
          <t>John J Zona</t>
        </is>
      </c>
      <c r="H76" t="inlineStr">
        <is>
          <t>CHIEF INVESTMENT OFFICER</t>
        </is>
      </c>
      <c r="I76" t="inlineStr">
        <is>
          <t>CIO</t>
        </is>
      </c>
      <c r="J76" s="21" t="n">
        <v>655547</v>
      </c>
      <c r="K76" s="21" t="n">
        <v>504186</v>
      </c>
      <c r="L76" s="21" t="n">
        <v>1159733</v>
      </c>
      <c r="M76" s="21" t="n">
        <v>151192</v>
      </c>
      <c r="N76" s="21" t="n">
        <v>256477</v>
      </c>
      <c r="O76" s="21" t="n">
        <v>44153</v>
      </c>
      <c r="P76" s="21" t="n">
        <v>1611555</v>
      </c>
      <c r="Q76" s="21" t="n">
        <v>1364109</v>
      </c>
      <c r="R76" s="21">
        <f>IF(Q76="","",Q76*(1+in_GrowthRate)^(YEARFRAC(DATE(2024,5,31),in_AgeToDate)*IF(in_AgeToDate&lt;DATE(2024,5,31),-1,1)+1))</f>
        <v/>
      </c>
      <c r="S76" s="38" t="n">
        <v>0.7691073256379787</v>
      </c>
      <c r="T76" s="43">
        <f>HYPERLINK("https://projects.propublica.org/nonprofits/organizations/42103545/202520929349301022/full","view filing")</f>
        <v/>
      </c>
    </row>
    <row r="77">
      <c r="A77" t="inlineStr">
        <is>
          <t>Boston College Trustees</t>
        </is>
      </c>
      <c r="B77" s="20" t="inlineStr">
        <is>
          <t>MA</t>
        </is>
      </c>
      <c r="C77" s="42" t="n">
        <v>4.24</v>
      </c>
      <c r="D77" t="inlineStr">
        <is>
          <t>Endowment</t>
        </is>
      </c>
      <c r="E77" s="20" t="n">
        <v>2023</v>
      </c>
      <c r="F77" s="20" t="inlineStr"/>
      <c r="G77" t="inlineStr">
        <is>
          <t>John J Zona</t>
        </is>
      </c>
      <c r="H77" t="inlineStr">
        <is>
          <t>CIO &amp; ASSOC TREAS</t>
        </is>
      </c>
      <c r="I77" t="inlineStr">
        <is>
          <t>CIO</t>
        </is>
      </c>
      <c r="J77" s="21" t="n">
        <v>629865</v>
      </c>
      <c r="K77" s="21" t="n">
        <v>293225</v>
      </c>
      <c r="L77" s="21" t="n">
        <v>923090</v>
      </c>
      <c r="M77" s="21" t="n">
        <v>126274</v>
      </c>
      <c r="N77" s="21" t="n">
        <v>253729</v>
      </c>
      <c r="O77" s="21" t="n">
        <v>42324</v>
      </c>
      <c r="P77" s="21" t="n">
        <v>1345417</v>
      </c>
      <c r="Q77" s="21" t="n">
        <v>1331064</v>
      </c>
      <c r="R77" s="21">
        <f>IF(Q77="","",Q77*(1+in_GrowthRate)^(YEARFRAC(DATE(2023,5,31),in_AgeToDate)*IF(in_AgeToDate&lt;DATE(2023,5,31),-1,1)+1))</f>
        <v/>
      </c>
      <c r="S77" s="38" t="n">
        <v>0.465536265707731</v>
      </c>
      <c r="T77" s="43">
        <f>HYPERLINK("https://projects.propublica.org/nonprofits/organizations/42103545/202421029349300622/full","view filing")</f>
        <v/>
      </c>
    </row>
    <row r="78">
      <c r="A78" t="inlineStr">
        <is>
          <t>Boston College Trustees</t>
        </is>
      </c>
      <c r="B78" s="20" t="inlineStr">
        <is>
          <t>MA</t>
        </is>
      </c>
      <c r="C78" s="42" t="n">
        <v>4.24</v>
      </c>
      <c r="D78" t="inlineStr">
        <is>
          <t>Endowment</t>
        </is>
      </c>
      <c r="E78" s="20" t="n">
        <v>2022</v>
      </c>
      <c r="F78" s="20" t="inlineStr"/>
      <c r="G78" t="inlineStr">
        <is>
          <t>John J Zona</t>
        </is>
      </c>
      <c r="H78" t="inlineStr">
        <is>
          <t>CIO &amp; ASSOC TREAS</t>
        </is>
      </c>
      <c r="I78" t="inlineStr">
        <is>
          <t>CIO</t>
        </is>
      </c>
      <c r="J78" s="21" t="n">
        <v>611503</v>
      </c>
      <c r="K78" s="21" t="n">
        <v>565985</v>
      </c>
      <c r="L78" s="21" t="n">
        <v>1177488</v>
      </c>
      <c r="M78" s="21" t="n">
        <v>20742</v>
      </c>
      <c r="N78" s="21" t="n">
        <v>276446</v>
      </c>
      <c r="O78" s="21" t="n">
        <v>99743</v>
      </c>
      <c r="P78" s="21" t="n">
        <v>1574419</v>
      </c>
      <c r="Q78" s="21" t="n">
        <v>1398002</v>
      </c>
      <c r="R78" s="21">
        <f>IF(Q78="","",Q78*(1+in_GrowthRate)^(YEARFRAC(DATE(2022,5,31),in_AgeToDate)*IF(in_AgeToDate&lt;DATE(2022,5,31),-1,1)+1))</f>
        <v/>
      </c>
      <c r="S78" s="38" t="n">
        <v>0.9255637339473396</v>
      </c>
      <c r="T78" s="43">
        <f>HYPERLINK("https://projects.propublica.org/nonprofits/organizations/42103545/202301049349301110/full","view filing")</f>
        <v/>
      </c>
    </row>
    <row r="79">
      <c r="A79" t="inlineStr">
        <is>
          <t>Bowdoin College</t>
        </is>
      </c>
      <c r="B79" s="20" t="inlineStr">
        <is>
          <t>ME</t>
        </is>
      </c>
      <c r="C79" s="42" t="n">
        <v>2.92</v>
      </c>
      <c r="D79" t="inlineStr">
        <is>
          <t>Endowment</t>
        </is>
      </c>
      <c r="E79" s="20" t="n">
        <v>2025</v>
      </c>
      <c r="F79" s="20">
        <f>IF(AND(OR(in_Mode="All Funds",AND(C79&gt;=in_BandFloor,C79&lt;=in_BandCeiling,OR(in_Geography="National",COUNTIFS(lst_GeoPreset,in_Geography,lst_GeoState,B79)&gt;0,AND(in_Geography="Custom",ISNUMBER(SEARCH(B79,SUBSTITUTE(in_CustomStates," ",""))))),OR(AND(D79="Endowment",Inputs!$B$14="Y"),AND(D79="Foundation",Inputs!$B$15="Y"),AND(D79="Healthcare",Inputs!$B$16="Y"),AND(D79="Pension",Inputs!$B$17="Y"),AND(D79="OCIO",Inputs!$B$18="Y"),AND(D79="Other",Inputs!$B$19="Y")))),A79&lt;&gt;in_ClientOrg,NOT(AND(in_ExclHarvard="Y",ISNUMBER(SEARCH("Harvard",A79))))),"Y","")</f>
        <v/>
      </c>
      <c r="G79" t="inlineStr">
        <is>
          <t>K Niles Bryant</t>
        </is>
      </c>
      <c r="H79" t="inlineStr">
        <is>
          <t>SVP/CHIEF INVESTMENTS OFFICER</t>
        </is>
      </c>
      <c r="I79" t="inlineStr">
        <is>
          <t>CIO</t>
        </is>
      </c>
      <c r="J79" s="21" t="n">
        <v>872801</v>
      </c>
      <c r="K79" s="21" t="n">
        <v>1200000</v>
      </c>
      <c r="L79" s="21" t="n">
        <v>2072801</v>
      </c>
      <c r="M79" s="21" t="n">
        <v>2928</v>
      </c>
      <c r="N79" s="21" t="n">
        <v>48927</v>
      </c>
      <c r="O79" s="21" t="n">
        <v>19163</v>
      </c>
      <c r="P79" s="21" t="n">
        <v>2143819</v>
      </c>
      <c r="Q79" s="21" t="n">
        <v>2143819</v>
      </c>
      <c r="R79" s="21">
        <f>IF(Q79="","",Q79*(1+in_GrowthRate)^(YEARFRAC(DATE(2025,6,30),in_AgeToDate)*IF(in_AgeToDate&lt;DATE(2025,6,30),-1,1)+1))</f>
        <v/>
      </c>
      <c r="S79" s="38" t="n">
        <v>1.374883850958008</v>
      </c>
      <c r="T79" s="43">
        <f>HYPERLINK("https://projects.propublica.org/nonprofits/organizations/10215213/202611329349306966/full","view filing")</f>
        <v/>
      </c>
    </row>
    <row r="80">
      <c r="A80" t="inlineStr">
        <is>
          <t>Bowdoin College</t>
        </is>
      </c>
      <c r="B80" s="20" t="inlineStr">
        <is>
          <t>ME</t>
        </is>
      </c>
      <c r="C80" s="42" t="n">
        <v>2.92</v>
      </c>
      <c r="D80" t="inlineStr">
        <is>
          <t>Endowment</t>
        </is>
      </c>
      <c r="E80" s="20" t="n">
        <v>2024</v>
      </c>
      <c r="F80" s="20" t="inlineStr"/>
      <c r="G80" t="inlineStr">
        <is>
          <t>K Niles Bryant</t>
        </is>
      </c>
      <c r="H80" t="inlineStr">
        <is>
          <t>SVP/CHIEF INVESTMENTS OFFICER</t>
        </is>
      </c>
      <c r="I80" t="inlineStr">
        <is>
          <t>CIO</t>
        </is>
      </c>
      <c r="J80" s="21" t="n">
        <v>633736</v>
      </c>
      <c r="K80" s="21" t="n">
        <v>1200000</v>
      </c>
      <c r="L80" s="21" t="n">
        <v>1833736</v>
      </c>
      <c r="M80" s="21" t="n">
        <v>1890</v>
      </c>
      <c r="N80" s="21" t="n">
        <v>43453</v>
      </c>
      <c r="O80" s="21" t="n">
        <v>18983</v>
      </c>
      <c r="P80" s="21" t="n">
        <v>1898062</v>
      </c>
      <c r="Q80" s="21" t="n">
        <v>1898062</v>
      </c>
      <c r="R80" s="21">
        <f>IF(Q80="","",Q80*(1+in_GrowthRate)^(YEARFRAC(DATE(2024,6,30),in_AgeToDate)*IF(in_AgeToDate&lt;DATE(2024,6,30),-1,1)+1))</f>
        <v/>
      </c>
      <c r="S80" s="38" t="n">
        <v>1.893532953785172</v>
      </c>
      <c r="T80" s="43">
        <f>HYPERLINK("https://projects.propublica.org/nonprofits/organizations/10215213/202531329349302018/full","view filing")</f>
        <v/>
      </c>
    </row>
    <row r="81">
      <c r="A81" t="inlineStr">
        <is>
          <t>Bowdoin College</t>
        </is>
      </c>
      <c r="B81" s="20" t="inlineStr">
        <is>
          <t>ME</t>
        </is>
      </c>
      <c r="C81" s="42" t="n">
        <v>2.92</v>
      </c>
      <c r="D81" t="inlineStr">
        <is>
          <t>Endowment</t>
        </is>
      </c>
      <c r="E81" s="20" t="n">
        <v>2023</v>
      </c>
      <c r="F81" s="20" t="inlineStr"/>
      <c r="G81" t="inlineStr">
        <is>
          <t>K Niles Bryant</t>
        </is>
      </c>
      <c r="H81" t="inlineStr">
        <is>
          <t>SVP/CHIEF INVESTMENTS OFFICER</t>
        </is>
      </c>
      <c r="I81" t="inlineStr">
        <is>
          <t>CIO</t>
        </is>
      </c>
      <c r="J81" s="21" t="n">
        <v>601850</v>
      </c>
      <c r="K81" s="21" t="n">
        <v>1200000</v>
      </c>
      <c r="L81" s="21" t="n">
        <v>1801850</v>
      </c>
      <c r="M81" s="21" t="n">
        <v>2840</v>
      </c>
      <c r="N81" s="21" t="n">
        <v>40188</v>
      </c>
      <c r="O81" s="21" t="n">
        <v>29306</v>
      </c>
      <c r="P81" s="21" t="n">
        <v>1874184</v>
      </c>
      <c r="Q81" s="21" t="n">
        <v>1874184</v>
      </c>
      <c r="R81" s="21">
        <f>IF(Q81="","",Q81*(1+in_GrowthRate)^(YEARFRAC(DATE(2023,6,30),in_AgeToDate)*IF(in_AgeToDate&lt;DATE(2023,6,30),-1,1)+1))</f>
        <v/>
      </c>
      <c r="S81" s="38" t="n">
        <v>1.993852288776273</v>
      </c>
      <c r="T81" s="43">
        <f>HYPERLINK("https://projects.propublica.org/nonprofits/organizations/10215213/202411359349306506/full","view filing")</f>
        <v/>
      </c>
    </row>
    <row r="82">
      <c r="A82" t="inlineStr">
        <is>
          <t>Bowdoin College</t>
        </is>
      </c>
      <c r="B82" s="20" t="inlineStr">
        <is>
          <t>ME</t>
        </is>
      </c>
      <c r="C82" s="42" t="n">
        <v>2.92</v>
      </c>
      <c r="D82" t="inlineStr">
        <is>
          <t>Endowment</t>
        </is>
      </c>
      <c r="E82" s="20" t="n">
        <v>2022</v>
      </c>
      <c r="F82" s="20" t="inlineStr"/>
      <c r="G82" t="inlineStr">
        <is>
          <t>Paula Volent</t>
        </is>
      </c>
      <c r="H82" t="inlineStr">
        <is>
          <t>SVP/CHIEF INVESTMENT OFFICER</t>
        </is>
      </c>
      <c r="I82" t="inlineStr">
        <is>
          <t>CIO</t>
        </is>
      </c>
      <c r="J82" s="21" t="n">
        <v>953992</v>
      </c>
      <c r="K82" s="21" t="n">
        <v>1300000</v>
      </c>
      <c r="L82" s="21" t="n">
        <v>2253992</v>
      </c>
      <c r="M82" s="21" t="n">
        <v>398451</v>
      </c>
      <c r="N82" s="21" t="n"/>
      <c r="O82" s="21" t="n">
        <v>10549</v>
      </c>
      <c r="P82" s="21" t="n">
        <v>2662992</v>
      </c>
      <c r="Q82" s="21" t="n">
        <v>2662992</v>
      </c>
      <c r="R82" s="21">
        <f>IF(Q82="","",Q82*(1+in_GrowthRate)^(YEARFRAC(DATE(2022,6,30),in_AgeToDate)*IF(in_AgeToDate&lt;DATE(2022,6,30),-1,1)+1))</f>
        <v/>
      </c>
      <c r="S82" s="38" t="n">
        <v>1.362694865365747</v>
      </c>
      <c r="T82" s="43">
        <f>HYPERLINK("https://projects.propublica.org/nonprofits/organizations/10215213/202311329349305061/full","view filing")</f>
        <v/>
      </c>
    </row>
    <row r="83">
      <c r="A83" t="inlineStr">
        <is>
          <t>Boy Scouts Of America</t>
        </is>
      </c>
      <c r="B83" s="20" t="inlineStr">
        <is>
          <t>TX</t>
        </is>
      </c>
      <c r="C83" s="42" t="n">
        <v>0.23</v>
      </c>
      <c r="D83" t="inlineStr">
        <is>
          <t>Other</t>
        </is>
      </c>
      <c r="E83" s="20" t="n">
        <v>2024</v>
      </c>
      <c r="F83" s="20">
        <f>IF(AND(OR(in_Mode="All Funds",AND(C83&gt;=in_BandFloor,C83&lt;=in_BandCeiling,OR(in_Geography="National",COUNTIFS(lst_GeoPreset,in_Geography,lst_GeoState,B83)&gt;0,AND(in_Geography="Custom",ISNUMBER(SEARCH(B83,SUBSTITUTE(in_CustomStates," ",""))))),OR(AND(D83="Endowment",Inputs!$B$14="Y"),AND(D83="Foundation",Inputs!$B$15="Y"),AND(D83="Healthcare",Inputs!$B$16="Y"),AND(D83="Pension",Inputs!$B$17="Y"),AND(D83="OCIO",Inputs!$B$18="Y"),AND(D83="Other",Inputs!$B$19="Y")))),A83&lt;&gt;in_ClientOrg,NOT(AND(in_ExclHarvard="Y",ISNUMBER(SEARCH("Harvard",A83))))),"Y","")</f>
        <v/>
      </c>
      <c r="G83" t="inlineStr">
        <is>
          <t>Faisal Rajani</t>
        </is>
      </c>
      <c r="H83" t="inlineStr">
        <is>
          <t>SVP Chief Investment Officer * BSAAM Operations-Reimbursable</t>
        </is>
      </c>
      <c r="I83" t="inlineStr">
        <is>
          <t>CIO</t>
        </is>
      </c>
      <c r="J83" s="21" t="n">
        <v>294414</v>
      </c>
      <c r="K83" s="21" t="n">
        <v>30000</v>
      </c>
      <c r="L83" s="21" t="n">
        <v>324414</v>
      </c>
      <c r="M83" s="21" t="n"/>
      <c r="N83" s="21" t="n">
        <v>10149</v>
      </c>
      <c r="O83" s="21" t="n">
        <v>37812</v>
      </c>
      <c r="P83" s="21" t="n">
        <v>366421</v>
      </c>
      <c r="Q83" s="21" t="n">
        <v>366421</v>
      </c>
      <c r="R83" s="21">
        <f>IF(Q83="","",Q83*(1+in_GrowthRate)^(YEARFRAC(DATE(2024,12,31),in_AgeToDate)*IF(in_AgeToDate&lt;DATE(2024,12,31),-1,1)+1))</f>
        <v/>
      </c>
      <c r="S83" s="38" t="n">
        <v>0.1018973282520532</v>
      </c>
      <c r="T83" s="43">
        <f>HYPERLINK("https://projects.propublica.org/nonprofits/organizations/221576300/202523219349326702/full","view filing")</f>
        <v/>
      </c>
    </row>
    <row r="84">
      <c r="A84" t="inlineStr">
        <is>
          <t>Boy Scouts Of America</t>
        </is>
      </c>
      <c r="B84" s="20" t="inlineStr">
        <is>
          <t>TX</t>
        </is>
      </c>
      <c r="C84" s="42" t="n">
        <v>0.23</v>
      </c>
      <c r="D84" t="inlineStr">
        <is>
          <t>Other</t>
        </is>
      </c>
      <c r="E84" s="20" t="n">
        <v>2023</v>
      </c>
      <c r="F84" s="20" t="inlineStr"/>
      <c r="G84" t="inlineStr">
        <is>
          <t>Faisal Rajani</t>
        </is>
      </c>
      <c r="H84" t="inlineStr">
        <is>
          <t>SVP Chief Investment Officer</t>
        </is>
      </c>
      <c r="I84" t="inlineStr">
        <is>
          <t>CIO</t>
        </is>
      </c>
      <c r="J84" s="21" t="n">
        <v>293826</v>
      </c>
      <c r="K84" s="21" t="n">
        <v>30000</v>
      </c>
      <c r="L84" s="21" t="n">
        <v>323826</v>
      </c>
      <c r="M84" s="21" t="n"/>
      <c r="N84" s="21" t="n">
        <v>9900</v>
      </c>
      <c r="O84" s="21" t="n">
        <v>36723</v>
      </c>
      <c r="P84" s="21" t="n">
        <v>365041</v>
      </c>
      <c r="Q84" s="21" t="n">
        <v>365041</v>
      </c>
      <c r="R84" s="21">
        <f>IF(Q84="","",Q84*(1+in_GrowthRate)^(YEARFRAC(DATE(2023,12,31),in_AgeToDate)*IF(in_AgeToDate&lt;DATE(2023,12,31),-1,1)+1))</f>
        <v/>
      </c>
      <c r="S84" s="38" t="n">
        <v>0.102101243593147</v>
      </c>
      <c r="T84" s="43">
        <f>HYPERLINK("https://projects.propublica.org/nonprofits/organizations/221576300/202403199349317385/full","view filing")</f>
        <v/>
      </c>
    </row>
    <row r="85">
      <c r="A85" t="inlineStr">
        <is>
          <t>Boy Scouts Of America</t>
        </is>
      </c>
      <c r="B85" s="20" t="inlineStr">
        <is>
          <t>TX</t>
        </is>
      </c>
      <c r="C85" s="42" t="n">
        <v>0.23</v>
      </c>
      <c r="D85" t="inlineStr">
        <is>
          <t>Other</t>
        </is>
      </c>
      <c r="E85" s="20" t="n">
        <v>2022</v>
      </c>
      <c r="F85" s="20" t="inlineStr"/>
      <c r="G85" t="inlineStr">
        <is>
          <t>Faisal Rajani</t>
        </is>
      </c>
      <c r="H85" t="inlineStr">
        <is>
          <t>SVP Chief Investment Officer</t>
        </is>
      </c>
      <c r="I85" t="inlineStr">
        <is>
          <t>CIO</t>
        </is>
      </c>
      <c r="J85" s="21" t="n">
        <v>279094</v>
      </c>
      <c r="K85" s="21" t="n"/>
      <c r="L85" s="21" t="n">
        <v>279094</v>
      </c>
      <c r="M85" s="21" t="n">
        <v>2340</v>
      </c>
      <c r="N85" s="21" t="n">
        <v>9000</v>
      </c>
      <c r="O85" s="21" t="n">
        <v>36783</v>
      </c>
      <c r="P85" s="21" t="n">
        <v>327217</v>
      </c>
      <c r="Q85" s="21" t="n">
        <v>327217</v>
      </c>
      <c r="R85" s="21">
        <f>IF(Q85="","",Q85*(1+in_GrowthRate)^(YEARFRAC(DATE(2022,12,31),in_AgeToDate)*IF(in_AgeToDate&lt;DATE(2022,12,31),-1,1)+1))</f>
        <v/>
      </c>
      <c r="S85" s="38" t="n">
        <v>0</v>
      </c>
      <c r="T85" s="43">
        <f>HYPERLINK("https://projects.propublica.org/nonprofits/organizations/221576300/202323199349305142/full","view filing")</f>
        <v/>
      </c>
    </row>
    <row r="86">
      <c r="A86" t="inlineStr">
        <is>
          <t>Brandeis University</t>
        </is>
      </c>
      <c r="B86" s="20" t="inlineStr">
        <is>
          <t>MA</t>
        </is>
      </c>
      <c r="C86" s="42" t="n">
        <v>1.36</v>
      </c>
      <c r="D86" t="inlineStr">
        <is>
          <t>Endowment</t>
        </is>
      </c>
      <c r="E86" s="20" t="n">
        <v>2025</v>
      </c>
      <c r="F86" s="20">
        <f>IF(AND(OR(in_Mode="All Funds",AND(C86&gt;=in_BandFloor,C86&lt;=in_BandCeiling,OR(in_Geography="National",COUNTIFS(lst_GeoPreset,in_Geography,lst_GeoState,B86)&gt;0,AND(in_Geography="Custom",ISNUMBER(SEARCH(B86,SUBSTITUTE(in_CustomStates," ",""))))),OR(AND(D86="Endowment",Inputs!$B$14="Y"),AND(D86="Foundation",Inputs!$B$15="Y"),AND(D86="Healthcare",Inputs!$B$16="Y"),AND(D86="Pension",Inputs!$B$17="Y"),AND(D86="OCIO",Inputs!$B$18="Y"),AND(D86="Other",Inputs!$B$19="Y")))),A86&lt;&gt;in_ClientOrg,NOT(AND(in_ExclHarvard="Y",ISNUMBER(SEARCH("Harvard",A86))))),"Y","")</f>
        <v/>
      </c>
      <c r="G86" t="inlineStr">
        <is>
          <t>Tarek Saghir</t>
        </is>
      </c>
      <c r="H86" t="inlineStr">
        <is>
          <t>CHIEF INVESTMENT OFFICER</t>
        </is>
      </c>
      <c r="I86" t="inlineStr">
        <is>
          <t>CIO</t>
        </is>
      </c>
      <c r="J86" s="21" t="n">
        <v>678356</v>
      </c>
      <c r="K86" s="21" t="n"/>
      <c r="L86" s="21" t="n">
        <v>678356</v>
      </c>
      <c r="M86" s="21" t="n">
        <v>29540</v>
      </c>
      <c r="N86" s="21" t="n">
        <v>27600</v>
      </c>
      <c r="O86" s="21" t="n">
        <v>42055</v>
      </c>
      <c r="P86" s="21" t="n">
        <v>777551</v>
      </c>
      <c r="Q86" s="21" t="n">
        <v>777551</v>
      </c>
      <c r="R86" s="21">
        <f>IF(Q86="","",Q86*(1+in_GrowthRate)^(YEARFRAC(DATE(2025,6,30),in_AgeToDate)*IF(in_AgeToDate&lt;DATE(2025,6,30),-1,1)+1))</f>
        <v/>
      </c>
      <c r="S86" s="38" t="n">
        <v>0</v>
      </c>
      <c r="T86" s="43">
        <f>HYPERLINK("https://projects.propublica.org/nonprofits/organizations/42103552/202611319349301651/full","view filing")</f>
        <v/>
      </c>
    </row>
    <row r="87">
      <c r="A87" t="inlineStr">
        <is>
          <t>Brandeis University</t>
        </is>
      </c>
      <c r="B87" s="20" t="inlineStr">
        <is>
          <t>MA</t>
        </is>
      </c>
      <c r="C87" s="42" t="n">
        <v>1.36</v>
      </c>
      <c r="D87" t="inlineStr">
        <is>
          <t>Endowment</t>
        </is>
      </c>
      <c r="E87" s="20" t="n">
        <v>2024</v>
      </c>
      <c r="F87" s="20" t="inlineStr"/>
      <c r="G87" t="inlineStr">
        <is>
          <t>Tarek Saghir</t>
        </is>
      </c>
      <c r="H87" t="inlineStr">
        <is>
          <t>CHIEF INVESTMENT OFFICER</t>
        </is>
      </c>
      <c r="I87" t="inlineStr">
        <is>
          <t>CIO</t>
        </is>
      </c>
      <c r="J87" s="21" t="n">
        <v>666137</v>
      </c>
      <c r="K87" s="21" t="n"/>
      <c r="L87" s="21" t="n">
        <v>666137</v>
      </c>
      <c r="M87" s="21" t="n">
        <v>28498</v>
      </c>
      <c r="N87" s="21" t="n">
        <v>26400</v>
      </c>
      <c r="O87" s="21" t="n">
        <v>44075</v>
      </c>
      <c r="P87" s="21" t="n">
        <v>765110</v>
      </c>
      <c r="Q87" s="21" t="n">
        <v>765110</v>
      </c>
      <c r="R87" s="21">
        <f>IF(Q87="","",Q87*(1+in_GrowthRate)^(YEARFRAC(DATE(2024,6,30),in_AgeToDate)*IF(in_AgeToDate&lt;DATE(2024,6,30),-1,1)+1))</f>
        <v/>
      </c>
      <c r="S87" s="38" t="n">
        <v>0</v>
      </c>
      <c r="T87" s="43">
        <f>HYPERLINK("https://projects.propublica.org/nonprofits/organizations/42103552/202541359349300144/full","view filing")</f>
        <v/>
      </c>
    </row>
    <row r="88">
      <c r="A88" t="inlineStr">
        <is>
          <t>Brookings Institution</t>
        </is>
      </c>
      <c r="B88" s="20" t="inlineStr">
        <is>
          <t>DC</t>
        </is>
      </c>
      <c r="C88" s="42" t="n">
        <v>0.47</v>
      </c>
      <c r="D88" t="inlineStr">
        <is>
          <t>Other</t>
        </is>
      </c>
      <c r="E88" s="20" t="n">
        <v>2025</v>
      </c>
      <c r="F88" s="20">
        <f>IF(AND(OR(in_Mode="All Funds",AND(C88&gt;=in_BandFloor,C88&lt;=in_BandCeiling,OR(in_Geography="National",COUNTIFS(lst_GeoPreset,in_Geography,lst_GeoState,B88)&gt;0,AND(in_Geography="Custom",ISNUMBER(SEARCH(B88,SUBSTITUTE(in_CustomStates," ",""))))),OR(AND(D88="Endowment",Inputs!$B$14="Y"),AND(D88="Foundation",Inputs!$B$15="Y"),AND(D88="Healthcare",Inputs!$B$16="Y"),AND(D88="Pension",Inputs!$B$17="Y"),AND(D88="OCIO",Inputs!$B$18="Y"),AND(D88="Other",Inputs!$B$19="Y")))),A88&lt;&gt;in_ClientOrg,NOT(AND(in_ExclHarvard="Y",ISNUMBER(SEARCH("Harvard",A88))))),"Y","")</f>
        <v/>
      </c>
      <c r="G88" t="inlineStr">
        <is>
          <t>Catherine A Piez</t>
        </is>
      </c>
      <c r="H88" t="inlineStr">
        <is>
          <t>CHIEF INVESTMENT OFFICER</t>
        </is>
      </c>
      <c r="I88" t="inlineStr">
        <is>
          <t>CIO</t>
        </is>
      </c>
      <c r="J88" s="21" t="n">
        <v>426621</v>
      </c>
      <c r="K88" s="21" t="n">
        <v>21250</v>
      </c>
      <c r="L88" s="21" t="n">
        <v>447871</v>
      </c>
      <c r="M88" s="21" t="n"/>
      <c r="N88" s="21" t="n">
        <v>52100</v>
      </c>
      <c r="O88" s="21" t="n">
        <v>48158</v>
      </c>
      <c r="P88" s="21" t="n">
        <v>548129</v>
      </c>
      <c r="Q88" s="21" t="n">
        <v>548129</v>
      </c>
      <c r="R88" s="21">
        <f>IF(Q88="","",Q88*(1+in_GrowthRate)^(YEARFRAC(DATE(2025,6,30),in_AgeToDate)*IF(in_AgeToDate&lt;DATE(2025,6,30),-1,1)+1))</f>
        <v/>
      </c>
      <c r="S88" s="38" t="n">
        <v>0.04981001872856704</v>
      </c>
      <c r="T88" s="43">
        <f>HYPERLINK("https://projects.propublica.org/nonprofits/organizations/530196577/202601359349300310/full","view filing")</f>
        <v/>
      </c>
    </row>
    <row r="89">
      <c r="A89" t="inlineStr">
        <is>
          <t>Brookings Institution</t>
        </is>
      </c>
      <c r="B89" s="20" t="inlineStr">
        <is>
          <t>DC</t>
        </is>
      </c>
      <c r="C89" s="42" t="n">
        <v>0.47</v>
      </c>
      <c r="D89" t="inlineStr">
        <is>
          <t>Other</t>
        </is>
      </c>
      <c r="E89" s="20" t="n">
        <v>2024</v>
      </c>
      <c r="F89" s="20" t="inlineStr"/>
      <c r="G89" t="inlineStr">
        <is>
          <t>Catherine A Piez</t>
        </is>
      </c>
      <c r="H89" t="inlineStr">
        <is>
          <t>CHIEF INVESTMENT OFFICER</t>
        </is>
      </c>
      <c r="I89" t="inlineStr">
        <is>
          <t>CIO</t>
        </is>
      </c>
      <c r="J89" s="21" t="n">
        <v>401896</v>
      </c>
      <c r="K89" s="21" t="n">
        <v>19110</v>
      </c>
      <c r="L89" s="21" t="n">
        <v>421006</v>
      </c>
      <c r="M89" s="21" t="n">
        <v>990</v>
      </c>
      <c r="N89" s="21" t="n">
        <v>39600</v>
      </c>
      <c r="O89" s="21" t="n">
        <v>28385</v>
      </c>
      <c r="P89" s="21" t="n">
        <v>489981</v>
      </c>
      <c r="Q89" s="21" t="n">
        <v>489981</v>
      </c>
      <c r="R89" s="21">
        <f>IF(Q89="","",Q89*(1+in_GrowthRate)^(YEARFRAC(DATE(2024,6,30),in_AgeToDate)*IF(in_AgeToDate&lt;DATE(2024,6,30),-1,1)+1))</f>
        <v/>
      </c>
      <c r="S89" s="38" t="n">
        <v>0.04754961482572606</v>
      </c>
      <c r="T89" s="43">
        <f>HYPERLINK("https://projects.propublica.org/nonprofits/organizations/530196577/202531349349306718/full","view filing")</f>
        <v/>
      </c>
    </row>
    <row r="90">
      <c r="A90" t="inlineStr">
        <is>
          <t>Brookings Institution</t>
        </is>
      </c>
      <c r="B90" s="20" t="inlineStr">
        <is>
          <t>DC</t>
        </is>
      </c>
      <c r="C90" s="42" t="n">
        <v>0.47</v>
      </c>
      <c r="D90" t="inlineStr">
        <is>
          <t>Other</t>
        </is>
      </c>
      <c r="E90" s="20" t="n">
        <v>2023</v>
      </c>
      <c r="F90" s="20" t="inlineStr"/>
      <c r="G90" t="inlineStr">
        <is>
          <t>Catherine A Piez</t>
        </is>
      </c>
      <c r="H90" t="inlineStr">
        <is>
          <t>CHIEF INVESTMENT OFFICER</t>
        </is>
      </c>
      <c r="I90" t="inlineStr">
        <is>
          <t>CIO</t>
        </is>
      </c>
      <c r="J90" s="21" t="n">
        <v>372327</v>
      </c>
      <c r="K90" s="21" t="n">
        <v>6000</v>
      </c>
      <c r="L90" s="21" t="n">
        <v>378327</v>
      </c>
      <c r="M90" s="21" t="n">
        <v>645</v>
      </c>
      <c r="N90" s="21" t="n">
        <v>36600</v>
      </c>
      <c r="O90" s="21" t="n">
        <v>27022</v>
      </c>
      <c r="P90" s="21" t="n">
        <v>442594</v>
      </c>
      <c r="Q90" s="21" t="n">
        <v>442594</v>
      </c>
      <c r="R90" s="21">
        <f>IF(Q90="","",Q90*(1+in_GrowthRate)^(YEARFRAC(DATE(2023,6,30),in_AgeToDate)*IF(in_AgeToDate&lt;DATE(2023,6,30),-1,1)+1))</f>
        <v/>
      </c>
      <c r="S90" s="38" t="n">
        <v>0.01611486677033898</v>
      </c>
      <c r="T90" s="43">
        <f>HYPERLINK("https://projects.propublica.org/nonprofits/organizations/530196577/202441309349303914/full","view filing")</f>
        <v/>
      </c>
    </row>
    <row r="91">
      <c r="A91" t="inlineStr">
        <is>
          <t>Brookings Institution</t>
        </is>
      </c>
      <c r="B91" s="20" t="inlineStr">
        <is>
          <t>DC</t>
        </is>
      </c>
      <c r="C91" s="42" t="n">
        <v>0.47</v>
      </c>
      <c r="D91" t="inlineStr">
        <is>
          <t>Other</t>
        </is>
      </c>
      <c r="E91" s="20" t="n">
        <v>2022</v>
      </c>
      <c r="F91" s="20" t="inlineStr"/>
      <c r="G91" t="inlineStr">
        <is>
          <t>Catherine A Piez</t>
        </is>
      </c>
      <c r="H91" t="inlineStr">
        <is>
          <t>CHIEF INVESTMENT OFFICER</t>
        </is>
      </c>
      <c r="I91" t="inlineStr">
        <is>
          <t>CIO</t>
        </is>
      </c>
      <c r="J91" s="21" t="n">
        <v>358895</v>
      </c>
      <c r="K91" s="21" t="n">
        <v>6000</v>
      </c>
      <c r="L91" s="21" t="n">
        <v>364895</v>
      </c>
      <c r="M91" s="21" t="n">
        <v>858</v>
      </c>
      <c r="N91" s="21" t="n">
        <v>34800</v>
      </c>
      <c r="O91" s="21" t="n">
        <v>27179</v>
      </c>
      <c r="P91" s="21" t="n">
        <v>427732</v>
      </c>
      <c r="Q91" s="21" t="n">
        <v>427732</v>
      </c>
      <c r="R91" s="21">
        <f>IF(Q91="","",Q91*(1+in_GrowthRate)^(YEARFRAC(DATE(2022,6,30),in_AgeToDate)*IF(in_AgeToDate&lt;DATE(2022,6,30),-1,1)+1))</f>
        <v/>
      </c>
      <c r="S91" s="38" t="n">
        <v>0.01671798158235696</v>
      </c>
      <c r="T91" s="43">
        <f>HYPERLINK("https://projects.propublica.org/nonprofits/organizations/530196577/202301239349300125/full","view filing")</f>
        <v/>
      </c>
    </row>
    <row r="92">
      <c r="A92" t="inlineStr">
        <is>
          <t>Brown Foundation Inc</t>
        </is>
      </c>
      <c r="B92" s="20" t="inlineStr">
        <is>
          <t>TX</t>
        </is>
      </c>
      <c r="C92" s="42" t="n">
        <v>2.11</v>
      </c>
      <c r="D92" t="inlineStr">
        <is>
          <t>Foundation</t>
        </is>
      </c>
      <c r="E92" s="20" t="n">
        <v>2023</v>
      </c>
      <c r="F92" s="20" t="inlineStr"/>
      <c r="G92" t="inlineStr">
        <is>
          <t>Gwendolyn Goffe</t>
        </is>
      </c>
      <c r="H92" t="inlineStr">
        <is>
          <t>CIO</t>
        </is>
      </c>
      <c r="I92" t="inlineStr">
        <is>
          <t>CIO</t>
        </is>
      </c>
      <c r="J92" s="21" t="n"/>
      <c r="K92" s="21" t="n"/>
      <c r="L92" s="21" t="n"/>
      <c r="M92" s="21" t="n"/>
      <c r="N92" s="21" t="n"/>
      <c r="O92" s="21" t="n"/>
      <c r="P92" s="21" t="n">
        <v>137505</v>
      </c>
      <c r="Q92" s="21" t="n">
        <v>137505</v>
      </c>
      <c r="R92" s="21">
        <f>IF(Q92="","",Q92*(1+in_GrowthRate)^(YEARFRAC(DATE(2023,6,30),in_AgeToDate)*IF(in_AgeToDate&lt;DATE(2023,6,30),-1,1)+1))</f>
        <v/>
      </c>
      <c r="S92" s="38" t="n"/>
      <c r="T92" s="43">
        <f>HYPERLINK("https://projects.propublica.org/nonprofits/organizations/746036466/202313059349101226/full","view filing")</f>
        <v/>
      </c>
    </row>
    <row r="93">
      <c r="A93" t="inlineStr">
        <is>
          <t>Brown Foundation Inc</t>
        </is>
      </c>
      <c r="B93" s="20" t="inlineStr">
        <is>
          <t>TX</t>
        </is>
      </c>
      <c r="C93" s="42" t="n">
        <v>2.11</v>
      </c>
      <c r="D93" t="inlineStr">
        <is>
          <t>Foundation</t>
        </is>
      </c>
      <c r="E93" s="20" t="n">
        <v>2022</v>
      </c>
      <c r="F93" s="20" t="inlineStr"/>
      <c r="G93" t="inlineStr">
        <is>
          <t>Gwendolyn Goffe</t>
        </is>
      </c>
      <c r="H93" t="inlineStr">
        <is>
          <t>CIO</t>
        </is>
      </c>
      <c r="I93" t="inlineStr">
        <is>
          <t>CIO</t>
        </is>
      </c>
      <c r="J93" s="21" t="n"/>
      <c r="K93" s="21" t="n"/>
      <c r="L93" s="21" t="n"/>
      <c r="M93" s="21" t="n"/>
      <c r="N93" s="21" t="n"/>
      <c r="O93" s="21" t="n"/>
      <c r="P93" s="21" t="n">
        <v>178000</v>
      </c>
      <c r="Q93" s="21" t="n">
        <v>178000</v>
      </c>
      <c r="R93" s="21">
        <f>IF(Q93="","",Q93*(1+in_GrowthRate)^(YEARFRAC(DATE(2022,6,30),in_AgeToDate)*IF(in_AgeToDate&lt;DATE(2022,6,30),-1,1)+1))</f>
        <v/>
      </c>
      <c r="S93" s="38" t="n"/>
      <c r="T93" s="43">
        <f>HYPERLINK("https://projects.propublica.org/nonprofits/organizations/746036466/202223129349101892/full","view filing")</f>
        <v/>
      </c>
    </row>
    <row r="94">
      <c r="A94" t="inlineStr">
        <is>
          <t>Brown University Of Providence</t>
        </is>
      </c>
      <c r="B94" s="20" t="inlineStr">
        <is>
          <t>RI</t>
        </is>
      </c>
      <c r="C94" s="42" t="n">
        <v>7.28</v>
      </c>
      <c r="D94" t="inlineStr">
        <is>
          <t>Endowment</t>
        </is>
      </c>
      <c r="E94" s="20" t="n">
        <v>2025</v>
      </c>
      <c r="F94" s="20">
        <f>IF(AND(OR(in_Mode="All Funds",AND(C94&gt;=in_BandFloor,C94&lt;=in_BandCeiling,OR(in_Geography="National",COUNTIFS(lst_GeoPreset,in_Geography,lst_GeoState,B94)&gt;0,AND(in_Geography="Custom",ISNUMBER(SEARCH(B94,SUBSTITUTE(in_CustomStates," ",""))))),OR(AND(D94="Endowment",Inputs!$B$14="Y"),AND(D94="Foundation",Inputs!$B$15="Y"),AND(D94="Healthcare",Inputs!$B$16="Y"),AND(D94="Pension",Inputs!$B$17="Y"),AND(D94="OCIO",Inputs!$B$18="Y"),AND(D94="Other",Inputs!$B$19="Y")))),A94&lt;&gt;in_ClientOrg,NOT(AND(in_ExclHarvard="Y",ISNUMBER(SEARCH("Harvard",A94))))),"Y","")</f>
        <v/>
      </c>
      <c r="G94" t="inlineStr">
        <is>
          <t>Jane Dietze</t>
        </is>
      </c>
      <c r="H94" t="inlineStr">
        <is>
          <t>VP &amp; CHIEF INVESTMENT OFFICER</t>
        </is>
      </c>
      <c r="I94" t="inlineStr">
        <is>
          <t>CIO</t>
        </is>
      </c>
      <c r="J94" s="21" t="n">
        <v>785295</v>
      </c>
      <c r="K94" s="21" t="n">
        <v>1894000</v>
      </c>
      <c r="L94" s="21" t="n">
        <v>2679295</v>
      </c>
      <c r="M94" s="21" t="n">
        <v>1024582</v>
      </c>
      <c r="N94" s="21" t="n">
        <v>284500</v>
      </c>
      <c r="O94" s="21" t="n">
        <v>55494</v>
      </c>
      <c r="P94" s="21" t="n">
        <v>4043871</v>
      </c>
      <c r="Q94" s="21" t="n">
        <v>3943871</v>
      </c>
      <c r="R94" s="21">
        <f>IF(Q94="","",Q94*(1+in_GrowthRate)^(YEARFRAC(DATE(2025,6,30),in_AgeToDate)*IF(in_AgeToDate&lt;DATE(2025,6,30),-1,1)+1))</f>
        <v/>
      </c>
      <c r="S94" s="38" t="n">
        <v>2.411832496068357</v>
      </c>
      <c r="T94" s="43">
        <f>HYPERLINK("https://projects.propublica.org/nonprofits/organizations/50258809/202631319349306043/full","view filing")</f>
        <v/>
      </c>
    </row>
    <row r="95">
      <c r="A95" t="inlineStr">
        <is>
          <t>Brown University Of Providence</t>
        </is>
      </c>
      <c r="B95" s="20" t="inlineStr">
        <is>
          <t>RI</t>
        </is>
      </c>
      <c r="C95" s="42" t="n">
        <v>7.28</v>
      </c>
      <c r="D95" t="inlineStr">
        <is>
          <t>Endowment</t>
        </is>
      </c>
      <c r="E95" s="20" t="n">
        <v>2024</v>
      </c>
      <c r="F95" s="20" t="inlineStr"/>
      <c r="G95" t="inlineStr">
        <is>
          <t>Jane Dietze</t>
        </is>
      </c>
      <c r="H95" t="inlineStr">
        <is>
          <t>VP &amp; Chief Investment Officer</t>
        </is>
      </c>
      <c r="I95" t="inlineStr">
        <is>
          <t>CIO</t>
        </is>
      </c>
      <c r="J95" s="21" t="n">
        <v>729882</v>
      </c>
      <c r="K95" s="21" t="n">
        <v>1474000</v>
      </c>
      <c r="L95" s="21" t="n">
        <v>2203882</v>
      </c>
      <c r="M95" s="21" t="n">
        <v>696574</v>
      </c>
      <c r="N95" s="21" t="n">
        <v>275900</v>
      </c>
      <c r="O95" s="21" t="n">
        <v>54022</v>
      </c>
      <c r="P95" s="21" t="n">
        <v>3230378</v>
      </c>
      <c r="Q95" s="21" t="n">
        <v>3230378</v>
      </c>
      <c r="R95" s="21">
        <f>IF(Q95="","",Q95*(1+in_GrowthRate)^(YEARFRAC(DATE(2024,6,30),in_AgeToDate)*IF(in_AgeToDate&lt;DATE(2024,6,30),-1,1)+1))</f>
        <v/>
      </c>
      <c r="S95" s="38" t="n">
        <v>2.019504522648866</v>
      </c>
      <c r="T95" s="43">
        <f>HYPERLINK("https://projects.propublica.org/nonprofits/organizations/50258809/202541359349309534/full","view filing")</f>
        <v/>
      </c>
    </row>
    <row r="96">
      <c r="A96" t="inlineStr">
        <is>
          <t>Brown University Of Providence</t>
        </is>
      </c>
      <c r="B96" s="20" t="inlineStr">
        <is>
          <t>RI</t>
        </is>
      </c>
      <c r="C96" s="42" t="n">
        <v>7.28</v>
      </c>
      <c r="D96" t="inlineStr">
        <is>
          <t>Endowment</t>
        </is>
      </c>
      <c r="E96" s="20" t="n">
        <v>2023</v>
      </c>
      <c r="F96" s="20" t="inlineStr"/>
      <c r="G96" t="inlineStr">
        <is>
          <t>Jane Dietze</t>
        </is>
      </c>
      <c r="H96" t="inlineStr">
        <is>
          <t>VP &amp; Chief Investment Officer</t>
        </is>
      </c>
      <c r="I96" t="inlineStr">
        <is>
          <t>CIO</t>
        </is>
      </c>
      <c r="J96" s="21" t="n">
        <v>736036</v>
      </c>
      <c r="K96" s="21" t="n">
        <v>1458500</v>
      </c>
      <c r="L96" s="21" t="n">
        <v>2194536</v>
      </c>
      <c r="M96" s="21" t="n">
        <v>631055</v>
      </c>
      <c r="N96" s="21" t="n">
        <v>14000</v>
      </c>
      <c r="O96" s="21" t="n">
        <v>43332</v>
      </c>
      <c r="P96" s="21" t="n">
        <v>2882923</v>
      </c>
      <c r="Q96" s="21" t="n">
        <v>2882923</v>
      </c>
      <c r="R96" s="21">
        <f>IF(Q96="","",Q96*(1+in_GrowthRate)^(YEARFRAC(DATE(2023,6,30),in_AgeToDate)*IF(in_AgeToDate&lt;DATE(2023,6,30),-1,1)+1))</f>
        <v/>
      </c>
      <c r="S96" s="38" t="n">
        <v>1.981560684531735</v>
      </c>
      <c r="T96" s="43">
        <f>HYPERLINK("https://projects.propublica.org/nonprofits/organizations/50258809/202401319349305030/full","view filing")</f>
        <v/>
      </c>
    </row>
    <row r="97">
      <c r="A97" t="inlineStr">
        <is>
          <t>Brown University Of Providence</t>
        </is>
      </c>
      <c r="B97" s="20" t="inlineStr">
        <is>
          <t>RI</t>
        </is>
      </c>
      <c r="C97" s="42" t="n">
        <v>7.28</v>
      </c>
      <c r="D97" t="inlineStr">
        <is>
          <t>Endowment</t>
        </is>
      </c>
      <c r="E97" s="20" t="n">
        <v>2022</v>
      </c>
      <c r="F97" s="20" t="inlineStr"/>
      <c r="G97" t="inlineStr">
        <is>
          <t>Jane Dietze</t>
        </is>
      </c>
      <c r="H97" t="inlineStr">
        <is>
          <t>VP &amp; Chief Investment Officer</t>
        </is>
      </c>
      <c r="I97" t="inlineStr">
        <is>
          <t>CIO</t>
        </is>
      </c>
      <c r="J97" s="21" t="n">
        <v>659006</v>
      </c>
      <c r="K97" s="21" t="n">
        <v>1476000</v>
      </c>
      <c r="L97" s="21" t="n">
        <v>2135006</v>
      </c>
      <c r="M97" s="21" t="n">
        <v>802756</v>
      </c>
      <c r="N97" s="21" t="n">
        <v>17973</v>
      </c>
      <c r="O97" s="21" t="n">
        <v>40510</v>
      </c>
      <c r="P97" s="21" t="n">
        <v>2996245</v>
      </c>
      <c r="Q97" s="21" t="n">
        <v>2996245</v>
      </c>
      <c r="R97" s="21">
        <f>IF(Q97="","",Q97*(1+in_GrowthRate)^(YEARFRAC(DATE(2022,6,30),in_AgeToDate)*IF(in_AgeToDate&lt;DATE(2022,6,30),-1,1)+1))</f>
        <v/>
      </c>
      <c r="S97" s="38" t="n">
        <v>2.239736815749781</v>
      </c>
      <c r="T97" s="43">
        <f>HYPERLINK("https://projects.propublica.org/nonprofits/organizations/50258809/202341319349306579/full","view filing")</f>
        <v/>
      </c>
    </row>
    <row r="98">
      <c r="A98" t="inlineStr">
        <is>
          <t>Bryn Mawr College</t>
        </is>
      </c>
      <c r="B98" s="20" t="inlineStr">
        <is>
          <t>PA</t>
        </is>
      </c>
      <c r="C98" s="42" t="n">
        <v>1.34</v>
      </c>
      <c r="D98" t="inlineStr">
        <is>
          <t>Endowment</t>
        </is>
      </c>
      <c r="E98" s="20" t="n">
        <v>2025</v>
      </c>
      <c r="F98" s="20">
        <f>IF(AND(OR(in_Mode="All Funds",AND(C98&gt;=in_BandFloor,C98&lt;=in_BandCeiling,OR(in_Geography="National",COUNTIFS(lst_GeoPreset,in_Geography,lst_GeoState,B98)&gt;0,AND(in_Geography="Custom",ISNUMBER(SEARCH(B98,SUBSTITUTE(in_CustomStates," ",""))))),OR(AND(D98="Endowment",Inputs!$B$14="Y"),AND(D98="Foundation",Inputs!$B$15="Y"),AND(D98="Healthcare",Inputs!$B$16="Y"),AND(D98="Pension",Inputs!$B$17="Y"),AND(D98="OCIO",Inputs!$B$18="Y"),AND(D98="Other",Inputs!$B$19="Y")))),A98&lt;&gt;in_ClientOrg,NOT(AND(in_ExclHarvard="Y",ISNUMBER(SEARCH("Harvard",A98))))),"Y","")</f>
        <v/>
      </c>
      <c r="G98" t="inlineStr">
        <is>
          <t>Brooke H Jones</t>
        </is>
      </c>
      <c r="H98" t="inlineStr">
        <is>
          <t>VP &amp; CHIEF INVESTMENT OFFICER</t>
        </is>
      </c>
      <c r="I98" t="inlineStr">
        <is>
          <t>CIO</t>
        </is>
      </c>
      <c r="J98" s="21" t="n">
        <v>693569</v>
      </c>
      <c r="K98" s="21" t="n">
        <v>630000</v>
      </c>
      <c r="L98" s="21" t="n">
        <v>1323569</v>
      </c>
      <c r="M98" s="21" t="n"/>
      <c r="N98" s="21" t="n">
        <v>34500</v>
      </c>
      <c r="O98" s="21" t="n">
        <v>34950</v>
      </c>
      <c r="P98" s="21" t="n">
        <v>1393019</v>
      </c>
      <c r="Q98" s="21" t="n">
        <v>1393019</v>
      </c>
      <c r="R98" s="21">
        <f>IF(Q98="","",Q98*(1+in_GrowthRate)^(YEARFRAC(DATE(2025,5,31),in_AgeToDate)*IF(in_AgeToDate&lt;DATE(2025,5,31),-1,1)+1))</f>
        <v/>
      </c>
      <c r="S98" s="38" t="n">
        <v>0.9083450961620257</v>
      </c>
      <c r="T98" s="43">
        <f>HYPERLINK("https://projects.propublica.org/nonprofits/organizations/231352621/202631009349301723/full","view filing")</f>
        <v/>
      </c>
    </row>
    <row r="99">
      <c r="A99" t="inlineStr">
        <is>
          <t>Bryn Mawr College</t>
        </is>
      </c>
      <c r="B99" s="20" t="inlineStr">
        <is>
          <t>PA</t>
        </is>
      </c>
      <c r="C99" s="42" t="n">
        <v>1.34</v>
      </c>
      <c r="D99" t="inlineStr">
        <is>
          <t>Endowment</t>
        </is>
      </c>
      <c r="E99" s="20" t="n">
        <v>2024</v>
      </c>
      <c r="F99" s="20" t="inlineStr"/>
      <c r="G99" t="inlineStr">
        <is>
          <t>Brooke H Jones</t>
        </is>
      </c>
      <c r="H99" t="inlineStr">
        <is>
          <t>CHIEF INVESTMENT OFFICER</t>
        </is>
      </c>
      <c r="I99" t="inlineStr">
        <is>
          <t>CIO</t>
        </is>
      </c>
      <c r="J99" s="21" t="n">
        <v>650389</v>
      </c>
      <c r="K99" s="21" t="n">
        <v>625000</v>
      </c>
      <c r="L99" s="21" t="n">
        <v>1275389</v>
      </c>
      <c r="M99" s="21" t="n"/>
      <c r="N99" s="21" t="n">
        <v>33000</v>
      </c>
      <c r="O99" s="21" t="n">
        <v>32606</v>
      </c>
      <c r="P99" s="21" t="n">
        <v>1340995</v>
      </c>
      <c r="Q99" s="21" t="n">
        <v>1340995</v>
      </c>
      <c r="R99" s="21">
        <f>IF(Q99="","",Q99*(1+in_GrowthRate)^(YEARFRAC(DATE(2024,5,31),in_AgeToDate)*IF(in_AgeToDate&lt;DATE(2024,5,31),-1,1)+1))</f>
        <v/>
      </c>
      <c r="S99" s="38" t="n">
        <v>0.9609633619264778</v>
      </c>
      <c r="T99" s="43">
        <f>HYPERLINK("https://projects.propublica.org/nonprofits/organizations/231352621/202521059349301247/full","view filing")</f>
        <v/>
      </c>
    </row>
    <row r="100">
      <c r="A100" t="inlineStr">
        <is>
          <t>Bryn Mawr College</t>
        </is>
      </c>
      <c r="B100" s="20" t="inlineStr">
        <is>
          <t>PA</t>
        </is>
      </c>
      <c r="C100" s="42" t="n">
        <v>1.34</v>
      </c>
      <c r="D100" t="inlineStr">
        <is>
          <t>Endowment</t>
        </is>
      </c>
      <c r="E100" s="20" t="n">
        <v>2023</v>
      </c>
      <c r="F100" s="20" t="inlineStr"/>
      <c r="G100" t="inlineStr">
        <is>
          <t>Brooke H Jones</t>
        </is>
      </c>
      <c r="H100" t="inlineStr">
        <is>
          <t>CHIEF INVESTMENT OFFICER</t>
        </is>
      </c>
      <c r="I100" t="inlineStr">
        <is>
          <t>CIO</t>
        </is>
      </c>
      <c r="J100" s="21" t="n">
        <v>610485</v>
      </c>
      <c r="K100" s="21" t="n">
        <v>450000</v>
      </c>
      <c r="L100" s="21" t="n">
        <v>1060485</v>
      </c>
      <c r="M100" s="21" t="n"/>
      <c r="N100" s="21" t="n">
        <v>30500</v>
      </c>
      <c r="O100" s="21" t="n">
        <v>32366</v>
      </c>
      <c r="P100" s="21" t="n">
        <v>1123351</v>
      </c>
      <c r="Q100" s="21" t="n">
        <v>1123351</v>
      </c>
      <c r="R100" s="21">
        <f>IF(Q100="","",Q100*(1+in_GrowthRate)^(YEARFRAC(DATE(2023,5,31),in_AgeToDate)*IF(in_AgeToDate&lt;DATE(2023,5,31),-1,1)+1))</f>
        <v/>
      </c>
      <c r="S100" s="38" t="n">
        <v>0.7371188481289467</v>
      </c>
      <c r="T100" s="43">
        <f>HYPERLINK("https://projects.propublica.org/nonprofits/organizations/231352621/202421009349301207/full","view filing")</f>
        <v/>
      </c>
    </row>
    <row r="101">
      <c r="A101" t="inlineStr">
        <is>
          <t>Bryn Mawr College</t>
        </is>
      </c>
      <c r="B101" s="20" t="inlineStr">
        <is>
          <t>PA</t>
        </is>
      </c>
      <c r="C101" s="42" t="n">
        <v>1.34</v>
      </c>
      <c r="D101" t="inlineStr">
        <is>
          <t>Endowment</t>
        </is>
      </c>
      <c r="E101" s="20" t="n">
        <v>2022</v>
      </c>
      <c r="F101" s="20" t="inlineStr"/>
      <c r="G101" t="inlineStr">
        <is>
          <t>Brooke H Jones</t>
        </is>
      </c>
      <c r="H101" t="inlineStr">
        <is>
          <t>CHIEF INVESTMENT OFFICER</t>
        </is>
      </c>
      <c r="I101" t="inlineStr">
        <is>
          <t>CIO</t>
        </is>
      </c>
      <c r="J101" s="21" t="n">
        <v>487568</v>
      </c>
      <c r="K101" s="21" t="n">
        <v>279545</v>
      </c>
      <c r="L101" s="21" t="n">
        <v>767113</v>
      </c>
      <c r="M101" s="21" t="n"/>
      <c r="N101" s="21" t="n">
        <v>28500</v>
      </c>
      <c r="O101" s="21" t="n">
        <v>32366</v>
      </c>
      <c r="P101" s="21" t="n">
        <v>827979</v>
      </c>
      <c r="Q101" s="21" t="n">
        <v>827979</v>
      </c>
      <c r="R101" s="21">
        <f>IF(Q101="","",Q101*(1+in_GrowthRate)^(YEARFRAC(DATE(2022,5,31),in_AgeToDate)*IF(in_AgeToDate&lt;DATE(2022,5,31),-1,1)+1))</f>
        <v/>
      </c>
      <c r="S101" s="38" t="n">
        <v>0.5733456666557281</v>
      </c>
      <c r="T101" s="43">
        <f>HYPERLINK("https://projects.propublica.org/nonprofits/organizations/231352621/202311009349300846/full","view filing")</f>
        <v/>
      </c>
    </row>
    <row r="102">
      <c r="A102" t="inlineStr">
        <is>
          <t>Bush Foundation</t>
        </is>
      </c>
      <c r="B102" s="20" t="inlineStr">
        <is>
          <t>MN</t>
        </is>
      </c>
      <c r="C102" s="42" t="n">
        <v>1.36</v>
      </c>
      <c r="D102" t="inlineStr">
        <is>
          <t>Foundation</t>
        </is>
      </c>
      <c r="E102" s="20" t="n">
        <v>2022</v>
      </c>
      <c r="F102" s="20" t="inlineStr"/>
      <c r="G102" t="inlineStr">
        <is>
          <t>John Otterlei</t>
        </is>
      </c>
      <c r="H102" t="inlineStr">
        <is>
          <t>CIO</t>
        </is>
      </c>
      <c r="I102" t="inlineStr">
        <is>
          <t>CIO</t>
        </is>
      </c>
      <c r="J102" s="21" t="n"/>
      <c r="K102" s="21" t="n"/>
      <c r="L102" s="21" t="n"/>
      <c r="M102" s="21" t="n"/>
      <c r="N102" s="21" t="n"/>
      <c r="O102" s="21" t="n"/>
      <c r="P102" s="21" t="n">
        <v>354065</v>
      </c>
      <c r="Q102" s="21" t="n">
        <v>354065</v>
      </c>
      <c r="R102" s="21">
        <f>IF(Q102="","",Q102*(1+in_GrowthRate)^(YEARFRAC(DATE(2022,12,31),in_AgeToDate)*IF(in_AgeToDate&lt;DATE(2022,12,31),-1,1)+1))</f>
        <v/>
      </c>
      <c r="S102" s="38" t="n"/>
      <c r="T102" s="43">
        <f>HYPERLINK("https://projects.propublica.org/nonprofits/organizations/416017815/202323149349100302/full","view filing")</f>
        <v/>
      </c>
    </row>
    <row r="103">
      <c r="A103" t="inlineStr">
        <is>
          <t>California Institute Of Technology</t>
        </is>
      </c>
      <c r="B103" s="20" t="inlineStr">
        <is>
          <t>CA</t>
        </is>
      </c>
      <c r="C103" s="42" t="n">
        <v>4.32</v>
      </c>
      <c r="D103" t="inlineStr">
        <is>
          <t>Endowment</t>
        </is>
      </c>
      <c r="E103" s="20" t="n">
        <v>2024</v>
      </c>
      <c r="F103" s="20" t="inlineStr"/>
      <c r="G103" t="inlineStr">
        <is>
          <t>Scott H Richland</t>
        </is>
      </c>
      <c r="H103" t="inlineStr">
        <is>
          <t>CHIEF INVESTMENT OFFICER</t>
        </is>
      </c>
      <c r="I103" t="inlineStr">
        <is>
          <t>CIO</t>
        </is>
      </c>
      <c r="J103" s="21" t="n">
        <v>619387</v>
      </c>
      <c r="K103" s="21" t="n">
        <v>685614</v>
      </c>
      <c r="L103" s="21" t="n">
        <v>1305001</v>
      </c>
      <c r="M103" s="21" t="n">
        <v>18750</v>
      </c>
      <c r="N103" s="21" t="n">
        <v>631227</v>
      </c>
      <c r="O103" s="21" t="n">
        <v>31002</v>
      </c>
      <c r="P103" s="21" t="n">
        <v>1985980</v>
      </c>
      <c r="Q103" s="21" t="n">
        <v>1300366</v>
      </c>
      <c r="R103" s="21">
        <f>IF(Q103="","",Q103*(1+in_GrowthRate)^(YEARFRAC(DATE(2024,9,30),in_AgeToDate)*IF(in_AgeToDate&lt;DATE(2024,9,30),-1,1)+1))</f>
        <v/>
      </c>
      <c r="S103" s="38" t="n">
        <v>1.106923458193343</v>
      </c>
      <c r="T103" s="43">
        <f>HYPERLINK("https://projects.propublica.org/nonprofits/organizations/951643307/202512239349302301/full","view filing")</f>
        <v/>
      </c>
    </row>
    <row r="104">
      <c r="A104" t="inlineStr">
        <is>
          <t>California Institute Of Technology</t>
        </is>
      </c>
      <c r="B104" s="20" t="inlineStr">
        <is>
          <t>CA</t>
        </is>
      </c>
      <c r="C104" s="42" t="n">
        <v>4.32</v>
      </c>
      <c r="D104" t="inlineStr">
        <is>
          <t>Endowment</t>
        </is>
      </c>
      <c r="E104" s="20" t="n">
        <v>2023</v>
      </c>
      <c r="F104" s="20" t="inlineStr"/>
      <c r="G104" t="inlineStr">
        <is>
          <t>Scott H Richland</t>
        </is>
      </c>
      <c r="H104" t="inlineStr">
        <is>
          <t>CHIEF INVESTMENT OFFICER</t>
        </is>
      </c>
      <c r="I104" t="inlineStr">
        <is>
          <t>CIO</t>
        </is>
      </c>
      <c r="J104" s="21" t="n">
        <v>599301</v>
      </c>
      <c r="K104" s="21" t="n">
        <v>378270</v>
      </c>
      <c r="L104" s="21" t="n">
        <v>977571</v>
      </c>
      <c r="M104" s="21" t="n">
        <v>20500</v>
      </c>
      <c r="N104" s="21" t="n">
        <v>389421</v>
      </c>
      <c r="O104" s="21" t="n">
        <v>31571</v>
      </c>
      <c r="P104" s="21" t="n">
        <v>1419063</v>
      </c>
      <c r="Q104" s="21" t="n">
        <v>1419063</v>
      </c>
      <c r="R104" s="21">
        <f>IF(Q104="","",Q104*(1+in_GrowthRate)^(YEARFRAC(DATE(2023,9,30),in_AgeToDate)*IF(in_AgeToDate&lt;DATE(2023,9,30),-1,1)+1))</f>
        <v/>
      </c>
      <c r="S104" s="38" t="n">
        <v>0.6311853309105108</v>
      </c>
      <c r="T104" s="43">
        <f>HYPERLINK("https://projects.propublica.org/nonprofits/organizations/951643307/202412259349300121/full","view filing")</f>
        <v/>
      </c>
    </row>
    <row r="105">
      <c r="A105" t="inlineStr">
        <is>
          <t>California Institute Of Technology</t>
        </is>
      </c>
      <c r="B105" s="20" t="inlineStr">
        <is>
          <t>CA</t>
        </is>
      </c>
      <c r="C105" s="42" t="n">
        <v>4.32</v>
      </c>
      <c r="D105" t="inlineStr">
        <is>
          <t>Endowment</t>
        </is>
      </c>
      <c r="E105" s="20" t="n">
        <v>2022</v>
      </c>
      <c r="F105" s="20" t="inlineStr"/>
      <c r="G105" t="inlineStr">
        <is>
          <t>Scott H Richland</t>
        </is>
      </c>
      <c r="H105" t="inlineStr">
        <is>
          <t>Chief Investment Officer</t>
        </is>
      </c>
      <c r="I105" t="inlineStr">
        <is>
          <t>CIO</t>
        </is>
      </c>
      <c r="J105" s="21" t="n">
        <v>594151</v>
      </c>
      <c r="K105" s="21" t="n">
        <v>1606495</v>
      </c>
      <c r="L105" s="21" t="n">
        <v>2200646</v>
      </c>
      <c r="M105" s="21" t="n">
        <v>19500</v>
      </c>
      <c r="N105" s="21" t="n">
        <v>422330</v>
      </c>
      <c r="O105" s="21" t="n">
        <v>31471</v>
      </c>
      <c r="P105" s="21" t="n">
        <v>2673947</v>
      </c>
      <c r="Q105" s="21" t="n">
        <v>1913172</v>
      </c>
      <c r="R105" s="21">
        <f>IF(Q105="","",Q105*(1+in_GrowthRate)^(YEARFRAC(DATE(2022,9,30),in_AgeToDate)*IF(in_AgeToDate&lt;DATE(2022,9,30),-1,1)+1))</f>
        <v/>
      </c>
      <c r="S105" s="38" t="n">
        <v>2.70384969477456</v>
      </c>
      <c r="T105" s="43">
        <f>HYPERLINK("https://projects.propublica.org/nonprofits/organizations/951643307/202342239349301844/full","view filing")</f>
        <v/>
      </c>
    </row>
    <row r="106">
      <c r="A106" t="inlineStr">
        <is>
          <t>Carleton College</t>
        </is>
      </c>
      <c r="B106" s="20" t="inlineStr">
        <is>
          <t>MN</t>
        </is>
      </c>
      <c r="C106" s="42" t="n">
        <v>1.33</v>
      </c>
      <c r="D106" t="inlineStr">
        <is>
          <t>Endowment</t>
        </is>
      </c>
      <c r="E106" s="20" t="n">
        <v>2025</v>
      </c>
      <c r="F106" s="20">
        <f>IF(AND(OR(in_Mode="All Funds",AND(C106&gt;=in_BandFloor,C106&lt;=in_BandCeiling,OR(in_Geography="National",COUNTIFS(lst_GeoPreset,in_Geography,lst_GeoState,B106)&gt;0,AND(in_Geography="Custom",ISNUMBER(SEARCH(B106,SUBSTITUTE(in_CustomStates," ",""))))),OR(AND(D106="Endowment",Inputs!$B$14="Y"),AND(D106="Foundation",Inputs!$B$15="Y"),AND(D106="Healthcare",Inputs!$B$16="Y"),AND(D106="Pension",Inputs!$B$17="Y"),AND(D106="OCIO",Inputs!$B$18="Y"),AND(D106="Other",Inputs!$B$19="Y")))),A106&lt;&gt;in_ClientOrg,NOT(AND(in_ExclHarvard="Y",ISNUMBER(SEARCH("Harvard",A106))))),"Y","")</f>
        <v/>
      </c>
      <c r="G106" t="inlineStr">
        <is>
          <t>Kelsey Deshler</t>
        </is>
      </c>
      <c r="H106" t="inlineStr">
        <is>
          <t>CHIEF INVESTMENT OFFICER</t>
        </is>
      </c>
      <c r="I106" t="inlineStr">
        <is>
          <t>CIO</t>
        </is>
      </c>
      <c r="J106" s="21" t="n">
        <v>487980</v>
      </c>
      <c r="K106" s="21" t="n">
        <v>421204</v>
      </c>
      <c r="L106" s="21" t="n">
        <v>909184</v>
      </c>
      <c r="M106" s="21" t="n">
        <v>16353</v>
      </c>
      <c r="N106" s="21" t="n">
        <v>34500</v>
      </c>
      <c r="O106" s="21" t="n">
        <v>37579</v>
      </c>
      <c r="P106" s="21" t="n">
        <v>997616</v>
      </c>
      <c r="Q106" s="21" t="n">
        <v>997616</v>
      </c>
      <c r="R106" s="21">
        <f>IF(Q106="","",Q106*(1+in_GrowthRate)^(YEARFRAC(DATE(2025,6,30),in_AgeToDate)*IF(in_AgeToDate&lt;DATE(2025,6,30),-1,1)+1))</f>
        <v/>
      </c>
      <c r="S106" s="38" t="n">
        <v>0.8631583261609083</v>
      </c>
      <c r="T106" s="43">
        <f>HYPERLINK("https://projects.propublica.org/nonprofits/organizations/410694747/202640989349301954/full","view filing")</f>
        <v/>
      </c>
    </row>
    <row r="107">
      <c r="A107" t="inlineStr">
        <is>
          <t>Carleton College</t>
        </is>
      </c>
      <c r="B107" s="20" t="inlineStr">
        <is>
          <t>MN</t>
        </is>
      </c>
      <c r="C107" s="42" t="n">
        <v>1.33</v>
      </c>
      <c r="D107" t="inlineStr">
        <is>
          <t>Endowment</t>
        </is>
      </c>
      <c r="E107" s="20" t="n">
        <v>2024</v>
      </c>
      <c r="F107" s="20" t="inlineStr"/>
      <c r="G107" t="inlineStr">
        <is>
          <t>Kelsey Deshler</t>
        </is>
      </c>
      <c r="H107" t="inlineStr">
        <is>
          <t>CHIEF INVESTMENT OFFICER</t>
        </is>
      </c>
      <c r="I107" t="inlineStr">
        <is>
          <t>CIO</t>
        </is>
      </c>
      <c r="J107" s="21" t="n">
        <v>404972</v>
      </c>
      <c r="K107" s="21" t="n">
        <v>514327</v>
      </c>
      <c r="L107" s="21" t="n">
        <v>919299</v>
      </c>
      <c r="M107" s="21" t="n">
        <v>9207</v>
      </c>
      <c r="N107" s="21" t="n">
        <v>33000</v>
      </c>
      <c r="O107" s="21" t="n">
        <v>31351</v>
      </c>
      <c r="P107" s="21" t="n">
        <v>992857</v>
      </c>
      <c r="Q107" s="21" t="n">
        <v>992857</v>
      </c>
      <c r="R107" s="21">
        <f>IF(Q107="","",Q107*(1+in_GrowthRate)^(YEARFRAC(DATE(2024,6,30),in_AgeToDate)*IF(in_AgeToDate&lt;DATE(2024,6,30),-1,1)+1))</f>
        <v/>
      </c>
      <c r="S107" s="38" t="n">
        <v>1.270031014489891</v>
      </c>
      <c r="T107" s="43">
        <f>HYPERLINK("https://projects.propublica.org/nonprofits/organizations/410694747/202541029349300719/full","view filing")</f>
        <v/>
      </c>
    </row>
    <row r="108">
      <c r="A108" t="inlineStr">
        <is>
          <t>Carleton College</t>
        </is>
      </c>
      <c r="B108" s="20" t="inlineStr">
        <is>
          <t>MN</t>
        </is>
      </c>
      <c r="C108" s="42" t="n">
        <v>1.33</v>
      </c>
      <c r="D108" t="inlineStr">
        <is>
          <t>Endowment</t>
        </is>
      </c>
      <c r="E108" s="20" t="n">
        <v>2023</v>
      </c>
      <c r="F108" s="20" t="inlineStr"/>
      <c r="G108" t="inlineStr">
        <is>
          <t>Kelsey Deshler</t>
        </is>
      </c>
      <c r="H108" t="inlineStr">
        <is>
          <t>CHIEF INVESTMENT OFFICER</t>
        </is>
      </c>
      <c r="I108" t="inlineStr">
        <is>
          <t>CIO</t>
        </is>
      </c>
      <c r="J108" s="21" t="n">
        <v>362182</v>
      </c>
      <c r="K108" s="21" t="n">
        <v>420072</v>
      </c>
      <c r="L108" s="21" t="n">
        <v>782254</v>
      </c>
      <c r="M108" s="21" t="n">
        <v>7143</v>
      </c>
      <c r="N108" s="21" t="n">
        <v>28500</v>
      </c>
      <c r="O108" s="21" t="n">
        <v>31024</v>
      </c>
      <c r="P108" s="21" t="n">
        <v>848921</v>
      </c>
      <c r="Q108" s="21" t="n">
        <v>848921</v>
      </c>
      <c r="R108" s="21">
        <f>IF(Q108="","",Q108*(1+in_GrowthRate)^(YEARFRAC(DATE(2023,6,30),in_AgeToDate)*IF(in_AgeToDate&lt;DATE(2023,6,30),-1,1)+1))</f>
        <v/>
      </c>
      <c r="S108" s="38" t="n">
        <v>1.159836767150217</v>
      </c>
      <c r="T108" s="43">
        <f>HYPERLINK("https://projects.propublica.org/nonprofits/organizations/410694747/202401039349301245/full","view filing")</f>
        <v/>
      </c>
    </row>
    <row r="109">
      <c r="A109" t="inlineStr">
        <is>
          <t>Carleton College</t>
        </is>
      </c>
      <c r="B109" s="20" t="inlineStr">
        <is>
          <t>MN</t>
        </is>
      </c>
      <c r="C109" s="42" t="n">
        <v>1.33</v>
      </c>
      <c r="D109" t="inlineStr">
        <is>
          <t>Endowment</t>
        </is>
      </c>
      <c r="E109" s="20" t="n">
        <v>2022</v>
      </c>
      <c r="F109" s="20" t="inlineStr"/>
      <c r="G109" t="inlineStr">
        <is>
          <t>Kelsey Deshler</t>
        </is>
      </c>
      <c r="H109" t="inlineStr">
        <is>
          <t>CHIEF INVESTMENT OFFICER</t>
        </is>
      </c>
      <c r="I109" t="inlineStr">
        <is>
          <t>CIO</t>
        </is>
      </c>
      <c r="J109" s="21" t="n">
        <v>357271</v>
      </c>
      <c r="K109" s="21" t="n">
        <v>317337</v>
      </c>
      <c r="L109" s="21" t="n">
        <v>674608</v>
      </c>
      <c r="M109" s="21" t="n">
        <v>7889</v>
      </c>
      <c r="N109" s="21" t="n">
        <v>28500</v>
      </c>
      <c r="O109" s="21" t="n">
        <v>31753</v>
      </c>
      <c r="P109" s="21" t="n">
        <v>742750</v>
      </c>
      <c r="Q109" s="21" t="n">
        <v>742750</v>
      </c>
      <c r="R109" s="21">
        <f>IF(Q109="","",Q109*(1+in_GrowthRate)^(YEARFRAC(DATE(2022,6,30),in_AgeToDate)*IF(in_AgeToDate&lt;DATE(2022,6,30),-1,1)+1))</f>
        <v/>
      </c>
      <c r="S109" s="38" t="n">
        <v>0.8882249049041204</v>
      </c>
      <c r="T109" s="43">
        <f>HYPERLINK("https://projects.propublica.org/nonprofits/organizations/410694747/202341339349300034/full","view filing")</f>
        <v/>
      </c>
    </row>
    <row r="110">
      <c r="A110" t="inlineStr">
        <is>
          <t>Carnegie Corporation Of New York</t>
        </is>
      </c>
      <c r="B110" s="20" t="inlineStr">
        <is>
          <t>NY</t>
        </is>
      </c>
      <c r="C110" s="42" t="n">
        <v>4.81</v>
      </c>
      <c r="D110" t="inlineStr">
        <is>
          <t>Foundation</t>
        </is>
      </c>
      <c r="E110" s="20" t="n">
        <v>2025</v>
      </c>
      <c r="F110" s="20">
        <f>IF(AND(OR(in_Mode="All Funds",AND(C110&gt;=in_BandFloor,C110&lt;=in_BandCeiling,OR(in_Geography="National",COUNTIFS(lst_GeoPreset,in_Geography,lst_GeoState,B110)&gt;0,AND(in_Geography="Custom",ISNUMBER(SEARCH(B110,SUBSTITUTE(in_CustomStates," ",""))))),OR(AND(D110="Endowment",Inputs!$B$14="Y"),AND(D110="Foundation",Inputs!$B$15="Y"),AND(D110="Healthcare",Inputs!$B$16="Y"),AND(D110="Pension",Inputs!$B$17="Y"),AND(D110="OCIO",Inputs!$B$18="Y"),AND(D110="Other",Inputs!$B$19="Y")))),A110&lt;&gt;in_ClientOrg,NOT(AND(in_ExclHarvard="Y",ISNUMBER(SEARCH("Harvard",A110))))),"Y","")</f>
        <v/>
      </c>
      <c r="G110" t="inlineStr">
        <is>
          <t>Jon-Michael Consalvo</t>
        </is>
      </c>
      <c r="H110" t="inlineStr">
        <is>
          <t>VP, Chief Investment Officer</t>
        </is>
      </c>
      <c r="I110" t="inlineStr">
        <is>
          <t>CIO</t>
        </is>
      </c>
      <c r="J110" s="21" t="n"/>
      <c r="K110" s="21" t="n"/>
      <c r="L110" s="21" t="n"/>
      <c r="M110" s="21" t="n"/>
      <c r="N110" s="21" t="n"/>
      <c r="O110" s="21" t="n">
        <v>161653</v>
      </c>
      <c r="P110" s="21" t="n">
        <v>1126153</v>
      </c>
      <c r="Q110" s="21" t="n">
        <v>1126153</v>
      </c>
      <c r="R110" s="21">
        <f>IF(Q110="","",Q110*(1+in_GrowthRate)^(YEARFRAC(DATE(2025,9,30),in_AgeToDate)*IF(in_AgeToDate&lt;DATE(2025,9,30),-1,1)+1))</f>
        <v/>
      </c>
      <c r="S110" s="38" t="n"/>
      <c r="T110" s="43">
        <f>HYPERLINK("https://projects.propublica.org/nonprofits/organizations/131628151/202641769349100209/full","view filing")</f>
        <v/>
      </c>
    </row>
    <row r="111">
      <c r="A111" t="inlineStr">
        <is>
          <t>Carnegie Corporation Of New York</t>
        </is>
      </c>
      <c r="B111" s="20" t="inlineStr">
        <is>
          <t>NY</t>
        </is>
      </c>
      <c r="C111" s="42" t="n">
        <v>4.81</v>
      </c>
      <c r="D111" t="inlineStr">
        <is>
          <t>Foundation</t>
        </is>
      </c>
      <c r="E111" s="20" t="n">
        <v>2024</v>
      </c>
      <c r="F111" s="20" t="inlineStr"/>
      <c r="G111" t="inlineStr">
        <is>
          <t>Jon-Michael Consalvo</t>
        </is>
      </c>
      <c r="H111" t="inlineStr">
        <is>
          <t>Chief Investment Officer (started 10/7/23)</t>
        </is>
      </c>
      <c r="I111" t="inlineStr">
        <is>
          <t>CIO</t>
        </is>
      </c>
      <c r="J111" s="21" t="n"/>
      <c r="K111" s="21" t="n"/>
      <c r="L111" s="21" t="n"/>
      <c r="M111" s="21" t="n"/>
      <c r="N111" s="21" t="n"/>
      <c r="O111" s="21" t="n">
        <v>139440</v>
      </c>
      <c r="P111" s="21" t="n">
        <v>1291940</v>
      </c>
      <c r="Q111" s="21" t="n">
        <v>1291940</v>
      </c>
      <c r="R111" s="21">
        <f>IF(Q111="","",Q111*(1+in_GrowthRate)^(YEARFRAC(DATE(2024,9,30),in_AgeToDate)*IF(in_AgeToDate&lt;DATE(2024,9,30),-1,1)+1))</f>
        <v/>
      </c>
      <c r="S111" s="38" t="n"/>
      <c r="T111" s="43">
        <f>HYPERLINK("https://projects.propublica.org/nonprofits/organizations/131628151/202531929349101203/full","view filing")</f>
        <v/>
      </c>
    </row>
    <row r="112">
      <c r="A112" t="inlineStr">
        <is>
          <t>Carnegie Corporation Of New York</t>
        </is>
      </c>
      <c r="B112" s="20" t="inlineStr">
        <is>
          <t>NY</t>
        </is>
      </c>
      <c r="C112" s="42" t="n">
        <v>4.81</v>
      </c>
      <c r="D112" t="inlineStr">
        <is>
          <t>Foundation</t>
        </is>
      </c>
      <c r="E112" s="20" t="n">
        <v>2023</v>
      </c>
      <c r="F112" s="20" t="inlineStr"/>
      <c r="G112" t="inlineStr">
        <is>
          <t>Mark Baumgartner</t>
        </is>
      </c>
      <c r="H112" t="inlineStr">
        <is>
          <t>Chief Investment Officer</t>
        </is>
      </c>
      <c r="I112" t="inlineStr">
        <is>
          <t>CIO</t>
        </is>
      </c>
      <c r="J112" s="21" t="n"/>
      <c r="K112" s="21" t="n"/>
      <c r="L112" s="21" t="n"/>
      <c r="M112" s="21" t="n"/>
      <c r="N112" s="21" t="n"/>
      <c r="O112" s="21" t="n">
        <v>153702</v>
      </c>
      <c r="P112" s="21" t="n">
        <v>1926025</v>
      </c>
      <c r="Q112" s="21" t="n">
        <v>1926025</v>
      </c>
      <c r="R112" s="21">
        <f>IF(Q112="","",Q112*(1+in_GrowthRate)^(YEARFRAC(DATE(2023,9,30),in_AgeToDate)*IF(in_AgeToDate&lt;DATE(2023,9,30),-1,1)+1))</f>
        <v/>
      </c>
      <c r="S112" s="38" t="n"/>
      <c r="T112" s="43">
        <f>HYPERLINK("https://projects.propublica.org/nonprofits/organizations/131628151/202442259349101009/full","view filing")</f>
        <v/>
      </c>
    </row>
    <row r="113">
      <c r="A113" t="inlineStr">
        <is>
          <t>Carnegie Corporation Of New York</t>
        </is>
      </c>
      <c r="B113" s="20" t="inlineStr">
        <is>
          <t>NY</t>
        </is>
      </c>
      <c r="C113" s="42" t="n">
        <v>4.81</v>
      </c>
      <c r="D113" t="inlineStr">
        <is>
          <t>Foundation</t>
        </is>
      </c>
      <c r="E113" s="20" t="n">
        <v>2022</v>
      </c>
      <c r="F113" s="20" t="inlineStr"/>
      <c r="G113" t="inlineStr">
        <is>
          <t>Mark Baumgartner</t>
        </is>
      </c>
      <c r="H113" t="inlineStr">
        <is>
          <t>Chief Investment Officer</t>
        </is>
      </c>
      <c r="I113" t="inlineStr">
        <is>
          <t>CIO</t>
        </is>
      </c>
      <c r="J113" s="21" t="n"/>
      <c r="K113" s="21" t="n"/>
      <c r="L113" s="21" t="n"/>
      <c r="M113" s="21" t="n"/>
      <c r="N113" s="21" t="n"/>
      <c r="O113" s="21" t="n">
        <v>165623</v>
      </c>
      <c r="P113" s="21" t="n">
        <v>2078540</v>
      </c>
      <c r="Q113" s="21" t="n">
        <v>2078540</v>
      </c>
      <c r="R113" s="21">
        <f>IF(Q113="","",Q113*(1+in_GrowthRate)^(YEARFRAC(DATE(2022,9,30),in_AgeToDate)*IF(in_AgeToDate&lt;DATE(2022,9,30),-1,1)+1))</f>
        <v/>
      </c>
      <c r="S113" s="38" t="n"/>
      <c r="T113" s="43">
        <f>HYPERLINK("https://projects.propublica.org/nonprofits/organizations/131628151/202342269349100709/full","view filing")</f>
        <v/>
      </c>
    </row>
    <row r="114">
      <c r="A114" t="inlineStr">
        <is>
          <t>Carnegie Institution Of Washington</t>
        </is>
      </c>
      <c r="B114" s="20" t="inlineStr">
        <is>
          <t>DC</t>
        </is>
      </c>
      <c r="C114" s="42" t="n">
        <v>0.99</v>
      </c>
      <c r="D114" t="inlineStr">
        <is>
          <t>Other</t>
        </is>
      </c>
      <c r="E114" s="20" t="n">
        <v>2025</v>
      </c>
      <c r="F114" s="20">
        <f>IF(AND(OR(in_Mode="All Funds",AND(C114&gt;=in_BandFloor,C114&lt;=in_BandCeiling,OR(in_Geography="National",COUNTIFS(lst_GeoPreset,in_Geography,lst_GeoState,B114)&gt;0,AND(in_Geography="Custom",ISNUMBER(SEARCH(B114,SUBSTITUTE(in_CustomStates," ",""))))),OR(AND(D114="Endowment",Inputs!$B$14="Y"),AND(D114="Foundation",Inputs!$B$15="Y"),AND(D114="Healthcare",Inputs!$B$16="Y"),AND(D114="Pension",Inputs!$B$17="Y"),AND(D114="OCIO",Inputs!$B$18="Y"),AND(D114="Other",Inputs!$B$19="Y")))),A114&lt;&gt;in_ClientOrg,NOT(AND(in_ExclHarvard="Y",ISNUMBER(SEARCH("Harvard",A114))))),"Y","")</f>
        <v/>
      </c>
      <c r="G114" t="inlineStr">
        <is>
          <t>Michael Stambaugh</t>
        </is>
      </c>
      <c r="H114" t="inlineStr">
        <is>
          <t>CHIEF INVESTMENT OFFICER</t>
        </is>
      </c>
      <c r="I114" t="inlineStr">
        <is>
          <t>CIO</t>
        </is>
      </c>
      <c r="J114" s="21" t="n">
        <v>581825</v>
      </c>
      <c r="K114" s="21" t="n">
        <v>368670</v>
      </c>
      <c r="L114" s="21" t="n">
        <v>950495</v>
      </c>
      <c r="M114" s="21" t="n">
        <v>3096</v>
      </c>
      <c r="N114" s="21" t="n">
        <v>60185</v>
      </c>
      <c r="O114" s="21" t="n">
        <v>3480</v>
      </c>
      <c r="P114" s="21" t="n">
        <v>1017256</v>
      </c>
      <c r="Q114" s="21" t="n">
        <v>1017256</v>
      </c>
      <c r="R114" s="21">
        <f>IF(Q114="","",Q114*(1+in_GrowthRate)^(YEARFRAC(DATE(2025,6,30),in_AgeToDate)*IF(in_AgeToDate&lt;DATE(2025,6,30),-1,1)+1))</f>
        <v/>
      </c>
      <c r="S114" s="38" t="n">
        <v>0.6336441369827698</v>
      </c>
      <c r="T114" s="43">
        <f>HYPERLINK("https://projects.propublica.org/nonprofits/organizations/530196523/202601319349306125/full","view filing")</f>
        <v/>
      </c>
    </row>
    <row r="115">
      <c r="A115" t="inlineStr">
        <is>
          <t>Carnegie Institution Of Washington</t>
        </is>
      </c>
      <c r="B115" s="20" t="inlineStr">
        <is>
          <t>DC</t>
        </is>
      </c>
      <c r="C115" s="42" t="n">
        <v>0.99</v>
      </c>
      <c r="D115" t="inlineStr">
        <is>
          <t>Other</t>
        </is>
      </c>
      <c r="E115" s="20" t="n">
        <v>2024</v>
      </c>
      <c r="F115" s="20" t="inlineStr"/>
      <c r="G115" t="inlineStr">
        <is>
          <t>Michael Stambaugh</t>
        </is>
      </c>
      <c r="H115" t="inlineStr">
        <is>
          <t>CHIEF INVESTMENT OFFICER</t>
        </is>
      </c>
      <c r="I115" t="inlineStr">
        <is>
          <t>CIO</t>
        </is>
      </c>
      <c r="J115" s="21" t="n">
        <v>568074</v>
      </c>
      <c r="K115" s="21" t="n">
        <v>448000</v>
      </c>
      <c r="L115" s="21" t="n">
        <v>1016074</v>
      </c>
      <c r="M115" s="21" t="n">
        <v>3096</v>
      </c>
      <c r="N115" s="21" t="n">
        <v>56760</v>
      </c>
      <c r="O115" s="21" t="n">
        <v>3200</v>
      </c>
      <c r="P115" s="21" t="n">
        <v>1079130</v>
      </c>
      <c r="Q115" s="21" t="n">
        <v>1079130</v>
      </c>
      <c r="R115" s="21">
        <f>IF(Q115="","",Q115*(1+in_GrowthRate)^(YEARFRAC(DATE(2024,6,30),in_AgeToDate)*IF(in_AgeToDate&lt;DATE(2024,6,30),-1,1)+1))</f>
        <v/>
      </c>
      <c r="S115" s="38" t="n">
        <v>0.7886296503624528</v>
      </c>
      <c r="T115" s="43">
        <f>HYPERLINK("https://projects.propublica.org/nonprofits/organizations/530196523/202501349349312655/full","view filing")</f>
        <v/>
      </c>
    </row>
    <row r="116">
      <c r="A116" t="inlineStr">
        <is>
          <t>Carnegie Institution Of Washington</t>
        </is>
      </c>
      <c r="B116" s="20" t="inlineStr">
        <is>
          <t>DC</t>
        </is>
      </c>
      <c r="C116" s="42" t="n">
        <v>0.99</v>
      </c>
      <c r="D116" t="inlineStr">
        <is>
          <t>Other</t>
        </is>
      </c>
      <c r="E116" s="20" t="n">
        <v>2023</v>
      </c>
      <c r="F116" s="20" t="inlineStr"/>
      <c r="G116" t="inlineStr">
        <is>
          <t>Michael Stambaugh</t>
        </is>
      </c>
      <c r="H116" t="inlineStr">
        <is>
          <t>CHIEF INVESTMENT OFFICER</t>
        </is>
      </c>
      <c r="I116" t="inlineStr">
        <is>
          <t>CIO</t>
        </is>
      </c>
      <c r="J116" s="21" t="n">
        <v>540850</v>
      </c>
      <c r="K116" s="21" t="n">
        <v>525000</v>
      </c>
      <c r="L116" s="21" t="n">
        <v>1065850</v>
      </c>
      <c r="M116" s="21" t="n">
        <v>431</v>
      </c>
      <c r="N116" s="21" t="n">
        <v>51713</v>
      </c>
      <c r="O116" s="21" t="n">
        <v>2451</v>
      </c>
      <c r="P116" s="21" t="n">
        <v>1120445</v>
      </c>
      <c r="Q116" s="21" t="n">
        <v>1120445</v>
      </c>
      <c r="R116" s="21">
        <f>IF(Q116="","",Q116*(1+in_GrowthRate)^(YEARFRAC(DATE(2023,6,30),in_AgeToDate)*IF(in_AgeToDate&lt;DATE(2023,6,30),-1,1)+1))</f>
        <v/>
      </c>
      <c r="S116" s="38" t="n">
        <v>0.9706942775261163</v>
      </c>
      <c r="T116" s="43">
        <f>HYPERLINK("https://projects.propublica.org/nonprofits/organizations/530196523/202431359349308223/full","view filing")</f>
        <v/>
      </c>
    </row>
    <row r="117">
      <c r="A117" t="inlineStr">
        <is>
          <t>Carnegie Institution Of Washington</t>
        </is>
      </c>
      <c r="B117" s="20" t="inlineStr">
        <is>
          <t>DC</t>
        </is>
      </c>
      <c r="C117" s="42" t="n">
        <v>0.99</v>
      </c>
      <c r="D117" t="inlineStr">
        <is>
          <t>Other</t>
        </is>
      </c>
      <c r="E117" s="20" t="n">
        <v>2022</v>
      </c>
      <c r="F117" s="20" t="inlineStr"/>
      <c r="G117" t="inlineStr">
        <is>
          <t>Michael Stambaugh</t>
        </is>
      </c>
      <c r="H117" t="inlineStr">
        <is>
          <t>CHIEF INVESTMENT OFFICER</t>
        </is>
      </c>
      <c r="I117" t="inlineStr">
        <is>
          <t>CIO</t>
        </is>
      </c>
      <c r="J117" s="21" t="n">
        <v>522548</v>
      </c>
      <c r="K117" s="21" t="n">
        <v>462656</v>
      </c>
      <c r="L117" s="21" t="n">
        <v>985204</v>
      </c>
      <c r="M117" s="21" t="n">
        <v>414</v>
      </c>
      <c r="N117" s="21" t="n">
        <v>48459</v>
      </c>
      <c r="O117" s="21" t="n">
        <v>3431</v>
      </c>
      <c r="P117" s="21" t="n">
        <v>1037508</v>
      </c>
      <c r="Q117" s="21" t="n">
        <v>1037508</v>
      </c>
      <c r="R117" s="21">
        <f>IF(Q117="","",Q117*(1+in_GrowthRate)^(YEARFRAC(DATE(2022,6,30),in_AgeToDate)*IF(in_AgeToDate&lt;DATE(2022,6,30),-1,1)+1))</f>
        <v/>
      </c>
      <c r="S117" s="38" t="n">
        <v>0.8853846919326072</v>
      </c>
      <c r="T117" s="43">
        <f>HYPERLINK("https://projects.propublica.org/nonprofits/organizations/530196523/202341329349301699/full","view filing")</f>
        <v/>
      </c>
    </row>
    <row r="118">
      <c r="A118" t="inlineStr">
        <is>
          <t>Carnegie Mellon University</t>
        </is>
      </c>
      <c r="B118" s="20" t="inlineStr">
        <is>
          <t>PA</t>
        </is>
      </c>
      <c r="C118" s="42" t="n">
        <v>4.29</v>
      </c>
      <c r="D118" t="inlineStr">
        <is>
          <t>Endowment</t>
        </is>
      </c>
      <c r="E118" s="20" t="n">
        <v>2025</v>
      </c>
      <c r="F118" s="20">
        <f>IF(AND(OR(in_Mode="All Funds",AND(C118&gt;=in_BandFloor,C118&lt;=in_BandCeiling,OR(in_Geography="National",COUNTIFS(lst_GeoPreset,in_Geography,lst_GeoState,B118)&gt;0,AND(in_Geography="Custom",ISNUMBER(SEARCH(B118,SUBSTITUTE(in_CustomStates," ",""))))),OR(AND(D118="Endowment",Inputs!$B$14="Y"),AND(D118="Foundation",Inputs!$B$15="Y"),AND(D118="Healthcare",Inputs!$B$16="Y"),AND(D118="Pension",Inputs!$B$17="Y"),AND(D118="OCIO",Inputs!$B$18="Y"),AND(D118="Other",Inputs!$B$19="Y")))),A118&lt;&gt;in_ClientOrg,NOT(AND(in_ExclHarvard="Y",ISNUMBER(SEARCH("Harvard",A118))))),"Y","")</f>
        <v/>
      </c>
      <c r="G118" t="inlineStr">
        <is>
          <t>Charles A Kennedy</t>
        </is>
      </c>
      <c r="H118" t="inlineStr">
        <is>
          <t>CHIEF INVESTMENT OFFICER</t>
        </is>
      </c>
      <c r="I118" t="inlineStr">
        <is>
          <t>CIO</t>
        </is>
      </c>
      <c r="J118" s="21" t="n">
        <v>543517</v>
      </c>
      <c r="K118" s="21" t="n">
        <v>924797</v>
      </c>
      <c r="L118" s="21" t="n">
        <v>1468314</v>
      </c>
      <c r="M118" s="21" t="n">
        <v>49138</v>
      </c>
      <c r="N118" s="21" t="n">
        <v>689754</v>
      </c>
      <c r="O118" s="21" t="n">
        <v>36047</v>
      </c>
      <c r="P118" s="21" t="n">
        <v>2243253</v>
      </c>
      <c r="Q118" s="21" t="n">
        <v>1426933</v>
      </c>
      <c r="R118" s="21">
        <f>IF(Q118="","",Q118*(1+in_GrowthRate)^(YEARFRAC(DATE(2025,6,30),in_AgeToDate)*IF(in_AgeToDate&lt;DATE(2025,6,30),-1,1)+1))</f>
        <v/>
      </c>
      <c r="S118" s="38" t="n">
        <v>1.701505196709578</v>
      </c>
      <c r="T118" s="43">
        <f>HYPERLINK("https://projects.propublica.org/nonprofits/organizations/250969449/202601349349302900/full","view filing")</f>
        <v/>
      </c>
    </row>
    <row r="119">
      <c r="A119" t="inlineStr">
        <is>
          <t>Carnegie Mellon University</t>
        </is>
      </c>
      <c r="B119" s="20" t="inlineStr">
        <is>
          <t>PA</t>
        </is>
      </c>
      <c r="C119" s="42" t="n">
        <v>4.29</v>
      </c>
      <c r="D119" t="inlineStr">
        <is>
          <t>Endowment</t>
        </is>
      </c>
      <c r="E119" s="20" t="n">
        <v>2024</v>
      </c>
      <c r="F119" s="20" t="inlineStr"/>
      <c r="G119" t="inlineStr">
        <is>
          <t>Charles A Kennedy</t>
        </is>
      </c>
      <c r="H119" t="inlineStr">
        <is>
          <t>CHIEF INVESTMENT OFFICER</t>
        </is>
      </c>
      <c r="I119" t="inlineStr">
        <is>
          <t>CIO</t>
        </is>
      </c>
      <c r="J119" s="21" t="n">
        <v>525150</v>
      </c>
      <c r="K119" s="21" t="n">
        <v>885236</v>
      </c>
      <c r="L119" s="21" t="n">
        <v>1410386</v>
      </c>
      <c r="M119" s="21" t="n">
        <v>48195</v>
      </c>
      <c r="N119" s="21" t="n">
        <v>862196</v>
      </c>
      <c r="O119" s="21" t="n">
        <v>33944</v>
      </c>
      <c r="P119" s="21" t="n">
        <v>2354721</v>
      </c>
      <c r="Q119" s="21" t="n">
        <v>1573790</v>
      </c>
      <c r="R119" s="21">
        <f>IF(Q119="","",Q119*(1+in_GrowthRate)^(YEARFRAC(DATE(2024,6,30),in_AgeToDate)*IF(in_AgeToDate&lt;DATE(2024,6,30),-1,1)+1))</f>
        <v/>
      </c>
      <c r="S119" s="38" t="n">
        <v>1.685682186042083</v>
      </c>
      <c r="T119" s="43">
        <f>HYPERLINK("https://projects.propublica.org/nonprofits/organizations/250969449/202541349349303374/full","view filing")</f>
        <v/>
      </c>
    </row>
    <row r="120">
      <c r="A120" t="inlineStr">
        <is>
          <t>Carnegie Mellon University</t>
        </is>
      </c>
      <c r="B120" s="20" t="inlineStr">
        <is>
          <t>PA</t>
        </is>
      </c>
      <c r="C120" s="42" t="n">
        <v>4.29</v>
      </c>
      <c r="D120" t="inlineStr">
        <is>
          <t>Endowment</t>
        </is>
      </c>
      <c r="E120" s="20" t="n">
        <v>2023</v>
      </c>
      <c r="F120" s="20" t="inlineStr"/>
      <c r="G120" t="inlineStr">
        <is>
          <t>Charles A Kennedy</t>
        </is>
      </c>
      <c r="H120" t="inlineStr">
        <is>
          <t>CHIEF INVESTMENT OFFICER</t>
        </is>
      </c>
      <c r="I120" t="inlineStr">
        <is>
          <t>CIO</t>
        </is>
      </c>
      <c r="J120" s="21" t="n">
        <v>510311</v>
      </c>
      <c r="K120" s="21" t="n">
        <v>976658</v>
      </c>
      <c r="L120" s="21" t="n">
        <v>1486969</v>
      </c>
      <c r="M120" s="21" t="n">
        <v>46657</v>
      </c>
      <c r="N120" s="21" t="n">
        <v>619566</v>
      </c>
      <c r="O120" s="21" t="n">
        <v>29536</v>
      </c>
      <c r="P120" s="21" t="n">
        <v>2182728</v>
      </c>
      <c r="Q120" s="21" t="n">
        <v>1520530</v>
      </c>
      <c r="R120" s="21">
        <f>IF(Q120="","",Q120*(1+in_GrowthRate)^(YEARFRAC(DATE(2023,6,30),in_AgeToDate)*IF(in_AgeToDate&lt;DATE(2023,6,30),-1,1)+1))</f>
        <v/>
      </c>
      <c r="S120" s="38" t="n">
        <v>1.913848613884474</v>
      </c>
      <c r="T120" s="43">
        <f>HYPERLINK("https://projects.propublica.org/nonprofits/organizations/250969449/202421349349301302/full","view filing")</f>
        <v/>
      </c>
    </row>
    <row r="121">
      <c r="A121" t="inlineStr">
        <is>
          <t>Carnegie Mellon University</t>
        </is>
      </c>
      <c r="B121" s="20" t="inlineStr">
        <is>
          <t>PA</t>
        </is>
      </c>
      <c r="C121" s="42" t="n">
        <v>4.29</v>
      </c>
      <c r="D121" t="inlineStr">
        <is>
          <t>Endowment</t>
        </is>
      </c>
      <c r="E121" s="20" t="n">
        <v>2022</v>
      </c>
      <c r="F121" s="20" t="inlineStr"/>
      <c r="G121" t="inlineStr">
        <is>
          <t>Charles A Kennedy</t>
        </is>
      </c>
      <c r="H121" t="inlineStr">
        <is>
          <t>CHIEF INVESTMENT OFFICER</t>
        </is>
      </c>
      <c r="I121" t="inlineStr">
        <is>
          <t>CIO</t>
        </is>
      </c>
      <c r="J121" s="21" t="n">
        <v>486827</v>
      </c>
      <c r="K121" s="21" t="n">
        <v>615072</v>
      </c>
      <c r="L121" s="21" t="n">
        <v>1101899</v>
      </c>
      <c r="M121" s="21" t="n">
        <v>44728</v>
      </c>
      <c r="N121" s="21" t="n">
        <v>374306</v>
      </c>
      <c r="O121" s="21" t="n">
        <v>44327</v>
      </c>
      <c r="P121" s="21" t="n">
        <v>1565260</v>
      </c>
      <c r="Q121" s="21" t="n">
        <v>1297194</v>
      </c>
      <c r="R121" s="21">
        <f>IF(Q121="","",Q121*(1+in_GrowthRate)^(YEARFRAC(DATE(2022,6,30),in_AgeToDate)*IF(in_AgeToDate&lt;DATE(2022,6,30),-1,1)+1))</f>
        <v/>
      </c>
      <c r="S121" s="38" t="n">
        <v>1.263430335622305</v>
      </c>
      <c r="T121" s="43">
        <f>HYPERLINK("https://projects.propublica.org/nonprofits/organizations/250969449/202321319349303482/full","view filing")</f>
        <v/>
      </c>
    </row>
    <row r="122">
      <c r="A122" t="inlineStr">
        <is>
          <t>Case Western Reserve University</t>
        </is>
      </c>
      <c r="B122" s="20" t="inlineStr">
        <is>
          <t>OH</t>
        </is>
      </c>
      <c r="C122" s="42" t="n">
        <v>2.52</v>
      </c>
      <c r="D122" t="inlineStr">
        <is>
          <t>Endowment</t>
        </is>
      </c>
      <c r="E122" s="20" t="n">
        <v>2025</v>
      </c>
      <c r="F122" s="20">
        <f>IF(AND(OR(in_Mode="All Funds",AND(C122&gt;=in_BandFloor,C122&lt;=in_BandCeiling,OR(in_Geography="National",COUNTIFS(lst_GeoPreset,in_Geography,lst_GeoState,B122)&gt;0,AND(in_Geography="Custom",ISNUMBER(SEARCH(B122,SUBSTITUTE(in_CustomStates," ",""))))),OR(AND(D122="Endowment",Inputs!$B$14="Y"),AND(D122="Foundation",Inputs!$B$15="Y"),AND(D122="Healthcare",Inputs!$B$16="Y"),AND(D122="Pension",Inputs!$B$17="Y"),AND(D122="OCIO",Inputs!$B$18="Y"),AND(D122="Other",Inputs!$B$19="Y")))),A122&lt;&gt;in_ClientOrg,NOT(AND(in_ExclHarvard="Y",ISNUMBER(SEARCH("Harvard",A122))))),"Y","")</f>
        <v/>
      </c>
      <c r="G122" t="inlineStr">
        <is>
          <t>Tim Milanich</t>
        </is>
      </c>
      <c r="H122" t="inlineStr">
        <is>
          <t>Chief Investment Officer</t>
        </is>
      </c>
      <c r="I122" t="inlineStr">
        <is>
          <t>CIO</t>
        </is>
      </c>
      <c r="J122" s="21" t="n">
        <v>471204</v>
      </c>
      <c r="K122" s="21" t="n">
        <v>302027</v>
      </c>
      <c r="L122" s="21" t="n">
        <v>773231</v>
      </c>
      <c r="M122" s="21" t="n">
        <v>1542</v>
      </c>
      <c r="N122" s="21" t="n">
        <v>37212</v>
      </c>
      <c r="O122" s="21" t="n">
        <v>19939</v>
      </c>
      <c r="P122" s="21" t="n">
        <v>831924</v>
      </c>
      <c r="Q122" s="21" t="n">
        <v>831924</v>
      </c>
      <c r="R122" s="21">
        <f>IF(Q122="","",Q122*(1+in_GrowthRate)^(YEARFRAC(DATE(2025,6,30),in_AgeToDate)*IF(in_AgeToDate&lt;DATE(2025,6,30),-1,1)+1))</f>
        <v/>
      </c>
      <c r="S122" s="38" t="n">
        <v>0.6409686674985781</v>
      </c>
      <c r="T122" s="43">
        <f>HYPERLINK("https://projects.propublica.org/nonprofits/organizations/341018992/202601319349303805/full","view filing")</f>
        <v/>
      </c>
    </row>
    <row r="123">
      <c r="A123" t="inlineStr">
        <is>
          <t>Case Western Reserve University</t>
        </is>
      </c>
      <c r="B123" s="20" t="inlineStr">
        <is>
          <t>OH</t>
        </is>
      </c>
      <c r="C123" s="42" t="n">
        <v>2.52</v>
      </c>
      <c r="D123" t="inlineStr">
        <is>
          <t>Endowment</t>
        </is>
      </c>
      <c r="E123" s="20" t="n">
        <v>2024</v>
      </c>
      <c r="F123" s="20" t="inlineStr"/>
      <c r="G123" t="inlineStr">
        <is>
          <t>Tim Milanich</t>
        </is>
      </c>
      <c r="H123" t="inlineStr">
        <is>
          <t>Chief Investment Officer</t>
        </is>
      </c>
      <c r="I123" t="inlineStr">
        <is>
          <t>CIO</t>
        </is>
      </c>
      <c r="J123" s="21" t="n">
        <v>448725</v>
      </c>
      <c r="K123" s="21" t="n">
        <v>315164</v>
      </c>
      <c r="L123" s="21" t="n">
        <v>763889</v>
      </c>
      <c r="M123" s="21" t="n">
        <v>1110</v>
      </c>
      <c r="N123" s="21" t="n">
        <v>35028</v>
      </c>
      <c r="O123" s="21" t="n">
        <v>19040</v>
      </c>
      <c r="P123" s="21" t="n">
        <v>819067</v>
      </c>
      <c r="Q123" s="21" t="n">
        <v>819067</v>
      </c>
      <c r="R123" s="21">
        <f>IF(Q123="","",Q123*(1+in_GrowthRate)^(YEARFRAC(DATE(2024,6,30),in_AgeToDate)*IF(in_AgeToDate&lt;DATE(2024,6,30),-1,1)+1))</f>
        <v/>
      </c>
      <c r="S123" s="38" t="n">
        <v>0.7023544487158059</v>
      </c>
      <c r="T123" s="43">
        <f>HYPERLINK("https://projects.propublica.org/nonprofits/organizations/341018992/202531339349302638/full","view filing")</f>
        <v/>
      </c>
    </row>
    <row r="124">
      <c r="A124" t="inlineStr">
        <is>
          <t>Case Western Reserve University</t>
        </is>
      </c>
      <c r="B124" s="20" t="inlineStr">
        <is>
          <t>OH</t>
        </is>
      </c>
      <c r="C124" s="42" t="n">
        <v>2.52</v>
      </c>
      <c r="D124" t="inlineStr">
        <is>
          <t>Endowment</t>
        </is>
      </c>
      <c r="E124" s="20" t="n">
        <v>2023</v>
      </c>
      <c r="F124" s="20" t="inlineStr"/>
      <c r="G124" t="inlineStr">
        <is>
          <t>Tim Milanich</t>
        </is>
      </c>
      <c r="H124" t="inlineStr">
        <is>
          <t>Chief Investment Officer</t>
        </is>
      </c>
      <c r="I124" t="inlineStr">
        <is>
          <t>CIO</t>
        </is>
      </c>
      <c r="J124" s="21" t="n">
        <v>426991</v>
      </c>
      <c r="K124" s="21" t="n">
        <v>445176</v>
      </c>
      <c r="L124" s="21" t="n">
        <v>872167</v>
      </c>
      <c r="M124" s="21" t="n">
        <v>1110</v>
      </c>
      <c r="N124" s="21" t="n">
        <v>32802</v>
      </c>
      <c r="O124" s="21" t="n">
        <v>18344</v>
      </c>
      <c r="P124" s="21" t="n">
        <v>924423</v>
      </c>
      <c r="Q124" s="21" t="n">
        <v>924423</v>
      </c>
      <c r="R124" s="21">
        <f>IF(Q124="","",Q124*(1+in_GrowthRate)^(YEARFRAC(DATE(2023,6,30),in_AgeToDate)*IF(in_AgeToDate&lt;DATE(2023,6,30),-1,1)+1))</f>
        <v/>
      </c>
      <c r="S124" s="38" t="n">
        <v>1.042588719668564</v>
      </c>
      <c r="T124" s="43">
        <f>HYPERLINK("https://projects.propublica.org/nonprofits/organizations/341018992/202431239349301518/full","view filing")</f>
        <v/>
      </c>
    </row>
    <row r="125">
      <c r="A125" t="inlineStr">
        <is>
          <t>Case Western Reserve University</t>
        </is>
      </c>
      <c r="B125" s="20" t="inlineStr">
        <is>
          <t>OH</t>
        </is>
      </c>
      <c r="C125" s="42" t="n">
        <v>2.52</v>
      </c>
      <c r="D125" t="inlineStr">
        <is>
          <t>Endowment</t>
        </is>
      </c>
      <c r="E125" s="20" t="n">
        <v>2022</v>
      </c>
      <c r="F125" s="20" t="inlineStr"/>
      <c r="G125" t="inlineStr">
        <is>
          <t>Tim Milanich</t>
        </is>
      </c>
      <c r="H125" t="inlineStr">
        <is>
          <t>Chief Investment Officer</t>
        </is>
      </c>
      <c r="I125" t="inlineStr">
        <is>
          <t>CIO</t>
        </is>
      </c>
      <c r="J125" s="21" t="n">
        <v>413591</v>
      </c>
      <c r="K125" s="21" t="n">
        <v>280326</v>
      </c>
      <c r="L125" s="21" t="n">
        <v>693917</v>
      </c>
      <c r="M125" s="21" t="n">
        <v>1110</v>
      </c>
      <c r="N125" s="21" t="n">
        <v>31695</v>
      </c>
      <c r="O125" s="21" t="n">
        <v>18344</v>
      </c>
      <c r="P125" s="21" t="n">
        <v>745066</v>
      </c>
      <c r="Q125" s="21" t="n">
        <v>745066</v>
      </c>
      <c r="R125" s="21">
        <f>IF(Q125="","",Q125*(1+in_GrowthRate)^(YEARFRAC(DATE(2022,6,30),in_AgeToDate)*IF(in_AgeToDate&lt;DATE(2022,6,30),-1,1)+1))</f>
        <v/>
      </c>
      <c r="S125" s="38" t="n">
        <v>0.6777855417550188</v>
      </c>
      <c r="T125" s="43">
        <f>HYPERLINK("https://projects.propublica.org/nonprofits/organizations/341018992/202321309349303767/full","view filing")</f>
        <v/>
      </c>
    </row>
    <row r="126">
      <c r="A126" t="inlineStr">
        <is>
          <t>Casey Family Programs</t>
        </is>
      </c>
      <c r="B126" s="20" t="inlineStr">
        <is>
          <t>WA</t>
        </is>
      </c>
      <c r="C126" s="42" t="n">
        <v>2.45</v>
      </c>
      <c r="D126" t="inlineStr">
        <is>
          <t>Foundation</t>
        </is>
      </c>
      <c r="E126" s="20" t="n">
        <v>2024</v>
      </c>
      <c r="F126" s="20">
        <f>IF(AND(OR(in_Mode="All Funds",AND(C126&gt;=in_BandFloor,C126&lt;=in_BandCeiling,OR(in_Geography="National",COUNTIFS(lst_GeoPreset,in_Geography,lst_GeoState,B126)&gt;0,AND(in_Geography="Custom",ISNUMBER(SEARCH(B126,SUBSTITUTE(in_CustomStates," ",""))))),OR(AND(D126="Endowment",Inputs!$B$14="Y"),AND(D126="Foundation",Inputs!$B$15="Y"),AND(D126="Healthcare",Inputs!$B$16="Y"),AND(D126="Pension",Inputs!$B$17="Y"),AND(D126="OCIO",Inputs!$B$18="Y"),AND(D126="Other",Inputs!$B$19="Y")))),A126&lt;&gt;in_ClientOrg,NOT(AND(in_ExclHarvard="Y",ISNUMBER(SEARCH("Harvard",A126))))),"Y","")</f>
        <v/>
      </c>
      <c r="G126" t="inlineStr">
        <is>
          <t>Joseph A Boateng</t>
        </is>
      </c>
      <c r="H126" t="inlineStr">
        <is>
          <t>CHIEF INVESTMENT OFFICER</t>
        </is>
      </c>
      <c r="I126" t="inlineStr">
        <is>
          <t>CIO</t>
        </is>
      </c>
      <c r="J126" s="21" t="n"/>
      <c r="K126" s="21" t="n"/>
      <c r="L126" s="21" t="n"/>
      <c r="M126" s="21" t="n"/>
      <c r="N126" s="21" t="n"/>
      <c r="O126" s="21" t="n">
        <v>59800</v>
      </c>
      <c r="P126" s="21" t="n">
        <v>1378202</v>
      </c>
      <c r="Q126" s="21" t="n">
        <v>1378202</v>
      </c>
      <c r="R126" s="21">
        <f>IF(Q126="","",Q126*(1+in_GrowthRate)^(YEARFRAC(DATE(2024,12,31),in_AgeToDate)*IF(in_AgeToDate&lt;DATE(2024,12,31),-1,1)+1))</f>
        <v/>
      </c>
      <c r="S126" s="38" t="n"/>
      <c r="T126" s="43">
        <f>HYPERLINK("https://projects.propublica.org/nonprofits/organizations/910793881/202533189349102538/full","view filing")</f>
        <v/>
      </c>
    </row>
    <row r="127">
      <c r="A127" t="inlineStr">
        <is>
          <t>Casey Family Programs</t>
        </is>
      </c>
      <c r="B127" s="20" t="inlineStr">
        <is>
          <t>WA</t>
        </is>
      </c>
      <c r="C127" s="42" t="n">
        <v>2.45</v>
      </c>
      <c r="D127" t="inlineStr">
        <is>
          <t>Foundation</t>
        </is>
      </c>
      <c r="E127" s="20" t="n">
        <v>2023</v>
      </c>
      <c r="F127" s="20" t="inlineStr"/>
      <c r="G127" t="inlineStr">
        <is>
          <t>Joseph A Boateng</t>
        </is>
      </c>
      <c r="H127" t="inlineStr">
        <is>
          <t>CHIEF INVESTMENT OFFICER</t>
        </is>
      </c>
      <c r="I127" t="inlineStr">
        <is>
          <t>CIO</t>
        </is>
      </c>
      <c r="J127" s="21" t="n"/>
      <c r="K127" s="21" t="n"/>
      <c r="L127" s="21" t="n"/>
      <c r="M127" s="21" t="n"/>
      <c r="N127" s="21" t="n"/>
      <c r="O127" s="21" t="n">
        <v>58400</v>
      </c>
      <c r="P127" s="21" t="n">
        <v>2019646</v>
      </c>
      <c r="Q127" s="21" t="n">
        <v>2019646</v>
      </c>
      <c r="R127" s="21">
        <f>IF(Q127="","",Q127*(1+in_GrowthRate)^(YEARFRAC(DATE(2023,12,31),in_AgeToDate)*IF(in_AgeToDate&lt;DATE(2023,12,31),-1,1)+1))</f>
        <v/>
      </c>
      <c r="S127" s="38" t="n"/>
      <c r="T127" s="43">
        <f>HYPERLINK("https://projects.propublica.org/nonprofits/organizations/910793881/202423169349102347/full","view filing")</f>
        <v/>
      </c>
    </row>
    <row r="128">
      <c r="A128" t="inlineStr">
        <is>
          <t>Casey Family Programs</t>
        </is>
      </c>
      <c r="B128" s="20" t="inlineStr">
        <is>
          <t>WA</t>
        </is>
      </c>
      <c r="C128" s="42" t="n">
        <v>2.45</v>
      </c>
      <c r="D128" t="inlineStr">
        <is>
          <t>Foundation</t>
        </is>
      </c>
      <c r="E128" s="20" t="n">
        <v>2022</v>
      </c>
      <c r="F128" s="20" t="inlineStr"/>
      <c r="G128" t="inlineStr">
        <is>
          <t>Joseph A Boateng</t>
        </is>
      </c>
      <c r="H128" t="inlineStr">
        <is>
          <t>CHIEF INVESTMENT OFFICER</t>
        </is>
      </c>
      <c r="I128" t="inlineStr">
        <is>
          <t>CIO</t>
        </is>
      </c>
      <c r="J128" s="21" t="n"/>
      <c r="K128" s="21" t="n"/>
      <c r="L128" s="21" t="n"/>
      <c r="M128" s="21" t="n"/>
      <c r="N128" s="21" t="n"/>
      <c r="O128" s="21" t="n">
        <v>55600</v>
      </c>
      <c r="P128" s="21" t="n">
        <v>2018873</v>
      </c>
      <c r="Q128" s="21" t="n">
        <v>2018873</v>
      </c>
      <c r="R128" s="21">
        <f>IF(Q128="","",Q128*(1+in_GrowthRate)^(YEARFRAC(DATE(2022,12,31),in_AgeToDate)*IF(in_AgeToDate&lt;DATE(2022,12,31),-1,1)+1))</f>
        <v/>
      </c>
      <c r="S128" s="38" t="n"/>
      <c r="T128" s="43">
        <f>HYPERLINK("https://projects.propublica.org/nonprofits/organizations/910793881/202343189349103429/full","view filing")</f>
        <v/>
      </c>
    </row>
    <row r="129">
      <c r="A129" t="inlineStr">
        <is>
          <t>Chapman University</t>
        </is>
      </c>
      <c r="B129" s="20" t="inlineStr">
        <is>
          <t>CA</t>
        </is>
      </c>
      <c r="C129" s="42" t="n">
        <v>0.93</v>
      </c>
      <c r="D129" t="inlineStr">
        <is>
          <t>Endowment</t>
        </is>
      </c>
      <c r="E129" s="20" t="n">
        <v>2025</v>
      </c>
      <c r="F129" s="20">
        <f>IF(AND(OR(in_Mode="All Funds",AND(C129&gt;=in_BandFloor,C129&lt;=in_BandCeiling,OR(in_Geography="National",COUNTIFS(lst_GeoPreset,in_Geography,lst_GeoState,B129)&gt;0,AND(in_Geography="Custom",ISNUMBER(SEARCH(B129,SUBSTITUTE(in_CustomStates," ",""))))),OR(AND(D129="Endowment",Inputs!$B$14="Y"),AND(D129="Foundation",Inputs!$B$15="Y"),AND(D129="Healthcare",Inputs!$B$16="Y"),AND(D129="Pension",Inputs!$B$17="Y"),AND(D129="OCIO",Inputs!$B$18="Y"),AND(D129="Other",Inputs!$B$19="Y")))),A129&lt;&gt;in_ClientOrg,NOT(AND(in_ExclHarvard="Y",ISNUMBER(SEARCH("Harvard",A129))))),"Y","")</f>
        <v/>
      </c>
      <c r="G129" t="inlineStr">
        <is>
          <t>Helen Norris</t>
        </is>
      </c>
      <c r="H129" t="inlineStr">
        <is>
          <t>VICE PRESIDENT &amp; CIO</t>
        </is>
      </c>
      <c r="I129" t="inlineStr">
        <is>
          <t>CIO</t>
        </is>
      </c>
      <c r="J129" s="21" t="n">
        <v>384358</v>
      </c>
      <c r="K129" s="21" t="n">
        <v>35000</v>
      </c>
      <c r="L129" s="21" t="n">
        <v>419358</v>
      </c>
      <c r="M129" s="21" t="n">
        <v>6285</v>
      </c>
      <c r="N129" s="21" t="n">
        <v>61050</v>
      </c>
      <c r="O129" s="21" t="n">
        <v>1542</v>
      </c>
      <c r="P129" s="21" t="n">
        <v>488235</v>
      </c>
      <c r="Q129" s="21" t="n">
        <v>488235</v>
      </c>
      <c r="R129" s="21">
        <f>IF(Q129="","",Q129*(1+in_GrowthRate)^(YEARFRAC(DATE(2025,5,31),in_AgeToDate)*IF(in_AgeToDate&lt;DATE(2025,5,31),-1,1)+1))</f>
        <v/>
      </c>
      <c r="S129" s="38" t="n">
        <v>0.09106093797969601</v>
      </c>
      <c r="T129" s="43">
        <f>HYPERLINK("https://projects.propublica.org/nonprofits/organizations/951643992/202641009349300639/full","view filing")</f>
        <v/>
      </c>
    </row>
    <row r="130">
      <c r="A130" t="inlineStr">
        <is>
          <t>Chapman University</t>
        </is>
      </c>
      <c r="B130" s="20" t="inlineStr">
        <is>
          <t>CA</t>
        </is>
      </c>
      <c r="C130" s="42" t="n">
        <v>0.93</v>
      </c>
      <c r="D130" t="inlineStr">
        <is>
          <t>Endowment</t>
        </is>
      </c>
      <c r="E130" s="20" t="n">
        <v>2024</v>
      </c>
      <c r="F130" s="20" t="inlineStr"/>
      <c r="G130" t="inlineStr">
        <is>
          <t>Helen Norris</t>
        </is>
      </c>
      <c r="H130" t="inlineStr">
        <is>
          <t>VICE PRESIDENT &amp; CIO</t>
        </is>
      </c>
      <c r="I130" t="inlineStr">
        <is>
          <t>CIO</t>
        </is>
      </c>
      <c r="J130" s="21" t="n">
        <v>369924</v>
      </c>
      <c r="K130" s="21" t="n">
        <v>25000</v>
      </c>
      <c r="L130" s="21" t="n">
        <v>394924</v>
      </c>
      <c r="M130" s="21" t="n">
        <v>6105</v>
      </c>
      <c r="N130" s="21" t="n">
        <v>59700</v>
      </c>
      <c r="O130" s="21" t="n">
        <v>1675</v>
      </c>
      <c r="P130" s="21" t="n">
        <v>462404</v>
      </c>
      <c r="Q130" s="21" t="n">
        <v>462404</v>
      </c>
      <c r="R130" s="21">
        <f>IF(Q130="","",Q130*(1+in_GrowthRate)^(YEARFRAC(DATE(2024,5,31),in_AgeToDate)*IF(in_AgeToDate&lt;DATE(2024,5,31),-1,1)+1))</f>
        <v/>
      </c>
      <c r="S130" s="38" t="n">
        <v>0.06758144916253069</v>
      </c>
      <c r="T130" s="43">
        <f>HYPERLINK("https://projects.propublica.org/nonprofits/organizations/951643992/202531019349301313/full","view filing")</f>
        <v/>
      </c>
    </row>
    <row r="131">
      <c r="A131" t="inlineStr">
        <is>
          <t>Chapman University</t>
        </is>
      </c>
      <c r="B131" s="20" t="inlineStr">
        <is>
          <t>CA</t>
        </is>
      </c>
      <c r="C131" s="42" t="n">
        <v>0.93</v>
      </c>
      <c r="D131" t="inlineStr">
        <is>
          <t>Endowment</t>
        </is>
      </c>
      <c r="E131" s="20" t="n">
        <v>2023</v>
      </c>
      <c r="F131" s="20" t="inlineStr"/>
      <c r="G131" t="inlineStr">
        <is>
          <t>Helen Norris</t>
        </is>
      </c>
      <c r="H131" t="inlineStr">
        <is>
          <t>VICE PRESIDENT &amp; CIO</t>
        </is>
      </c>
      <c r="I131" t="inlineStr">
        <is>
          <t>CIO</t>
        </is>
      </c>
      <c r="J131" s="21" t="n">
        <v>354920</v>
      </c>
      <c r="K131" s="21" t="n">
        <v>25000</v>
      </c>
      <c r="L131" s="21" t="n">
        <v>379920</v>
      </c>
      <c r="M131" s="21" t="n">
        <v>163183</v>
      </c>
      <c r="N131" s="21" t="n">
        <v>64850</v>
      </c>
      <c r="O131" s="21" t="n">
        <v>1637</v>
      </c>
      <c r="P131" s="21" t="n">
        <v>609590</v>
      </c>
      <c r="Q131" s="21" t="n">
        <v>455835</v>
      </c>
      <c r="R131" s="21">
        <f>IF(Q131="","",Q131*(1+in_GrowthRate)^(YEARFRAC(DATE(2023,5,31),in_AgeToDate)*IF(in_AgeToDate&lt;DATE(2023,5,31),-1,1)+1))</f>
        <v/>
      </c>
      <c r="S131" s="38" t="n">
        <v>0.07043840865547166</v>
      </c>
      <c r="T131" s="43">
        <f>HYPERLINK("https://projects.propublica.org/nonprofits/organizations/951643992/202440969349301509/full","view filing")</f>
        <v/>
      </c>
    </row>
    <row r="132">
      <c r="A132" t="inlineStr">
        <is>
          <t>Chapman University</t>
        </is>
      </c>
      <c r="B132" s="20" t="inlineStr">
        <is>
          <t>CA</t>
        </is>
      </c>
      <c r="C132" s="42" t="n">
        <v>0.93</v>
      </c>
      <c r="D132" t="inlineStr">
        <is>
          <t>Endowment</t>
        </is>
      </c>
      <c r="E132" s="20" t="n">
        <v>2022</v>
      </c>
      <c r="F132" s="20" t="inlineStr"/>
      <c r="G132" t="inlineStr">
        <is>
          <t>Helen Norris</t>
        </is>
      </c>
      <c r="H132" t="inlineStr">
        <is>
          <t>VICE PRESIDENT &amp; CIO</t>
        </is>
      </c>
      <c r="I132" t="inlineStr">
        <is>
          <t>CIO</t>
        </is>
      </c>
      <c r="J132" s="21" t="n">
        <v>340680</v>
      </c>
      <c r="K132" s="21" t="n">
        <v>75000</v>
      </c>
      <c r="L132" s="21" t="n">
        <v>415680</v>
      </c>
      <c r="M132" s="21" t="n">
        <v>5717</v>
      </c>
      <c r="N132" s="21" t="n">
        <v>54182</v>
      </c>
      <c r="O132" s="21" t="n">
        <v>1661</v>
      </c>
      <c r="P132" s="21" t="n">
        <v>477240</v>
      </c>
      <c r="Q132" s="21" t="n">
        <v>477240</v>
      </c>
      <c r="R132" s="21">
        <f>IF(Q132="","",Q132*(1+in_GrowthRate)^(YEARFRAC(DATE(2022,5,31),in_AgeToDate)*IF(in_AgeToDate&lt;DATE(2022,5,31),-1,1)+1))</f>
        <v/>
      </c>
      <c r="S132" s="38" t="n">
        <v>0.2201479394152871</v>
      </c>
      <c r="T132" s="43">
        <f>HYPERLINK("https://projects.propublica.org/nonprofits/organizations/951643992/202341029349300139/full","view filing")</f>
        <v/>
      </c>
    </row>
    <row r="133">
      <c r="A133" t="inlineStr">
        <is>
          <t>Charles Stewart Mott Foundation</t>
        </is>
      </c>
      <c r="B133" s="20" t="inlineStr">
        <is>
          <t>MI</t>
        </is>
      </c>
      <c r="C133" s="42" t="n">
        <v>3.6</v>
      </c>
      <c r="D133" t="inlineStr">
        <is>
          <t>Foundation</t>
        </is>
      </c>
      <c r="E133" s="20" t="n">
        <v>2024</v>
      </c>
      <c r="F133" s="20">
        <f>IF(AND(OR(in_Mode="All Funds",AND(C133&gt;=in_BandFloor,C133&lt;=in_BandCeiling,OR(in_Geography="National",COUNTIFS(lst_GeoPreset,in_Geography,lst_GeoState,B133)&gt;0,AND(in_Geography="Custom",ISNUMBER(SEARCH(B133,SUBSTITUTE(in_CustomStates," ",""))))),OR(AND(D133="Endowment",Inputs!$B$14="Y"),AND(D133="Foundation",Inputs!$B$15="Y"),AND(D133="Healthcare",Inputs!$B$16="Y"),AND(D133="Pension",Inputs!$B$17="Y"),AND(D133="OCIO",Inputs!$B$18="Y"),AND(D133="Other",Inputs!$B$19="Y")))),A133&lt;&gt;in_ClientOrg,NOT(AND(in_ExclHarvard="Y",ISNUMBER(SEARCH("Harvard",A133))))),"Y","")</f>
        <v/>
      </c>
      <c r="G133" t="inlineStr">
        <is>
          <t>Nancy Orr</t>
        </is>
      </c>
      <c r="H133" t="inlineStr">
        <is>
          <t>VICE PRESIDENT &amp; CIO (BEG 1/6/24)</t>
        </is>
      </c>
      <c r="I133" t="inlineStr">
        <is>
          <t>CIO</t>
        </is>
      </c>
      <c r="J133" s="21" t="n"/>
      <c r="K133" s="21" t="n"/>
      <c r="L133" s="21" t="n"/>
      <c r="M133" s="21" t="n"/>
      <c r="N133" s="21" t="n"/>
      <c r="O133" s="21" t="n">
        <v>46222</v>
      </c>
      <c r="P133" s="21" t="n">
        <v>946222</v>
      </c>
      <c r="Q133" s="21" t="n">
        <v>946222</v>
      </c>
      <c r="R133" s="21">
        <f>IF(Q133="","",Q133*(1+in_GrowthRate)^(YEARFRAC(DATE(2024,12,31),in_AgeToDate)*IF(in_AgeToDate&lt;DATE(2024,12,31),-1,1)+1))</f>
        <v/>
      </c>
      <c r="S133" s="38" t="n"/>
      <c r="T133" s="43">
        <f>HYPERLINK("https://projects.propublica.org/nonprofits/organizations/381211227/202513179349100631/full","view filing")</f>
        <v/>
      </c>
    </row>
    <row r="134">
      <c r="A134" t="inlineStr">
        <is>
          <t>Charles Stewart Mott Foundation</t>
        </is>
      </c>
      <c r="B134" s="20" t="inlineStr">
        <is>
          <t>MI</t>
        </is>
      </c>
      <c r="C134" s="42" t="n">
        <v>3.6</v>
      </c>
      <c r="D134" t="inlineStr">
        <is>
          <t>Foundation</t>
        </is>
      </c>
      <c r="E134" s="20" t="n">
        <v>2023</v>
      </c>
      <c r="F134" s="20" t="inlineStr"/>
      <c r="G134" t="inlineStr">
        <is>
          <t>Jay C Flaherty</t>
        </is>
      </c>
      <c r="H134" t="inlineStr">
        <is>
          <t>VICE PRESIDENT &amp; CIO</t>
        </is>
      </c>
      <c r="I134" t="inlineStr">
        <is>
          <t>CIO</t>
        </is>
      </c>
      <c r="J134" s="21" t="n"/>
      <c r="K134" s="21" t="n"/>
      <c r="L134" s="21" t="n"/>
      <c r="M134" s="21" t="n"/>
      <c r="N134" s="21" t="n"/>
      <c r="O134" s="21" t="n">
        <v>505193</v>
      </c>
      <c r="P134" s="21" t="n">
        <v>2084222</v>
      </c>
      <c r="Q134" s="21" t="n">
        <v>2084222</v>
      </c>
      <c r="R134" s="21">
        <f>IF(Q134="","",Q134*(1+in_GrowthRate)^(YEARFRAC(DATE(2023,12,31),in_AgeToDate)*IF(in_AgeToDate&lt;DATE(2023,12,31),-1,1)+1))</f>
        <v/>
      </c>
      <c r="S134" s="38" t="n"/>
      <c r="T134" s="43">
        <f>HYPERLINK("https://projects.propublica.org/nonprofits/organizations/381211227/202423179349102547/full","view filing")</f>
        <v/>
      </c>
    </row>
    <row r="135">
      <c r="A135" t="inlineStr">
        <is>
          <t>Charles Stewart Mott Foundation</t>
        </is>
      </c>
      <c r="B135" s="20" t="inlineStr">
        <is>
          <t>MI</t>
        </is>
      </c>
      <c r="C135" s="42" t="n">
        <v>3.6</v>
      </c>
      <c r="D135" t="inlineStr">
        <is>
          <t>Foundation</t>
        </is>
      </c>
      <c r="E135" s="20" t="n">
        <v>2022</v>
      </c>
      <c r="F135" s="20" t="inlineStr"/>
      <c r="G135" t="inlineStr">
        <is>
          <t>Jay C Flaherty</t>
        </is>
      </c>
      <c r="H135" t="inlineStr">
        <is>
          <t>VICE PRESIDENT &amp; CIO</t>
        </is>
      </c>
      <c r="I135" t="inlineStr">
        <is>
          <t>CIO</t>
        </is>
      </c>
      <c r="J135" s="21" t="n"/>
      <c r="K135" s="21" t="n"/>
      <c r="L135" s="21" t="n"/>
      <c r="M135" s="21" t="n"/>
      <c r="N135" s="21" t="n"/>
      <c r="O135" s="21" t="n">
        <v>505316</v>
      </c>
      <c r="P135" s="21" t="n">
        <v>2090874</v>
      </c>
      <c r="Q135" s="21" t="n">
        <v>2090874</v>
      </c>
      <c r="R135" s="21">
        <f>IF(Q135="","",Q135*(1+in_GrowthRate)^(YEARFRAC(DATE(2022,12,31),in_AgeToDate)*IF(in_AgeToDate&lt;DATE(2022,12,31),-1,1)+1))</f>
        <v/>
      </c>
      <c r="S135" s="38" t="n"/>
      <c r="T135" s="43">
        <f>HYPERLINK("https://projects.propublica.org/nonprofits/organizations/381211227/202323179349101022/full","view filing")</f>
        <v/>
      </c>
    </row>
    <row r="136">
      <c r="A136" t="inlineStr">
        <is>
          <t>Childrens Hospital Corporation</t>
        </is>
      </c>
      <c r="B136" s="20" t="inlineStr">
        <is>
          <t>MA</t>
        </is>
      </c>
      <c r="C136" s="42" t="n">
        <v>2.12</v>
      </c>
      <c r="D136" t="inlineStr">
        <is>
          <t>Healthcare</t>
        </is>
      </c>
      <c r="E136" s="20" t="n">
        <v>2025</v>
      </c>
      <c r="F136" s="20">
        <f>IF(AND(OR(in_Mode="All Funds",AND(C136&gt;=in_BandFloor,C136&lt;=in_BandCeiling,OR(in_Geography="National",COUNTIFS(lst_GeoPreset,in_Geography,lst_GeoState,B136)&gt;0,AND(in_Geography="Custom",ISNUMBER(SEARCH(B136,SUBSTITUTE(in_CustomStates," ",""))))),OR(AND(D136="Endowment",Inputs!$B$14="Y"),AND(D136="Foundation",Inputs!$B$15="Y"),AND(D136="Healthcare",Inputs!$B$16="Y"),AND(D136="Pension",Inputs!$B$17="Y"),AND(D136="OCIO",Inputs!$B$18="Y"),AND(D136="Other",Inputs!$B$19="Y")))),A136&lt;&gt;in_ClientOrg,NOT(AND(in_ExclHarvard="Y",ISNUMBER(SEARCH("Harvard",A136))))),"Y","")</f>
        <v/>
      </c>
      <c r="G136" t="inlineStr">
        <is>
          <t>Philip Rotner</t>
        </is>
      </c>
      <c r="H136" t="inlineStr">
        <is>
          <t>Chief Investment Officer</t>
        </is>
      </c>
      <c r="I136" t="inlineStr">
        <is>
          <t>CIO</t>
        </is>
      </c>
      <c r="J136" s="21" t="n">
        <v>1060465</v>
      </c>
      <c r="K136" s="21" t="n">
        <v>580250</v>
      </c>
      <c r="L136" s="21" t="n">
        <v>1640715</v>
      </c>
      <c r="M136" s="21" t="n">
        <v>241963</v>
      </c>
      <c r="N136" s="21" t="n">
        <v>34500</v>
      </c>
      <c r="O136" s="21" t="n">
        <v>43826</v>
      </c>
      <c r="P136" s="21" t="n">
        <v>1961004</v>
      </c>
      <c r="Q136" s="21" t="n">
        <v>1961004</v>
      </c>
      <c r="R136" s="21">
        <f>IF(Q136="","",Q136*(1+in_GrowthRate)^(YEARFRAC(DATE(2025,9,30),in_AgeToDate)*IF(in_AgeToDate&lt;DATE(2025,9,30),-1,1)+1))</f>
        <v/>
      </c>
      <c r="S136" s="38" t="n">
        <v>0.54716563017167</v>
      </c>
      <c r="T136" s="43">
        <f>HYPERLINK("https://projects.propublica.org/nonprofits/organizations/42774441/202632279349300908/full","view filing")</f>
        <v/>
      </c>
    </row>
    <row r="137">
      <c r="A137" t="inlineStr">
        <is>
          <t>Childrens Hospital Corporation</t>
        </is>
      </c>
      <c r="B137" s="20" t="inlineStr">
        <is>
          <t>MA</t>
        </is>
      </c>
      <c r="C137" s="42" t="n">
        <v>2.12</v>
      </c>
      <c r="D137" t="inlineStr">
        <is>
          <t>Healthcare</t>
        </is>
      </c>
      <c r="E137" s="20" t="n">
        <v>2024</v>
      </c>
      <c r="F137" s="20" t="inlineStr"/>
      <c r="G137" t="inlineStr">
        <is>
          <t>Philip Rotner</t>
        </is>
      </c>
      <c r="H137" t="inlineStr">
        <is>
          <t>Chief Investment Officer</t>
        </is>
      </c>
      <c r="I137" t="inlineStr">
        <is>
          <t>CIO</t>
        </is>
      </c>
      <c r="J137" s="21" t="n">
        <v>867348</v>
      </c>
      <c r="K137" s="21" t="n">
        <v>876800</v>
      </c>
      <c r="L137" s="21" t="n">
        <v>1744148</v>
      </c>
      <c r="M137" s="21" t="n">
        <v>232506</v>
      </c>
      <c r="N137" s="21" t="n">
        <v>29700</v>
      </c>
      <c r="O137" s="21" t="n">
        <v>38047</v>
      </c>
      <c r="P137" s="21" t="n">
        <v>2044401</v>
      </c>
      <c r="Q137" s="21" t="n">
        <v>2044401</v>
      </c>
      <c r="R137" s="21">
        <f>IF(Q137="","",Q137*(1+in_GrowthRate)^(YEARFRAC(DATE(2024,9,30),in_AgeToDate)*IF(in_AgeToDate&lt;DATE(2024,9,30),-1,1)+1))</f>
        <v/>
      </c>
      <c r="S137" s="38" t="n">
        <v>1.010897586666482</v>
      </c>
      <c r="T137" s="43">
        <f>HYPERLINK("https://projects.propublica.org/nonprofits/organizations/42774441/202532259349302368/full","view filing")</f>
        <v/>
      </c>
    </row>
    <row r="138">
      <c r="A138" t="inlineStr">
        <is>
          <t>Childrens Hospital Corporation</t>
        </is>
      </c>
      <c r="B138" s="20" t="inlineStr">
        <is>
          <t>MA</t>
        </is>
      </c>
      <c r="C138" s="42" t="n">
        <v>2.12</v>
      </c>
      <c r="D138" t="inlineStr">
        <is>
          <t>Healthcare</t>
        </is>
      </c>
      <c r="E138" s="20" t="n">
        <v>2023</v>
      </c>
      <c r="F138" s="20" t="inlineStr"/>
      <c r="G138" t="inlineStr">
        <is>
          <t>Philip Rotner</t>
        </is>
      </c>
      <c r="H138" t="inlineStr">
        <is>
          <t>Chief Investment Officer</t>
        </is>
      </c>
      <c r="I138" t="inlineStr">
        <is>
          <t>CIO</t>
        </is>
      </c>
      <c r="J138" s="21" t="n">
        <v>839174</v>
      </c>
      <c r="K138" s="21" t="n">
        <v>835000</v>
      </c>
      <c r="L138" s="21" t="n">
        <v>1674174</v>
      </c>
      <c r="M138" s="21" t="n">
        <v>197922</v>
      </c>
      <c r="N138" s="21" t="n">
        <v>27450</v>
      </c>
      <c r="O138" s="21" t="n">
        <v>36504</v>
      </c>
      <c r="P138" s="21" t="n">
        <v>1936050</v>
      </c>
      <c r="Q138" s="21" t="n">
        <v>1936050</v>
      </c>
      <c r="R138" s="21">
        <f>IF(Q138="","",Q138*(1+in_GrowthRate)^(YEARFRAC(DATE(2023,9,30),in_AgeToDate)*IF(in_AgeToDate&lt;DATE(2023,9,30),-1,1)+1))</f>
        <v/>
      </c>
      <c r="S138" s="38" t="n">
        <v>0.9950260613412713</v>
      </c>
      <c r="T138" s="43">
        <f>HYPERLINK("https://projects.propublica.org/nonprofits/organizations/42774441/202422289349303527/full","view filing")</f>
        <v/>
      </c>
    </row>
    <row r="139">
      <c r="A139" t="inlineStr">
        <is>
          <t>Childrens Hospital Corporation</t>
        </is>
      </c>
      <c r="B139" s="20" t="inlineStr">
        <is>
          <t>MA</t>
        </is>
      </c>
      <c r="C139" s="42" t="n">
        <v>2.12</v>
      </c>
      <c r="D139" t="inlineStr">
        <is>
          <t>Healthcare</t>
        </is>
      </c>
      <c r="E139" s="20" t="n">
        <v>2022</v>
      </c>
      <c r="F139" s="20" t="inlineStr"/>
      <c r="G139" t="inlineStr">
        <is>
          <t>Philip Rotner</t>
        </is>
      </c>
      <c r="H139" t="inlineStr">
        <is>
          <t>Chief Investment Officer</t>
        </is>
      </c>
      <c r="I139" t="inlineStr">
        <is>
          <t>CIO</t>
        </is>
      </c>
      <c r="J139" s="21" t="n">
        <v>745985</v>
      </c>
      <c r="K139" s="21" t="n">
        <v>725000</v>
      </c>
      <c r="L139" s="21" t="n">
        <v>1470985</v>
      </c>
      <c r="M139" s="21" t="n">
        <v>189076</v>
      </c>
      <c r="N139" s="21" t="n">
        <v>23200</v>
      </c>
      <c r="O139" s="21" t="n">
        <v>37207</v>
      </c>
      <c r="P139" s="21" t="n">
        <v>1720468</v>
      </c>
      <c r="Q139" s="21" t="n">
        <v>1720468</v>
      </c>
      <c r="R139" s="21">
        <f>IF(Q139="","",Q139*(1+in_GrowthRate)^(YEARFRAC(DATE(2022,9,30),in_AgeToDate)*IF(in_AgeToDate&lt;DATE(2022,9,30),-1,1)+1))</f>
        <v/>
      </c>
      <c r="S139" s="38" t="n">
        <v>0.9718694075618143</v>
      </c>
      <c r="T139" s="43">
        <f>HYPERLINK("https://projects.propublica.org/nonprofits/organizations/42774441/202302269349301075/full","view filing")</f>
        <v/>
      </c>
    </row>
    <row r="140">
      <c r="A140" t="inlineStr">
        <is>
          <t>Christus Health</t>
        </is>
      </c>
      <c r="B140" s="20" t="inlineStr">
        <is>
          <t>TX</t>
        </is>
      </c>
      <c r="C140" s="42" t="n">
        <v>1.43</v>
      </c>
      <c r="D140" t="inlineStr">
        <is>
          <t>Healthcare</t>
        </is>
      </c>
      <c r="E140" s="20" t="n">
        <v>2025</v>
      </c>
      <c r="F140" s="20">
        <f>IF(AND(OR(in_Mode="All Funds",AND(C140&gt;=in_BandFloor,C140&lt;=in_BandCeiling,OR(in_Geography="National",COUNTIFS(lst_GeoPreset,in_Geography,lst_GeoState,B140)&gt;0,AND(in_Geography="Custom",ISNUMBER(SEARCH(B140,SUBSTITUTE(in_CustomStates," ",""))))),OR(AND(D140="Endowment",Inputs!$B$14="Y"),AND(D140="Foundation",Inputs!$B$15="Y"),AND(D140="Healthcare",Inputs!$B$16="Y"),AND(D140="Pension",Inputs!$B$17="Y"),AND(D140="OCIO",Inputs!$B$18="Y"),AND(D140="Other",Inputs!$B$19="Y")))),A140&lt;&gt;in_ClientOrg,NOT(AND(in_ExclHarvard="Y",ISNUMBER(SEARCH("Harvard",A140))))),"Y","")</f>
        <v/>
      </c>
      <c r="G140" t="inlineStr">
        <is>
          <t>Jon Manis</t>
        </is>
      </c>
      <c r="H140" t="inlineStr">
        <is>
          <t>SVP/CHIEF INVESTMENT OFFICER</t>
        </is>
      </c>
      <c r="I140" t="inlineStr">
        <is>
          <t>CIO</t>
        </is>
      </c>
      <c r="J140" s="21" t="n">
        <v>757779</v>
      </c>
      <c r="K140" s="21" t="n">
        <v>1357681</v>
      </c>
      <c r="L140" s="21" t="n">
        <v>2115460</v>
      </c>
      <c r="M140" s="21" t="n">
        <v>280411</v>
      </c>
      <c r="N140" s="21" t="n">
        <v>13801</v>
      </c>
      <c r="O140" s="21" t="n">
        <v>16840</v>
      </c>
      <c r="P140" s="21" t="n">
        <v>2426512</v>
      </c>
      <c r="Q140" s="21" t="n">
        <v>2426512</v>
      </c>
      <c r="R140" s="21">
        <f>IF(Q140="","",Q140*(1+in_GrowthRate)^(YEARFRAC(DATE(2025,6,30),in_AgeToDate)*IF(in_AgeToDate&lt;DATE(2025,6,30),-1,1)+1))</f>
        <v/>
      </c>
      <c r="S140" s="38" t="n">
        <v>1.791658253923637</v>
      </c>
      <c r="T140" s="43">
        <f>HYPERLINK("https://projects.propublica.org/nonprofits/organizations/760590551/202641269349303049/full","view filing")</f>
        <v/>
      </c>
    </row>
    <row r="141">
      <c r="A141" t="inlineStr">
        <is>
          <t>Christus Health</t>
        </is>
      </c>
      <c r="B141" s="20" t="inlineStr">
        <is>
          <t>TX</t>
        </is>
      </c>
      <c r="C141" s="42" t="n">
        <v>1.43</v>
      </c>
      <c r="D141" t="inlineStr">
        <is>
          <t>Healthcare</t>
        </is>
      </c>
      <c r="E141" s="20" t="n">
        <v>2024</v>
      </c>
      <c r="F141" s="20" t="inlineStr"/>
      <c r="G141" t="inlineStr">
        <is>
          <t>Jon Manis</t>
        </is>
      </c>
      <c r="H141" t="inlineStr">
        <is>
          <t>SVP CIO</t>
        </is>
      </c>
      <c r="I141" t="inlineStr">
        <is>
          <t>CIO</t>
        </is>
      </c>
      <c r="J141" s="21" t="n">
        <v>730470</v>
      </c>
      <c r="K141" s="21" t="n">
        <v>1009800</v>
      </c>
      <c r="L141" s="21" t="n">
        <v>1740270</v>
      </c>
      <c r="M141" s="21" t="n">
        <v>606951</v>
      </c>
      <c r="N141" s="21" t="n">
        <v>43201</v>
      </c>
      <c r="O141" s="21" t="n">
        <v>155490</v>
      </c>
      <c r="P141" s="21" t="n">
        <v>2545912</v>
      </c>
      <c r="Q141" s="21" t="n">
        <v>1938961</v>
      </c>
      <c r="R141" s="21">
        <f>IF(Q141="","",Q141*(1+in_GrowthRate)^(YEARFRAC(DATE(2024,6,30),in_AgeToDate)*IF(in_AgeToDate&lt;DATE(2024,6,30),-1,1)+1))</f>
        <v/>
      </c>
      <c r="S141" s="38" t="n">
        <v>1.38239763439977</v>
      </c>
      <c r="T141" s="43">
        <f>HYPERLINK("https://projects.propublica.org/nonprofits/organizations/760590551/202531339349308263/full","view filing")</f>
        <v/>
      </c>
    </row>
    <row r="142">
      <c r="A142" t="inlineStr">
        <is>
          <t>Christus Health</t>
        </is>
      </c>
      <c r="B142" s="20" t="inlineStr">
        <is>
          <t>TX</t>
        </is>
      </c>
      <c r="C142" s="42" t="n">
        <v>1.43</v>
      </c>
      <c r="D142" t="inlineStr">
        <is>
          <t>Healthcare</t>
        </is>
      </c>
      <c r="E142" s="20" t="n">
        <v>2023</v>
      </c>
      <c r="F142" s="20" t="inlineStr"/>
      <c r="G142" t="inlineStr">
        <is>
          <t>Jon Manis</t>
        </is>
      </c>
      <c r="H142" t="inlineStr">
        <is>
          <t>SVP CIO</t>
        </is>
      </c>
      <c r="I142" t="inlineStr">
        <is>
          <t>CIO</t>
        </is>
      </c>
      <c r="J142" s="21" t="n">
        <v>642856</v>
      </c>
      <c r="K142" s="21" t="n">
        <v>820325</v>
      </c>
      <c r="L142" s="21" t="n">
        <v>1463181</v>
      </c>
      <c r="M142" s="21" t="n">
        <v>126647</v>
      </c>
      <c r="N142" s="21" t="n">
        <v>248153</v>
      </c>
      <c r="O142" s="21" t="n">
        <v>13718</v>
      </c>
      <c r="P142" s="21" t="n">
        <v>1851699</v>
      </c>
      <c r="Q142" s="21" t="n">
        <v>1851699</v>
      </c>
      <c r="R142" s="21">
        <f>IF(Q142="","",Q142*(1+in_GrowthRate)^(YEARFRAC(DATE(2023,6,30),in_AgeToDate)*IF(in_AgeToDate&lt;DATE(2023,6,30),-1,1)+1))</f>
        <v/>
      </c>
      <c r="S142" s="38" t="n">
        <v>1.276063379668231</v>
      </c>
      <c r="T142" s="43">
        <f>HYPERLINK("https://projects.propublica.org/nonprofits/organizations/760590551/202421369349307347/full","view filing")</f>
        <v/>
      </c>
    </row>
    <row r="143">
      <c r="A143" t="inlineStr">
        <is>
          <t>Christus Health</t>
        </is>
      </c>
      <c r="B143" s="20" t="inlineStr">
        <is>
          <t>TX</t>
        </is>
      </c>
      <c r="C143" s="42" t="n">
        <v>1.43</v>
      </c>
      <c r="D143" t="inlineStr">
        <is>
          <t>Healthcare</t>
        </is>
      </c>
      <c r="E143" s="20" t="n">
        <v>2022</v>
      </c>
      <c r="F143" s="20" t="inlineStr"/>
      <c r="G143" t="inlineStr">
        <is>
          <t>Jon Manis</t>
        </is>
      </c>
      <c r="H143" t="inlineStr">
        <is>
          <t>SVP CIO</t>
        </is>
      </c>
      <c r="I143" t="inlineStr">
        <is>
          <t>CIO</t>
        </is>
      </c>
      <c r="J143" s="21" t="n">
        <v>623282</v>
      </c>
      <c r="K143" s="21" t="n">
        <v>797838</v>
      </c>
      <c r="L143" s="21" t="n">
        <v>1421120</v>
      </c>
      <c r="M143" s="21" t="n"/>
      <c r="N143" s="21" t="n">
        <v>257918</v>
      </c>
      <c r="O143" s="21" t="n">
        <v>13356</v>
      </c>
      <c r="P143" s="21" t="n">
        <v>1692394</v>
      </c>
      <c r="Q143" s="21" t="n">
        <v>1692394</v>
      </c>
      <c r="R143" s="21">
        <f>IF(Q143="","",Q143*(1+in_GrowthRate)^(YEARFRAC(DATE(2022,6,30),in_AgeToDate)*IF(in_AgeToDate&lt;DATE(2022,6,30),-1,1)+1))</f>
        <v/>
      </c>
      <c r="S143" s="38" t="n">
        <v>1.280059427353911</v>
      </c>
      <c r="T143" s="43">
        <f>HYPERLINK("https://projects.propublica.org/nonprofits/organizations/760590551/202331259349301543/full","view filing")</f>
        <v/>
      </c>
    </row>
    <row r="144">
      <c r="A144" t="inlineStr">
        <is>
          <t>Claremont Mckenna College</t>
        </is>
      </c>
      <c r="B144" s="20" t="inlineStr">
        <is>
          <t>CA</t>
        </is>
      </c>
      <c r="C144" s="42" t="n">
        <v>1.35</v>
      </c>
      <c r="D144" t="inlineStr">
        <is>
          <t>Endowment</t>
        </is>
      </c>
      <c r="E144" s="20" t="n">
        <v>2025</v>
      </c>
      <c r="F144" s="20">
        <f>IF(AND(OR(in_Mode="All Funds",AND(C144&gt;=in_BandFloor,C144&lt;=in_BandCeiling,OR(in_Geography="National",COUNTIFS(lst_GeoPreset,in_Geography,lst_GeoState,B144)&gt;0,AND(in_Geography="Custom",ISNUMBER(SEARCH(B144,SUBSTITUTE(in_CustomStates," ",""))))),OR(AND(D144="Endowment",Inputs!$B$14="Y"),AND(D144="Foundation",Inputs!$B$15="Y"),AND(D144="Healthcare",Inputs!$B$16="Y"),AND(D144="Pension",Inputs!$B$17="Y"),AND(D144="OCIO",Inputs!$B$18="Y"),AND(D144="Other",Inputs!$B$19="Y")))),A144&lt;&gt;in_ClientOrg,NOT(AND(in_ExclHarvard="Y",ISNUMBER(SEARCH("Harvard",A144))))),"Y","")</f>
        <v/>
      </c>
      <c r="G144" t="inlineStr">
        <is>
          <t>James Floyd</t>
        </is>
      </c>
      <c r="H144" t="inlineStr">
        <is>
          <t>VP and Chief Investment Officer</t>
        </is>
      </c>
      <c r="I144" t="inlineStr">
        <is>
          <t>CIO</t>
        </is>
      </c>
      <c r="J144" s="21" t="n">
        <v>640625</v>
      </c>
      <c r="K144" s="21" t="n">
        <v>625000</v>
      </c>
      <c r="L144" s="21" t="n">
        <v>1265625</v>
      </c>
      <c r="M144" s="21" t="n">
        <v>1200</v>
      </c>
      <c r="N144" s="21" t="n">
        <v>61028</v>
      </c>
      <c r="O144" s="21" t="n">
        <v>65342</v>
      </c>
      <c r="P144" s="21" t="n">
        <v>1393195</v>
      </c>
      <c r="Q144" s="21" t="n">
        <v>1393195</v>
      </c>
      <c r="R144" s="21">
        <f>IF(Q144="","",Q144*(1+in_GrowthRate)^(YEARFRAC(DATE(2025,6,30),in_AgeToDate)*IF(in_AgeToDate&lt;DATE(2025,6,30),-1,1)+1))</f>
        <v/>
      </c>
      <c r="S144" s="38" t="n">
        <v>0.975609756097561</v>
      </c>
      <c r="T144" s="43">
        <f>HYPERLINK("https://projects.propublica.org/nonprofits/organizations/951664101/202621319349302297/full","view filing")</f>
        <v/>
      </c>
    </row>
    <row r="145">
      <c r="A145" t="inlineStr">
        <is>
          <t>Claremont Mckenna College</t>
        </is>
      </c>
      <c r="B145" s="20" t="inlineStr">
        <is>
          <t>CA</t>
        </is>
      </c>
      <c r="C145" s="42" t="n">
        <v>1.35</v>
      </c>
      <c r="D145" t="inlineStr">
        <is>
          <t>Endowment</t>
        </is>
      </c>
      <c r="E145" s="20" t="n">
        <v>2024</v>
      </c>
      <c r="F145" s="20" t="inlineStr"/>
      <c r="G145" t="inlineStr">
        <is>
          <t>James Floyd</t>
        </is>
      </c>
      <c r="H145" t="inlineStr">
        <is>
          <t>VP and Chief Investment Officer</t>
        </is>
      </c>
      <c r="I145" t="inlineStr">
        <is>
          <t>CIO</t>
        </is>
      </c>
      <c r="J145" s="21" t="n">
        <v>612500</v>
      </c>
      <c r="K145" s="21" t="n">
        <v>274615</v>
      </c>
      <c r="L145" s="21" t="n">
        <v>887115</v>
      </c>
      <c r="M145" s="21" t="n">
        <v>1200</v>
      </c>
      <c r="N145" s="21" t="n">
        <v>58896</v>
      </c>
      <c r="O145" s="21" t="n">
        <v>47096</v>
      </c>
      <c r="P145" s="21" t="n">
        <v>994307</v>
      </c>
      <c r="Q145" s="21" t="n">
        <v>994307</v>
      </c>
      <c r="R145" s="21">
        <f>IF(Q145="","",Q145*(1+in_GrowthRate)^(YEARFRAC(DATE(2024,6,30),in_AgeToDate)*IF(in_AgeToDate&lt;DATE(2024,6,30),-1,1)+1))</f>
        <v/>
      </c>
      <c r="S145" s="38" t="n">
        <v>0.4483510204081633</v>
      </c>
      <c r="T145" s="43">
        <f>HYPERLINK("https://projects.propublica.org/nonprofits/organizations/951664101/202511299349304366/full","view filing")</f>
        <v/>
      </c>
    </row>
    <row r="146">
      <c r="A146" t="inlineStr">
        <is>
          <t>Claremont Mckenna College</t>
        </is>
      </c>
      <c r="B146" s="20" t="inlineStr">
        <is>
          <t>CA</t>
        </is>
      </c>
      <c r="C146" s="42" t="n">
        <v>1.35</v>
      </c>
      <c r="D146" t="inlineStr">
        <is>
          <t>Endowment</t>
        </is>
      </c>
      <c r="E146" s="20" t="n">
        <v>2023</v>
      </c>
      <c r="F146" s="20" t="inlineStr"/>
      <c r="G146" t="inlineStr">
        <is>
          <t>James Floyd</t>
        </is>
      </c>
      <c r="H146" t="inlineStr">
        <is>
          <t>VP and Chief Investment Officer</t>
        </is>
      </c>
      <c r="I146" t="inlineStr">
        <is>
          <t>CIO</t>
        </is>
      </c>
      <c r="J146" s="21" t="n">
        <v>600000</v>
      </c>
      <c r="K146" s="21" t="n">
        <v>153500</v>
      </c>
      <c r="L146" s="21" t="n">
        <v>753500</v>
      </c>
      <c r="M146" s="21" t="n">
        <v>250</v>
      </c>
      <c r="N146" s="21" t="n">
        <v>54160</v>
      </c>
      <c r="O146" s="21" t="n">
        <v>30448</v>
      </c>
      <c r="P146" s="21" t="n">
        <v>838358</v>
      </c>
      <c r="Q146" s="21" t="n">
        <v>838358</v>
      </c>
      <c r="R146" s="21">
        <f>IF(Q146="","",Q146*(1+in_GrowthRate)^(YEARFRAC(DATE(2023,6,30),in_AgeToDate)*IF(in_AgeToDate&lt;DATE(2023,6,30),-1,1)+1))</f>
        <v/>
      </c>
      <c r="S146" s="38" t="n">
        <v>0.2558333333333334</v>
      </c>
      <c r="T146" s="43">
        <f>HYPERLINK("https://projects.propublica.org/nonprofits/organizations/951664101/202411369349309626/full","view filing")</f>
        <v/>
      </c>
    </row>
    <row r="147">
      <c r="A147" t="inlineStr">
        <is>
          <t>Claremont Mckenna College</t>
        </is>
      </c>
      <c r="B147" s="20" t="inlineStr">
        <is>
          <t>CA</t>
        </is>
      </c>
      <c r="C147" s="42" t="n">
        <v>1.35</v>
      </c>
      <c r="D147" t="inlineStr">
        <is>
          <t>Endowment</t>
        </is>
      </c>
      <c r="E147" s="20" t="n">
        <v>2022</v>
      </c>
      <c r="F147" s="20" t="inlineStr"/>
      <c r="G147" t="inlineStr">
        <is>
          <t>James Floyd</t>
        </is>
      </c>
      <c r="H147" t="inlineStr">
        <is>
          <t>VP and Chief Investment Officer</t>
        </is>
      </c>
      <c r="I147" t="inlineStr">
        <is>
          <t>CIO</t>
        </is>
      </c>
      <c r="J147" s="21" t="n">
        <v>528228</v>
      </c>
      <c r="K147" s="21" t="n">
        <v>150000</v>
      </c>
      <c r="L147" s="21" t="n">
        <v>678228</v>
      </c>
      <c r="M147" s="21" t="n">
        <v>250</v>
      </c>
      <c r="N147" s="21" t="n">
        <v>51444</v>
      </c>
      <c r="O147" s="21" t="n">
        <v>27168</v>
      </c>
      <c r="P147" s="21" t="n">
        <v>757090</v>
      </c>
      <c r="Q147" s="21" t="n">
        <v>757090</v>
      </c>
      <c r="R147" s="21">
        <f>IF(Q147="","",Q147*(1+in_GrowthRate)^(YEARFRAC(DATE(2022,6,30),in_AgeToDate)*IF(in_AgeToDate&lt;DATE(2022,6,30),-1,1)+1))</f>
        <v/>
      </c>
      <c r="S147" s="38" t="n">
        <v>0.2839682864217724</v>
      </c>
      <c r="T147" s="43">
        <f>HYPERLINK("https://projects.propublica.org/nonprofits/organizations/951664101/202331329349308418/full","view filing")</f>
        <v/>
      </c>
    </row>
    <row r="148">
      <c r="A148" t="inlineStr">
        <is>
          <t>Clemson University Foundation</t>
        </is>
      </c>
      <c r="B148" s="20" t="inlineStr">
        <is>
          <t>SC</t>
        </is>
      </c>
      <c r="C148" s="42" t="n">
        <v>1.24</v>
      </c>
      <c r="D148" t="inlineStr">
        <is>
          <t>Endowment</t>
        </is>
      </c>
      <c r="E148" s="20" t="n">
        <v>2025</v>
      </c>
      <c r="F148" s="20">
        <f>IF(AND(OR(in_Mode="All Funds",AND(C148&gt;=in_BandFloor,C148&lt;=in_BandCeiling,OR(in_Geography="National",COUNTIFS(lst_GeoPreset,in_Geography,lst_GeoState,B148)&gt;0,AND(in_Geography="Custom",ISNUMBER(SEARCH(B148,SUBSTITUTE(in_CustomStates," ",""))))),OR(AND(D148="Endowment",Inputs!$B$14="Y"),AND(D148="Foundation",Inputs!$B$15="Y"),AND(D148="Healthcare",Inputs!$B$16="Y"),AND(D148="Pension",Inputs!$B$17="Y"),AND(D148="OCIO",Inputs!$B$18="Y"),AND(D148="Other",Inputs!$B$19="Y")))),A148&lt;&gt;in_ClientOrg,NOT(AND(in_ExclHarvard="Y",ISNUMBER(SEARCH("Harvard",A148))))),"Y","")</f>
        <v/>
      </c>
      <c r="G148" t="inlineStr">
        <is>
          <t>John C Alexander</t>
        </is>
      </c>
      <c r="H148" t="inlineStr">
        <is>
          <t>CIO</t>
        </is>
      </c>
      <c r="I148" t="inlineStr">
        <is>
          <t>CIO</t>
        </is>
      </c>
      <c r="J148" s="21" t="n">
        <v>137500</v>
      </c>
      <c r="K148" s="21" t="n">
        <v>61812</v>
      </c>
      <c r="L148" s="21" t="n">
        <v>199312</v>
      </c>
      <c r="M148" s="21" t="n"/>
      <c r="N148" s="21" t="n"/>
      <c r="O148" s="21" t="n"/>
      <c r="P148" s="21" t="n">
        <v>199312</v>
      </c>
      <c r="Q148" s="21" t="n">
        <v>199312</v>
      </c>
      <c r="R148" s="21">
        <f>IF(Q148="","",Q148*(1+in_GrowthRate)^(YEARFRAC(DATE(2025,6,30),in_AgeToDate)*IF(in_AgeToDate&lt;DATE(2025,6,30),-1,1)+1))</f>
        <v/>
      </c>
      <c r="S148" s="38" t="n">
        <v>0.4495418181818182</v>
      </c>
      <c r="T148" s="43">
        <f>HYPERLINK("https://projects.propublica.org/nonprofits/organizations/570426335/202631329349304403/full","view filing")</f>
        <v/>
      </c>
    </row>
    <row r="149">
      <c r="A149" t="inlineStr">
        <is>
          <t>Clemson University Foundation</t>
        </is>
      </c>
      <c r="B149" s="20" t="inlineStr">
        <is>
          <t>SC</t>
        </is>
      </c>
      <c r="C149" s="42" t="n">
        <v>1.24</v>
      </c>
      <c r="D149" t="inlineStr">
        <is>
          <t>Endowment</t>
        </is>
      </c>
      <c r="E149" s="20" t="n">
        <v>2024</v>
      </c>
      <c r="F149" s="20" t="inlineStr"/>
      <c r="G149" t="inlineStr">
        <is>
          <t>John C Alexander</t>
        </is>
      </c>
      <c r="H149" t="inlineStr">
        <is>
          <t>CIO</t>
        </is>
      </c>
      <c r="I149" t="inlineStr">
        <is>
          <t>CIO</t>
        </is>
      </c>
      <c r="J149" s="21" t="n">
        <v>125000</v>
      </c>
      <c r="K149" s="21" t="n">
        <v>58484</v>
      </c>
      <c r="L149" s="21" t="n">
        <v>183484</v>
      </c>
      <c r="M149" s="21" t="n"/>
      <c r="N149" s="21" t="n"/>
      <c r="O149" s="21" t="n"/>
      <c r="P149" s="21" t="n">
        <v>183484</v>
      </c>
      <c r="Q149" s="21" t="n">
        <v>183484</v>
      </c>
      <c r="R149" s="21">
        <f>IF(Q149="","",Q149*(1+in_GrowthRate)^(YEARFRAC(DATE(2024,6,30),in_AgeToDate)*IF(in_AgeToDate&lt;DATE(2024,6,30),-1,1)+1))</f>
        <v/>
      </c>
      <c r="S149" s="38" t="n">
        <v>0.467872</v>
      </c>
      <c r="T149" s="43">
        <f>HYPERLINK("https://projects.propublica.org/nonprofits/organizations/570426335/202521329349306557/full","view filing")</f>
        <v/>
      </c>
    </row>
    <row r="150">
      <c r="A150" t="inlineStr">
        <is>
          <t>Clemson University Foundation</t>
        </is>
      </c>
      <c r="B150" s="20" t="inlineStr">
        <is>
          <t>SC</t>
        </is>
      </c>
      <c r="C150" s="42" t="n">
        <v>1.24</v>
      </c>
      <c r="D150" t="inlineStr">
        <is>
          <t>Endowment</t>
        </is>
      </c>
      <c r="E150" s="20" t="n">
        <v>2023</v>
      </c>
      <c r="F150" s="20" t="inlineStr"/>
      <c r="G150" t="inlineStr">
        <is>
          <t>John C Alexander</t>
        </is>
      </c>
      <c r="H150" t="inlineStr">
        <is>
          <t>CIO</t>
        </is>
      </c>
      <c r="I150" t="inlineStr">
        <is>
          <t>CIO</t>
        </is>
      </c>
      <c r="J150" s="21" t="n">
        <v>125000</v>
      </c>
      <c r="K150" s="21" t="n">
        <v>59428</v>
      </c>
      <c r="L150" s="21" t="n">
        <v>184428</v>
      </c>
      <c r="M150" s="21" t="n"/>
      <c r="N150" s="21" t="n"/>
      <c r="O150" s="21" t="n"/>
      <c r="P150" s="21" t="n">
        <v>184428</v>
      </c>
      <c r="Q150" s="21" t="n">
        <v>184428</v>
      </c>
      <c r="R150" s="21">
        <f>IF(Q150="","",Q150*(1+in_GrowthRate)^(YEARFRAC(DATE(2023,6,30),in_AgeToDate)*IF(in_AgeToDate&lt;DATE(2023,6,30),-1,1)+1))</f>
        <v/>
      </c>
      <c r="S150" s="38" t="n">
        <v>0.475424</v>
      </c>
      <c r="T150" s="43">
        <f>HYPERLINK("https://projects.propublica.org/nonprofits/organizations/570426335/202411349349306406/full","view filing")</f>
        <v/>
      </c>
    </row>
    <row r="151">
      <c r="A151" t="inlineStr">
        <is>
          <t>Clemson University Foundation</t>
        </is>
      </c>
      <c r="B151" s="20" t="inlineStr">
        <is>
          <t>SC</t>
        </is>
      </c>
      <c r="C151" s="42" t="n">
        <v>1.24</v>
      </c>
      <c r="D151" t="inlineStr">
        <is>
          <t>Endowment</t>
        </is>
      </c>
      <c r="E151" s="20" t="n">
        <v>2022</v>
      </c>
      <c r="F151" s="20" t="inlineStr"/>
      <c r="G151" t="inlineStr">
        <is>
          <t>John C Alexander</t>
        </is>
      </c>
      <c r="H151" t="inlineStr">
        <is>
          <t>CIO</t>
        </is>
      </c>
      <c r="I151" t="inlineStr">
        <is>
          <t>CIO</t>
        </is>
      </c>
      <c r="J151" s="21" t="n">
        <v>91667</v>
      </c>
      <c r="K151" s="21" t="n">
        <v>36142</v>
      </c>
      <c r="L151" s="21" t="n">
        <v>127809</v>
      </c>
      <c r="M151" s="21" t="n"/>
      <c r="N151" s="21" t="n"/>
      <c r="O151" s="21" t="n"/>
      <c r="P151" s="21" t="n">
        <v>127809</v>
      </c>
      <c r="Q151" s="21" t="n">
        <v>127809</v>
      </c>
      <c r="R151" s="21">
        <f>IF(Q151="","",Q151*(1+in_GrowthRate)^(YEARFRAC(DATE(2022,6,30),in_AgeToDate)*IF(in_AgeToDate&lt;DATE(2022,6,30),-1,1)+1))</f>
        <v/>
      </c>
      <c r="S151" s="38" t="n">
        <v>0.3942749299093458</v>
      </c>
      <c r="T151" s="43">
        <f>HYPERLINK("https://projects.propublica.org/nonprofits/organizations/570426335/202321329349302317/full","view filing")</f>
        <v/>
      </c>
    </row>
    <row r="152">
      <c r="A152" t="inlineStr">
        <is>
          <t>Cleveland Clinic Foundation</t>
        </is>
      </c>
      <c r="B152" s="20" t="inlineStr">
        <is>
          <t>OH</t>
        </is>
      </c>
      <c r="C152" s="42" t="n">
        <v>14.26</v>
      </c>
      <c r="D152" t="inlineStr">
        <is>
          <t>Healthcare</t>
        </is>
      </c>
      <c r="E152" s="20" t="n">
        <v>2024</v>
      </c>
      <c r="F152" s="20">
        <f>IF(AND(OR(in_Mode="All Funds",AND(C152&gt;=in_BandFloor,C152&lt;=in_BandCeiling,OR(in_Geography="National",COUNTIFS(lst_GeoPreset,in_Geography,lst_GeoState,B152)&gt;0,AND(in_Geography="Custom",ISNUMBER(SEARCH(B152,SUBSTITUTE(in_CustomStates," ",""))))),OR(AND(D152="Endowment",Inputs!$B$14="Y"),AND(D152="Foundation",Inputs!$B$15="Y"),AND(D152="Healthcare",Inputs!$B$16="Y"),AND(D152="Pension",Inputs!$B$17="Y"),AND(D152="OCIO",Inputs!$B$18="Y"),AND(D152="Other",Inputs!$B$19="Y")))),A152&lt;&gt;in_ClientOrg,NOT(AND(in_ExclHarvard="Y",ISNUMBER(SEARCH("Harvard",A152))))),"Y","")</f>
        <v/>
      </c>
      <c r="G152" t="inlineStr">
        <is>
          <t>Strein Stefan</t>
        </is>
      </c>
      <c r="H152" t="inlineStr">
        <is>
          <t>VP, CHIEF INVESTMENT OFFICER</t>
        </is>
      </c>
      <c r="I152" t="inlineStr">
        <is>
          <t>CIO</t>
        </is>
      </c>
      <c r="J152" s="21" t="n">
        <v>1974165</v>
      </c>
      <c r="K152" s="21" t="n"/>
      <c r="L152" s="21" t="n">
        <v>1974165</v>
      </c>
      <c r="M152" s="21" t="n">
        <v>199693</v>
      </c>
      <c r="N152" s="21" t="n">
        <v>34500</v>
      </c>
      <c r="O152" s="21" t="n">
        <v>21112</v>
      </c>
      <c r="P152" s="21" t="n">
        <v>2229470</v>
      </c>
      <c r="Q152" s="21" t="n">
        <v>2229470</v>
      </c>
      <c r="R152" s="21">
        <f>IF(Q152="","",Q152*(1+in_GrowthRate)^(YEARFRAC(DATE(2024,12,31),in_AgeToDate)*IF(in_AgeToDate&lt;DATE(2024,12,31),-1,1)+1))</f>
        <v/>
      </c>
      <c r="S152" s="38" t="n">
        <v>0</v>
      </c>
      <c r="T152" s="43">
        <f>HYPERLINK("https://projects.propublica.org/nonprofits/organizations/912153073/202523179349308727/full","view filing")</f>
        <v/>
      </c>
    </row>
    <row r="153">
      <c r="A153" t="inlineStr">
        <is>
          <t>Cleveland Clinic Foundation</t>
        </is>
      </c>
      <c r="B153" s="20" t="inlineStr">
        <is>
          <t>OH</t>
        </is>
      </c>
      <c r="C153" s="42" t="n">
        <v>14.26</v>
      </c>
      <c r="D153" t="inlineStr">
        <is>
          <t>Healthcare</t>
        </is>
      </c>
      <c r="E153" s="20" t="n">
        <v>2023</v>
      </c>
      <c r="F153" s="20" t="inlineStr"/>
      <c r="G153" t="inlineStr">
        <is>
          <t>Strein Stefan</t>
        </is>
      </c>
      <c r="H153" t="inlineStr">
        <is>
          <t>CHIEF INVESTMENT OFFICER</t>
        </is>
      </c>
      <c r="I153" t="inlineStr">
        <is>
          <t>CIO</t>
        </is>
      </c>
      <c r="J153" s="21" t="n">
        <v>1925842</v>
      </c>
      <c r="K153" s="21" t="n"/>
      <c r="L153" s="21" t="n">
        <v>1925842</v>
      </c>
      <c r="M153" s="21" t="n">
        <v>237634</v>
      </c>
      <c r="N153" s="21" t="n">
        <v>33000</v>
      </c>
      <c r="O153" s="21" t="n">
        <v>20501</v>
      </c>
      <c r="P153" s="21" t="n">
        <v>2216977</v>
      </c>
      <c r="Q153" s="21" t="n">
        <v>2216977</v>
      </c>
      <c r="R153" s="21">
        <f>IF(Q153="","",Q153*(1+in_GrowthRate)^(YEARFRAC(DATE(2023,12,31),in_AgeToDate)*IF(in_AgeToDate&lt;DATE(2023,12,31),-1,1)+1))</f>
        <v/>
      </c>
      <c r="S153" s="38" t="n">
        <v>0</v>
      </c>
      <c r="T153" s="43">
        <f>HYPERLINK("https://projects.propublica.org/nonprofits/organizations/912153073/202433199349303353/full","view filing")</f>
        <v/>
      </c>
    </row>
    <row r="154">
      <c r="A154" t="inlineStr">
        <is>
          <t>Cleveland Clinic Foundation</t>
        </is>
      </c>
      <c r="B154" s="20" t="inlineStr">
        <is>
          <t>OH</t>
        </is>
      </c>
      <c r="C154" s="42" t="n">
        <v>14.26</v>
      </c>
      <c r="D154" t="inlineStr">
        <is>
          <t>Healthcare</t>
        </is>
      </c>
      <c r="E154" s="20" t="n">
        <v>2022</v>
      </c>
      <c r="F154" s="20" t="inlineStr"/>
      <c r="G154" t="inlineStr">
        <is>
          <t>Strein Stefan</t>
        </is>
      </c>
      <c r="H154" t="inlineStr">
        <is>
          <t>CHIEF INVESTMENT OFFICER - CCF</t>
        </is>
      </c>
      <c r="I154" t="inlineStr">
        <is>
          <t>CIO</t>
        </is>
      </c>
      <c r="J154" s="21" t="n">
        <v>1982706</v>
      </c>
      <c r="K154" s="21" t="n"/>
      <c r="L154" s="21" t="n">
        <v>1982706</v>
      </c>
      <c r="M154" s="21" t="n">
        <v>28038</v>
      </c>
      <c r="N154" s="21" t="n">
        <v>30500</v>
      </c>
      <c r="O154" s="21" t="n">
        <v>18764</v>
      </c>
      <c r="P154" s="21" t="n">
        <v>2060008</v>
      </c>
      <c r="Q154" s="21" t="n">
        <v>2060008</v>
      </c>
      <c r="R154" s="21">
        <f>IF(Q154="","",Q154*(1+in_GrowthRate)^(YEARFRAC(DATE(2022,12,31),in_AgeToDate)*IF(in_AgeToDate&lt;DATE(2022,12,31),-1,1)+1))</f>
        <v/>
      </c>
      <c r="S154" s="38" t="n">
        <v>0</v>
      </c>
      <c r="T154" s="43">
        <f>HYPERLINK("https://projects.propublica.org/nonprofits/organizations/912153073/202313179349305291/full","view filing")</f>
        <v/>
      </c>
    </row>
    <row r="155">
      <c r="A155" t="inlineStr">
        <is>
          <t>Colgate University Treasurers Office</t>
        </is>
      </c>
      <c r="B155" s="20" t="inlineStr">
        <is>
          <t>NY</t>
        </is>
      </c>
      <c r="C155" s="42" t="n">
        <v>1.6</v>
      </c>
      <c r="D155" t="inlineStr">
        <is>
          <t>Endowment</t>
        </is>
      </c>
      <c r="E155" s="20" t="n">
        <v>2025</v>
      </c>
      <c r="F155" s="20">
        <f>IF(AND(OR(in_Mode="All Funds",AND(C155&gt;=in_BandFloor,C155&lt;=in_BandCeiling,OR(in_Geography="National",COUNTIFS(lst_GeoPreset,in_Geography,lst_GeoState,B155)&gt;0,AND(in_Geography="Custom",ISNUMBER(SEARCH(B155,SUBSTITUTE(in_CustomStates," ",""))))),OR(AND(D155="Endowment",Inputs!$B$14="Y"),AND(D155="Foundation",Inputs!$B$15="Y"),AND(D155="Healthcare",Inputs!$B$16="Y"),AND(D155="Pension",Inputs!$B$17="Y"),AND(D155="OCIO",Inputs!$B$18="Y"),AND(D155="Other",Inputs!$B$19="Y")))),A155&lt;&gt;in_ClientOrg,NOT(AND(in_ExclHarvard="Y",ISNUMBER(SEARCH("Harvard",A155))))),"Y","")</f>
        <v/>
      </c>
      <c r="G155" t="inlineStr">
        <is>
          <t>Joseph S Hope</t>
        </is>
      </c>
      <c r="H155" t="inlineStr">
        <is>
          <t>SR. VP-FIN, CIO, TREASURER</t>
        </is>
      </c>
      <c r="I155" t="inlineStr">
        <is>
          <t>CIO</t>
        </is>
      </c>
      <c r="J155" s="21" t="n">
        <v>604721</v>
      </c>
      <c r="K155" s="21" t="n">
        <v>297200</v>
      </c>
      <c r="L155" s="21" t="n">
        <v>901921</v>
      </c>
      <c r="M155" s="21" t="n">
        <v>2490</v>
      </c>
      <c r="N155" s="21" t="n">
        <v>42539</v>
      </c>
      <c r="O155" s="21" t="n">
        <v>8552</v>
      </c>
      <c r="P155" s="21" t="n">
        <v>955502</v>
      </c>
      <c r="Q155" s="21" t="n">
        <v>955502</v>
      </c>
      <c r="R155" s="21">
        <f>IF(Q155="","",Q155*(1+in_GrowthRate)^(YEARFRAC(DATE(2025,6,30),in_AgeToDate)*IF(in_AgeToDate&lt;DATE(2025,6,30),-1,1)+1))</f>
        <v/>
      </c>
      <c r="S155" s="38" t="n">
        <v>0.4914663125639758</v>
      </c>
      <c r="T155" s="43">
        <f>HYPERLINK("https://projects.propublica.org/nonprofits/organizations/150532078/202611339349300711/full","view filing")</f>
        <v/>
      </c>
    </row>
    <row r="156">
      <c r="A156" t="inlineStr">
        <is>
          <t>Colgate University Treasurers Office</t>
        </is>
      </c>
      <c r="B156" s="20" t="inlineStr">
        <is>
          <t>NY</t>
        </is>
      </c>
      <c r="C156" s="42" t="n">
        <v>1.6</v>
      </c>
      <c r="D156" t="inlineStr">
        <is>
          <t>Endowment</t>
        </is>
      </c>
      <c r="E156" s="20" t="n">
        <v>2024</v>
      </c>
      <c r="F156" s="20" t="inlineStr"/>
      <c r="G156" t="inlineStr">
        <is>
          <t>Joseph S Hope</t>
        </is>
      </c>
      <c r="H156" t="inlineStr">
        <is>
          <t>SR. VP-FIN, CIO, TREASURER</t>
        </is>
      </c>
      <c r="I156" t="inlineStr">
        <is>
          <t>CIO</t>
        </is>
      </c>
      <c r="J156" s="21" t="n">
        <v>592273</v>
      </c>
      <c r="K156" s="21" t="n">
        <v>240000</v>
      </c>
      <c r="L156" s="21" t="n">
        <v>832273</v>
      </c>
      <c r="M156" s="21" t="n">
        <v>52302</v>
      </c>
      <c r="N156" s="21" t="n">
        <v>40726</v>
      </c>
      <c r="O156" s="21" t="n">
        <v>8327</v>
      </c>
      <c r="P156" s="21" t="n">
        <v>933628</v>
      </c>
      <c r="Q156" s="21" t="n">
        <v>933628</v>
      </c>
      <c r="R156" s="21">
        <f>IF(Q156="","",Q156*(1+in_GrowthRate)^(YEARFRAC(DATE(2024,6,30),in_AgeToDate)*IF(in_AgeToDate&lt;DATE(2024,6,30),-1,1)+1))</f>
        <v/>
      </c>
      <c r="S156" s="38" t="n">
        <v>0.4052185394235429</v>
      </c>
      <c r="T156" s="43">
        <f>HYPERLINK("https://projects.propublica.org/nonprofits/organizations/150532078/202531339349308718/full","view filing")</f>
        <v/>
      </c>
    </row>
    <row r="157">
      <c r="A157" t="inlineStr">
        <is>
          <t>Colgate University Treasurers Office</t>
        </is>
      </c>
      <c r="B157" s="20" t="inlineStr">
        <is>
          <t>NY</t>
        </is>
      </c>
      <c r="C157" s="42" t="n">
        <v>1.6</v>
      </c>
      <c r="D157" t="inlineStr">
        <is>
          <t>Endowment</t>
        </is>
      </c>
      <c r="E157" s="20" t="n">
        <v>2023</v>
      </c>
      <c r="F157" s="20" t="inlineStr"/>
      <c r="G157" t="inlineStr">
        <is>
          <t>Joseph S Hope</t>
        </is>
      </c>
      <c r="H157" t="inlineStr">
        <is>
          <t>SR. VP-FIN/ADM, CIO, TREASURER</t>
        </is>
      </c>
      <c r="I157" t="inlineStr">
        <is>
          <t>CIO</t>
        </is>
      </c>
      <c r="J157" s="21" t="n">
        <v>556668</v>
      </c>
      <c r="K157" s="21" t="n">
        <v>250000</v>
      </c>
      <c r="L157" s="21" t="n">
        <v>806668</v>
      </c>
      <c r="M157" s="21" t="n">
        <v>2302</v>
      </c>
      <c r="N157" s="21" t="n">
        <v>37676</v>
      </c>
      <c r="O157" s="21" t="n">
        <v>8190</v>
      </c>
      <c r="P157" s="21" t="n">
        <v>854836</v>
      </c>
      <c r="Q157" s="21" t="n">
        <v>854836</v>
      </c>
      <c r="R157" s="21">
        <f>IF(Q157="","",Q157*(1+in_GrowthRate)^(YEARFRAC(DATE(2023,6,30),in_AgeToDate)*IF(in_AgeToDate&lt;DATE(2023,6,30),-1,1)+1))</f>
        <v/>
      </c>
      <c r="S157" s="38" t="n">
        <v>0.4491007207168366</v>
      </c>
      <c r="T157" s="43">
        <f>HYPERLINK("https://projects.propublica.org/nonprofits/organizations/150532078/202431369349302128/full","view filing")</f>
        <v/>
      </c>
    </row>
    <row r="158">
      <c r="A158" t="inlineStr">
        <is>
          <t>Colgate University Treasurers Office</t>
        </is>
      </c>
      <c r="B158" s="20" t="inlineStr">
        <is>
          <t>NY</t>
        </is>
      </c>
      <c r="C158" s="42" t="n">
        <v>1.6</v>
      </c>
      <c r="D158" t="inlineStr">
        <is>
          <t>Endowment</t>
        </is>
      </c>
      <c r="E158" s="20" t="n">
        <v>2022</v>
      </c>
      <c r="F158" s="20" t="inlineStr"/>
      <c r="G158" t="inlineStr">
        <is>
          <t>Joseph S Hope</t>
        </is>
      </c>
      <c r="H158" t="inlineStr">
        <is>
          <t>SR. VP-FIN/ADM, CIO, TREASURER</t>
        </is>
      </c>
      <c r="I158" t="inlineStr">
        <is>
          <t>CIO</t>
        </is>
      </c>
      <c r="J158" s="21" t="n">
        <v>457422</v>
      </c>
      <c r="K158" s="21" t="n">
        <v>212000</v>
      </c>
      <c r="L158" s="21" t="n">
        <v>669422</v>
      </c>
      <c r="M158" s="21" t="n">
        <v>2252</v>
      </c>
      <c r="N158" s="21" t="n">
        <v>35720</v>
      </c>
      <c r="O158" s="21" t="n">
        <v>7840</v>
      </c>
      <c r="P158" s="21" t="n">
        <v>715234</v>
      </c>
      <c r="Q158" s="21" t="n">
        <v>715234</v>
      </c>
      <c r="R158" s="21">
        <f>IF(Q158="","",Q158*(1+in_GrowthRate)^(YEARFRAC(DATE(2022,6,30),in_AgeToDate)*IF(in_AgeToDate&lt;DATE(2022,6,30),-1,1)+1))</f>
        <v/>
      </c>
      <c r="S158" s="38" t="n">
        <v>0.4634669954658936</v>
      </c>
      <c r="T158" s="43">
        <f>HYPERLINK("https://projects.propublica.org/nonprofits/organizations/150532078/202311329349302786/full","view filing")</f>
        <v/>
      </c>
    </row>
    <row r="159">
      <c r="A159" t="inlineStr">
        <is>
          <t>College Of The Ozarks</t>
        </is>
      </c>
      <c r="B159" s="20" t="inlineStr">
        <is>
          <t>MO</t>
        </is>
      </c>
      <c r="C159" s="42" t="n">
        <v>0.7</v>
      </c>
      <c r="D159" t="inlineStr">
        <is>
          <t>Endowment</t>
        </is>
      </c>
      <c r="E159" s="20" t="n">
        <v>2025</v>
      </c>
      <c r="F159" s="20">
        <f>IF(AND(OR(in_Mode="All Funds",AND(C159&gt;=in_BandFloor,C159&lt;=in_BandCeiling,OR(in_Geography="National",COUNTIFS(lst_GeoPreset,in_Geography,lst_GeoState,B159)&gt;0,AND(in_Geography="Custom",ISNUMBER(SEARCH(B159,SUBSTITUTE(in_CustomStates," ",""))))),OR(AND(D159="Endowment",Inputs!$B$14="Y"),AND(D159="Foundation",Inputs!$B$15="Y"),AND(D159="Healthcare",Inputs!$B$16="Y"),AND(D159="Pension",Inputs!$B$17="Y"),AND(D159="OCIO",Inputs!$B$18="Y"),AND(D159="Other",Inputs!$B$19="Y")))),A159&lt;&gt;in_ClientOrg,NOT(AND(in_ExclHarvard="Y",ISNUMBER(SEARCH("Harvard",A159))))),"Y","")</f>
        <v/>
      </c>
      <c r="G159" t="inlineStr">
        <is>
          <t>Jeffrey Schneider</t>
        </is>
      </c>
      <c r="H159" t="inlineStr">
        <is>
          <t>CIO</t>
        </is>
      </c>
      <c r="I159" t="inlineStr">
        <is>
          <t>CIO</t>
        </is>
      </c>
      <c r="J159" s="21" t="n">
        <v>166172</v>
      </c>
      <c r="K159" s="21" t="n"/>
      <c r="L159" s="21" t="n">
        <v>166172</v>
      </c>
      <c r="M159" s="21" t="n"/>
      <c r="N159" s="21" t="n">
        <v>17010</v>
      </c>
      <c r="O159" s="21" t="n">
        <v>14705</v>
      </c>
      <c r="P159" s="21" t="n">
        <v>197887</v>
      </c>
      <c r="Q159" s="21" t="n">
        <v>197887</v>
      </c>
      <c r="R159" s="21">
        <f>IF(Q159="","",Q159*(1+in_GrowthRate)^(YEARFRAC(DATE(2025,5,31),in_AgeToDate)*IF(in_AgeToDate&lt;DATE(2025,5,31),-1,1)+1))</f>
        <v/>
      </c>
      <c r="S159" s="38" t="n">
        <v>0</v>
      </c>
      <c r="T159" s="43">
        <f>HYPERLINK("https://projects.propublica.org/nonprofits/organizations/440556862/202621009349301402/full","view filing")</f>
        <v/>
      </c>
    </row>
    <row r="160">
      <c r="A160" t="inlineStr">
        <is>
          <t>Communities Foundation Of Texas</t>
        </is>
      </c>
      <c r="B160" s="20" t="inlineStr">
        <is>
          <t>TX</t>
        </is>
      </c>
      <c r="C160" s="42" t="n">
        <v>1.1</v>
      </c>
      <c r="D160" t="inlineStr">
        <is>
          <t>Foundation</t>
        </is>
      </c>
      <c r="E160" s="20" t="n">
        <v>2025</v>
      </c>
      <c r="F160" s="20">
        <f>IF(AND(OR(in_Mode="All Funds",AND(C160&gt;=in_BandFloor,C160&lt;=in_BandCeiling,OR(in_Geography="National",COUNTIFS(lst_GeoPreset,in_Geography,lst_GeoState,B160)&gt;0,AND(in_Geography="Custom",ISNUMBER(SEARCH(B160,SUBSTITUTE(in_CustomStates," ",""))))),OR(AND(D160="Endowment",Inputs!$B$14="Y"),AND(D160="Foundation",Inputs!$B$15="Y"),AND(D160="Healthcare",Inputs!$B$16="Y"),AND(D160="Pension",Inputs!$B$17="Y"),AND(D160="OCIO",Inputs!$B$18="Y"),AND(D160="Other",Inputs!$B$19="Y")))),A160&lt;&gt;in_ClientOrg,NOT(AND(in_ExclHarvard="Y",ISNUMBER(SEARCH("Harvard",A160))))),"Y","")</f>
        <v/>
      </c>
      <c r="G160" t="inlineStr">
        <is>
          <t>Gary Samberson</t>
        </is>
      </c>
      <c r="H160" t="inlineStr">
        <is>
          <t>CHIEF INVESTMENT OFFICER</t>
        </is>
      </c>
      <c r="I160" t="inlineStr">
        <is>
          <t>CIO</t>
        </is>
      </c>
      <c r="J160" s="21" t="n">
        <v>254372</v>
      </c>
      <c r="K160" s="21" t="n">
        <v>7900</v>
      </c>
      <c r="L160" s="21" t="n">
        <v>262272</v>
      </c>
      <c r="M160" s="21" t="n">
        <v>1291</v>
      </c>
      <c r="N160" s="21" t="n">
        <v>21971</v>
      </c>
      <c r="O160" s="21" t="n">
        <v>16525</v>
      </c>
      <c r="P160" s="21" t="n">
        <v>302059</v>
      </c>
      <c r="Q160" s="21" t="n">
        <v>302059</v>
      </c>
      <c r="R160" s="21">
        <f>IF(Q160="","",Q160*(1+in_GrowthRate)^(YEARFRAC(DATE(2025,6,30),in_AgeToDate)*IF(in_AgeToDate&lt;DATE(2025,6,30),-1,1)+1))</f>
        <v/>
      </c>
      <c r="S160" s="38" t="n">
        <v>0.0310568773292658</v>
      </c>
      <c r="T160" s="43">
        <f>HYPERLINK("https://projects.propublica.org/nonprofits/organizations/750964565/202621119349301972/full","view filing")</f>
        <v/>
      </c>
    </row>
    <row r="161">
      <c r="A161" t="inlineStr">
        <is>
          <t>Communities Foundation Of Texas</t>
        </is>
      </c>
      <c r="B161" s="20" t="inlineStr">
        <is>
          <t>TX</t>
        </is>
      </c>
      <c r="C161" s="42" t="n">
        <v>1.1</v>
      </c>
      <c r="D161" t="inlineStr">
        <is>
          <t>Foundation</t>
        </is>
      </c>
      <c r="E161" s="20" t="n">
        <v>2024</v>
      </c>
      <c r="F161" s="20" t="inlineStr"/>
      <c r="G161" t="inlineStr">
        <is>
          <t>Gary Samberson</t>
        </is>
      </c>
      <c r="H161" t="inlineStr">
        <is>
          <t>CHIEF INVESTMENTS OFFICER</t>
        </is>
      </c>
      <c r="I161" t="inlineStr">
        <is>
          <t>CIO</t>
        </is>
      </c>
      <c r="J161" s="21" t="n">
        <v>245242</v>
      </c>
      <c r="K161" s="21" t="n">
        <v>2800</v>
      </c>
      <c r="L161" s="21" t="n">
        <v>248042</v>
      </c>
      <c r="M161" s="21" t="n">
        <v>1066</v>
      </c>
      <c r="N161" s="21" t="n">
        <v>20816</v>
      </c>
      <c r="O161" s="21" t="n">
        <v>15884</v>
      </c>
      <c r="P161" s="21" t="n">
        <v>285808</v>
      </c>
      <c r="Q161" s="21" t="n">
        <v>285808</v>
      </c>
      <c r="R161" s="21">
        <f>IF(Q161="","",Q161*(1+in_GrowthRate)^(YEARFRAC(DATE(2024,6,30),in_AgeToDate)*IF(in_AgeToDate&lt;DATE(2024,6,30),-1,1)+1))</f>
        <v/>
      </c>
      <c r="S161" s="38" t="n">
        <v>0.01141729393823244</v>
      </c>
      <c r="T161" s="43">
        <f>HYPERLINK("https://projects.propublica.org/nonprofits/organizations/750964565/202500849349300230/full","view filing")</f>
        <v/>
      </c>
    </row>
    <row r="162">
      <c r="A162" t="inlineStr">
        <is>
          <t>Communities Foundation Of Texas</t>
        </is>
      </c>
      <c r="B162" s="20" t="inlineStr">
        <is>
          <t>TX</t>
        </is>
      </c>
      <c r="C162" s="42" t="n">
        <v>1.1</v>
      </c>
      <c r="D162" t="inlineStr">
        <is>
          <t>Foundation</t>
        </is>
      </c>
      <c r="E162" s="20" t="n">
        <v>2023</v>
      </c>
      <c r="F162" s="20" t="inlineStr"/>
      <c r="G162" t="inlineStr">
        <is>
          <t>Gary Samberson</t>
        </is>
      </c>
      <c r="H162" t="inlineStr">
        <is>
          <t>CHIEF INVESTMENT OFFICER</t>
        </is>
      </c>
      <c r="I162" t="inlineStr">
        <is>
          <t>CIO</t>
        </is>
      </c>
      <c r="J162" s="21" t="n">
        <v>236548</v>
      </c>
      <c r="K162" s="21" t="n">
        <v>2700</v>
      </c>
      <c r="L162" s="21" t="n">
        <v>239248</v>
      </c>
      <c r="M162" s="21" t="n">
        <v>1761</v>
      </c>
      <c r="N162" s="21" t="n">
        <v>10100</v>
      </c>
      <c r="O162" s="21" t="n">
        <v>15990</v>
      </c>
      <c r="P162" s="21" t="n">
        <v>267099</v>
      </c>
      <c r="Q162" s="21" t="n">
        <v>267099</v>
      </c>
      <c r="R162" s="21">
        <f>IF(Q162="","",Q162*(1+in_GrowthRate)^(YEARFRAC(DATE(2023,6,30),in_AgeToDate)*IF(in_AgeToDate&lt;DATE(2023,6,30),-1,1)+1))</f>
        <v/>
      </c>
      <c r="S162" s="38" t="n">
        <v>0.0114141738674603</v>
      </c>
      <c r="T162" s="43">
        <f>HYPERLINK("https://projects.propublica.org/nonprofits/organizations/750964565/202410609349301461/full","view filing")</f>
        <v/>
      </c>
    </row>
    <row r="163">
      <c r="A163" t="inlineStr">
        <is>
          <t>Communities Foundation Of Texas</t>
        </is>
      </c>
      <c r="B163" s="20" t="inlineStr">
        <is>
          <t>TX</t>
        </is>
      </c>
      <c r="C163" s="42" t="n">
        <v>1.1</v>
      </c>
      <c r="D163" t="inlineStr">
        <is>
          <t>Foundation</t>
        </is>
      </c>
      <c r="E163" s="20" t="n">
        <v>2022</v>
      </c>
      <c r="F163" s="20" t="inlineStr"/>
      <c r="G163" t="inlineStr">
        <is>
          <t>Gary Samberson</t>
        </is>
      </c>
      <c r="H163" t="inlineStr">
        <is>
          <t>CHIEF INVESTMENT OFFICER</t>
        </is>
      </c>
      <c r="I163" t="inlineStr">
        <is>
          <t>CIO</t>
        </is>
      </c>
      <c r="J163" s="21" t="n"/>
      <c r="K163" s="21" t="n"/>
      <c r="L163" s="21" t="n"/>
      <c r="M163" s="21" t="n"/>
      <c r="N163" s="21" t="n"/>
      <c r="O163" s="21" t="n"/>
      <c r="P163" s="21" t="n">
        <v>67994</v>
      </c>
      <c r="Q163" s="21" t="n">
        <v>67994</v>
      </c>
      <c r="R163" s="21">
        <f>IF(Q163="","",Q163*(1+in_GrowthRate)^(YEARFRAC(DATE(2022,6,30),in_AgeToDate)*IF(in_AgeToDate&lt;DATE(2022,6,30),-1,1)+1))</f>
        <v/>
      </c>
      <c r="S163" s="38" t="n"/>
      <c r="T163" s="43">
        <f>HYPERLINK("https://projects.propublica.org/nonprofits/organizations/750964565/202330179349300633/full","view filing")</f>
        <v/>
      </c>
    </row>
    <row r="164">
      <c r="A164" t="inlineStr">
        <is>
          <t>Community Foundation For Greater New Haven</t>
        </is>
      </c>
      <c r="B164" s="20" t="inlineStr">
        <is>
          <t>CT</t>
        </is>
      </c>
      <c r="C164" s="42" t="n">
        <v>0.61</v>
      </c>
      <c r="D164" t="inlineStr">
        <is>
          <t>Foundation</t>
        </is>
      </c>
      <c r="E164" s="20" t="n">
        <v>2024</v>
      </c>
      <c r="F164" s="20">
        <f>IF(AND(OR(in_Mode="All Funds",AND(C164&gt;=in_BandFloor,C164&lt;=in_BandCeiling,OR(in_Geography="National",COUNTIFS(lst_GeoPreset,in_Geography,lst_GeoState,B164)&gt;0,AND(in_Geography="Custom",ISNUMBER(SEARCH(B164,SUBSTITUTE(in_CustomStates," ",""))))),OR(AND(D164="Endowment",Inputs!$B$14="Y"),AND(D164="Foundation",Inputs!$B$15="Y"),AND(D164="Healthcare",Inputs!$B$16="Y"),AND(D164="Pension",Inputs!$B$17="Y"),AND(D164="OCIO",Inputs!$B$18="Y"),AND(D164="Other",Inputs!$B$19="Y")))),A164&lt;&gt;in_ClientOrg,NOT(AND(in_ExclHarvard="Y",ISNUMBER(SEARCH("Harvard",A164))))),"Y","")</f>
        <v/>
      </c>
      <c r="G164" t="inlineStr">
        <is>
          <t>Andrew F Alden</t>
        </is>
      </c>
      <c r="H164" t="inlineStr">
        <is>
          <t>CHIEF INVESTMENT OFFICER</t>
        </is>
      </c>
      <c r="I164" t="inlineStr">
        <is>
          <t>CIO</t>
        </is>
      </c>
      <c r="J164" s="21" t="n">
        <v>398860</v>
      </c>
      <c r="K164" s="21" t="n"/>
      <c r="L164" s="21" t="n">
        <v>398860</v>
      </c>
      <c r="M164" s="21" t="n">
        <v>2146</v>
      </c>
      <c r="N164" s="21" t="n">
        <v>32080</v>
      </c>
      <c r="O164" s="21" t="n">
        <v>30532</v>
      </c>
      <c r="P164" s="21" t="n">
        <v>463618</v>
      </c>
      <c r="Q164" s="21" t="n">
        <v>463618</v>
      </c>
      <c r="R164" s="21">
        <f>IF(Q164="","",Q164*(1+in_GrowthRate)^(YEARFRAC(DATE(2024,12,31),in_AgeToDate)*IF(in_AgeToDate&lt;DATE(2024,12,31),-1,1)+1))</f>
        <v/>
      </c>
      <c r="S164" s="38" t="n">
        <v>0</v>
      </c>
      <c r="T164" s="43">
        <f>HYPERLINK("https://projects.propublica.org/nonprofits/organizations/66032106/202543219349314969/full","view filing")</f>
        <v/>
      </c>
    </row>
    <row r="165">
      <c r="A165" t="inlineStr">
        <is>
          <t>Community Foundation For Greater New Haven</t>
        </is>
      </c>
      <c r="B165" s="20" t="inlineStr">
        <is>
          <t>CT</t>
        </is>
      </c>
      <c r="C165" s="42" t="n">
        <v>0.61</v>
      </c>
      <c r="D165" t="inlineStr">
        <is>
          <t>Foundation</t>
        </is>
      </c>
      <c r="E165" s="20" t="n">
        <v>2023</v>
      </c>
      <c r="F165" s="20" t="inlineStr"/>
      <c r="G165" t="inlineStr">
        <is>
          <t>Andrew F Alden</t>
        </is>
      </c>
      <c r="H165" t="inlineStr">
        <is>
          <t>CHIEF INVESTMENT OFFICER</t>
        </is>
      </c>
      <c r="I165" t="inlineStr">
        <is>
          <t>CIO</t>
        </is>
      </c>
      <c r="J165" s="21" t="n">
        <v>381237</v>
      </c>
      <c r="K165" s="21" t="n"/>
      <c r="L165" s="21" t="n">
        <v>381237</v>
      </c>
      <c r="M165" s="21" t="n"/>
      <c r="N165" s="21" t="n">
        <v>30499</v>
      </c>
      <c r="O165" s="21" t="n">
        <v>18828</v>
      </c>
      <c r="P165" s="21" t="n">
        <v>430564</v>
      </c>
      <c r="Q165" s="21" t="n">
        <v>430564</v>
      </c>
      <c r="R165" s="21">
        <f>IF(Q165="","",Q165*(1+in_GrowthRate)^(YEARFRAC(DATE(2023,12,31),in_AgeToDate)*IF(in_AgeToDate&lt;DATE(2023,12,31),-1,1)+1))</f>
        <v/>
      </c>
      <c r="S165" s="38" t="n">
        <v>0</v>
      </c>
      <c r="T165" s="43">
        <f>HYPERLINK("https://projects.propublica.org/nonprofits/organizations/66032106/202403209349318265/full","view filing")</f>
        <v/>
      </c>
    </row>
    <row r="166">
      <c r="A166" t="inlineStr">
        <is>
          <t>Community Foundation Of North Texas</t>
        </is>
      </c>
      <c r="B166" s="20" t="inlineStr">
        <is>
          <t>TX</t>
        </is>
      </c>
      <c r="C166" s="42" t="n">
        <v>0.5</v>
      </c>
      <c r="D166" t="inlineStr">
        <is>
          <t>Foundation</t>
        </is>
      </c>
      <c r="E166" s="20" t="n">
        <v>2023</v>
      </c>
      <c r="F166" s="20" t="inlineStr"/>
      <c r="G166" t="inlineStr">
        <is>
          <t>Stan Ninemire</t>
        </is>
      </c>
      <c r="H166" t="inlineStr">
        <is>
          <t>CHIEF INVESTMENT OFFICER</t>
        </is>
      </c>
      <c r="I166" t="inlineStr">
        <is>
          <t>CIO</t>
        </is>
      </c>
      <c r="J166" s="21" t="n"/>
      <c r="K166" s="21" t="n"/>
      <c r="L166" s="21" t="n"/>
      <c r="M166" s="21" t="n"/>
      <c r="N166" s="21" t="n"/>
      <c r="O166" s="21" t="n"/>
      <c r="P166" s="21" t="n">
        <v>127787</v>
      </c>
      <c r="Q166" s="21" t="n">
        <v>127787</v>
      </c>
      <c r="R166" s="21">
        <f>IF(Q166="","",Q166*(1+in_GrowthRate)^(YEARFRAC(DATE(2023,12,31),in_AgeToDate)*IF(in_AgeToDate&lt;DATE(2023,12,31),-1,1)+1))</f>
        <v/>
      </c>
      <c r="S166" s="38" t="n"/>
      <c r="T166" s="43">
        <f>HYPERLINK("https://projects.propublica.org/nonprofits/organizations/752267767/202423199349313632/full","view filing")</f>
        <v/>
      </c>
    </row>
    <row r="167">
      <c r="A167" t="inlineStr">
        <is>
          <t>Community Foundation Of North Texas</t>
        </is>
      </c>
      <c r="B167" s="20" t="inlineStr">
        <is>
          <t>TX</t>
        </is>
      </c>
      <c r="C167" s="42" t="n">
        <v>0.5</v>
      </c>
      <c r="D167" t="inlineStr">
        <is>
          <t>Foundation</t>
        </is>
      </c>
      <c r="E167" s="20" t="n">
        <v>2022</v>
      </c>
      <c r="F167" s="20" t="inlineStr"/>
      <c r="G167" t="inlineStr">
        <is>
          <t>Stan Ninemire</t>
        </is>
      </c>
      <c r="H167" t="inlineStr">
        <is>
          <t>CHIEF INVESTMENT OFFICER</t>
        </is>
      </c>
      <c r="I167" t="inlineStr">
        <is>
          <t>CIO</t>
        </is>
      </c>
      <c r="J167" s="21" t="n"/>
      <c r="K167" s="21" t="n"/>
      <c r="L167" s="21" t="n"/>
      <c r="M167" s="21" t="n"/>
      <c r="N167" s="21" t="n"/>
      <c r="O167" s="21" t="n"/>
      <c r="P167" s="21" t="n">
        <v>122691</v>
      </c>
      <c r="Q167" s="21" t="n">
        <v>122691</v>
      </c>
      <c r="R167" s="21">
        <f>IF(Q167="","",Q167*(1+in_GrowthRate)^(YEARFRAC(DATE(2022,12,31),in_AgeToDate)*IF(in_AgeToDate&lt;DATE(2022,12,31),-1,1)+1))</f>
        <v/>
      </c>
      <c r="S167" s="38" t="n"/>
      <c r="T167" s="43">
        <f>HYPERLINK("https://projects.propublica.org/nonprofits/organizations/752267767/202343189349304699/full","view filing")</f>
        <v/>
      </c>
    </row>
    <row r="168">
      <c r="A168" t="inlineStr">
        <is>
          <t>Conference On Jewish Material Claims Against Germany</t>
        </is>
      </c>
      <c r="B168" s="20" t="inlineStr">
        <is>
          <t>NY</t>
        </is>
      </c>
      <c r="C168" s="42" t="n">
        <v>0.6899999999999999</v>
      </c>
      <c r="D168" t="inlineStr">
        <is>
          <t>Other</t>
        </is>
      </c>
      <c r="E168" s="20" t="n">
        <v>2023</v>
      </c>
      <c r="F168" s="20" t="inlineStr"/>
      <c r="G168" t="inlineStr">
        <is>
          <t>Joseph Berger</t>
        </is>
      </c>
      <c r="H168" t="inlineStr">
        <is>
          <t>CHIEF INVESTMENT OFFICER</t>
        </is>
      </c>
      <c r="I168" t="inlineStr">
        <is>
          <t>CIO</t>
        </is>
      </c>
      <c r="J168" s="21" t="n">
        <v>274705</v>
      </c>
      <c r="K168" s="21" t="n"/>
      <c r="L168" s="21" t="n">
        <v>274705</v>
      </c>
      <c r="M168" s="21" t="n">
        <v>43872</v>
      </c>
      <c r="N168" s="21" t="n"/>
      <c r="O168" s="21" t="n">
        <v>32611</v>
      </c>
      <c r="P168" s="21" t="n">
        <v>351188</v>
      </c>
      <c r="Q168" s="21" t="n">
        <v>351188</v>
      </c>
      <c r="R168" s="21">
        <f>IF(Q168="","",Q168*(1+in_GrowthRate)^(YEARFRAC(DATE(2023,12,31),in_AgeToDate)*IF(in_AgeToDate&lt;DATE(2023,12,31),-1,1)+1))</f>
        <v/>
      </c>
      <c r="S168" s="38" t="n">
        <v>0</v>
      </c>
      <c r="T168" s="43">
        <f>HYPERLINK("https://projects.propublica.org/nonprofits/organizations/131677841/202433129349302388/full","view filing")</f>
        <v/>
      </c>
    </row>
    <row r="169">
      <c r="A169" t="inlineStr">
        <is>
          <t>Conference On Jewish Material Claims Against Germany</t>
        </is>
      </c>
      <c r="B169" s="20" t="inlineStr">
        <is>
          <t>NY</t>
        </is>
      </c>
      <c r="C169" s="42" t="n">
        <v>0.6899999999999999</v>
      </c>
      <c r="D169" t="inlineStr">
        <is>
          <t>Other</t>
        </is>
      </c>
      <c r="E169" s="20" t="n">
        <v>2022</v>
      </c>
      <c r="F169" s="20" t="inlineStr"/>
      <c r="G169" t="inlineStr">
        <is>
          <t>Joseph Berger</t>
        </is>
      </c>
      <c r="H169" t="inlineStr">
        <is>
          <t>CHIEF INVESTMENT OFFICER</t>
        </is>
      </c>
      <c r="I169" t="inlineStr">
        <is>
          <t>CIO</t>
        </is>
      </c>
      <c r="J169" s="21" t="n">
        <v>261941</v>
      </c>
      <c r="K169" s="21" t="n"/>
      <c r="L169" s="21" t="n">
        <v>261941</v>
      </c>
      <c r="M169" s="21" t="n">
        <v>43442</v>
      </c>
      <c r="N169" s="21" t="n"/>
      <c r="O169" s="21" t="n">
        <v>28658</v>
      </c>
      <c r="P169" s="21" t="n">
        <v>334041</v>
      </c>
      <c r="Q169" s="21" t="n">
        <v>334041</v>
      </c>
      <c r="R169" s="21">
        <f>IF(Q169="","",Q169*(1+in_GrowthRate)^(YEARFRAC(DATE(2022,12,31),in_AgeToDate)*IF(in_AgeToDate&lt;DATE(2022,12,31),-1,1)+1))</f>
        <v/>
      </c>
      <c r="S169" s="38" t="n">
        <v>0</v>
      </c>
      <c r="T169" s="43">
        <f>HYPERLINK("https://projects.propublica.org/nonprofits/organizations/131677841/202333129349303763/full","view filing")</f>
        <v/>
      </c>
    </row>
    <row r="170">
      <c r="A170" t="inlineStr">
        <is>
          <t>Conrad N Hilton Foundation</t>
        </is>
      </c>
      <c r="B170" s="20" t="inlineStr">
        <is>
          <t>CA</t>
        </is>
      </c>
      <c r="C170" s="42" t="n">
        <v>6.78</v>
      </c>
      <c r="D170" t="inlineStr">
        <is>
          <t>Foundation</t>
        </is>
      </c>
      <c r="E170" s="20" t="n">
        <v>2024</v>
      </c>
      <c r="F170" s="20">
        <f>IF(AND(OR(in_Mode="All Funds",AND(C170&gt;=in_BandFloor,C170&lt;=in_BandCeiling,OR(in_Geography="National",COUNTIFS(lst_GeoPreset,in_Geography,lst_GeoState,B170)&gt;0,AND(in_Geography="Custom",ISNUMBER(SEARCH(B170,SUBSTITUTE(in_CustomStates," ",""))))),OR(AND(D170="Endowment",Inputs!$B$14="Y"),AND(D170="Foundation",Inputs!$B$15="Y"),AND(D170="Healthcare",Inputs!$B$16="Y"),AND(D170="Pension",Inputs!$B$17="Y"),AND(D170="OCIO",Inputs!$B$18="Y"),AND(D170="Other",Inputs!$B$19="Y")))),A170&lt;&gt;in_ClientOrg,NOT(AND(in_ExclHarvard="Y",ISNUMBER(SEARCH("Harvard",A170))))),"Y","")</f>
        <v/>
      </c>
      <c r="G170" t="inlineStr">
        <is>
          <t>Michael Buchman</t>
        </is>
      </c>
      <c r="H170" t="inlineStr">
        <is>
          <t>VP AND CIO</t>
        </is>
      </c>
      <c r="I170" t="inlineStr">
        <is>
          <t>CIO</t>
        </is>
      </c>
      <c r="J170" s="21" t="n"/>
      <c r="K170" s="21" t="n"/>
      <c r="L170" s="21" t="n"/>
      <c r="M170" s="21" t="n"/>
      <c r="N170" s="21" t="n"/>
      <c r="O170" s="21" t="n">
        <v>67081</v>
      </c>
      <c r="P170" s="21" t="n">
        <v>1336221</v>
      </c>
      <c r="Q170" s="21" t="n">
        <v>1336221</v>
      </c>
      <c r="R170" s="21">
        <f>IF(Q170="","",Q170*(1+in_GrowthRate)^(YEARFRAC(DATE(2024,12,31),in_AgeToDate)*IF(in_AgeToDate&lt;DATE(2024,12,31),-1,1)+1))</f>
        <v/>
      </c>
      <c r="S170" s="38" t="n"/>
      <c r="T170" s="43">
        <f>HYPERLINK("https://projects.propublica.org/nonprofits/organizations/943100217/202533189349104213/full","view filing")</f>
        <v/>
      </c>
    </row>
    <row r="171">
      <c r="A171" t="inlineStr">
        <is>
          <t>Conrad N Hilton Foundation</t>
        </is>
      </c>
      <c r="B171" s="20" t="inlineStr">
        <is>
          <t>CA</t>
        </is>
      </c>
      <c r="C171" s="42" t="n">
        <v>6.78</v>
      </c>
      <c r="D171" t="inlineStr">
        <is>
          <t>Foundation</t>
        </is>
      </c>
      <c r="E171" s="20" t="n">
        <v>2023</v>
      </c>
      <c r="F171" s="20" t="inlineStr"/>
      <c r="G171" t="inlineStr">
        <is>
          <t>Michael Buchman</t>
        </is>
      </c>
      <c r="H171" t="inlineStr">
        <is>
          <t>VP AND CIO</t>
        </is>
      </c>
      <c r="I171" t="inlineStr">
        <is>
          <t>CIO</t>
        </is>
      </c>
      <c r="J171" s="21" t="n"/>
      <c r="K171" s="21" t="n"/>
      <c r="L171" s="21" t="n"/>
      <c r="M171" s="21" t="n"/>
      <c r="N171" s="21" t="n"/>
      <c r="O171" s="21" t="n">
        <v>59379</v>
      </c>
      <c r="P171" s="21" t="n">
        <v>1449715</v>
      </c>
      <c r="Q171" s="21" t="n">
        <v>1449715</v>
      </c>
      <c r="R171" s="21">
        <f>IF(Q171="","",Q171*(1+in_GrowthRate)^(YEARFRAC(DATE(2023,12,31),in_AgeToDate)*IF(in_AgeToDate&lt;DATE(2023,12,31),-1,1)+1))</f>
        <v/>
      </c>
      <c r="S171" s="38" t="n"/>
      <c r="T171" s="43">
        <f>HYPERLINK("https://projects.propublica.org/nonprofits/organizations/943100217/202443209349101314/full","view filing")</f>
        <v/>
      </c>
    </row>
    <row r="172">
      <c r="A172" t="inlineStr">
        <is>
          <t>Conrad N Hilton Foundation</t>
        </is>
      </c>
      <c r="B172" s="20" t="inlineStr">
        <is>
          <t>CA</t>
        </is>
      </c>
      <c r="C172" s="42" t="n">
        <v>6.78</v>
      </c>
      <c r="D172" t="inlineStr">
        <is>
          <t>Foundation</t>
        </is>
      </c>
      <c r="E172" s="20" t="n">
        <v>2022</v>
      </c>
      <c r="F172" s="20" t="inlineStr"/>
      <c r="G172" t="inlineStr">
        <is>
          <t>Michael Buchman</t>
        </is>
      </c>
      <c r="H172" t="inlineStr">
        <is>
          <t>VP AND CIO</t>
        </is>
      </c>
      <c r="I172" t="inlineStr">
        <is>
          <t>CIO</t>
        </is>
      </c>
      <c r="J172" s="21" t="n"/>
      <c r="K172" s="21" t="n"/>
      <c r="L172" s="21" t="n"/>
      <c r="M172" s="21" t="n"/>
      <c r="N172" s="21" t="n"/>
      <c r="O172" s="21" t="n">
        <v>55975</v>
      </c>
      <c r="P172" s="21" t="n">
        <v>2039492</v>
      </c>
      <c r="Q172" s="21" t="n">
        <v>2039492</v>
      </c>
      <c r="R172" s="21">
        <f>IF(Q172="","",Q172*(1+in_GrowthRate)^(YEARFRAC(DATE(2022,12,31),in_AgeToDate)*IF(in_AgeToDate&lt;DATE(2022,12,31),-1,1)+1))</f>
        <v/>
      </c>
      <c r="S172" s="38" t="n"/>
      <c r="T172" s="43">
        <f>HYPERLINK("https://projects.propublica.org/nonprofits/organizations/943100217/202343199349103139/full","view filing")</f>
        <v/>
      </c>
    </row>
    <row r="173">
      <c r="A173" t="inlineStr">
        <is>
          <t>Cornell University</t>
        </is>
      </c>
      <c r="B173" s="20" t="inlineStr">
        <is>
          <t>NY</t>
        </is>
      </c>
      <c r="C173" s="42" t="n">
        <v>11.75</v>
      </c>
      <c r="D173" t="inlineStr">
        <is>
          <t>Endowment</t>
        </is>
      </c>
      <c r="E173" s="20" t="n">
        <v>2025</v>
      </c>
      <c r="F173" s="20">
        <f>IF(AND(OR(in_Mode="All Funds",AND(C173&gt;=in_BandFloor,C173&lt;=in_BandCeiling,OR(in_Geography="National",COUNTIFS(lst_GeoPreset,in_Geography,lst_GeoState,B173)&gt;0,AND(in_Geography="Custom",ISNUMBER(SEARCH(B173,SUBSTITUTE(in_CustomStates," ",""))))),OR(AND(D173="Endowment",Inputs!$B$14="Y"),AND(D173="Foundation",Inputs!$B$15="Y"),AND(D173="Healthcare",Inputs!$B$16="Y"),AND(D173="Pension",Inputs!$B$17="Y"),AND(D173="OCIO",Inputs!$B$18="Y"),AND(D173="Other",Inputs!$B$19="Y")))),A173&lt;&gt;in_ClientOrg,NOT(AND(in_ExclHarvard="Y",ISNUMBER(SEARCH("Harvard",A173))))),"Y","")</f>
        <v/>
      </c>
      <c r="G173" t="inlineStr">
        <is>
          <t>Kenneth Miranda</t>
        </is>
      </c>
      <c r="H173" t="inlineStr">
        <is>
          <t>CHIEF INVESTMENT OFFICER</t>
        </is>
      </c>
      <c r="I173" t="inlineStr">
        <is>
          <t>CIO</t>
        </is>
      </c>
      <c r="J173" s="21" t="n">
        <v>1022564</v>
      </c>
      <c r="K173" s="21" t="n">
        <v>1122395</v>
      </c>
      <c r="L173" s="21" t="n">
        <v>2144959</v>
      </c>
      <c r="M173" s="21" t="n">
        <v>75830</v>
      </c>
      <c r="N173" s="21" t="n"/>
      <c r="O173" s="21" t="n">
        <v>1533</v>
      </c>
      <c r="P173" s="21" t="n">
        <v>2222322</v>
      </c>
      <c r="Q173" s="21" t="n">
        <v>2222322</v>
      </c>
      <c r="R173" s="21">
        <f>IF(Q173="","",Q173*(1+in_GrowthRate)^(YEARFRAC(DATE(2025,6,30),in_AgeToDate)*IF(in_AgeToDate&lt;DATE(2025,6,30),-1,1)+1))</f>
        <v/>
      </c>
      <c r="S173" s="38" t="n">
        <v>1.097628119120172</v>
      </c>
      <c r="T173" s="43">
        <f>HYPERLINK("https://projects.propublica.org/nonprofits/organizations/150532082/202631329349305043/full","view filing")</f>
        <v/>
      </c>
    </row>
    <row r="174">
      <c r="A174" t="inlineStr">
        <is>
          <t>Cornell University</t>
        </is>
      </c>
      <c r="B174" s="20" t="inlineStr">
        <is>
          <t>NY</t>
        </is>
      </c>
      <c r="C174" s="42" t="n">
        <v>11.75</v>
      </c>
      <c r="D174" t="inlineStr">
        <is>
          <t>Endowment</t>
        </is>
      </c>
      <c r="E174" s="20" t="n">
        <v>2024</v>
      </c>
      <c r="F174" s="20" t="inlineStr"/>
      <c r="G174" t="inlineStr">
        <is>
          <t>Kenneth Miranda</t>
        </is>
      </c>
      <c r="H174" t="inlineStr">
        <is>
          <t>CHIEF INVESMENT OFFICER</t>
        </is>
      </c>
      <c r="I174" t="inlineStr">
        <is>
          <t>CIO</t>
        </is>
      </c>
      <c r="J174" s="21" t="n">
        <v>976717</v>
      </c>
      <c r="K174" s="21" t="n">
        <v>1754096</v>
      </c>
      <c r="L174" s="21" t="n">
        <v>2730813</v>
      </c>
      <c r="M174" s="21" t="n">
        <v>72677</v>
      </c>
      <c r="N174" s="21" t="n">
        <v>33000</v>
      </c>
      <c r="O174" s="21" t="n">
        <v>1533</v>
      </c>
      <c r="P174" s="21" t="n">
        <v>2838023</v>
      </c>
      <c r="Q174" s="21" t="n">
        <v>2838023</v>
      </c>
      <c r="R174" s="21">
        <f>IF(Q174="","",Q174*(1+in_GrowthRate)^(YEARFRAC(DATE(2024,6,30),in_AgeToDate)*IF(in_AgeToDate&lt;DATE(2024,6,30),-1,1)+1))</f>
        <v/>
      </c>
      <c r="S174" s="38" t="n">
        <v>1.795910176642774</v>
      </c>
      <c r="T174" s="43">
        <f>HYPERLINK("https://projects.propublica.org/nonprofits/organizations/150532082/202511339349300031/full","view filing")</f>
        <v/>
      </c>
    </row>
    <row r="175">
      <c r="A175" t="inlineStr">
        <is>
          <t>Cornell University</t>
        </is>
      </c>
      <c r="B175" s="20" t="inlineStr">
        <is>
          <t>NY</t>
        </is>
      </c>
      <c r="C175" s="42" t="n">
        <v>11.75</v>
      </c>
      <c r="D175" t="inlineStr">
        <is>
          <t>Endowment</t>
        </is>
      </c>
      <c r="E175" s="20" t="n">
        <v>2023</v>
      </c>
      <c r="F175" s="20" t="inlineStr"/>
      <c r="G175" t="inlineStr">
        <is>
          <t>Kenneth Miranda</t>
        </is>
      </c>
      <c r="H175" t="inlineStr">
        <is>
          <t>CHIEF INVESMENT OFFICER</t>
        </is>
      </c>
      <c r="I175" t="inlineStr">
        <is>
          <t>CIO</t>
        </is>
      </c>
      <c r="J175" s="21" t="n">
        <v>882484</v>
      </c>
      <c r="K175" s="21" t="n">
        <v>1668978</v>
      </c>
      <c r="L175" s="21" t="n">
        <v>2551462</v>
      </c>
      <c r="M175" s="21" t="n">
        <v>120252</v>
      </c>
      <c r="N175" s="21" t="n">
        <v>30500</v>
      </c>
      <c r="O175" s="21" t="n">
        <v>557</v>
      </c>
      <c r="P175" s="21" t="n">
        <v>2702771</v>
      </c>
      <c r="Q175" s="21" t="n">
        <v>2702771</v>
      </c>
      <c r="R175" s="21">
        <f>IF(Q175="","",Q175*(1+in_GrowthRate)^(YEARFRAC(DATE(2023,6,30),in_AgeToDate)*IF(in_AgeToDate&lt;DATE(2023,6,30),-1,1)+1))</f>
        <v/>
      </c>
      <c r="S175" s="38" t="n">
        <v>1.891227489676867</v>
      </c>
      <c r="T175" s="43">
        <f>HYPERLINK("https://projects.propublica.org/nonprofits/organizations/150532082/202401319349304360/full","view filing")</f>
        <v/>
      </c>
    </row>
    <row r="176">
      <c r="A176" t="inlineStr">
        <is>
          <t>Cornell University</t>
        </is>
      </c>
      <c r="B176" s="20" t="inlineStr">
        <is>
          <t>NY</t>
        </is>
      </c>
      <c r="C176" s="42" t="n">
        <v>11.75</v>
      </c>
      <c r="D176" t="inlineStr">
        <is>
          <t>Endowment</t>
        </is>
      </c>
      <c r="E176" s="20" t="n">
        <v>2022</v>
      </c>
      <c r="F176" s="20" t="inlineStr"/>
      <c r="G176" t="inlineStr">
        <is>
          <t>Kenneth Miranda</t>
        </is>
      </c>
      <c r="H176" t="inlineStr">
        <is>
          <t>CHIEF INVESMENT OFFICER</t>
        </is>
      </c>
      <c r="I176" t="inlineStr">
        <is>
          <t>CIO</t>
        </is>
      </c>
      <c r="J176" s="21" t="n">
        <v>818138</v>
      </c>
      <c r="K176" s="21" t="n">
        <v>1420251</v>
      </c>
      <c r="L176" s="21" t="n">
        <v>2238389</v>
      </c>
      <c r="M176" s="21" t="n">
        <v>154228</v>
      </c>
      <c r="N176" s="21" t="n">
        <v>29000</v>
      </c>
      <c r="O176" s="21" t="n">
        <v>548</v>
      </c>
      <c r="P176" s="21" t="n">
        <v>2422165</v>
      </c>
      <c r="Q176" s="21" t="n">
        <v>2422165</v>
      </c>
      <c r="R176" s="21">
        <f>IF(Q176="","",Q176*(1+in_GrowthRate)^(YEARFRAC(DATE(2022,6,30),in_AgeToDate)*IF(in_AgeToDate&lt;DATE(2022,6,30),-1,1)+1))</f>
        <v/>
      </c>
      <c r="S176" s="38" t="n">
        <v>1.735955303384026</v>
      </c>
      <c r="T176" s="43">
        <f>HYPERLINK("https://projects.propublica.org/nonprofits/organizations/150532082/202311299349304021/full","view filing")</f>
        <v/>
      </c>
    </row>
    <row r="177">
      <c r="A177" t="inlineStr">
        <is>
          <t>Corporation Of Haverford College</t>
        </is>
      </c>
      <c r="B177" s="20" t="inlineStr">
        <is>
          <t>PA</t>
        </is>
      </c>
      <c r="C177" s="42" t="n">
        <v>0.76</v>
      </c>
      <c r="D177" t="inlineStr">
        <is>
          <t>Endowment</t>
        </is>
      </c>
      <c r="E177" s="20" t="n">
        <v>2022</v>
      </c>
      <c r="F177" s="20" t="inlineStr"/>
      <c r="G177" t="inlineStr">
        <is>
          <t>Michael H Casel</t>
        </is>
      </c>
      <c r="H177" t="inlineStr">
        <is>
          <t>CHIEF INVEST OFFICER, ASST TREASURER</t>
        </is>
      </c>
      <c r="I177" t="inlineStr">
        <is>
          <t>CIO</t>
        </is>
      </c>
      <c r="J177" s="21" t="n">
        <v>306468</v>
      </c>
      <c r="K177" s="21" t="n"/>
      <c r="L177" s="21" t="n">
        <v>306468</v>
      </c>
      <c r="M177" s="21" t="n"/>
      <c r="N177" s="21" t="n">
        <v>28936</v>
      </c>
      <c r="O177" s="21" t="n">
        <v>34536</v>
      </c>
      <c r="P177" s="21" t="n">
        <v>369940</v>
      </c>
      <c r="Q177" s="21" t="n">
        <v>369940</v>
      </c>
      <c r="R177" s="21">
        <f>IF(Q177="","",Q177*(1+in_GrowthRate)^(YEARFRAC(DATE(2022,6,30),in_AgeToDate)*IF(in_AgeToDate&lt;DATE(2022,6,30),-1,1)+1))</f>
        <v/>
      </c>
      <c r="S177" s="38" t="n">
        <v>0</v>
      </c>
      <c r="T177" s="43">
        <f>HYPERLINK("https://projects.propublica.org/nonprofits/organizations/236002304/202301319349305265/full","view filing")</f>
        <v/>
      </c>
    </row>
    <row r="178">
      <c r="A178" t="inlineStr">
        <is>
          <t>Council On Foreign Relations Inc</t>
        </is>
      </c>
      <c r="B178" s="20" t="inlineStr">
        <is>
          <t>NY</t>
        </is>
      </c>
      <c r="C178" s="42" t="n">
        <v>0.73</v>
      </c>
      <c r="D178" t="inlineStr">
        <is>
          <t>Other</t>
        </is>
      </c>
      <c r="E178" s="20" t="n">
        <v>2025</v>
      </c>
      <c r="F178" s="20">
        <f>IF(AND(OR(in_Mode="All Funds",AND(C178&gt;=in_BandFloor,C178&lt;=in_BandCeiling,OR(in_Geography="National",COUNTIFS(lst_GeoPreset,in_Geography,lst_GeoState,B178)&gt;0,AND(in_Geography="Custom",ISNUMBER(SEARCH(B178,SUBSTITUTE(in_CustomStates," ",""))))),OR(AND(D178="Endowment",Inputs!$B$14="Y"),AND(D178="Foundation",Inputs!$B$15="Y"),AND(D178="Healthcare",Inputs!$B$16="Y"),AND(D178="Pension",Inputs!$B$17="Y"),AND(D178="OCIO",Inputs!$B$18="Y"),AND(D178="Other",Inputs!$B$19="Y")))),A178&lt;&gt;in_ClientOrg,NOT(AND(in_ExclHarvard="Y",ISNUMBER(SEARCH("Harvard",A178))))),"Y","")</f>
        <v/>
      </c>
      <c r="G178" t="inlineStr">
        <is>
          <t>Giovanna M Ban</t>
        </is>
      </c>
      <c r="H178" t="inlineStr">
        <is>
          <t>CHIEF INVESTMENT OFFICER</t>
        </is>
      </c>
      <c r="I178" t="inlineStr">
        <is>
          <t>CIO</t>
        </is>
      </c>
      <c r="J178" s="21" t="n">
        <v>484221</v>
      </c>
      <c r="K178" s="21" t="n">
        <v>103500</v>
      </c>
      <c r="L178" s="21" t="n">
        <v>587721</v>
      </c>
      <c r="M178" s="21" t="n">
        <v>374</v>
      </c>
      <c r="N178" s="21" t="n">
        <v>27000</v>
      </c>
      <c r="O178" s="21" t="n">
        <v>45694</v>
      </c>
      <c r="P178" s="21" t="n">
        <v>660789</v>
      </c>
      <c r="Q178" s="21" t="n">
        <v>660789</v>
      </c>
      <c r="R178" s="21">
        <f>IF(Q178="","",Q178*(1+in_GrowthRate)^(YEARFRAC(DATE(2025,6,30),in_AgeToDate)*IF(in_AgeToDate&lt;DATE(2025,6,30),-1,1)+1))</f>
        <v/>
      </c>
      <c r="S178" s="38" t="n">
        <v>0.2137453765945715</v>
      </c>
      <c r="T178" s="43">
        <f>HYPERLINK("https://projects.propublica.org/nonprofits/organizations/131628168/202630759349300968/full","view filing")</f>
        <v/>
      </c>
    </row>
    <row r="179">
      <c r="A179" t="inlineStr">
        <is>
          <t>Council On Foreign Relations Inc</t>
        </is>
      </c>
      <c r="B179" s="20" t="inlineStr">
        <is>
          <t>NY</t>
        </is>
      </c>
      <c r="C179" s="42" t="n">
        <v>0.73</v>
      </c>
      <c r="D179" t="inlineStr">
        <is>
          <t>Other</t>
        </is>
      </c>
      <c r="E179" s="20" t="n">
        <v>2024</v>
      </c>
      <c r="F179" s="20" t="inlineStr"/>
      <c r="G179" t="inlineStr">
        <is>
          <t>Giovanna M Ban</t>
        </is>
      </c>
      <c r="H179" t="inlineStr">
        <is>
          <t>CHIEF INVESTMENT OFFICER</t>
        </is>
      </c>
      <c r="I179" t="inlineStr">
        <is>
          <t>CIO</t>
        </is>
      </c>
      <c r="J179" s="21" t="n">
        <v>464273</v>
      </c>
      <c r="K179" s="21" t="n">
        <v>100000</v>
      </c>
      <c r="L179" s="21" t="n">
        <v>564273</v>
      </c>
      <c r="M179" s="21" t="n">
        <v>381</v>
      </c>
      <c r="N179" s="21" t="n">
        <v>25400</v>
      </c>
      <c r="O179" s="21" t="n">
        <v>42007</v>
      </c>
      <c r="P179" s="21" t="n">
        <v>632061</v>
      </c>
      <c r="Q179" s="21" t="n">
        <v>632061</v>
      </c>
      <c r="R179" s="21">
        <f>IF(Q179="","",Q179*(1+in_GrowthRate)^(YEARFRAC(DATE(2024,6,30),in_AgeToDate)*IF(in_AgeToDate&lt;DATE(2024,6,30),-1,1)+1))</f>
        <v/>
      </c>
      <c r="S179" s="38" t="n">
        <v>0.2153905137709925</v>
      </c>
      <c r="T179" s="43">
        <f>HYPERLINK("https://projects.propublica.org/nonprofits/organizations/131628168/202510709349301901/full","view filing")</f>
        <v/>
      </c>
    </row>
    <row r="180">
      <c r="A180" t="inlineStr">
        <is>
          <t>Council On Foreign Relations Inc</t>
        </is>
      </c>
      <c r="B180" s="20" t="inlineStr">
        <is>
          <t>NY</t>
        </is>
      </c>
      <c r="C180" s="42" t="n">
        <v>0.73</v>
      </c>
      <c r="D180" t="inlineStr">
        <is>
          <t>Other</t>
        </is>
      </c>
      <c r="E180" s="20" t="n">
        <v>2023</v>
      </c>
      <c r="F180" s="20" t="inlineStr"/>
      <c r="G180" t="inlineStr">
        <is>
          <t>Giovanna M Ban</t>
        </is>
      </c>
      <c r="H180" t="inlineStr">
        <is>
          <t>CHIEF INVESTMENT OFFICER</t>
        </is>
      </c>
      <c r="I180" t="inlineStr">
        <is>
          <t>CIO</t>
        </is>
      </c>
      <c r="J180" s="21" t="n">
        <v>442174</v>
      </c>
      <c r="K180" s="21" t="n">
        <v>82000</v>
      </c>
      <c r="L180" s="21" t="n">
        <v>524174</v>
      </c>
      <c r="M180" s="21" t="n">
        <v>360</v>
      </c>
      <c r="N180" s="21" t="n">
        <v>23805</v>
      </c>
      <c r="O180" s="21" t="n">
        <v>39773</v>
      </c>
      <c r="P180" s="21" t="n">
        <v>588112</v>
      </c>
      <c r="Q180" s="21" t="n">
        <v>588112</v>
      </c>
      <c r="R180" s="21">
        <f>IF(Q180="","",Q180*(1+in_GrowthRate)^(YEARFRAC(DATE(2023,6,30),in_AgeToDate)*IF(in_AgeToDate&lt;DATE(2023,6,30),-1,1)+1))</f>
        <v/>
      </c>
      <c r="S180" s="38" t="n">
        <v>0.1854473578274616</v>
      </c>
      <c r="T180" s="43">
        <f>HYPERLINK("https://projects.propublica.org/nonprofits/organizations/131628168/202430169349300598/full","view filing")</f>
        <v/>
      </c>
    </row>
    <row r="181">
      <c r="A181" t="inlineStr">
        <is>
          <t>Council On Foreign Relations Inc</t>
        </is>
      </c>
      <c r="B181" s="20" t="inlineStr">
        <is>
          <t>NY</t>
        </is>
      </c>
      <c r="C181" s="42" t="n">
        <v>0.73</v>
      </c>
      <c r="D181" t="inlineStr">
        <is>
          <t>Other</t>
        </is>
      </c>
      <c r="E181" s="20" t="n">
        <v>2022</v>
      </c>
      <c r="F181" s="20" t="inlineStr"/>
      <c r="G181" t="inlineStr">
        <is>
          <t>Giovanna Ban</t>
        </is>
      </c>
      <c r="H181" t="inlineStr">
        <is>
          <t>CHIEF INVESTMENT OFFICER</t>
        </is>
      </c>
      <c r="I181" t="inlineStr">
        <is>
          <t>CIO</t>
        </is>
      </c>
      <c r="J181" s="21" t="n">
        <v>426319</v>
      </c>
      <c r="K181" s="21" t="n">
        <v>85000</v>
      </c>
      <c r="L181" s="21" t="n">
        <v>511319</v>
      </c>
      <c r="M181" s="21" t="n"/>
      <c r="N181" s="21" t="n">
        <v>23000</v>
      </c>
      <c r="O181" s="21" t="n">
        <v>40101</v>
      </c>
      <c r="P181" s="21" t="n">
        <v>574420</v>
      </c>
      <c r="Q181" s="21" t="n">
        <v>574420</v>
      </c>
      <c r="R181" s="21">
        <f>IF(Q181="","",Q181*(1+in_GrowthRate)^(YEARFRAC(DATE(2022,6,30),in_AgeToDate)*IF(in_AgeToDate&lt;DATE(2022,6,30),-1,1)+1))</f>
        <v/>
      </c>
      <c r="S181" s="38" t="n">
        <v>0.1993812145365325</v>
      </c>
      <c r="T181" s="43">
        <f>HYPERLINK("https://projects.propublica.org/nonprofits/organizations/131628168/202320239349301607/full","view filing")</f>
        <v/>
      </c>
    </row>
    <row r="182">
      <c r="A182" t="inlineStr">
        <is>
          <t>Cystic Fibrosis Foundation</t>
        </is>
      </c>
      <c r="B182" s="20" t="inlineStr">
        <is>
          <t>MD</t>
        </is>
      </c>
      <c r="C182" s="42" t="n">
        <v>4.78</v>
      </c>
      <c r="D182" t="inlineStr">
        <is>
          <t>Foundation</t>
        </is>
      </c>
      <c r="E182" s="20" t="n">
        <v>2024</v>
      </c>
      <c r="F182" s="20">
        <f>IF(AND(OR(in_Mode="All Funds",AND(C182&gt;=in_BandFloor,C182&lt;=in_BandCeiling,OR(in_Geography="National",COUNTIFS(lst_GeoPreset,in_Geography,lst_GeoState,B182)&gt;0,AND(in_Geography="Custom",ISNUMBER(SEARCH(B182,SUBSTITUTE(in_CustomStates," ",""))))),OR(AND(D182="Endowment",Inputs!$B$14="Y"),AND(D182="Foundation",Inputs!$B$15="Y"),AND(D182="Healthcare",Inputs!$B$16="Y"),AND(D182="Pension",Inputs!$B$17="Y"),AND(D182="OCIO",Inputs!$B$18="Y"),AND(D182="Other",Inputs!$B$19="Y")))),A182&lt;&gt;in_ClientOrg,NOT(AND(in_ExclHarvard="Y",ISNUMBER(SEARCH("Harvard",A182))))),"Y","")</f>
        <v/>
      </c>
      <c r="G182" t="inlineStr">
        <is>
          <t>John C Mahler Jr Md</t>
        </is>
      </c>
      <c r="H182" t="inlineStr">
        <is>
          <t>CHIEF INVESTMENT OFFICER</t>
        </is>
      </c>
      <c r="I182" t="inlineStr">
        <is>
          <t>CIO</t>
        </is>
      </c>
      <c r="J182" s="21" t="n">
        <v>766301</v>
      </c>
      <c r="K182" s="21" t="n">
        <v>1091398</v>
      </c>
      <c r="L182" s="21" t="n">
        <v>1857699</v>
      </c>
      <c r="M182" s="21" t="n">
        <v>9169</v>
      </c>
      <c r="N182" s="21" t="n">
        <v>34656</v>
      </c>
      <c r="O182" s="21" t="n">
        <v>41103</v>
      </c>
      <c r="P182" s="21" t="n">
        <v>1942627</v>
      </c>
      <c r="Q182" s="21" t="n">
        <v>1942627</v>
      </c>
      <c r="R182" s="21">
        <f>IF(Q182="","",Q182*(1+in_GrowthRate)^(YEARFRAC(DATE(2024,12,31),in_AgeToDate)*IF(in_AgeToDate&lt;DATE(2024,12,31),-1,1)+1))</f>
        <v/>
      </c>
      <c r="S182" s="38" t="n">
        <v>1.424241910163239</v>
      </c>
      <c r="T182" s="43">
        <f>HYPERLINK("https://projects.propublica.org/nonprofits/organizations/131930701/202533189349311948/full","view filing")</f>
        <v/>
      </c>
    </row>
    <row r="183">
      <c r="A183" t="inlineStr">
        <is>
          <t>Cystic Fibrosis Foundation</t>
        </is>
      </c>
      <c r="B183" s="20" t="inlineStr">
        <is>
          <t>MD</t>
        </is>
      </c>
      <c r="C183" s="42" t="n">
        <v>4.78</v>
      </c>
      <c r="D183" t="inlineStr">
        <is>
          <t>Foundation</t>
        </is>
      </c>
      <c r="E183" s="20" t="n">
        <v>2023</v>
      </c>
      <c r="F183" s="20" t="inlineStr"/>
      <c r="G183" t="inlineStr">
        <is>
          <t>John C Mahler Jr</t>
        </is>
      </c>
      <c r="H183" t="inlineStr">
        <is>
          <t>CHIEF INVESTMENT OFFICER</t>
        </is>
      </c>
      <c r="I183" t="inlineStr">
        <is>
          <t>CIO</t>
        </is>
      </c>
      <c r="J183" s="21" t="n">
        <v>731770</v>
      </c>
      <c r="K183" s="21" t="n">
        <v>1685373</v>
      </c>
      <c r="L183" s="21" t="n">
        <v>2417143</v>
      </c>
      <c r="M183" s="21" t="n">
        <v>330628</v>
      </c>
      <c r="N183" s="21" t="n">
        <v>33192</v>
      </c>
      <c r="O183" s="21" t="n">
        <v>41633</v>
      </c>
      <c r="P183" s="21" t="n">
        <v>2822596</v>
      </c>
      <c r="Q183" s="21" t="n">
        <v>2126373</v>
      </c>
      <c r="R183" s="21">
        <f>IF(Q183="","",Q183*(1+in_GrowthRate)^(YEARFRAC(DATE(2023,12,31),in_AgeToDate)*IF(in_AgeToDate&lt;DATE(2023,12,31),-1,1)+1))</f>
        <v/>
      </c>
      <c r="S183" s="38" t="n">
        <v>2.303145797176708</v>
      </c>
      <c r="T183" s="43">
        <f>HYPERLINK("https://projects.propublica.org/nonprofits/organizations/131930701/202403179349300720/full","view filing")</f>
        <v/>
      </c>
    </row>
    <row r="184">
      <c r="A184" t="inlineStr">
        <is>
          <t>Cystic Fibrosis Foundation</t>
        </is>
      </c>
      <c r="B184" s="20" t="inlineStr">
        <is>
          <t>MD</t>
        </is>
      </c>
      <c r="C184" s="42" t="n">
        <v>4.78</v>
      </c>
      <c r="D184" t="inlineStr">
        <is>
          <t>Foundation</t>
        </is>
      </c>
      <c r="E184" s="20" t="n">
        <v>2022</v>
      </c>
      <c r="F184" s="20" t="inlineStr"/>
      <c r="G184" t="inlineStr">
        <is>
          <t>Jack Mahler Md</t>
        </is>
      </c>
      <c r="H184" t="inlineStr">
        <is>
          <t>CHIEF INVESTMENT OFFICER</t>
        </is>
      </c>
      <c r="I184" t="inlineStr">
        <is>
          <t>CIO</t>
        </is>
      </c>
      <c r="J184" s="21" t="n">
        <v>695940</v>
      </c>
      <c r="K184" s="21" t="n">
        <v>1760233</v>
      </c>
      <c r="L184" s="21" t="n">
        <v>2456173</v>
      </c>
      <c r="M184" s="21" t="n">
        <v>7674</v>
      </c>
      <c r="N184" s="21" t="n">
        <v>193597</v>
      </c>
      <c r="O184" s="21" t="n">
        <v>37338</v>
      </c>
      <c r="P184" s="21" t="n">
        <v>2694782</v>
      </c>
      <c r="Q184" s="21" t="n">
        <v>2248532</v>
      </c>
      <c r="R184" s="21">
        <f>IF(Q184="","",Q184*(1+in_GrowthRate)^(YEARFRAC(DATE(2022,12,31),in_AgeToDate)*IF(in_AgeToDate&lt;DATE(2022,12,31),-1,1)+1))</f>
        <v/>
      </c>
      <c r="S184" s="38" t="n">
        <v>2.529288444406127</v>
      </c>
      <c r="T184" s="43">
        <f>HYPERLINK("https://projects.propublica.org/nonprofits/organizations/131930701/202333189349314028/full","view filing")</f>
        <v/>
      </c>
    </row>
    <row r="185">
      <c r="A185" t="inlineStr">
        <is>
          <t>Dana Farber Cancer Institute</t>
        </is>
      </c>
      <c r="B185" s="20" t="inlineStr">
        <is>
          <t>MA</t>
        </is>
      </c>
      <c r="C185" s="42" t="n">
        <v>0.12</v>
      </c>
      <c r="D185" t="inlineStr">
        <is>
          <t>Other</t>
        </is>
      </c>
      <c r="E185" s="20" t="n">
        <v>2025</v>
      </c>
      <c r="F185" s="20">
        <f>IF(AND(OR(in_Mode="All Funds",AND(C185&gt;=in_BandFloor,C185&lt;=in_BandCeiling,OR(in_Geography="National",COUNTIFS(lst_GeoPreset,in_Geography,lst_GeoState,B185)&gt;0,AND(in_Geography="Custom",ISNUMBER(SEARCH(B185,SUBSTITUTE(in_CustomStates," ",""))))),OR(AND(D185="Endowment",Inputs!$B$14="Y"),AND(D185="Foundation",Inputs!$B$15="Y"),AND(D185="Healthcare",Inputs!$B$16="Y"),AND(D185="Pension",Inputs!$B$17="Y"),AND(D185="OCIO",Inputs!$B$18="Y"),AND(D185="Other",Inputs!$B$19="Y")))),A185&lt;&gt;in_ClientOrg,NOT(AND(in_ExclHarvard="Y",ISNUMBER(SEARCH("Harvard",A185))))),"Y","")</f>
        <v/>
      </c>
      <c r="G185" t="inlineStr">
        <is>
          <t>Naomi Lenane</t>
        </is>
      </c>
      <c r="H185" t="inlineStr">
        <is>
          <t>SVP INFORMATION SERVICES CIO</t>
        </is>
      </c>
      <c r="I185" t="inlineStr">
        <is>
          <t>CIO</t>
        </is>
      </c>
      <c r="J185" s="21" t="n">
        <v>142430</v>
      </c>
      <c r="K185" s="21" t="n">
        <v>26333</v>
      </c>
      <c r="L185" s="21" t="n">
        <v>168763</v>
      </c>
      <c r="M185" s="21" t="n">
        <v>575</v>
      </c>
      <c r="N185" s="21" t="n">
        <v>15563</v>
      </c>
      <c r="O185" s="21" t="n">
        <v>13749</v>
      </c>
      <c r="P185" s="21" t="n">
        <v>198650</v>
      </c>
      <c r="Q185" s="21" t="n">
        <v>198650</v>
      </c>
      <c r="R185" s="21">
        <f>IF(Q185="","",Q185*(1+in_GrowthRate)^(YEARFRAC(DATE(2025,9,30),in_AgeToDate)*IF(in_AgeToDate&lt;DATE(2025,9,30),-1,1)+1))</f>
        <v/>
      </c>
      <c r="S185" s="38" t="n">
        <v>0.1848838025696833</v>
      </c>
      <c r="T185" s="43">
        <f>HYPERLINK("https://projects.propublica.org/nonprofits/organizations/42263040/202602099349300935/full","view filing")</f>
        <v/>
      </c>
    </row>
    <row r="186">
      <c r="A186" t="inlineStr">
        <is>
          <t>David And Lucile Packard Foundation</t>
        </is>
      </c>
      <c r="B186" s="20" t="inlineStr">
        <is>
          <t>CA</t>
        </is>
      </c>
      <c r="C186" s="42" t="n">
        <v>8.07</v>
      </c>
      <c r="D186" t="inlineStr">
        <is>
          <t>Foundation</t>
        </is>
      </c>
      <c r="E186" s="20" t="n">
        <v>2024</v>
      </c>
      <c r="F186" s="20">
        <f>IF(AND(OR(in_Mode="All Funds",AND(C186&gt;=in_BandFloor,C186&lt;=in_BandCeiling,OR(in_Geography="National",COUNTIFS(lst_GeoPreset,in_Geography,lst_GeoState,B186)&gt;0,AND(in_Geography="Custom",ISNUMBER(SEARCH(B186,SUBSTITUTE(in_CustomStates," ",""))))),OR(AND(D186="Endowment",Inputs!$B$14="Y"),AND(D186="Foundation",Inputs!$B$15="Y"),AND(D186="Healthcare",Inputs!$B$16="Y"),AND(D186="Pension",Inputs!$B$17="Y"),AND(D186="OCIO",Inputs!$B$18="Y"),AND(D186="Other",Inputs!$B$19="Y")))),A186&lt;&gt;in_ClientOrg,NOT(AND(in_ExclHarvard="Y",ISNUMBER(SEARCH("Harvard",A186))))),"Y","")</f>
        <v/>
      </c>
      <c r="G186" t="inlineStr">
        <is>
          <t>Kimberly Sargent</t>
        </is>
      </c>
      <c r="H186" t="inlineStr">
        <is>
          <t>CHIEF INVESTMENT OFFICER</t>
        </is>
      </c>
      <c r="I186" t="inlineStr">
        <is>
          <t>CIO</t>
        </is>
      </c>
      <c r="J186" s="21" t="n"/>
      <c r="K186" s="21" t="n"/>
      <c r="L186" s="21" t="n"/>
      <c r="M186" s="21" t="n"/>
      <c r="N186" s="21" t="n"/>
      <c r="O186" s="21" t="n">
        <v>222816</v>
      </c>
      <c r="P186" s="21" t="n">
        <v>3436140</v>
      </c>
      <c r="Q186" s="21" t="n">
        <v>3436140</v>
      </c>
      <c r="R186" s="21">
        <f>IF(Q186="","",Q186*(1+in_GrowthRate)^(YEARFRAC(DATE(2024,12,31),in_AgeToDate)*IF(in_AgeToDate&lt;DATE(2024,12,31),-1,1)+1))</f>
        <v/>
      </c>
      <c r="S186" s="38" t="n"/>
      <c r="T186" s="43">
        <f>HYPERLINK("https://projects.propublica.org/nonprofits/organizations/942278431/202533209349100148/full","view filing")</f>
        <v/>
      </c>
    </row>
    <row r="187">
      <c r="A187" t="inlineStr">
        <is>
          <t>David And Lucile Packard Foundation</t>
        </is>
      </c>
      <c r="B187" s="20" t="inlineStr">
        <is>
          <t>CA</t>
        </is>
      </c>
      <c r="C187" s="42" t="n">
        <v>8.07</v>
      </c>
      <c r="D187" t="inlineStr">
        <is>
          <t>Foundation</t>
        </is>
      </c>
      <c r="E187" s="20" t="n">
        <v>2023</v>
      </c>
      <c r="F187" s="20" t="inlineStr"/>
      <c r="G187" t="inlineStr">
        <is>
          <t>Kimberly Sargent</t>
        </is>
      </c>
      <c r="H187" t="inlineStr">
        <is>
          <t>CHIEF INVESTMENT OFFICER</t>
        </is>
      </c>
      <c r="I187" t="inlineStr">
        <is>
          <t>CIO</t>
        </is>
      </c>
      <c r="J187" s="21" t="n"/>
      <c r="K187" s="21" t="n"/>
      <c r="L187" s="21" t="n"/>
      <c r="M187" s="21" t="n"/>
      <c r="N187" s="21" t="n"/>
      <c r="O187" s="21" t="n">
        <v>209136</v>
      </c>
      <c r="P187" s="21" t="n">
        <v>3391627</v>
      </c>
      <c r="Q187" s="21" t="n">
        <v>3391627</v>
      </c>
      <c r="R187" s="21">
        <f>IF(Q187="","",Q187*(1+in_GrowthRate)^(YEARFRAC(DATE(2023,12,31),in_AgeToDate)*IF(in_AgeToDate&lt;DATE(2023,12,31),-1,1)+1))</f>
        <v/>
      </c>
      <c r="S187" s="38" t="n"/>
      <c r="T187" s="43">
        <f>HYPERLINK("https://projects.propublica.org/nonprofits/organizations/942278431/202433199349102603/full","view filing")</f>
        <v/>
      </c>
    </row>
    <row r="188">
      <c r="A188" t="inlineStr">
        <is>
          <t>David And Lucile Packard Foundation</t>
        </is>
      </c>
      <c r="B188" s="20" t="inlineStr">
        <is>
          <t>CA</t>
        </is>
      </c>
      <c r="C188" s="42" t="n">
        <v>8.07</v>
      </c>
      <c r="D188" t="inlineStr">
        <is>
          <t>Foundation</t>
        </is>
      </c>
      <c r="E188" s="20" t="n">
        <v>2022</v>
      </c>
      <c r="F188" s="20" t="inlineStr"/>
      <c r="G188" t="inlineStr">
        <is>
          <t>Kimberly Sargent</t>
        </is>
      </c>
      <c r="H188" t="inlineStr">
        <is>
          <t>CHIEF INVESTMENT OFFICER</t>
        </is>
      </c>
      <c r="I188" t="inlineStr">
        <is>
          <t>CIO</t>
        </is>
      </c>
      <c r="J188" s="21" t="n"/>
      <c r="K188" s="21" t="n"/>
      <c r="L188" s="21" t="n"/>
      <c r="M188" s="21" t="n"/>
      <c r="N188" s="21" t="n"/>
      <c r="O188" s="21" t="n">
        <v>196614</v>
      </c>
      <c r="P188" s="21" t="n">
        <v>3218425</v>
      </c>
      <c r="Q188" s="21" t="n">
        <v>3218425</v>
      </c>
      <c r="R188" s="21">
        <f>IF(Q188="","",Q188*(1+in_GrowthRate)^(YEARFRAC(DATE(2022,12,31),in_AgeToDate)*IF(in_AgeToDate&lt;DATE(2022,12,31),-1,1)+1))</f>
        <v/>
      </c>
      <c r="S188" s="38" t="n"/>
      <c r="T188" s="43">
        <f>HYPERLINK("https://projects.propublica.org/nonprofits/organizations/942278431/202303149349102680/full","view filing")</f>
        <v/>
      </c>
    </row>
    <row r="189">
      <c r="A189" t="inlineStr">
        <is>
          <t>Davidson College</t>
        </is>
      </c>
      <c r="B189" s="20" t="inlineStr">
        <is>
          <t>NC</t>
        </is>
      </c>
      <c r="C189" s="42" t="n">
        <v>1.46</v>
      </c>
      <c r="D189" t="inlineStr">
        <is>
          <t>Endowment</t>
        </is>
      </c>
      <c r="E189" s="20" t="n">
        <v>2025</v>
      </c>
      <c r="F189" s="20">
        <f>IF(AND(OR(in_Mode="All Funds",AND(C189&gt;=in_BandFloor,C189&lt;=in_BandCeiling,OR(in_Geography="National",COUNTIFS(lst_GeoPreset,in_Geography,lst_GeoState,B189)&gt;0,AND(in_Geography="Custom",ISNUMBER(SEARCH(B189,SUBSTITUTE(in_CustomStates," ",""))))),OR(AND(D189="Endowment",Inputs!$B$14="Y"),AND(D189="Foundation",Inputs!$B$15="Y"),AND(D189="Healthcare",Inputs!$B$16="Y"),AND(D189="Pension",Inputs!$B$17="Y"),AND(D189="OCIO",Inputs!$B$18="Y"),AND(D189="Other",Inputs!$B$19="Y")))),A189&lt;&gt;in_ClientOrg,NOT(AND(in_ExclHarvard="Y",ISNUMBER(SEARCH("Harvard",A189))))),"Y","")</f>
        <v/>
      </c>
      <c r="G189" t="inlineStr">
        <is>
          <t>Raymond A Jacobson</t>
        </is>
      </c>
      <c r="H189" t="inlineStr">
        <is>
          <t>CHIEF INVESTMENT OFFICER</t>
        </is>
      </c>
      <c r="I189" t="inlineStr">
        <is>
          <t>CIO</t>
        </is>
      </c>
      <c r="J189" s="21" t="n">
        <v>548885</v>
      </c>
      <c r="K189" s="21" t="n">
        <v>446083</v>
      </c>
      <c r="L189" s="21" t="n">
        <v>994968</v>
      </c>
      <c r="M189" s="21" t="n">
        <v>1242</v>
      </c>
      <c r="N189" s="21" t="n">
        <v>38067</v>
      </c>
      <c r="O189" s="21" t="n">
        <v>13135</v>
      </c>
      <c r="P189" s="21" t="n">
        <v>1047412</v>
      </c>
      <c r="Q189" s="21" t="n">
        <v>1047412</v>
      </c>
      <c r="R189" s="21">
        <f>IF(Q189="","",Q189*(1+in_GrowthRate)^(YEARFRAC(DATE(2025,6,30),in_AgeToDate)*IF(in_AgeToDate&lt;DATE(2025,6,30),-1,1)+1))</f>
        <v/>
      </c>
      <c r="S189" s="38" t="n">
        <v>0.8127075799120034</v>
      </c>
      <c r="T189" s="43">
        <f>HYPERLINK("https://projects.propublica.org/nonprofits/organizations/560529961/202601349349303730/full","view filing")</f>
        <v/>
      </c>
    </row>
    <row r="190">
      <c r="A190" t="inlineStr">
        <is>
          <t>Davidson College</t>
        </is>
      </c>
      <c r="B190" s="20" t="inlineStr">
        <is>
          <t>NC</t>
        </is>
      </c>
      <c r="C190" s="42" t="n">
        <v>1.46</v>
      </c>
      <c r="D190" t="inlineStr">
        <is>
          <t>Endowment</t>
        </is>
      </c>
      <c r="E190" s="20" t="n">
        <v>2024</v>
      </c>
      <c r="F190" s="20" t="inlineStr"/>
      <c r="G190" t="inlineStr">
        <is>
          <t>Raymond A Jacobson</t>
        </is>
      </c>
      <c r="H190" t="inlineStr">
        <is>
          <t>CHIEF INVESTMENT OFFICER</t>
        </is>
      </c>
      <c r="I190" t="inlineStr">
        <is>
          <t>CIO</t>
        </is>
      </c>
      <c r="J190" s="21" t="n">
        <v>523715</v>
      </c>
      <c r="K190" s="21" t="n">
        <v>435364</v>
      </c>
      <c r="L190" s="21" t="n">
        <v>959079</v>
      </c>
      <c r="M190" s="21" t="n">
        <v>1392</v>
      </c>
      <c r="N190" s="21" t="n">
        <v>36000</v>
      </c>
      <c r="O190" s="21" t="n">
        <v>12260</v>
      </c>
      <c r="P190" s="21" t="n">
        <v>1008731</v>
      </c>
      <c r="Q190" s="21" t="n">
        <v>974731</v>
      </c>
      <c r="R190" s="21">
        <f>IF(Q190="","",Q190*(1+in_GrowthRate)^(YEARFRAC(DATE(2024,6,30),in_AgeToDate)*IF(in_AgeToDate&lt;DATE(2024,6,30),-1,1)+1))</f>
        <v/>
      </c>
      <c r="S190" s="38" t="n">
        <v>0.8312994663127846</v>
      </c>
      <c r="T190" s="43">
        <f>HYPERLINK("https://projects.propublica.org/nonprofits/organizations/560529961/202501349349304640/full","view filing")</f>
        <v/>
      </c>
    </row>
    <row r="191">
      <c r="A191" t="inlineStr">
        <is>
          <t>Davidson College</t>
        </is>
      </c>
      <c r="B191" s="20" t="inlineStr">
        <is>
          <t>NC</t>
        </is>
      </c>
      <c r="C191" s="42" t="n">
        <v>1.46</v>
      </c>
      <c r="D191" t="inlineStr">
        <is>
          <t>Endowment</t>
        </is>
      </c>
      <c r="E191" s="20" t="n">
        <v>2023</v>
      </c>
      <c r="F191" s="20" t="inlineStr"/>
      <c r="G191" t="inlineStr">
        <is>
          <t>Raymond A Jacobson</t>
        </is>
      </c>
      <c r="H191" t="inlineStr">
        <is>
          <t>CHIEF INVESTMENT OFFICER</t>
        </is>
      </c>
      <c r="I191" t="inlineStr">
        <is>
          <t>CIO</t>
        </is>
      </c>
      <c r="J191" s="21" t="n">
        <v>498398</v>
      </c>
      <c r="K191" s="21" t="n">
        <v>243750</v>
      </c>
      <c r="L191" s="21" t="n">
        <v>742148</v>
      </c>
      <c r="M191" s="21" t="n">
        <v>1242</v>
      </c>
      <c r="N191" s="21" t="n">
        <v>50715</v>
      </c>
      <c r="O191" s="21" t="n">
        <v>11755</v>
      </c>
      <c r="P191" s="21" t="n">
        <v>805860</v>
      </c>
      <c r="Q191" s="21" t="n">
        <v>805860</v>
      </c>
      <c r="R191" s="21">
        <f>IF(Q191="","",Q191*(1+in_GrowthRate)^(YEARFRAC(DATE(2023,6,30),in_AgeToDate)*IF(in_AgeToDate&lt;DATE(2023,6,30),-1,1)+1))</f>
        <v/>
      </c>
      <c r="S191" s="38" t="n">
        <v>0.4890669705737182</v>
      </c>
      <c r="T191" s="43">
        <f>HYPERLINK("https://projects.propublica.org/nonprofits/organizations/560529961/202421369349302337/full","view filing")</f>
        <v/>
      </c>
    </row>
    <row r="192">
      <c r="A192" t="inlineStr">
        <is>
          <t>Davidson College</t>
        </is>
      </c>
      <c r="B192" s="20" t="inlineStr">
        <is>
          <t>NC</t>
        </is>
      </c>
      <c r="C192" s="42" t="n">
        <v>1.46</v>
      </c>
      <c r="D192" t="inlineStr">
        <is>
          <t>Endowment</t>
        </is>
      </c>
      <c r="E192" s="20" t="n">
        <v>2022</v>
      </c>
      <c r="F192" s="20" t="inlineStr"/>
      <c r="G192" t="inlineStr">
        <is>
          <t>Raymond A Jacobson</t>
        </is>
      </c>
      <c r="H192" t="inlineStr">
        <is>
          <t>CHIEF INVESTMENT OFFICER</t>
        </is>
      </c>
      <c r="I192" t="inlineStr">
        <is>
          <t>CIO</t>
        </is>
      </c>
      <c r="J192" s="21" t="n">
        <v>489448</v>
      </c>
      <c r="K192" s="21" t="n">
        <v>174750</v>
      </c>
      <c r="L192" s="21" t="n">
        <v>664198</v>
      </c>
      <c r="M192" s="21" t="n">
        <v>1202</v>
      </c>
      <c r="N192" s="21" t="n">
        <v>48966</v>
      </c>
      <c r="O192" s="21" t="n">
        <v>14096</v>
      </c>
      <c r="P192" s="21" t="n">
        <v>728462</v>
      </c>
      <c r="Q192" s="21" t="n">
        <v>672462</v>
      </c>
      <c r="R192" s="21">
        <f>IF(Q192="","",Q192*(1+in_GrowthRate)^(YEARFRAC(DATE(2022,6,30),in_AgeToDate)*IF(in_AgeToDate&lt;DATE(2022,6,30),-1,1)+1))</f>
        <v/>
      </c>
      <c r="S192" s="38" t="n">
        <v>0.3570348637648944</v>
      </c>
      <c r="T192" s="43">
        <f>HYPERLINK("https://projects.propublica.org/nonprofits/organizations/560529961/202301359349305830/full","view filing")</f>
        <v/>
      </c>
    </row>
    <row r="193">
      <c r="A193" t="inlineStr">
        <is>
          <t>Denison University</t>
        </is>
      </c>
      <c r="B193" s="20" t="inlineStr">
        <is>
          <t>OH</t>
        </is>
      </c>
      <c r="C193" s="42" t="n">
        <v>1.1</v>
      </c>
      <c r="D193" t="inlineStr">
        <is>
          <t>Endowment</t>
        </is>
      </c>
      <c r="E193" s="20" t="n">
        <v>2025</v>
      </c>
      <c r="F193" s="20">
        <f>IF(AND(OR(in_Mode="All Funds",AND(C193&gt;=in_BandFloor,C193&lt;=in_BandCeiling,OR(in_Geography="National",COUNTIFS(lst_GeoPreset,in_Geography,lst_GeoState,B193)&gt;0,AND(in_Geography="Custom",ISNUMBER(SEARCH(B193,SUBSTITUTE(in_CustomStates," ",""))))),OR(AND(D193="Endowment",Inputs!$B$14="Y"),AND(D193="Foundation",Inputs!$B$15="Y"),AND(D193="Healthcare",Inputs!$B$16="Y"),AND(D193="Pension",Inputs!$B$17="Y"),AND(D193="OCIO",Inputs!$B$18="Y"),AND(D193="Other",Inputs!$B$19="Y")))),A193&lt;&gt;in_ClientOrg,NOT(AND(in_ExclHarvard="Y",ISNUMBER(SEARCH("Harvard",A193))))),"Y","")</f>
        <v/>
      </c>
      <c r="G193" t="inlineStr">
        <is>
          <t>Kathleen R Browne</t>
        </is>
      </c>
      <c r="H193" t="inlineStr">
        <is>
          <t>CHIEF INVESTMENT OFFICER</t>
        </is>
      </c>
      <c r="I193" t="inlineStr">
        <is>
          <t>CIO</t>
        </is>
      </c>
      <c r="J193" s="21" t="n">
        <v>507318</v>
      </c>
      <c r="K193" s="21" t="n">
        <v>339966</v>
      </c>
      <c r="L193" s="21" t="n">
        <v>847284</v>
      </c>
      <c r="M193" s="21" t="n">
        <v>55816</v>
      </c>
      <c r="N193" s="21" t="n">
        <v>167418</v>
      </c>
      <c r="O193" s="21" t="n">
        <v>41454</v>
      </c>
      <c r="P193" s="21" t="n">
        <v>1111972</v>
      </c>
      <c r="Q193" s="21" t="n">
        <v>1052572</v>
      </c>
      <c r="R193" s="21">
        <f>IF(Q193="","",Q193*(1+in_GrowthRate)^(YEARFRAC(DATE(2025,6,30),in_AgeToDate)*IF(in_AgeToDate&lt;DATE(2025,6,30),-1,1)+1))</f>
        <v/>
      </c>
      <c r="S193" s="38" t="n">
        <v>0.6701240641964212</v>
      </c>
      <c r="T193" s="43">
        <f>HYPERLINK("https://projects.propublica.org/nonprofits/organizations/314379459/202641329349302689/full","view filing")</f>
        <v/>
      </c>
    </row>
    <row r="194">
      <c r="A194" t="inlineStr">
        <is>
          <t>Denison University</t>
        </is>
      </c>
      <c r="B194" s="20" t="inlineStr">
        <is>
          <t>OH</t>
        </is>
      </c>
      <c r="C194" s="42" t="n">
        <v>1.1</v>
      </c>
      <c r="D194" t="inlineStr">
        <is>
          <t>Endowment</t>
        </is>
      </c>
      <c r="E194" s="20" t="n">
        <v>2024</v>
      </c>
      <c r="F194" s="20" t="inlineStr"/>
      <c r="G194" t="inlineStr">
        <is>
          <t>Kathleen R Browne</t>
        </is>
      </c>
      <c r="H194" t="inlineStr">
        <is>
          <t>CHIEF INVESTMENT OFFICER</t>
        </is>
      </c>
      <c r="I194" t="inlineStr">
        <is>
          <t>CIO</t>
        </is>
      </c>
      <c r="J194" s="21" t="n">
        <v>496026</v>
      </c>
      <c r="K194" s="21" t="n">
        <v>169142</v>
      </c>
      <c r="L194" s="21" t="n">
        <v>665168</v>
      </c>
      <c r="M194" s="21" t="n">
        <v>51816</v>
      </c>
      <c r="N194" s="21" t="n">
        <v>160290</v>
      </c>
      <c r="O194" s="21" t="n">
        <v>35319</v>
      </c>
      <c r="P194" s="21" t="n">
        <v>912593</v>
      </c>
      <c r="Q194" s="21" t="n">
        <v>863093</v>
      </c>
      <c r="R194" s="21">
        <f>IF(Q194="","",Q194*(1+in_GrowthRate)^(YEARFRAC(DATE(2024,6,30),in_AgeToDate)*IF(in_AgeToDate&lt;DATE(2024,6,30),-1,1)+1))</f>
        <v/>
      </c>
      <c r="S194" s="38" t="n">
        <v>0.3409942220770685</v>
      </c>
      <c r="T194" s="43">
        <f>HYPERLINK("https://projects.propublica.org/nonprofits/organizations/314379459/202541289349302734/full","view filing")</f>
        <v/>
      </c>
    </row>
    <row r="195">
      <c r="A195" t="inlineStr">
        <is>
          <t>Denison University</t>
        </is>
      </c>
      <c r="B195" s="20" t="inlineStr">
        <is>
          <t>OH</t>
        </is>
      </c>
      <c r="C195" s="42" t="n">
        <v>1.1</v>
      </c>
      <c r="D195" t="inlineStr">
        <is>
          <t>Endowment</t>
        </is>
      </c>
      <c r="E195" s="20" t="n">
        <v>2023</v>
      </c>
      <c r="F195" s="20" t="inlineStr"/>
      <c r="G195" t="inlineStr">
        <is>
          <t>Kathleen R Browne</t>
        </is>
      </c>
      <c r="H195" t="inlineStr">
        <is>
          <t>CHIEF INVESTMENT OFFICER</t>
        </is>
      </c>
      <c r="I195" t="inlineStr">
        <is>
          <t>CIO</t>
        </is>
      </c>
      <c r="J195" s="21" t="n">
        <v>449047</v>
      </c>
      <c r="K195" s="21" t="n">
        <v>238568</v>
      </c>
      <c r="L195" s="21" t="n">
        <v>687615</v>
      </c>
      <c r="M195" s="21" t="n">
        <v>48816</v>
      </c>
      <c r="N195" s="21" t="n">
        <v>87900</v>
      </c>
      <c r="O195" s="21" t="n">
        <v>22537</v>
      </c>
      <c r="P195" s="21" t="n">
        <v>846868</v>
      </c>
      <c r="Q195" s="21" t="n">
        <v>672618</v>
      </c>
      <c r="R195" s="21">
        <f>IF(Q195="","",Q195*(1+in_GrowthRate)^(YEARFRAC(DATE(2023,6,30),in_AgeToDate)*IF(in_AgeToDate&lt;DATE(2023,6,30),-1,1)+1))</f>
        <v/>
      </c>
      <c r="S195" s="38" t="n">
        <v>0.5312762361178228</v>
      </c>
      <c r="T195" s="43">
        <f>HYPERLINK("https://projects.propublica.org/nonprofits/organizations/314379459/202401369349303945/full","view filing")</f>
        <v/>
      </c>
    </row>
    <row r="196">
      <c r="A196" t="inlineStr">
        <is>
          <t>Denison University</t>
        </is>
      </c>
      <c r="B196" s="20" t="inlineStr">
        <is>
          <t>OH</t>
        </is>
      </c>
      <c r="C196" s="42" t="n">
        <v>1.1</v>
      </c>
      <c r="D196" t="inlineStr">
        <is>
          <t>Endowment</t>
        </is>
      </c>
      <c r="E196" s="20" t="n">
        <v>2022</v>
      </c>
      <c r="F196" s="20" t="inlineStr"/>
      <c r="G196" t="inlineStr">
        <is>
          <t>Kathleen R Browne</t>
        </is>
      </c>
      <c r="H196" t="inlineStr">
        <is>
          <t>CHIEF INVESTMENT OFFICER</t>
        </is>
      </c>
      <c r="I196" t="inlineStr">
        <is>
          <t>CIO</t>
        </is>
      </c>
      <c r="J196" s="21" t="n">
        <v>426233</v>
      </c>
      <c r="K196" s="21" t="n">
        <v>486588</v>
      </c>
      <c r="L196" s="21" t="n">
        <v>912821</v>
      </c>
      <c r="M196" s="21" t="n">
        <v>48140</v>
      </c>
      <c r="N196" s="21" t="n">
        <v>210610</v>
      </c>
      <c r="O196" s="21" t="n">
        <v>24459</v>
      </c>
      <c r="P196" s="21" t="n">
        <v>1196030</v>
      </c>
      <c r="Q196" s="21" t="n">
        <v>1026030</v>
      </c>
      <c r="R196" s="21">
        <f>IF(Q196="","",Q196*(1+in_GrowthRate)^(YEARFRAC(DATE(2022,6,30),in_AgeToDate)*IF(in_AgeToDate&lt;DATE(2022,6,30),-1,1)+1))</f>
        <v/>
      </c>
      <c r="S196" s="38" t="n">
        <v>1.14160095534602</v>
      </c>
      <c r="T196" s="43">
        <f>HYPERLINK("https://projects.propublica.org/nonprofits/organizations/314379459/202321099349301527/full","view filing")</f>
        <v/>
      </c>
    </row>
    <row r="197">
      <c r="A197" t="inlineStr">
        <is>
          <t>Diana Davis Spencer Foundation</t>
        </is>
      </c>
      <c r="B197" s="20" t="inlineStr">
        <is>
          <t>MD</t>
        </is>
      </c>
      <c r="C197" s="42" t="n">
        <v>1.17</v>
      </c>
      <c r="D197" t="inlineStr">
        <is>
          <t>Foundation</t>
        </is>
      </c>
      <c r="E197" s="20" t="n">
        <v>2024</v>
      </c>
      <c r="F197" s="20">
        <f>IF(AND(OR(in_Mode="All Funds",AND(C197&gt;=in_BandFloor,C197&lt;=in_BandCeiling,OR(in_Geography="National",COUNTIFS(lst_GeoPreset,in_Geography,lst_GeoState,B197)&gt;0,AND(in_Geography="Custom",ISNUMBER(SEARCH(B197,SUBSTITUTE(in_CustomStates," ",""))))),OR(AND(D197="Endowment",Inputs!$B$14="Y"),AND(D197="Foundation",Inputs!$B$15="Y"),AND(D197="Healthcare",Inputs!$B$16="Y"),AND(D197="Pension",Inputs!$B$17="Y"),AND(D197="OCIO",Inputs!$B$18="Y"),AND(D197="Other",Inputs!$B$19="Y")))),A197&lt;&gt;in_ClientOrg,NOT(AND(in_ExclHarvard="Y",ISNUMBER(SEARCH("Harvard",A197))))),"Y","")</f>
        <v/>
      </c>
      <c r="G197" t="inlineStr">
        <is>
          <t>Christopher Burn</t>
        </is>
      </c>
      <c r="H197" t="inlineStr">
        <is>
          <t>CHIEF INVESTMENT OFFICER</t>
        </is>
      </c>
      <c r="I197" t="inlineStr">
        <is>
          <t>CIO</t>
        </is>
      </c>
      <c r="J197" s="21" t="n"/>
      <c r="K197" s="21" t="n"/>
      <c r="L197" s="21" t="n"/>
      <c r="M197" s="21" t="n"/>
      <c r="N197" s="21" t="n"/>
      <c r="O197" s="21" t="n">
        <v>144266</v>
      </c>
      <c r="P197" s="21" t="n">
        <v>1038494</v>
      </c>
      <c r="Q197" s="21" t="n">
        <v>1038494</v>
      </c>
      <c r="R197" s="21">
        <f>IF(Q197="","",Q197*(1+in_GrowthRate)^(YEARFRAC(DATE(2024,12,31),in_AgeToDate)*IF(in_AgeToDate&lt;DATE(2024,12,31),-1,1)+1))</f>
        <v/>
      </c>
      <c r="S197" s="38" t="n"/>
      <c r="T197" s="43">
        <f>HYPERLINK("https://projects.propublica.org/nonprofits/organizations/203672969/202503189349104390/full","view filing")</f>
        <v/>
      </c>
    </row>
    <row r="198">
      <c r="A198" t="inlineStr">
        <is>
          <t>Diana Davis Spencer Foundation</t>
        </is>
      </c>
      <c r="B198" s="20" t="inlineStr">
        <is>
          <t>MD</t>
        </is>
      </c>
      <c r="C198" s="42" t="n">
        <v>1.17</v>
      </c>
      <c r="D198" t="inlineStr">
        <is>
          <t>Foundation</t>
        </is>
      </c>
      <c r="E198" s="20" t="n">
        <v>2023</v>
      </c>
      <c r="F198" s="20" t="inlineStr"/>
      <c r="G198" t="inlineStr">
        <is>
          <t>Christopher Burn</t>
        </is>
      </c>
      <c r="H198" t="inlineStr">
        <is>
          <t>CHIEF INVESTMENT OFFICER</t>
        </is>
      </c>
      <c r="I198" t="inlineStr">
        <is>
          <t>CIO</t>
        </is>
      </c>
      <c r="J198" s="21" t="n"/>
      <c r="K198" s="21" t="n"/>
      <c r="L198" s="21" t="n"/>
      <c r="M198" s="21" t="n"/>
      <c r="N198" s="21" t="n"/>
      <c r="O198" s="21" t="n">
        <v>141019</v>
      </c>
      <c r="P198" s="21" t="n">
        <v>1012235</v>
      </c>
      <c r="Q198" s="21" t="n">
        <v>1012235</v>
      </c>
      <c r="R198" s="21">
        <f>IF(Q198="","",Q198*(1+in_GrowthRate)^(YEARFRAC(DATE(2023,12,31),in_AgeToDate)*IF(in_AgeToDate&lt;DATE(2023,12,31),-1,1)+1))</f>
        <v/>
      </c>
      <c r="S198" s="38" t="n"/>
      <c r="T198" s="43">
        <f>HYPERLINK("https://projects.propublica.org/nonprofits/organizations/203672969/202433199349102773/full","view filing")</f>
        <v/>
      </c>
    </row>
    <row r="199">
      <c r="A199" t="inlineStr">
        <is>
          <t>Diana Davis Spencer Foundation</t>
        </is>
      </c>
      <c r="B199" s="20" t="inlineStr">
        <is>
          <t>MD</t>
        </is>
      </c>
      <c r="C199" s="42" t="n">
        <v>1.17</v>
      </c>
      <c r="D199" t="inlineStr">
        <is>
          <t>Foundation</t>
        </is>
      </c>
      <c r="E199" s="20" t="n">
        <v>2022</v>
      </c>
      <c r="F199" s="20" t="inlineStr"/>
      <c r="G199" t="inlineStr">
        <is>
          <t>Christopher Burn</t>
        </is>
      </c>
      <c r="H199" t="inlineStr">
        <is>
          <t>CHIEF INVESTMENT OFFICER</t>
        </is>
      </c>
      <c r="I199" t="inlineStr">
        <is>
          <t>CIO</t>
        </is>
      </c>
      <c r="J199" s="21" t="n"/>
      <c r="K199" s="21" t="n"/>
      <c r="L199" s="21" t="n"/>
      <c r="M199" s="21" t="n"/>
      <c r="N199" s="21" t="n"/>
      <c r="O199" s="21" t="n">
        <v>100095</v>
      </c>
      <c r="P199" s="21" t="n">
        <v>778197</v>
      </c>
      <c r="Q199" s="21" t="n">
        <v>778197</v>
      </c>
      <c r="R199" s="21">
        <f>IF(Q199="","",Q199*(1+in_GrowthRate)^(YEARFRAC(DATE(2022,12,31),in_AgeToDate)*IF(in_AgeToDate&lt;DATE(2022,12,31),-1,1)+1))</f>
        <v/>
      </c>
      <c r="S199" s="38" t="n"/>
      <c r="T199" s="43">
        <f>HYPERLINK("https://projects.propublica.org/nonprofits/organizations/203672969/202333169349100258/full","view filing")</f>
        <v/>
      </c>
    </row>
    <row r="200">
      <c r="A200" t="inlineStr">
        <is>
          <t>Drexel University</t>
        </is>
      </c>
      <c r="B200" s="20" t="inlineStr">
        <is>
          <t>PA</t>
        </is>
      </c>
      <c r="C200" s="42" t="n">
        <v>1.13</v>
      </c>
      <c r="D200" t="inlineStr">
        <is>
          <t>Endowment</t>
        </is>
      </c>
      <c r="E200" s="20" t="n">
        <v>2025</v>
      </c>
      <c r="F200" s="20">
        <f>IF(AND(OR(in_Mode="All Funds",AND(C200&gt;=in_BandFloor,C200&lt;=in_BandCeiling,OR(in_Geography="National",COUNTIFS(lst_GeoPreset,in_Geography,lst_GeoState,B200)&gt;0,AND(in_Geography="Custom",ISNUMBER(SEARCH(B200,SUBSTITUTE(in_CustomStates," ",""))))),OR(AND(D200="Endowment",Inputs!$B$14="Y"),AND(D200="Foundation",Inputs!$B$15="Y"),AND(D200="Healthcare",Inputs!$B$16="Y"),AND(D200="Pension",Inputs!$B$17="Y"),AND(D200="OCIO",Inputs!$B$18="Y"),AND(D200="Other",Inputs!$B$19="Y")))),A200&lt;&gt;in_ClientOrg,NOT(AND(in_ExclHarvard="Y",ISNUMBER(SEARCH("Harvard",A200))))),"Y","")</f>
        <v/>
      </c>
      <c r="G200" t="inlineStr">
        <is>
          <t>Catherine Ulozas</t>
        </is>
      </c>
      <c r="H200" t="inlineStr">
        <is>
          <t>SVP, CHIEF INVESTMENT OFFICER</t>
        </is>
      </c>
      <c r="I200" t="inlineStr">
        <is>
          <t>CIO</t>
        </is>
      </c>
      <c r="J200" s="21" t="n">
        <v>398696</v>
      </c>
      <c r="K200" s="21" t="n">
        <v>3100</v>
      </c>
      <c r="L200" s="21" t="n">
        <v>401796</v>
      </c>
      <c r="M200" s="21" t="n">
        <v>108291</v>
      </c>
      <c r="N200" s="21" t="n">
        <v>137950</v>
      </c>
      <c r="O200" s="21" t="n">
        <v>9493</v>
      </c>
      <c r="P200" s="21" t="n">
        <v>657530</v>
      </c>
      <c r="Q200" s="21" t="n">
        <v>557530</v>
      </c>
      <c r="R200" s="21">
        <f>IF(Q200="","",Q200*(1+in_GrowthRate)^(YEARFRAC(DATE(2025,6,30),in_AgeToDate)*IF(in_AgeToDate&lt;DATE(2025,6,30),-1,1)+1))</f>
        <v/>
      </c>
      <c r="S200" s="38" t="n">
        <v>0.007775347633284507</v>
      </c>
      <c r="T200" s="43">
        <f>HYPERLINK("https://projects.propublica.org/nonprofits/organizations/231352630/202611349349311266/full","view filing")</f>
        <v/>
      </c>
    </row>
    <row r="201">
      <c r="A201" t="inlineStr">
        <is>
          <t>Drexel University</t>
        </is>
      </c>
      <c r="B201" s="20" t="inlineStr">
        <is>
          <t>PA</t>
        </is>
      </c>
      <c r="C201" s="42" t="n">
        <v>1.13</v>
      </c>
      <c r="D201" t="inlineStr">
        <is>
          <t>Endowment</t>
        </is>
      </c>
      <c r="E201" s="20" t="n">
        <v>2024</v>
      </c>
      <c r="F201" s="20" t="inlineStr"/>
      <c r="G201" t="inlineStr">
        <is>
          <t>Catherine Ulozas</t>
        </is>
      </c>
      <c r="H201" t="inlineStr">
        <is>
          <t>SVP CHIEF INVESTMENT OFFICER</t>
        </is>
      </c>
      <c r="I201" t="inlineStr">
        <is>
          <t>CIO</t>
        </is>
      </c>
      <c r="J201" s="21" t="n">
        <v>312053</v>
      </c>
      <c r="K201" s="21" t="n"/>
      <c r="L201" s="21" t="n">
        <v>312053</v>
      </c>
      <c r="M201" s="21" t="n"/>
      <c r="N201" s="21" t="n">
        <v>67433</v>
      </c>
      <c r="O201" s="21" t="n">
        <v>9124</v>
      </c>
      <c r="P201" s="21" t="n">
        <v>388610</v>
      </c>
      <c r="Q201" s="21" t="n">
        <v>388610</v>
      </c>
      <c r="R201" s="21">
        <f>IF(Q201="","",Q201*(1+in_GrowthRate)^(YEARFRAC(DATE(2024,6,30),in_AgeToDate)*IF(in_AgeToDate&lt;DATE(2024,6,30),-1,1)+1))</f>
        <v/>
      </c>
      <c r="S201" s="38" t="n">
        <v>0</v>
      </c>
      <c r="T201" s="43">
        <f>HYPERLINK("https://projects.propublica.org/nonprofits/organizations/231352630/202511359349304681/full","view filing")</f>
        <v/>
      </c>
    </row>
    <row r="202">
      <c r="A202" t="inlineStr">
        <is>
          <t>Drexel University</t>
        </is>
      </c>
      <c r="B202" s="20" t="inlineStr">
        <is>
          <t>PA</t>
        </is>
      </c>
      <c r="C202" s="42" t="n">
        <v>1.13</v>
      </c>
      <c r="D202" t="inlineStr">
        <is>
          <t>Endowment</t>
        </is>
      </c>
      <c r="E202" s="20" t="n">
        <v>2023</v>
      </c>
      <c r="F202" s="20" t="inlineStr"/>
      <c r="G202" t="inlineStr">
        <is>
          <t>Catherine Ulozas</t>
        </is>
      </c>
      <c r="H202" t="inlineStr">
        <is>
          <t>VP CHIEF INVESTMENT OFFICER</t>
        </is>
      </c>
      <c r="I202" t="inlineStr">
        <is>
          <t>CIO</t>
        </is>
      </c>
      <c r="J202" s="21" t="n">
        <v>271478</v>
      </c>
      <c r="K202" s="21" t="n"/>
      <c r="L202" s="21" t="n">
        <v>271478</v>
      </c>
      <c r="M202" s="21" t="n"/>
      <c r="N202" s="21" t="n">
        <v>63266</v>
      </c>
      <c r="O202" s="21" t="n">
        <v>8997</v>
      </c>
      <c r="P202" s="21" t="n">
        <v>343741</v>
      </c>
      <c r="Q202" s="21" t="n">
        <v>343741</v>
      </c>
      <c r="R202" s="21">
        <f>IF(Q202="","",Q202*(1+in_GrowthRate)^(YEARFRAC(DATE(2023,6,30),in_AgeToDate)*IF(in_AgeToDate&lt;DATE(2023,6,30),-1,1)+1))</f>
        <v/>
      </c>
      <c r="S202" s="38" t="n">
        <v>0</v>
      </c>
      <c r="T202" s="43">
        <f>HYPERLINK("https://projects.propublica.org/nonprofits/organizations/231352630/202421369349304212/full","view filing")</f>
        <v/>
      </c>
    </row>
    <row r="203">
      <c r="A203" t="inlineStr">
        <is>
          <t>Drexel University</t>
        </is>
      </c>
      <c r="B203" s="20" t="inlineStr">
        <is>
          <t>PA</t>
        </is>
      </c>
      <c r="C203" s="42" t="n">
        <v>1.13</v>
      </c>
      <c r="D203" t="inlineStr">
        <is>
          <t>Endowment</t>
        </is>
      </c>
      <c r="E203" s="20" t="n">
        <v>2022</v>
      </c>
      <c r="F203" s="20" t="inlineStr"/>
      <c r="G203" t="inlineStr">
        <is>
          <t>Catherine Ulozas</t>
        </is>
      </c>
      <c r="H203" t="inlineStr">
        <is>
          <t>VP, CHIEF INVESTMENT OFFICER</t>
        </is>
      </c>
      <c r="I203" t="inlineStr">
        <is>
          <t>CIO</t>
        </is>
      </c>
      <c r="J203" s="21" t="n">
        <v>252849</v>
      </c>
      <c r="K203" s="21" t="n"/>
      <c r="L203" s="21" t="n">
        <v>252849</v>
      </c>
      <c r="M203" s="21" t="n"/>
      <c r="N203" s="21" t="n">
        <v>47459</v>
      </c>
      <c r="O203" s="21" t="n">
        <v>8894</v>
      </c>
      <c r="P203" s="21" t="n">
        <v>309202</v>
      </c>
      <c r="Q203" s="21" t="n">
        <v>309202</v>
      </c>
      <c r="R203" s="21">
        <f>IF(Q203="","",Q203*(1+in_GrowthRate)^(YEARFRAC(DATE(2022,6,30),in_AgeToDate)*IF(in_AgeToDate&lt;DATE(2022,6,30),-1,1)+1))</f>
        <v/>
      </c>
      <c r="S203" s="38" t="n">
        <v>0</v>
      </c>
      <c r="T203" s="43">
        <f>HYPERLINK("https://projects.propublica.org/nonprofits/organizations/231352630/202321359349320387/full","view filing")</f>
        <v/>
      </c>
    </row>
    <row r="204">
      <c r="A204" t="inlineStr">
        <is>
          <t>Duke University</t>
        </is>
      </c>
      <c r="B204" s="20" t="inlineStr">
        <is>
          <t>NC</t>
        </is>
      </c>
      <c r="C204" s="42" t="n">
        <v>21.16</v>
      </c>
      <c r="D204" t="inlineStr">
        <is>
          <t>Endowment</t>
        </is>
      </c>
      <c r="E204" s="20" t="n">
        <v>2025</v>
      </c>
      <c r="F204" s="20">
        <f>IF(AND(OR(in_Mode="All Funds",AND(C204&gt;=in_BandFloor,C204&lt;=in_BandCeiling,OR(in_Geography="National",COUNTIFS(lst_GeoPreset,in_Geography,lst_GeoState,B204)&gt;0,AND(in_Geography="Custom",ISNUMBER(SEARCH(B204,SUBSTITUTE(in_CustomStates," ",""))))),OR(AND(D204="Endowment",Inputs!$B$14="Y"),AND(D204="Foundation",Inputs!$B$15="Y"),AND(D204="Healthcare",Inputs!$B$16="Y"),AND(D204="Pension",Inputs!$B$17="Y"),AND(D204="OCIO",Inputs!$B$18="Y"),AND(D204="Other",Inputs!$B$19="Y")))),A204&lt;&gt;in_ClientOrg,NOT(AND(in_ExclHarvard="Y",ISNUMBER(SEARCH("Harvard",A204))))),"Y","")</f>
        <v/>
      </c>
      <c r="G204" t="inlineStr">
        <is>
          <t>Neal F Triplett</t>
        </is>
      </c>
      <c r="H204" t="inlineStr">
        <is>
          <t>CHIEF INVESTMENT OFFICER</t>
        </is>
      </c>
      <c r="I204" t="inlineStr">
        <is>
          <t>CIO</t>
        </is>
      </c>
      <c r="J204" s="21" t="n">
        <v>887718</v>
      </c>
      <c r="K204" s="21" t="n">
        <v>3975000</v>
      </c>
      <c r="L204" s="21" t="n">
        <v>4862718</v>
      </c>
      <c r="M204" s="21" t="n">
        <v>23000</v>
      </c>
      <c r="N204" s="21" t="n">
        <v>42072</v>
      </c>
      <c r="O204" s="21" t="n">
        <v>87795</v>
      </c>
      <c r="P204" s="21" t="n">
        <v>5015585</v>
      </c>
      <c r="Q204" s="21" t="n">
        <v>5015585</v>
      </c>
      <c r="R204" s="21">
        <f>IF(Q204="","",Q204*(1+in_GrowthRate)^(YEARFRAC(DATE(2025,6,30),in_AgeToDate)*IF(in_AgeToDate&lt;DATE(2025,6,30),-1,1)+1))</f>
        <v/>
      </c>
      <c r="S204" s="38" t="n">
        <v>4.477773346941258</v>
      </c>
      <c r="T204" s="43">
        <f>HYPERLINK("https://projects.propublica.org/nonprofits/organizations/560532129/202611359349301296/full","view filing")</f>
        <v/>
      </c>
    </row>
    <row r="205">
      <c r="A205" t="inlineStr">
        <is>
          <t>Duke University</t>
        </is>
      </c>
      <c r="B205" s="20" t="inlineStr">
        <is>
          <t>NC</t>
        </is>
      </c>
      <c r="C205" s="42" t="n">
        <v>21.16</v>
      </c>
      <c r="D205" t="inlineStr">
        <is>
          <t>Endowment</t>
        </is>
      </c>
      <c r="E205" s="20" t="n">
        <v>2024</v>
      </c>
      <c r="F205" s="20" t="inlineStr"/>
      <c r="G205" t="inlineStr">
        <is>
          <t>Neal F Triplett</t>
        </is>
      </c>
      <c r="H205" t="inlineStr">
        <is>
          <t>CHIEF INVESTMENT OFFICER</t>
        </is>
      </c>
      <c r="I205" t="inlineStr">
        <is>
          <t>CIO</t>
        </is>
      </c>
      <c r="J205" s="21" t="n">
        <v>816839</v>
      </c>
      <c r="K205" s="21" t="n">
        <v>3700000</v>
      </c>
      <c r="L205" s="21" t="n">
        <v>4516839</v>
      </c>
      <c r="M205" s="21" t="n">
        <v>22500</v>
      </c>
      <c r="N205" s="21" t="n">
        <v>40376</v>
      </c>
      <c r="O205" s="21" t="n">
        <v>123274</v>
      </c>
      <c r="P205" s="21" t="n">
        <v>4702989</v>
      </c>
      <c r="Q205" s="21" t="n">
        <v>4702989</v>
      </c>
      <c r="R205" s="21">
        <f>IF(Q205="","",Q205*(1+in_GrowthRate)^(YEARFRAC(DATE(2024,6,30),in_AgeToDate)*IF(in_AgeToDate&lt;DATE(2024,6,30),-1,1)+1))</f>
        <v/>
      </c>
      <c r="S205" s="38" t="n">
        <v>4.529656394956656</v>
      </c>
      <c r="T205" s="43">
        <f>HYPERLINK("https://projects.propublica.org/nonprofits/organizations/560532129/202501359349302225/full","view filing")</f>
        <v/>
      </c>
    </row>
    <row r="206">
      <c r="A206" t="inlineStr">
        <is>
          <t>Duke University</t>
        </is>
      </c>
      <c r="B206" s="20" t="inlineStr">
        <is>
          <t>NC</t>
        </is>
      </c>
      <c r="C206" s="42" t="n">
        <v>21.16</v>
      </c>
      <c r="D206" t="inlineStr">
        <is>
          <t>Endowment</t>
        </is>
      </c>
      <c r="E206" s="20" t="n">
        <v>2023</v>
      </c>
      <c r="F206" s="20" t="inlineStr"/>
      <c r="G206" t="inlineStr">
        <is>
          <t>Neal F Triplett</t>
        </is>
      </c>
      <c r="H206" t="inlineStr">
        <is>
          <t>CHIEF INVESTMENT OFFICER</t>
        </is>
      </c>
      <c r="I206" t="inlineStr">
        <is>
          <t>CIO</t>
        </is>
      </c>
      <c r="J206" s="21" t="n">
        <v>821217</v>
      </c>
      <c r="K206" s="21" t="n">
        <v>3350000</v>
      </c>
      <c r="L206" s="21" t="n">
        <v>4171217</v>
      </c>
      <c r="M206" s="21" t="n">
        <v>20500</v>
      </c>
      <c r="N206" s="21" t="n">
        <v>37164</v>
      </c>
      <c r="O206" s="21" t="n">
        <v>66307</v>
      </c>
      <c r="P206" s="21" t="n">
        <v>4295188</v>
      </c>
      <c r="Q206" s="21" t="n">
        <v>4295188</v>
      </c>
      <c r="R206" s="21">
        <f>IF(Q206="","",Q206*(1+in_GrowthRate)^(YEARFRAC(DATE(2023,6,30),in_AgeToDate)*IF(in_AgeToDate&lt;DATE(2023,6,30),-1,1)+1))</f>
        <v/>
      </c>
      <c r="S206" s="38" t="n">
        <v>4.079311558333546</v>
      </c>
      <c r="T206" s="43">
        <f>HYPERLINK("https://projects.propublica.org/nonprofits/organizations/560532129/202441369349300929/full","view filing")</f>
        <v/>
      </c>
    </row>
    <row r="207">
      <c r="A207" t="inlineStr">
        <is>
          <t>Duke University</t>
        </is>
      </c>
      <c r="B207" s="20" t="inlineStr">
        <is>
          <t>NC</t>
        </is>
      </c>
      <c r="C207" s="42" t="n">
        <v>21.16</v>
      </c>
      <c r="D207" t="inlineStr">
        <is>
          <t>Endowment</t>
        </is>
      </c>
      <c r="E207" s="20" t="n">
        <v>2022</v>
      </c>
      <c r="F207" s="20" t="inlineStr"/>
      <c r="G207" t="inlineStr">
        <is>
          <t>Neal F Triplett</t>
        </is>
      </c>
      <c r="H207" t="inlineStr">
        <is>
          <t>CHIEF INVESTMENT OFFICER</t>
        </is>
      </c>
      <c r="I207" t="inlineStr">
        <is>
          <t>CIO</t>
        </is>
      </c>
      <c r="J207" s="21" t="n">
        <v>699107</v>
      </c>
      <c r="K207" s="21" t="n">
        <v>2124358</v>
      </c>
      <c r="L207" s="21" t="n">
        <v>2823465</v>
      </c>
      <c r="M207" s="21" t="n">
        <v>19500</v>
      </c>
      <c r="N207" s="21" t="n">
        <v>35296</v>
      </c>
      <c r="O207" s="21" t="n">
        <v>84731</v>
      </c>
      <c r="P207" s="21" t="n">
        <v>2962992</v>
      </c>
      <c r="Q207" s="21" t="n">
        <v>2962992</v>
      </c>
      <c r="R207" s="21">
        <f>IF(Q207="","",Q207*(1+in_GrowthRate)^(YEARFRAC(DATE(2022,6,30),in_AgeToDate)*IF(in_AgeToDate&lt;DATE(2022,6,30),-1,1)+1))</f>
        <v/>
      </c>
      <c r="S207" s="38" t="n">
        <v>3.038673622206615</v>
      </c>
      <c r="T207" s="43">
        <f>HYPERLINK("https://projects.propublica.org/nonprofits/organizations/560532129/202311359349317716/full","view filing")</f>
        <v/>
      </c>
    </row>
    <row r="208">
      <c r="A208" t="inlineStr">
        <is>
          <t>Duquesne University Of The Holy Spirit</t>
        </is>
      </c>
      <c r="B208" s="20" t="inlineStr">
        <is>
          <t>PA</t>
        </is>
      </c>
      <c r="C208" s="42" t="n">
        <v>0.83</v>
      </c>
      <c r="D208" t="inlineStr">
        <is>
          <t>Endowment</t>
        </is>
      </c>
      <c r="E208" s="20" t="n">
        <v>2025</v>
      </c>
      <c r="F208" s="20">
        <f>IF(AND(OR(in_Mode="All Funds",AND(C208&gt;=in_BandFloor,C208&lt;=in_BandCeiling,OR(in_Geography="National",COUNTIFS(lst_GeoPreset,in_Geography,lst_GeoState,B208)&gt;0,AND(in_Geography="Custom",ISNUMBER(SEARCH(B208,SUBSTITUTE(in_CustomStates," ",""))))),OR(AND(D208="Endowment",Inputs!$B$14="Y"),AND(D208="Foundation",Inputs!$B$15="Y"),AND(D208="Healthcare",Inputs!$B$16="Y"),AND(D208="Pension",Inputs!$B$17="Y"),AND(D208="OCIO",Inputs!$B$18="Y"),AND(D208="Other",Inputs!$B$19="Y")))),A208&lt;&gt;in_ClientOrg,NOT(AND(in_ExclHarvard="Y",ISNUMBER(SEARCH("Harvard",A208))))),"Y","")</f>
        <v/>
      </c>
      <c r="G208" t="inlineStr">
        <is>
          <t>Matthew Rozyczka</t>
        </is>
      </c>
      <c r="H208" t="inlineStr">
        <is>
          <t>CHIEF INVESTMENT OFFICER</t>
        </is>
      </c>
      <c r="I208" t="inlineStr">
        <is>
          <t>CIO</t>
        </is>
      </c>
      <c r="J208" s="21" t="n">
        <v>333290</v>
      </c>
      <c r="K208" s="21" t="n">
        <v>183855</v>
      </c>
      <c r="L208" s="21" t="n">
        <v>517145</v>
      </c>
      <c r="M208" s="21" t="n">
        <v>23449</v>
      </c>
      <c r="N208" s="21" t="n">
        <v>102250</v>
      </c>
      <c r="O208" s="21" t="n">
        <v>21462</v>
      </c>
      <c r="P208" s="21" t="n">
        <v>664306</v>
      </c>
      <c r="Q208" s="21" t="n">
        <v>664306</v>
      </c>
      <c r="R208" s="21">
        <f>IF(Q208="","",Q208*(1+in_GrowthRate)^(YEARFRAC(DATE(2025,6,30),in_AgeToDate)*IF(in_AgeToDate&lt;DATE(2025,6,30),-1,1)+1))</f>
        <v/>
      </c>
      <c r="S208" s="38" t="n">
        <v>0.5516367127726605</v>
      </c>
      <c r="T208" s="43">
        <f>HYPERLINK("https://projects.propublica.org/nonprofits/organizations/251035663/202601289349302650/full","view filing")</f>
        <v/>
      </c>
    </row>
    <row r="209">
      <c r="A209" t="inlineStr">
        <is>
          <t>Duquesne University Of The Holy Spirit</t>
        </is>
      </c>
      <c r="B209" s="20" t="inlineStr">
        <is>
          <t>PA</t>
        </is>
      </c>
      <c r="C209" s="42" t="n">
        <v>0.83</v>
      </c>
      <c r="D209" t="inlineStr">
        <is>
          <t>Endowment</t>
        </is>
      </c>
      <c r="E209" s="20" t="n">
        <v>2024</v>
      </c>
      <c r="F209" s="20" t="inlineStr"/>
      <c r="G209" t="inlineStr">
        <is>
          <t>Matthew Rozyczka</t>
        </is>
      </c>
      <c r="H209" t="inlineStr">
        <is>
          <t>CHIEF INVESTMENT OFFICER</t>
        </is>
      </c>
      <c r="I209" t="inlineStr">
        <is>
          <t>CIO</t>
        </is>
      </c>
      <c r="J209" s="21" t="n">
        <v>350284</v>
      </c>
      <c r="K209" s="21" t="n">
        <v>191065</v>
      </c>
      <c r="L209" s="21" t="n">
        <v>541349</v>
      </c>
      <c r="M209" s="21" t="n">
        <v>306</v>
      </c>
      <c r="N209" s="21" t="n">
        <v>98865</v>
      </c>
      <c r="O209" s="21" t="n">
        <v>21310</v>
      </c>
      <c r="P209" s="21" t="n">
        <v>661830</v>
      </c>
      <c r="Q209" s="21" t="n">
        <v>661830</v>
      </c>
      <c r="R209" s="21">
        <f>IF(Q209="","",Q209*(1+in_GrowthRate)^(YEARFRAC(DATE(2024,6,30),in_AgeToDate)*IF(in_AgeToDate&lt;DATE(2024,6,30),-1,1)+1))</f>
        <v/>
      </c>
      <c r="S209" s="38" t="n">
        <v>0.5454574002809149</v>
      </c>
      <c r="T209" s="43">
        <f>HYPERLINK("https://projects.propublica.org/nonprofits/organizations/251035663/202511299349302751/full","view filing")</f>
        <v/>
      </c>
    </row>
    <row r="210">
      <c r="A210" t="inlineStr">
        <is>
          <t>Duquesne University Of The Holy Spirit</t>
        </is>
      </c>
      <c r="B210" s="20" t="inlineStr">
        <is>
          <t>PA</t>
        </is>
      </c>
      <c r="C210" s="42" t="n">
        <v>0.83</v>
      </c>
      <c r="D210" t="inlineStr">
        <is>
          <t>Endowment</t>
        </is>
      </c>
      <c r="E210" s="20" t="n">
        <v>2023</v>
      </c>
      <c r="F210" s="20" t="inlineStr"/>
      <c r="G210" t="inlineStr">
        <is>
          <t>Matthew Rozyczka</t>
        </is>
      </c>
      <c r="H210" t="inlineStr">
        <is>
          <t>CHIEF INVESTMENT OFFICER</t>
        </is>
      </c>
      <c r="I210" t="inlineStr">
        <is>
          <t>CIO</t>
        </is>
      </c>
      <c r="J210" s="21" t="n">
        <v>267015</v>
      </c>
      <c r="K210" s="21" t="n">
        <v>105000</v>
      </c>
      <c r="L210" s="21" t="n">
        <v>372015</v>
      </c>
      <c r="M210" s="21" t="n">
        <v>249</v>
      </c>
      <c r="N210" s="21" t="n">
        <v>85000</v>
      </c>
      <c r="O210" s="21" t="n">
        <v>16255</v>
      </c>
      <c r="P210" s="21" t="n">
        <v>473519</v>
      </c>
      <c r="Q210" s="21" t="n">
        <v>473519</v>
      </c>
      <c r="R210" s="21">
        <f>IF(Q210="","",Q210*(1+in_GrowthRate)^(YEARFRAC(DATE(2023,6,30),in_AgeToDate)*IF(in_AgeToDate&lt;DATE(2023,6,30),-1,1)+1))</f>
        <v/>
      </c>
      <c r="S210" s="38" t="n">
        <v>0.3932363350373574</v>
      </c>
      <c r="T210" s="43">
        <f>HYPERLINK("https://projects.propublica.org/nonprofits/organizations/251035663/202441319349303274/full","view filing")</f>
        <v/>
      </c>
    </row>
    <row r="211">
      <c r="A211" t="inlineStr">
        <is>
          <t>Emory University</t>
        </is>
      </c>
      <c r="B211" s="20" t="inlineStr">
        <is>
          <t>GA</t>
        </is>
      </c>
      <c r="C211" s="42" t="n">
        <v>12</v>
      </c>
      <c r="D211" t="inlineStr">
        <is>
          <t>Endowment</t>
        </is>
      </c>
      <c r="E211" s="20" t="n">
        <v>2025</v>
      </c>
      <c r="F211" s="20">
        <f>IF(AND(OR(in_Mode="All Funds",AND(C211&gt;=in_BandFloor,C211&lt;=in_BandCeiling,OR(in_Geography="National",COUNTIFS(lst_GeoPreset,in_Geography,lst_GeoState,B211)&gt;0,AND(in_Geography="Custom",ISNUMBER(SEARCH(B211,SUBSTITUTE(in_CustomStates," ",""))))),OR(AND(D211="Endowment",Inputs!$B$14="Y"),AND(D211="Foundation",Inputs!$B$15="Y"),AND(D211="Healthcare",Inputs!$B$16="Y"),AND(D211="Pension",Inputs!$B$17="Y"),AND(D211="OCIO",Inputs!$B$18="Y"),AND(D211="Other",Inputs!$B$19="Y")))),A211&lt;&gt;in_ClientOrg,NOT(AND(in_ExclHarvard="Y",ISNUMBER(SEARCH("Harvard",A211))))),"Y","")</f>
        <v/>
      </c>
      <c r="G211" t="inlineStr">
        <is>
          <t>Srinivas Pulavarti</t>
        </is>
      </c>
      <c r="H211" t="inlineStr">
        <is>
          <t>VP, Chief Investment Officer</t>
        </is>
      </c>
      <c r="I211" t="inlineStr">
        <is>
          <t>CIO</t>
        </is>
      </c>
      <c r="J211" s="21" t="n">
        <v>1152379</v>
      </c>
      <c r="K211" s="21" t="n">
        <v>3003000</v>
      </c>
      <c r="L211" s="21" t="n">
        <v>4155379</v>
      </c>
      <c r="M211" s="21" t="n">
        <v>75256</v>
      </c>
      <c r="N211" s="21" t="n">
        <v>31050</v>
      </c>
      <c r="O211" s="21" t="n">
        <v>23005</v>
      </c>
      <c r="P211" s="21" t="n">
        <v>4284690</v>
      </c>
      <c r="Q211" s="21" t="n">
        <v>4284690</v>
      </c>
      <c r="R211" s="21">
        <f>IF(Q211="","",Q211*(1+in_GrowthRate)^(YEARFRAC(DATE(2025,8,31),in_AgeToDate)*IF(in_AgeToDate&lt;DATE(2025,8,31),-1,1)+1))</f>
        <v/>
      </c>
      <c r="S211" s="38" t="n">
        <v>2.605913505886518</v>
      </c>
      <c r="T211" s="43">
        <f>HYPERLINK("https://projects.propublica.org/nonprofits/organizations/580566256/202611959349300411/full","view filing")</f>
        <v/>
      </c>
    </row>
    <row r="212">
      <c r="A212" t="inlineStr">
        <is>
          <t>Emory University</t>
        </is>
      </c>
      <c r="B212" s="20" t="inlineStr">
        <is>
          <t>GA</t>
        </is>
      </c>
      <c r="C212" s="42" t="n">
        <v>12</v>
      </c>
      <c r="D212" t="inlineStr">
        <is>
          <t>Endowment</t>
        </is>
      </c>
      <c r="E212" s="20" t="n">
        <v>2024</v>
      </c>
      <c r="F212" s="20" t="inlineStr"/>
      <c r="G212" t="inlineStr">
        <is>
          <t>Srinivas Pulavarti</t>
        </is>
      </c>
      <c r="H212" t="inlineStr">
        <is>
          <t>VP-Chief Investment Officer</t>
        </is>
      </c>
      <c r="I212" t="inlineStr">
        <is>
          <t>CIO</t>
        </is>
      </c>
      <c r="J212" s="21" t="n">
        <v>1110797</v>
      </c>
      <c r="K212" s="21" t="n">
        <v>2062500</v>
      </c>
      <c r="L212" s="21" t="n">
        <v>3173297</v>
      </c>
      <c r="M212" s="21" t="n">
        <v>73260</v>
      </c>
      <c r="N212" s="21" t="n">
        <v>29700</v>
      </c>
      <c r="O212" s="21" t="n">
        <v>21605</v>
      </c>
      <c r="P212" s="21" t="n">
        <v>3297862</v>
      </c>
      <c r="Q212" s="21" t="n">
        <v>3297862</v>
      </c>
      <c r="R212" s="21">
        <f>IF(Q212="","",Q212*(1+in_GrowthRate)^(YEARFRAC(DATE(2024,8,31),in_AgeToDate)*IF(in_AgeToDate&lt;DATE(2024,8,31),-1,1)+1))</f>
        <v/>
      </c>
      <c r="S212" s="38" t="n">
        <v>1.856774910267132</v>
      </c>
      <c r="T212" s="43">
        <f>HYPERLINK("https://projects.propublica.org/nonprofits/organizations/580566256/202511929349300211/full","view filing")</f>
        <v/>
      </c>
    </row>
    <row r="213">
      <c r="A213" t="inlineStr">
        <is>
          <t>Ewing Marion Kauffman Foundation</t>
        </is>
      </c>
      <c r="B213" s="20" t="inlineStr">
        <is>
          <t>MO</t>
        </is>
      </c>
      <c r="C213" s="42" t="n">
        <v>2.92</v>
      </c>
      <c r="D213" t="inlineStr">
        <is>
          <t>Foundation</t>
        </is>
      </c>
      <c r="E213" s="20" t="n">
        <v>2024</v>
      </c>
      <c r="F213" s="20">
        <f>IF(AND(OR(in_Mode="All Funds",AND(C213&gt;=in_BandFloor,C213&lt;=in_BandCeiling,OR(in_Geography="National",COUNTIFS(lst_GeoPreset,in_Geography,lst_GeoState,B213)&gt;0,AND(in_Geography="Custom",ISNUMBER(SEARCH(B213,SUBSTITUTE(in_CustomStates," ",""))))),OR(AND(D213="Endowment",Inputs!$B$14="Y"),AND(D213="Foundation",Inputs!$B$15="Y"),AND(D213="Healthcare",Inputs!$B$16="Y"),AND(D213="Pension",Inputs!$B$17="Y"),AND(D213="OCIO",Inputs!$B$18="Y"),AND(D213="Other",Inputs!$B$19="Y")))),A213&lt;&gt;in_ClientOrg,NOT(AND(in_ExclHarvard="Y",ISNUMBER(SEARCH("Harvard",A213))))),"Y","")</f>
        <v/>
      </c>
      <c r="G213" t="inlineStr">
        <is>
          <t>Lisa Murray</t>
        </is>
      </c>
      <c r="H213" t="inlineStr">
        <is>
          <t>CHIEF INVESTMENT OFF</t>
        </is>
      </c>
      <c r="I213" t="inlineStr">
        <is>
          <t>CIO</t>
        </is>
      </c>
      <c r="J213" s="21" t="n"/>
      <c r="K213" s="21" t="n"/>
      <c r="L213" s="21" t="n"/>
      <c r="M213" s="21" t="n"/>
      <c r="N213" s="21" t="n"/>
      <c r="O213" s="21" t="n"/>
      <c r="P213" s="21" t="n">
        <v>812684</v>
      </c>
      <c r="Q213" s="21" t="n">
        <v>812684</v>
      </c>
      <c r="R213" s="21">
        <f>IF(Q213="","",Q213*(1+in_GrowthRate)^(YEARFRAC(DATE(2024,12,31),in_AgeToDate)*IF(in_AgeToDate&lt;DATE(2024,12,31),-1,1)+1))</f>
        <v/>
      </c>
      <c r="S213" s="38" t="n"/>
      <c r="T213" s="43">
        <f>HYPERLINK("https://projects.propublica.org/nonprofits/organizations/436064859/202523169349103332/full","view filing")</f>
        <v/>
      </c>
    </row>
    <row r="214">
      <c r="A214" t="inlineStr">
        <is>
          <t>Ewing Marion Kauffman Foundation</t>
        </is>
      </c>
      <c r="B214" s="20" t="inlineStr">
        <is>
          <t>MO</t>
        </is>
      </c>
      <c r="C214" s="42" t="n">
        <v>2.92</v>
      </c>
      <c r="D214" t="inlineStr">
        <is>
          <t>Foundation</t>
        </is>
      </c>
      <c r="E214" s="20" t="n">
        <v>2023</v>
      </c>
      <c r="F214" s="20" t="inlineStr"/>
      <c r="G214" t="inlineStr">
        <is>
          <t>Lisa Murray</t>
        </is>
      </c>
      <c r="H214" t="inlineStr">
        <is>
          <t>CHIEF INVESTMENT OFF</t>
        </is>
      </c>
      <c r="I214" t="inlineStr">
        <is>
          <t>CIO</t>
        </is>
      </c>
      <c r="J214" s="21" t="n"/>
      <c r="K214" s="21" t="n"/>
      <c r="L214" s="21" t="n"/>
      <c r="M214" s="21" t="n"/>
      <c r="N214" s="21" t="n"/>
      <c r="O214" s="21" t="n"/>
      <c r="P214" s="21" t="n">
        <v>832352</v>
      </c>
      <c r="Q214" s="21" t="n">
        <v>832352</v>
      </c>
      <c r="R214" s="21">
        <f>IF(Q214="","",Q214*(1+in_GrowthRate)^(YEARFRAC(DATE(2023,12,31),in_AgeToDate)*IF(in_AgeToDate&lt;DATE(2023,12,31),-1,1)+1))</f>
        <v/>
      </c>
      <c r="S214" s="38" t="n"/>
      <c r="T214" s="43">
        <f>HYPERLINK("https://projects.propublica.org/nonprofits/organizations/436064859/202443209349101644/full","view filing")</f>
        <v/>
      </c>
    </row>
    <row r="215">
      <c r="A215" t="inlineStr">
        <is>
          <t>Ewing Marion Kauffman Foundation</t>
        </is>
      </c>
      <c r="B215" s="20" t="inlineStr">
        <is>
          <t>MO</t>
        </is>
      </c>
      <c r="C215" s="42" t="n">
        <v>2.92</v>
      </c>
      <c r="D215" t="inlineStr">
        <is>
          <t>Foundation</t>
        </is>
      </c>
      <c r="E215" s="20" t="n">
        <v>2022</v>
      </c>
      <c r="F215" s="20" t="inlineStr"/>
      <c r="G215" t="inlineStr">
        <is>
          <t>Lisa Murray</t>
        </is>
      </c>
      <c r="H215" t="inlineStr">
        <is>
          <t>CHIEF INVESTMENT OFF</t>
        </is>
      </c>
      <c r="I215" t="inlineStr">
        <is>
          <t>CIO</t>
        </is>
      </c>
      <c r="J215" s="21" t="n"/>
      <c r="K215" s="21" t="n"/>
      <c r="L215" s="21" t="n"/>
      <c r="M215" s="21" t="n"/>
      <c r="N215" s="21" t="n"/>
      <c r="O215" s="21" t="n"/>
      <c r="P215" s="21" t="n">
        <v>866455</v>
      </c>
      <c r="Q215" s="21" t="n">
        <v>866455</v>
      </c>
      <c r="R215" s="21">
        <f>IF(Q215="","",Q215*(1+in_GrowthRate)^(YEARFRAC(DATE(2022,12,31),in_AgeToDate)*IF(in_AgeToDate&lt;DATE(2022,12,31),-1,1)+1))</f>
        <v/>
      </c>
      <c r="S215" s="38" t="n"/>
      <c r="T215" s="43">
        <f>HYPERLINK("https://projects.propublica.org/nonprofits/organizations/436064859/202303199349101530/full","view filing")</f>
        <v/>
      </c>
    </row>
    <row r="216">
      <c r="A216" t="inlineStr">
        <is>
          <t>Ford Foundation</t>
        </is>
      </c>
      <c r="B216" s="20" t="inlineStr">
        <is>
          <t>NY</t>
        </is>
      </c>
      <c r="C216" s="42" t="n">
        <v>14.37</v>
      </c>
      <c r="D216" t="inlineStr">
        <is>
          <t>Foundation</t>
        </is>
      </c>
      <c r="E216" s="20" t="n">
        <v>2024</v>
      </c>
      <c r="F216" s="20">
        <f>IF(AND(OR(in_Mode="All Funds",AND(C216&gt;=in_BandFloor,C216&lt;=in_BandCeiling,OR(in_Geography="National",COUNTIFS(lst_GeoPreset,in_Geography,lst_GeoState,B216)&gt;0,AND(in_Geography="Custom",ISNUMBER(SEARCH(B216,SUBSTITUTE(in_CustomStates," ",""))))),OR(AND(D216="Endowment",Inputs!$B$14="Y"),AND(D216="Foundation",Inputs!$B$15="Y"),AND(D216="Healthcare",Inputs!$B$16="Y"),AND(D216="Pension",Inputs!$B$17="Y"),AND(D216="OCIO",Inputs!$B$18="Y"),AND(D216="Other",Inputs!$B$19="Y")))),A216&lt;&gt;in_ClientOrg,NOT(AND(in_ExclHarvard="Y",ISNUMBER(SEARCH("Harvard",A216))))),"Y","")</f>
        <v/>
      </c>
      <c r="G216" t="inlineStr">
        <is>
          <t>Eric W Doppstadt</t>
        </is>
      </c>
      <c r="H216" t="inlineStr">
        <is>
          <t>VP &amp; CHIEF INVESTMENT OFFICER</t>
        </is>
      </c>
      <c r="I216" t="inlineStr">
        <is>
          <t>CIO</t>
        </is>
      </c>
      <c r="J216" s="21" t="n"/>
      <c r="K216" s="21" t="n"/>
      <c r="L216" s="21" t="n"/>
      <c r="M216" s="21" t="n"/>
      <c r="N216" s="21" t="n"/>
      <c r="O216" s="21" t="n">
        <v>123888</v>
      </c>
      <c r="P216" s="21" t="n">
        <v>4897822</v>
      </c>
      <c r="Q216" s="21" t="n">
        <v>4897822</v>
      </c>
      <c r="R216" s="21">
        <f>IF(Q216="","",Q216*(1+in_GrowthRate)^(YEARFRAC(DATE(2024,12,31),in_AgeToDate)*IF(in_AgeToDate&lt;DATE(2024,12,31),-1,1)+1))</f>
        <v/>
      </c>
      <c r="S216" s="38" t="n"/>
      <c r="T216" s="43">
        <f>HYPERLINK("https://projects.propublica.org/nonprofits/organizations/131684331/202513219349106006/full","view filing")</f>
        <v/>
      </c>
    </row>
    <row r="217">
      <c r="A217" t="inlineStr">
        <is>
          <t>Ford Foundation</t>
        </is>
      </c>
      <c r="B217" s="20" t="inlineStr">
        <is>
          <t>NY</t>
        </is>
      </c>
      <c r="C217" s="42" t="n">
        <v>14.37</v>
      </c>
      <c r="D217" t="inlineStr">
        <is>
          <t>Foundation</t>
        </is>
      </c>
      <c r="E217" s="20" t="n">
        <v>2023</v>
      </c>
      <c r="F217" s="20" t="inlineStr"/>
      <c r="G217" t="inlineStr">
        <is>
          <t>Eric W Doppstadt</t>
        </is>
      </c>
      <c r="H217" t="inlineStr">
        <is>
          <t>VP &amp; CHIEF INVESTMENT OFFICER</t>
        </is>
      </c>
      <c r="I217" t="inlineStr">
        <is>
          <t>CIO</t>
        </is>
      </c>
      <c r="J217" s="21" t="n"/>
      <c r="K217" s="21" t="n"/>
      <c r="L217" s="21" t="n"/>
      <c r="M217" s="21" t="n"/>
      <c r="N217" s="21" t="n"/>
      <c r="O217" s="21" t="n">
        <v>116328</v>
      </c>
      <c r="P217" s="21" t="n">
        <v>4660245</v>
      </c>
      <c r="Q217" s="21" t="n">
        <v>4660245</v>
      </c>
      <c r="R217" s="21">
        <f>IF(Q217="","",Q217*(1+in_GrowthRate)^(YEARFRAC(DATE(2023,12,31),in_AgeToDate)*IF(in_AgeToDate&lt;DATE(2023,12,31),-1,1)+1))</f>
        <v/>
      </c>
      <c r="S217" s="38" t="n"/>
      <c r="T217" s="43">
        <f>HYPERLINK("https://projects.propublica.org/nonprofits/organizations/131684331/202423199349105557/full","view filing")</f>
        <v/>
      </c>
    </row>
    <row r="218">
      <c r="A218" t="inlineStr">
        <is>
          <t>Ford Foundation</t>
        </is>
      </c>
      <c r="B218" s="20" t="inlineStr">
        <is>
          <t>NY</t>
        </is>
      </c>
      <c r="C218" s="42" t="n">
        <v>14.37</v>
      </c>
      <c r="D218" t="inlineStr">
        <is>
          <t>Foundation</t>
        </is>
      </c>
      <c r="E218" s="20" t="n">
        <v>2022</v>
      </c>
      <c r="F218" s="20" t="inlineStr"/>
      <c r="G218" t="inlineStr">
        <is>
          <t>Eric W Doppstadt</t>
        </is>
      </c>
      <c r="H218" t="inlineStr">
        <is>
          <t>VP &amp; CHIEF INVESTMENT OFFICER</t>
        </is>
      </c>
      <c r="I218" t="inlineStr">
        <is>
          <t>CIO</t>
        </is>
      </c>
      <c r="J218" s="21" t="n"/>
      <c r="K218" s="21" t="n"/>
      <c r="L218" s="21" t="n"/>
      <c r="M218" s="21" t="n"/>
      <c r="N218" s="21" t="n"/>
      <c r="O218" s="21" t="n">
        <v>106304</v>
      </c>
      <c r="P218" s="21" t="n">
        <v>4560890</v>
      </c>
      <c r="Q218" s="21" t="n">
        <v>4560890</v>
      </c>
      <c r="R218" s="21">
        <f>IF(Q218="","",Q218*(1+in_GrowthRate)^(YEARFRAC(DATE(2022,12,31),in_AgeToDate)*IF(in_AgeToDate&lt;DATE(2022,12,31),-1,1)+1))</f>
        <v/>
      </c>
      <c r="S218" s="38" t="n"/>
      <c r="T218" s="43">
        <f>HYPERLINK("https://projects.propublica.org/nonprofits/organizations/131684331/202343199349104934/full","view filing")</f>
        <v/>
      </c>
    </row>
    <row r="219">
      <c r="A219" t="inlineStr">
        <is>
          <t>Fordham University</t>
        </is>
      </c>
      <c r="B219" s="20" t="inlineStr">
        <is>
          <t>NY</t>
        </is>
      </c>
      <c r="C219" s="42" t="n">
        <v>1.05</v>
      </c>
      <c r="D219" t="inlineStr">
        <is>
          <t>Endowment</t>
        </is>
      </c>
      <c r="E219" s="20" t="n">
        <v>2025</v>
      </c>
      <c r="F219" s="20">
        <f>IF(AND(OR(in_Mode="All Funds",AND(C219&gt;=in_BandFloor,C219&lt;=in_BandCeiling,OR(in_Geography="National",COUNTIFS(lst_GeoPreset,in_Geography,lst_GeoState,B219)&gt;0,AND(in_Geography="Custom",ISNUMBER(SEARCH(B219,SUBSTITUTE(in_CustomStates," ",""))))),OR(AND(D219="Endowment",Inputs!$B$14="Y"),AND(D219="Foundation",Inputs!$B$15="Y"),AND(D219="Healthcare",Inputs!$B$16="Y"),AND(D219="Pension",Inputs!$B$17="Y"),AND(D219="OCIO",Inputs!$B$18="Y"),AND(D219="Other",Inputs!$B$19="Y")))),A219&lt;&gt;in_ClientOrg,NOT(AND(in_ExclHarvard="Y",ISNUMBER(SEARCH("Harvard",A219))))),"Y","")</f>
        <v/>
      </c>
      <c r="G219" t="inlineStr">
        <is>
          <t>Geeta Palshikar</t>
        </is>
      </c>
      <c r="H219" t="inlineStr">
        <is>
          <t>CHIEF INVESTMENT OFFICER</t>
        </is>
      </c>
      <c r="I219" t="inlineStr">
        <is>
          <t>CIO</t>
        </is>
      </c>
      <c r="J219" s="21" t="n">
        <v>465360</v>
      </c>
      <c r="K219" s="21" t="n">
        <v>116044</v>
      </c>
      <c r="L219" s="21" t="n">
        <v>581404</v>
      </c>
      <c r="M219" s="21" t="n">
        <v>1430</v>
      </c>
      <c r="N219" s="21" t="n">
        <v>37950</v>
      </c>
      <c r="O219" s="21" t="n">
        <v>49557</v>
      </c>
      <c r="P219" s="21" t="n">
        <v>670341</v>
      </c>
      <c r="Q219" s="21" t="n">
        <v>670341</v>
      </c>
      <c r="R219" s="21">
        <f>IF(Q219="","",Q219*(1+in_GrowthRate)^(YEARFRAC(DATE(2025,6,30),in_AgeToDate)*IF(in_AgeToDate&lt;DATE(2025,6,30),-1,1)+1))</f>
        <v/>
      </c>
      <c r="S219" s="38" t="n">
        <v>0.2493639332989513</v>
      </c>
      <c r="T219" s="43">
        <f>HYPERLINK("https://projects.propublica.org/nonprofits/organizations/131740451/202631339349309958/full","view filing")</f>
        <v/>
      </c>
    </row>
    <row r="220">
      <c r="A220" t="inlineStr">
        <is>
          <t>Fordham University</t>
        </is>
      </c>
      <c r="B220" s="20" t="inlineStr">
        <is>
          <t>NY</t>
        </is>
      </c>
      <c r="C220" s="42" t="n">
        <v>1.05</v>
      </c>
      <c r="D220" t="inlineStr">
        <is>
          <t>Endowment</t>
        </is>
      </c>
      <c r="E220" s="20" t="n">
        <v>2024</v>
      </c>
      <c r="F220" s="20" t="inlineStr"/>
      <c r="G220" t="inlineStr">
        <is>
          <t>Geeta Palshikar</t>
        </is>
      </c>
      <c r="H220" t="inlineStr">
        <is>
          <t>CHIEF INVESTMENT OFFICER</t>
        </is>
      </c>
      <c r="I220" t="inlineStr">
        <is>
          <t>CIO</t>
        </is>
      </c>
      <c r="J220" s="21" t="n">
        <v>511721</v>
      </c>
      <c r="K220" s="21" t="n">
        <v>67500</v>
      </c>
      <c r="L220" s="21" t="n">
        <v>579221</v>
      </c>
      <c r="M220" s="21" t="n">
        <v>9467</v>
      </c>
      <c r="N220" s="21" t="n">
        <v>52800</v>
      </c>
      <c r="O220" s="21" t="n">
        <v>48409</v>
      </c>
      <c r="P220" s="21" t="n">
        <v>689897</v>
      </c>
      <c r="Q220" s="21" t="n">
        <v>689897</v>
      </c>
      <c r="R220" s="21">
        <f>IF(Q220="","",Q220*(1+in_GrowthRate)^(YEARFRAC(DATE(2024,6,30),in_AgeToDate)*IF(in_AgeToDate&lt;DATE(2024,6,30),-1,1)+1))</f>
        <v/>
      </c>
      <c r="S220" s="38" t="n">
        <v>0.1319078169549422</v>
      </c>
      <c r="T220" s="43">
        <f>HYPERLINK("https://projects.propublica.org/nonprofits/organizations/131740451/202531349349302818/full","view filing")</f>
        <v/>
      </c>
    </row>
    <row r="221">
      <c r="A221" t="inlineStr">
        <is>
          <t>Freed-hardeman University</t>
        </is>
      </c>
      <c r="B221" s="20" t="inlineStr">
        <is>
          <t>TN</t>
        </is>
      </c>
      <c r="C221" s="42" t="n">
        <v>0.1</v>
      </c>
      <c r="D221" t="inlineStr">
        <is>
          <t>Endowment</t>
        </is>
      </c>
      <c r="E221" s="20" t="n">
        <v>2025</v>
      </c>
      <c r="F221" s="20">
        <f>IF(AND(OR(in_Mode="All Funds",AND(C221&gt;=in_BandFloor,C221&lt;=in_BandCeiling,OR(in_Geography="National",COUNTIFS(lst_GeoPreset,in_Geography,lst_GeoState,B221)&gt;0,AND(in_Geography="Custom",ISNUMBER(SEARCH(B221,SUBSTITUTE(in_CustomStates," ",""))))),OR(AND(D221="Endowment",Inputs!$B$14="Y"),AND(D221="Foundation",Inputs!$B$15="Y"),AND(D221="Healthcare",Inputs!$B$16="Y"),AND(D221="Pension",Inputs!$B$17="Y"),AND(D221="OCIO",Inputs!$B$18="Y"),AND(D221="Other",Inputs!$B$19="Y")))),A221&lt;&gt;in_ClientOrg,NOT(AND(in_ExclHarvard="Y",ISNUMBER(SEARCH("Harvard",A221))))),"Y","")</f>
        <v/>
      </c>
      <c r="G221" t="inlineStr">
        <is>
          <t>Jerry A Satterfield</t>
        </is>
      </c>
      <c r="H221" t="inlineStr">
        <is>
          <t>CHIEF INVESTMENT OFFICER</t>
        </is>
      </c>
      <c r="I221" t="inlineStr">
        <is>
          <t>CIO</t>
        </is>
      </c>
      <c r="J221" s="21" t="n"/>
      <c r="K221" s="21" t="n"/>
      <c r="L221" s="21" t="n"/>
      <c r="M221" s="21" t="n"/>
      <c r="N221" s="21" t="n"/>
      <c r="O221" s="21" t="n"/>
      <c r="P221" s="21" t="n">
        <v>154500</v>
      </c>
      <c r="Q221" s="21" t="n">
        <v>154500</v>
      </c>
      <c r="R221" s="21">
        <f>IF(Q221="","",Q221*(1+in_GrowthRate)^(YEARFRAC(DATE(2025,5,31),in_AgeToDate)*IF(in_AgeToDate&lt;DATE(2025,5,31),-1,1)+1))</f>
        <v/>
      </c>
      <c r="S221" s="38" t="n"/>
      <c r="T221" s="43">
        <f>HYPERLINK("https://projects.propublica.org/nonprofits/organizations/620518288/202601599349300730/full","view filing")</f>
        <v/>
      </c>
    </row>
    <row r="222">
      <c r="A222" t="inlineStr">
        <is>
          <t>Freed-hardeman University</t>
        </is>
      </c>
      <c r="B222" s="20" t="inlineStr">
        <is>
          <t>TN</t>
        </is>
      </c>
      <c r="C222" s="42" t="n">
        <v>0.1</v>
      </c>
      <c r="D222" t="inlineStr">
        <is>
          <t>Endowment</t>
        </is>
      </c>
      <c r="E222" s="20" t="n">
        <v>2024</v>
      </c>
      <c r="F222" s="20" t="inlineStr"/>
      <c r="G222" t="inlineStr">
        <is>
          <t>Jerry A Satterfield</t>
        </is>
      </c>
      <c r="H222" t="inlineStr">
        <is>
          <t>CHIEF INVESTMENT OFFICER</t>
        </is>
      </c>
      <c r="I222" t="inlineStr">
        <is>
          <t>CIO</t>
        </is>
      </c>
      <c r="J222" s="21" t="n"/>
      <c r="K222" s="21" t="n"/>
      <c r="L222" s="21" t="n"/>
      <c r="M222" s="21" t="n"/>
      <c r="N222" s="21" t="n"/>
      <c r="O222" s="21" t="n"/>
      <c r="P222" s="21" t="n">
        <v>155567</v>
      </c>
      <c r="Q222" s="21" t="n">
        <v>155567</v>
      </c>
      <c r="R222" s="21">
        <f>IF(Q222="","",Q222*(1+in_GrowthRate)^(YEARFRAC(DATE(2024,5,31),in_AgeToDate)*IF(in_AgeToDate&lt;DATE(2024,5,31),-1,1)+1))</f>
        <v/>
      </c>
      <c r="S222" s="38" t="n"/>
      <c r="T222" s="43">
        <f>HYPERLINK("https://projects.propublica.org/nonprofits/organizations/620518288/202511049349301026/full","view filing")</f>
        <v/>
      </c>
    </row>
    <row r="223">
      <c r="A223" t="inlineStr">
        <is>
          <t>Freed-hardeman University</t>
        </is>
      </c>
      <c r="B223" s="20" t="inlineStr">
        <is>
          <t>TN</t>
        </is>
      </c>
      <c r="C223" s="42" t="n">
        <v>0.1</v>
      </c>
      <c r="D223" t="inlineStr">
        <is>
          <t>Endowment</t>
        </is>
      </c>
      <c r="E223" s="20" t="n">
        <v>2023</v>
      </c>
      <c r="F223" s="20" t="inlineStr"/>
      <c r="G223" t="inlineStr">
        <is>
          <t>Jerry A Satterfield</t>
        </is>
      </c>
      <c r="H223" t="inlineStr">
        <is>
          <t>CHIEF INVESTMENT OFFICER</t>
        </is>
      </c>
      <c r="I223" t="inlineStr">
        <is>
          <t>CIO</t>
        </is>
      </c>
      <c r="J223" s="21" t="n"/>
      <c r="K223" s="21" t="n"/>
      <c r="L223" s="21" t="n"/>
      <c r="M223" s="21" t="n"/>
      <c r="N223" s="21" t="n"/>
      <c r="O223" s="21" t="n"/>
      <c r="P223" s="21" t="n">
        <v>147182</v>
      </c>
      <c r="Q223" s="21" t="n">
        <v>147182</v>
      </c>
      <c r="R223" s="21">
        <f>IF(Q223="","",Q223*(1+in_GrowthRate)^(YEARFRAC(DATE(2023,5,31),in_AgeToDate)*IF(in_AgeToDate&lt;DATE(2023,5,31),-1,1)+1))</f>
        <v/>
      </c>
      <c r="S223" s="38" t="n"/>
      <c r="T223" s="43">
        <f>HYPERLINK("https://projects.propublica.org/nonprofits/organizations/620518288/202411159349301741/full","view filing")</f>
        <v/>
      </c>
    </row>
    <row r="224">
      <c r="A224" t="inlineStr">
        <is>
          <t>Freed-hardeman University</t>
        </is>
      </c>
      <c r="B224" s="20" t="inlineStr">
        <is>
          <t>TN</t>
        </is>
      </c>
      <c r="C224" s="42" t="n">
        <v>0.1</v>
      </c>
      <c r="D224" t="inlineStr">
        <is>
          <t>Endowment</t>
        </is>
      </c>
      <c r="E224" s="20" t="n">
        <v>2022</v>
      </c>
      <c r="F224" s="20" t="inlineStr"/>
      <c r="G224" t="inlineStr">
        <is>
          <t>Jerry A Satterfield</t>
        </is>
      </c>
      <c r="H224" t="inlineStr">
        <is>
          <t>CHIEF INVESTMENT OFFICER</t>
        </is>
      </c>
      <c r="I224" t="inlineStr">
        <is>
          <t>CIO</t>
        </is>
      </c>
      <c r="J224" s="21" t="n"/>
      <c r="K224" s="21" t="n"/>
      <c r="L224" s="21" t="n"/>
      <c r="M224" s="21" t="n"/>
      <c r="N224" s="21" t="n"/>
      <c r="O224" s="21" t="n"/>
      <c r="P224" s="21" t="n">
        <v>144881</v>
      </c>
      <c r="Q224" s="21" t="n">
        <v>144881</v>
      </c>
      <c r="R224" s="21">
        <f>IF(Q224="","",Q224*(1+in_GrowthRate)^(YEARFRAC(DATE(2022,5,31),in_AgeToDate)*IF(in_AgeToDate&lt;DATE(2022,5,31),-1,1)+1))</f>
        <v/>
      </c>
      <c r="S224" s="38" t="n"/>
      <c r="T224" s="43">
        <f>HYPERLINK("https://projects.propublica.org/nonprofits/organizations/620518288/202331089349300618/full","view filing")</f>
        <v/>
      </c>
    </row>
    <row r="225">
      <c r="A225" t="inlineStr">
        <is>
          <t>Freedom Together Foundation</t>
        </is>
      </c>
      <c r="B225" s="20" t="inlineStr">
        <is>
          <t>NY</t>
        </is>
      </c>
      <c r="C225" s="42" t="n">
        <v>4.05</v>
      </c>
      <c r="D225" t="inlineStr">
        <is>
          <t>Foundation</t>
        </is>
      </c>
      <c r="E225" s="20" t="n">
        <v>2024</v>
      </c>
      <c r="F225" s="20">
        <f>IF(AND(OR(in_Mode="All Funds",AND(C225&gt;=in_BandFloor,C225&lt;=in_BandCeiling,OR(in_Geography="National",COUNTIFS(lst_GeoPreset,in_Geography,lst_GeoState,B225)&gt;0,AND(in_Geography="Custom",ISNUMBER(SEARCH(B225,SUBSTITUTE(in_CustomStates," ",""))))),OR(AND(D225="Endowment",Inputs!$B$14="Y"),AND(D225="Foundation",Inputs!$B$15="Y"),AND(D225="Healthcare",Inputs!$B$16="Y"),AND(D225="Pension",Inputs!$B$17="Y"),AND(D225="OCIO",Inputs!$B$18="Y"),AND(D225="Other",Inputs!$B$19="Y")))),A225&lt;&gt;in_ClientOrg,NOT(AND(in_ExclHarvard="Y",ISNUMBER(SEARCH("Harvard",A225))))),"Y","")</f>
        <v/>
      </c>
      <c r="G225" t="inlineStr">
        <is>
          <t>Gerald C Mcnamara</t>
        </is>
      </c>
      <c r="H225" t="inlineStr">
        <is>
          <t>CIO</t>
        </is>
      </c>
      <c r="I225" t="inlineStr">
        <is>
          <t>CIO</t>
        </is>
      </c>
      <c r="J225" s="21" t="n"/>
      <c r="K225" s="21" t="n"/>
      <c r="L225" s="21" t="n"/>
      <c r="M225" s="21" t="n"/>
      <c r="N225" s="21" t="n"/>
      <c r="O225" s="21" t="n">
        <v>78818</v>
      </c>
      <c r="P225" s="21" t="n">
        <v>1287470</v>
      </c>
      <c r="Q225" s="21" t="n">
        <v>1287470</v>
      </c>
      <c r="R225" s="21">
        <f>IF(Q225="","",Q225*(1+in_GrowthRate)^(YEARFRAC(DATE(2024,12,31),in_AgeToDate)*IF(in_AgeToDate&lt;DATE(2024,12,31),-1,1)+1))</f>
        <v/>
      </c>
      <c r="S225" s="38" t="n"/>
      <c r="T225" s="43">
        <f>HYPERLINK("https://projects.propublica.org/nonprofits/organizations/900747216/202513219349101966/full","view filing")</f>
        <v/>
      </c>
    </row>
    <row r="226">
      <c r="A226" t="inlineStr">
        <is>
          <t>Freedom Together Foundation</t>
        </is>
      </c>
      <c r="B226" s="20" t="inlineStr">
        <is>
          <t>NY</t>
        </is>
      </c>
      <c r="C226" s="42" t="n">
        <v>4.05</v>
      </c>
      <c r="D226" t="inlineStr">
        <is>
          <t>Foundation</t>
        </is>
      </c>
      <c r="E226" s="20" t="n">
        <v>2023</v>
      </c>
      <c r="F226" s="20" t="inlineStr"/>
      <c r="G226" t="inlineStr">
        <is>
          <t>Gerald C Mcnamara</t>
        </is>
      </c>
      <c r="H226" t="inlineStr">
        <is>
          <t>CIO</t>
        </is>
      </c>
      <c r="I226" t="inlineStr">
        <is>
          <t>CIO</t>
        </is>
      </c>
      <c r="J226" s="21" t="n"/>
      <c r="K226" s="21" t="n"/>
      <c r="L226" s="21" t="n"/>
      <c r="M226" s="21" t="n"/>
      <c r="N226" s="21" t="n"/>
      <c r="O226" s="21" t="n">
        <v>74029</v>
      </c>
      <c r="P226" s="21" t="n">
        <v>1511363</v>
      </c>
      <c r="Q226" s="21" t="n">
        <v>1511363</v>
      </c>
      <c r="R226" s="21">
        <f>IF(Q226="","",Q226*(1+in_GrowthRate)^(YEARFRAC(DATE(2023,12,31),in_AgeToDate)*IF(in_AgeToDate&lt;DATE(2023,12,31),-1,1)+1))</f>
        <v/>
      </c>
      <c r="S226" s="38" t="n"/>
      <c r="T226" s="43">
        <f>HYPERLINK("https://projects.propublica.org/nonprofits/organizations/900747216/202443189349104054/full","view filing")</f>
        <v/>
      </c>
    </row>
    <row r="227">
      <c r="A227" t="inlineStr">
        <is>
          <t>Freedom Together Foundation</t>
        </is>
      </c>
      <c r="B227" s="20" t="inlineStr">
        <is>
          <t>NY</t>
        </is>
      </c>
      <c r="C227" s="42" t="n">
        <v>4.05</v>
      </c>
      <c r="D227" t="inlineStr">
        <is>
          <t>Foundation</t>
        </is>
      </c>
      <c r="E227" s="20" t="n">
        <v>2022</v>
      </c>
      <c r="F227" s="20" t="inlineStr"/>
      <c r="G227" t="inlineStr">
        <is>
          <t>Gerald C Mcnamara</t>
        </is>
      </c>
      <c r="H227" t="inlineStr">
        <is>
          <t>CIO</t>
        </is>
      </c>
      <c r="I227" t="inlineStr">
        <is>
          <t>CIO</t>
        </is>
      </c>
      <c r="J227" s="21" t="n"/>
      <c r="K227" s="21" t="n"/>
      <c r="L227" s="21" t="n"/>
      <c r="M227" s="21" t="n"/>
      <c r="N227" s="21" t="n"/>
      <c r="O227" s="21" t="n">
        <v>71138</v>
      </c>
      <c r="P227" s="21" t="n">
        <v>1404472</v>
      </c>
      <c r="Q227" s="21" t="n">
        <v>1404472</v>
      </c>
      <c r="R227" s="21">
        <f>IF(Q227="","",Q227*(1+in_GrowthRate)^(YEARFRAC(DATE(2022,12,31),in_AgeToDate)*IF(in_AgeToDate&lt;DATE(2022,12,31),-1,1)+1))</f>
        <v/>
      </c>
      <c r="S227" s="38" t="n"/>
      <c r="T227" s="43">
        <f>HYPERLINK("https://projects.propublica.org/nonprofits/organizations/900747216/202441659349100914/full","view filing")</f>
        <v/>
      </c>
    </row>
    <row r="228">
      <c r="A228" t="inlineStr">
        <is>
          <t>Furman University</t>
        </is>
      </c>
      <c r="B228" s="20" t="inlineStr">
        <is>
          <t>SC</t>
        </is>
      </c>
      <c r="C228" s="42" t="n">
        <v>0.89</v>
      </c>
      <c r="D228" t="inlineStr">
        <is>
          <t>Endowment</t>
        </is>
      </c>
      <c r="E228" s="20" t="n">
        <v>2025</v>
      </c>
      <c r="F228" s="20">
        <f>IF(AND(OR(in_Mode="All Funds",AND(C228&gt;=in_BandFloor,C228&lt;=in_BandCeiling,OR(in_Geography="National",COUNTIFS(lst_GeoPreset,in_Geography,lst_GeoState,B228)&gt;0,AND(in_Geography="Custom",ISNUMBER(SEARCH(B228,SUBSTITUTE(in_CustomStates," ",""))))),OR(AND(D228="Endowment",Inputs!$B$14="Y"),AND(D228="Foundation",Inputs!$B$15="Y"),AND(D228="Healthcare",Inputs!$B$16="Y"),AND(D228="Pension",Inputs!$B$17="Y"),AND(D228="OCIO",Inputs!$B$18="Y"),AND(D228="Other",Inputs!$B$19="Y")))),A228&lt;&gt;in_ClientOrg,NOT(AND(in_ExclHarvard="Y",ISNUMBER(SEARCH("Harvard",A228))))),"Y","")</f>
        <v/>
      </c>
      <c r="G228" t="inlineStr">
        <is>
          <t>Robert Kenney</t>
        </is>
      </c>
      <c r="H228" t="inlineStr">
        <is>
          <t>CHIEF INVESTMENT OFFICER</t>
        </is>
      </c>
      <c r="I228" t="inlineStr">
        <is>
          <t>CIO</t>
        </is>
      </c>
      <c r="J228" s="21" t="n">
        <v>257399</v>
      </c>
      <c r="K228" s="21" t="n">
        <v>58300</v>
      </c>
      <c r="L228" s="21" t="n">
        <v>315699</v>
      </c>
      <c r="M228" s="21" t="n">
        <v>2144</v>
      </c>
      <c r="N228" s="21" t="n">
        <v>35855</v>
      </c>
      <c r="O228" s="21" t="n">
        <v>32646</v>
      </c>
      <c r="P228" s="21" t="n">
        <v>386344</v>
      </c>
      <c r="Q228" s="21" t="n">
        <v>386344</v>
      </c>
      <c r="R228" s="21">
        <f>IF(Q228="","",Q228*(1+in_GrowthRate)^(YEARFRAC(DATE(2025,6,30),in_AgeToDate)*IF(in_AgeToDate&lt;DATE(2025,6,30),-1,1)+1))</f>
        <v/>
      </c>
      <c r="S228" s="38" t="n">
        <v>0.2264966064359224</v>
      </c>
      <c r="T228" s="43">
        <f>HYPERLINK("https://projects.propublica.org/nonprofits/organizations/570314395/202641349349303494/full","view filing")</f>
        <v/>
      </c>
    </row>
    <row r="229">
      <c r="A229" t="inlineStr">
        <is>
          <t>Furman University</t>
        </is>
      </c>
      <c r="B229" s="20" t="inlineStr">
        <is>
          <t>SC</t>
        </is>
      </c>
      <c r="C229" s="42" t="n">
        <v>0.89</v>
      </c>
      <c r="D229" t="inlineStr">
        <is>
          <t>Endowment</t>
        </is>
      </c>
      <c r="E229" s="20" t="n">
        <v>2024</v>
      </c>
      <c r="F229" s="20" t="inlineStr"/>
      <c r="G229" t="inlineStr">
        <is>
          <t>Robert Kenney</t>
        </is>
      </c>
      <c r="H229" t="inlineStr">
        <is>
          <t>CHIEF INVESTMENT OFFICER</t>
        </is>
      </c>
      <c r="I229" t="inlineStr">
        <is>
          <t>CIO</t>
        </is>
      </c>
      <c r="J229" s="21" t="n">
        <v>232786</v>
      </c>
      <c r="K229" s="21" t="n">
        <v>59063</v>
      </c>
      <c r="L229" s="21" t="n">
        <v>291849</v>
      </c>
      <c r="M229" s="21" t="n">
        <v>377</v>
      </c>
      <c r="N229" s="21" t="n">
        <v>32181</v>
      </c>
      <c r="O229" s="21" t="n">
        <v>29230</v>
      </c>
      <c r="P229" s="21" t="n">
        <v>353637</v>
      </c>
      <c r="Q229" s="21" t="n">
        <v>353637</v>
      </c>
      <c r="R229" s="21">
        <f>IF(Q229="","",Q229*(1+in_GrowthRate)^(YEARFRAC(DATE(2024,6,30),in_AgeToDate)*IF(in_AgeToDate&lt;DATE(2024,6,30),-1,1)+1))</f>
        <v/>
      </c>
      <c r="S229" s="38" t="n">
        <v>0.2537223028876307</v>
      </c>
      <c r="T229" s="43">
        <f>HYPERLINK("https://projects.propublica.org/nonprofits/organizations/570314395/202521339349310007/full","view filing")</f>
        <v/>
      </c>
    </row>
    <row r="230">
      <c r="A230" t="inlineStr">
        <is>
          <t>Furman University</t>
        </is>
      </c>
      <c r="B230" s="20" t="inlineStr">
        <is>
          <t>SC</t>
        </is>
      </c>
      <c r="C230" s="42" t="n">
        <v>0.89</v>
      </c>
      <c r="D230" t="inlineStr">
        <is>
          <t>Endowment</t>
        </is>
      </c>
      <c r="E230" s="20" t="n">
        <v>2023</v>
      </c>
      <c r="F230" s="20" t="inlineStr"/>
      <c r="G230" t="inlineStr">
        <is>
          <t>Robert Kenney</t>
        </is>
      </c>
      <c r="H230" t="inlineStr">
        <is>
          <t>CHIEF INVESTMENT OFFICER</t>
        </is>
      </c>
      <c r="I230" t="inlineStr">
        <is>
          <t>CIO</t>
        </is>
      </c>
      <c r="J230" s="21" t="n">
        <v>199107</v>
      </c>
      <c r="K230" s="21" t="n">
        <v>70875</v>
      </c>
      <c r="L230" s="21" t="n">
        <v>269982</v>
      </c>
      <c r="M230" s="21" t="n">
        <v>3508</v>
      </c>
      <c r="N230" s="21" t="n">
        <v>28558</v>
      </c>
      <c r="O230" s="21" t="n">
        <v>27506</v>
      </c>
      <c r="P230" s="21" t="n">
        <v>329554</v>
      </c>
      <c r="Q230" s="21" t="n">
        <v>329554</v>
      </c>
      <c r="R230" s="21">
        <f>IF(Q230="","",Q230*(1+in_GrowthRate)^(YEARFRAC(DATE(2023,6,30),in_AgeToDate)*IF(in_AgeToDate&lt;DATE(2023,6,30),-1,1)+1))</f>
        <v/>
      </c>
      <c r="S230" s="38" t="n">
        <v>0.3559643809609908</v>
      </c>
      <c r="T230" s="43">
        <f>HYPERLINK("https://projects.propublica.org/nonprofits/organizations/570314395/202421369349305782/full","view filing")</f>
        <v/>
      </c>
    </row>
    <row r="231">
      <c r="A231" t="inlineStr">
        <is>
          <t>Furman University</t>
        </is>
      </c>
      <c r="B231" s="20" t="inlineStr">
        <is>
          <t>SC</t>
        </is>
      </c>
      <c r="C231" s="42" t="n">
        <v>0.89</v>
      </c>
      <c r="D231" t="inlineStr">
        <is>
          <t>Endowment</t>
        </is>
      </c>
      <c r="E231" s="20" t="n">
        <v>2022</v>
      </c>
      <c r="F231" s="20" t="inlineStr"/>
      <c r="G231" t="inlineStr">
        <is>
          <t>Kristopher N Kapoor</t>
        </is>
      </c>
      <c r="H231" t="inlineStr">
        <is>
          <t>CHIEF INVESTMENT OFFICER</t>
        </is>
      </c>
      <c r="I231" t="inlineStr">
        <is>
          <t>CIO</t>
        </is>
      </c>
      <c r="J231" s="21" t="n">
        <v>189098</v>
      </c>
      <c r="K231" s="21" t="n">
        <v>51919</v>
      </c>
      <c r="L231" s="21" t="n">
        <v>241017</v>
      </c>
      <c r="M231" s="21" t="n">
        <v>6241</v>
      </c>
      <c r="N231" s="21" t="n">
        <v>25324</v>
      </c>
      <c r="O231" s="21" t="n">
        <v>16836</v>
      </c>
      <c r="P231" s="21" t="n">
        <v>289418</v>
      </c>
      <c r="Q231" s="21" t="n">
        <v>289418</v>
      </c>
      <c r="R231" s="21">
        <f>IF(Q231="","",Q231*(1+in_GrowthRate)^(YEARFRAC(DATE(2022,6,30),in_AgeToDate)*IF(in_AgeToDate&lt;DATE(2022,6,30),-1,1)+1))</f>
        <v/>
      </c>
      <c r="S231" s="38" t="n">
        <v>0.2745613385651884</v>
      </c>
      <c r="T231" s="43">
        <f>HYPERLINK("https://projects.propublica.org/nonprofits/organizations/570314395/202311359349303801/full","view filing")</f>
        <v/>
      </c>
    </row>
    <row r="232">
      <c r="A232" t="inlineStr">
        <is>
          <t>Geisinger System Services</t>
        </is>
      </c>
      <c r="B232" s="20" t="inlineStr">
        <is>
          <t>PA</t>
        </is>
      </c>
      <c r="C232" s="42" t="n">
        <v>2.65</v>
      </c>
      <c r="D232" t="inlineStr">
        <is>
          <t>Healthcare</t>
        </is>
      </c>
      <c r="E232" s="20" t="n">
        <v>2024</v>
      </c>
      <c r="F232" s="20">
        <f>IF(AND(OR(in_Mode="All Funds",AND(C232&gt;=in_BandFloor,C232&lt;=in_BandCeiling,OR(in_Geography="National",COUNTIFS(lst_GeoPreset,in_Geography,lst_GeoState,B232)&gt;0,AND(in_Geography="Custom",ISNUMBER(SEARCH(B232,SUBSTITUTE(in_CustomStates," ",""))))),OR(AND(D232="Endowment",Inputs!$B$14="Y"),AND(D232="Foundation",Inputs!$B$15="Y"),AND(D232="Healthcare",Inputs!$B$16="Y"),AND(D232="Pension",Inputs!$B$17="Y"),AND(D232="OCIO",Inputs!$B$18="Y"),AND(D232="Other",Inputs!$B$19="Y")))),A232&lt;&gt;in_ClientOrg,NOT(AND(in_ExclHarvard="Y",ISNUMBER(SEARCH("Harvard",A232))))),"Y","")</f>
        <v/>
      </c>
      <c r="G232" t="inlineStr">
        <is>
          <t>Gregory G Schuler Cfa</t>
        </is>
      </c>
      <c r="H232" t="inlineStr">
        <is>
          <t>CHIEF INVESTMENT OFFICER</t>
        </is>
      </c>
      <c r="I232" t="inlineStr">
        <is>
          <t>CIO</t>
        </is>
      </c>
      <c r="J232" s="21" t="n">
        <v>422443</v>
      </c>
      <c r="K232" s="21" t="n">
        <v>1416916</v>
      </c>
      <c r="L232" s="21" t="n">
        <v>1839359</v>
      </c>
      <c r="M232" s="21" t="n">
        <v>140204</v>
      </c>
      <c r="N232" s="21" t="n">
        <v>24306</v>
      </c>
      <c r="O232" s="21" t="n">
        <v>1835</v>
      </c>
      <c r="P232" s="21" t="n">
        <v>2005704</v>
      </c>
      <c r="Q232" s="21" t="n">
        <v>2005704</v>
      </c>
      <c r="R232" s="21">
        <f>IF(Q232="","",Q232*(1+in_GrowthRate)^(YEARFRAC(DATE(2024,12,31),in_AgeToDate)*IF(in_AgeToDate&lt;DATE(2024,12,31),-1,1)+1))</f>
        <v/>
      </c>
      <c r="S232" s="38" t="n">
        <v>3.354099843055749</v>
      </c>
      <c r="T232" s="43">
        <f>HYPERLINK("https://projects.propublica.org/nonprofits/organizations/232164794/202513219349322231/full","view filing")</f>
        <v/>
      </c>
    </row>
    <row r="233">
      <c r="A233" t="inlineStr">
        <is>
          <t>Geisinger System Services</t>
        </is>
      </c>
      <c r="B233" s="20" t="inlineStr">
        <is>
          <t>PA</t>
        </is>
      </c>
      <c r="C233" s="42" t="n">
        <v>2.65</v>
      </c>
      <c r="D233" t="inlineStr">
        <is>
          <t>Healthcare</t>
        </is>
      </c>
      <c r="E233" s="20" t="n">
        <v>2022</v>
      </c>
      <c r="F233" s="20" t="inlineStr"/>
      <c r="G233" t="inlineStr">
        <is>
          <t>John M Kravitz</t>
        </is>
      </c>
      <c r="H233" t="inlineStr">
        <is>
          <t>CIO</t>
        </is>
      </c>
      <c r="I233" t="inlineStr">
        <is>
          <t>CIO</t>
        </is>
      </c>
      <c r="J233" s="21" t="n">
        <v>581100</v>
      </c>
      <c r="K233" s="21" t="n"/>
      <c r="L233" s="21" t="n">
        <v>581100</v>
      </c>
      <c r="M233" s="21" t="n">
        <v>106214</v>
      </c>
      <c r="N233" s="21" t="n">
        <v>96570</v>
      </c>
      <c r="O233" s="21" t="n">
        <v>21589</v>
      </c>
      <c r="P233" s="21" t="n">
        <v>805473</v>
      </c>
      <c r="Q233" s="21" t="n">
        <v>727777</v>
      </c>
      <c r="R233" s="21">
        <f>IF(Q233="","",Q233*(1+in_GrowthRate)^(YEARFRAC(DATE(2022,12,31),in_AgeToDate)*IF(in_AgeToDate&lt;DATE(2022,12,31),-1,1)+1))</f>
        <v/>
      </c>
      <c r="S233" s="38" t="n">
        <v>0</v>
      </c>
      <c r="T233" s="43">
        <f>HYPERLINK("https://projects.propublica.org/nonprofits/organizations/232164794/202313189349305031/full","view filing")</f>
        <v/>
      </c>
    </row>
    <row r="234">
      <c r="A234" t="inlineStr">
        <is>
          <t>Georgetown University</t>
        </is>
      </c>
      <c r="B234" s="20" t="inlineStr">
        <is>
          <t>DC</t>
        </is>
      </c>
      <c r="C234" s="42" t="n">
        <v>3.95</v>
      </c>
      <c r="D234" t="inlineStr">
        <is>
          <t>Endowment</t>
        </is>
      </c>
      <c r="E234" s="20" t="n">
        <v>2025</v>
      </c>
      <c r="F234" s="20">
        <f>IF(AND(OR(in_Mode="All Funds",AND(C234&gt;=in_BandFloor,C234&lt;=in_BandCeiling,OR(in_Geography="National",COUNTIFS(lst_GeoPreset,in_Geography,lst_GeoState,B234)&gt;0,AND(in_Geography="Custom",ISNUMBER(SEARCH(B234,SUBSTITUTE(in_CustomStates," ",""))))),OR(AND(D234="Endowment",Inputs!$B$14="Y"),AND(D234="Foundation",Inputs!$B$15="Y"),AND(D234="Healthcare",Inputs!$B$16="Y"),AND(D234="Pension",Inputs!$B$17="Y"),AND(D234="OCIO",Inputs!$B$18="Y"),AND(D234="Other",Inputs!$B$19="Y")))),A234&lt;&gt;in_ClientOrg,NOT(AND(in_ExclHarvard="Y",ISNUMBER(SEARCH("Harvard",A234))))),"Y","")</f>
        <v/>
      </c>
      <c r="G234" t="inlineStr">
        <is>
          <t>Michael K Barry</t>
        </is>
      </c>
      <c r="H234" t="inlineStr">
        <is>
          <t>CHIEF INVESTMENT OFFICER</t>
        </is>
      </c>
      <c r="I234" t="inlineStr">
        <is>
          <t>CIO</t>
        </is>
      </c>
      <c r="J234" s="21" t="n">
        <v>661939</v>
      </c>
      <c r="K234" s="21" t="n">
        <v>1047554</v>
      </c>
      <c r="L234" s="21" t="n">
        <v>1709493</v>
      </c>
      <c r="M234" s="21" t="n"/>
      <c r="N234" s="21" t="n">
        <v>22500</v>
      </c>
      <c r="O234" s="21" t="n">
        <v>30091</v>
      </c>
      <c r="P234" s="21" t="n">
        <v>1762084</v>
      </c>
      <c r="Q234" s="21" t="n">
        <v>1762084</v>
      </c>
      <c r="R234" s="21">
        <f>IF(Q234="","",Q234*(1+in_GrowthRate)^(YEARFRAC(DATE(2025,6,30),in_AgeToDate)*IF(in_AgeToDate&lt;DATE(2025,6,30),-1,1)+1))</f>
        <v/>
      </c>
      <c r="S234" s="38" t="n">
        <v>1.58255367941759</v>
      </c>
      <c r="T234" s="43">
        <f>HYPERLINK("https://projects.propublica.org/nonprofits/organizations/530196603/202601359349300020/full","view filing")</f>
        <v/>
      </c>
    </row>
    <row r="235">
      <c r="A235" t="inlineStr">
        <is>
          <t>Georgetown University</t>
        </is>
      </c>
      <c r="B235" s="20" t="inlineStr">
        <is>
          <t>DC</t>
        </is>
      </c>
      <c r="C235" s="42" t="n">
        <v>3.95</v>
      </c>
      <c r="D235" t="inlineStr">
        <is>
          <t>Endowment</t>
        </is>
      </c>
      <c r="E235" s="20" t="n">
        <v>2024</v>
      </c>
      <c r="F235" s="20" t="inlineStr"/>
      <c r="G235" t="inlineStr">
        <is>
          <t>Michael K Barry</t>
        </is>
      </c>
      <c r="H235" t="inlineStr">
        <is>
          <t>Chief Investment Officer</t>
        </is>
      </c>
      <c r="I235" t="inlineStr">
        <is>
          <t>CIO</t>
        </is>
      </c>
      <c r="J235" s="21" t="n">
        <v>624093</v>
      </c>
      <c r="K235" s="21" t="n">
        <v>1156510</v>
      </c>
      <c r="L235" s="21" t="n">
        <v>1780603</v>
      </c>
      <c r="M235" s="21" t="n"/>
      <c r="N235" s="21" t="n">
        <v>20000</v>
      </c>
      <c r="O235" s="21" t="n">
        <v>28067</v>
      </c>
      <c r="P235" s="21" t="n">
        <v>1828670</v>
      </c>
      <c r="Q235" s="21" t="n">
        <v>1828670</v>
      </c>
      <c r="R235" s="21">
        <f>IF(Q235="","",Q235*(1+in_GrowthRate)^(YEARFRAC(DATE(2024,6,30),in_AgeToDate)*IF(in_AgeToDate&lt;DATE(2024,6,30),-1,1)+1))</f>
        <v/>
      </c>
      <c r="S235" s="38" t="n">
        <v>1.853105226304413</v>
      </c>
      <c r="T235" s="43">
        <f>HYPERLINK("https://projects.propublica.org/nonprofits/organizations/530196603/202541359349301409/full","view filing")</f>
        <v/>
      </c>
    </row>
    <row r="236">
      <c r="A236" t="inlineStr">
        <is>
          <t>Georgetown University</t>
        </is>
      </c>
      <c r="B236" s="20" t="inlineStr">
        <is>
          <t>DC</t>
        </is>
      </c>
      <c r="C236" s="42" t="n">
        <v>3.95</v>
      </c>
      <c r="D236" t="inlineStr">
        <is>
          <t>Endowment</t>
        </is>
      </c>
      <c r="E236" s="20" t="n">
        <v>2023</v>
      </c>
      <c r="F236" s="20" t="inlineStr"/>
      <c r="G236" t="inlineStr">
        <is>
          <t>Michael K Barry</t>
        </is>
      </c>
      <c r="H236" t="inlineStr">
        <is>
          <t>Chief Investment Officer</t>
        </is>
      </c>
      <c r="I236" t="inlineStr">
        <is>
          <t>CIO</t>
        </is>
      </c>
      <c r="J236" s="21" t="n">
        <v>601131</v>
      </c>
      <c r="K236" s="21" t="n">
        <v>1006060</v>
      </c>
      <c r="L236" s="21" t="n">
        <v>1607191</v>
      </c>
      <c r="M236" s="21" t="n"/>
      <c r="N236" s="21" t="n">
        <v>20000</v>
      </c>
      <c r="O236" s="21" t="n">
        <v>26803</v>
      </c>
      <c r="P236" s="21" t="n">
        <v>1653994</v>
      </c>
      <c r="Q236" s="21" t="n">
        <v>1653994</v>
      </c>
      <c r="R236" s="21">
        <f>IF(Q236="","",Q236*(1+in_GrowthRate)^(YEARFRAC(DATE(2023,6,30),in_AgeToDate)*IF(in_AgeToDate&lt;DATE(2023,6,30),-1,1)+1))</f>
        <v/>
      </c>
      <c r="S236" s="38" t="n">
        <v>1.673611908219673</v>
      </c>
      <c r="T236" s="43">
        <f>HYPERLINK("https://projects.propublica.org/nonprofits/organizations/530196603/202411369349310111/full","view filing")</f>
        <v/>
      </c>
    </row>
    <row r="237">
      <c r="A237" t="inlineStr">
        <is>
          <t>Georgetown University</t>
        </is>
      </c>
      <c r="B237" s="20" t="inlineStr">
        <is>
          <t>DC</t>
        </is>
      </c>
      <c r="C237" s="42" t="n">
        <v>3.95</v>
      </c>
      <c r="D237" t="inlineStr">
        <is>
          <t>Endowment</t>
        </is>
      </c>
      <c r="E237" s="20" t="n">
        <v>2022</v>
      </c>
      <c r="F237" s="20" t="inlineStr"/>
      <c r="G237" t="inlineStr">
        <is>
          <t>Michael K Barry</t>
        </is>
      </c>
      <c r="H237" t="inlineStr">
        <is>
          <t>Chief Investment Officer</t>
        </is>
      </c>
      <c r="I237" t="inlineStr">
        <is>
          <t>CIO</t>
        </is>
      </c>
      <c r="J237" s="21" t="n">
        <v>537998</v>
      </c>
      <c r="K237" s="21" t="n">
        <v>635000</v>
      </c>
      <c r="L237" s="21" t="n">
        <v>1172998</v>
      </c>
      <c r="M237" s="21" t="n"/>
      <c r="N237" s="21" t="n">
        <v>10795</v>
      </c>
      <c r="O237" s="21" t="n">
        <v>25072</v>
      </c>
      <c r="P237" s="21" t="n">
        <v>1208865</v>
      </c>
      <c r="Q237" s="21" t="n">
        <v>1208865</v>
      </c>
      <c r="R237" s="21">
        <f>IF(Q237="","",Q237*(1+in_GrowthRate)^(YEARFRAC(DATE(2022,6,30),in_AgeToDate)*IF(in_AgeToDate&lt;DATE(2022,6,30),-1,1)+1))</f>
        <v/>
      </c>
      <c r="S237" s="38" t="n">
        <v>1.180301785508496</v>
      </c>
      <c r="T237" s="43">
        <f>HYPERLINK("https://projects.propublica.org/nonprofits/organizations/530196603/202331359349301653/full","view filing")</f>
        <v/>
      </c>
    </row>
    <row r="238">
      <c r="A238" t="inlineStr">
        <is>
          <t>Georgia Tech Foundation Inc</t>
        </is>
      </c>
      <c r="B238" s="20" t="inlineStr">
        <is>
          <t>GA</t>
        </is>
      </c>
      <c r="C238" s="42" t="n">
        <v>3.04</v>
      </c>
      <c r="D238" t="inlineStr">
        <is>
          <t>Foundation</t>
        </is>
      </c>
      <c r="E238" s="20" t="n">
        <v>2025</v>
      </c>
      <c r="F238" s="20">
        <f>IF(AND(OR(in_Mode="All Funds",AND(C238&gt;=in_BandFloor,C238&lt;=in_BandCeiling,OR(in_Geography="National",COUNTIFS(lst_GeoPreset,in_Geography,lst_GeoState,B238)&gt;0,AND(in_Geography="Custom",ISNUMBER(SEARCH(B238,SUBSTITUTE(in_CustomStates," ",""))))),OR(AND(D238="Endowment",Inputs!$B$14="Y"),AND(D238="Foundation",Inputs!$B$15="Y"),AND(D238="Healthcare",Inputs!$B$16="Y"),AND(D238="Pension",Inputs!$B$17="Y"),AND(D238="OCIO",Inputs!$B$18="Y"),AND(D238="Other",Inputs!$B$19="Y")))),A238&lt;&gt;in_ClientOrg,NOT(AND(in_ExclHarvard="Y",ISNUMBER(SEARCH("Harvard",A238))))),"Y","")</f>
        <v/>
      </c>
      <c r="G238" t="inlineStr">
        <is>
          <t>Brian Pellegrino</t>
        </is>
      </c>
      <c r="H238" t="inlineStr">
        <is>
          <t>CHIEF INVESTMENT OFFICER</t>
        </is>
      </c>
      <c r="I238" t="inlineStr">
        <is>
          <t>CIO</t>
        </is>
      </c>
      <c r="J238" s="21" t="n">
        <v>625721</v>
      </c>
      <c r="K238" s="21" t="n">
        <v>1001832</v>
      </c>
      <c r="L238" s="21" t="n">
        <v>1627553</v>
      </c>
      <c r="M238" s="21" t="n"/>
      <c r="N238" s="21" t="n">
        <v>34500</v>
      </c>
      <c r="O238" s="21" t="n">
        <v>818</v>
      </c>
      <c r="P238" s="21" t="n">
        <v>1662871</v>
      </c>
      <c r="Q238" s="21" t="n">
        <v>1662871</v>
      </c>
      <c r="R238" s="21">
        <f>IF(Q238="","",Q238*(1+in_GrowthRate)^(YEARFRAC(DATE(2025,6,30),in_AgeToDate)*IF(in_AgeToDate&lt;DATE(2025,6,30),-1,1)+1))</f>
        <v/>
      </c>
      <c r="S238" s="38" t="n">
        <v>1.601084189279248</v>
      </c>
      <c r="T238" s="43">
        <f>HYPERLINK("https://projects.propublica.org/nonprofits/organizations/586043294/202631349349304503/full","view filing")</f>
        <v/>
      </c>
    </row>
    <row r="239">
      <c r="A239" t="inlineStr">
        <is>
          <t>Georgia Tech Foundation Inc</t>
        </is>
      </c>
      <c r="B239" s="20" t="inlineStr">
        <is>
          <t>GA</t>
        </is>
      </c>
      <c r="C239" s="42" t="n">
        <v>3.04</v>
      </c>
      <c r="D239" t="inlineStr">
        <is>
          <t>Foundation</t>
        </is>
      </c>
      <c r="E239" s="20" t="n">
        <v>2024</v>
      </c>
      <c r="F239" s="20" t="inlineStr"/>
      <c r="G239" t="inlineStr">
        <is>
          <t>Brian Pellegrino</t>
        </is>
      </c>
      <c r="H239" t="inlineStr">
        <is>
          <t>CHIEF INVESTMENT OFFICER</t>
        </is>
      </c>
      <c r="I239" t="inlineStr">
        <is>
          <t>CIO</t>
        </is>
      </c>
      <c r="J239" s="21" t="n">
        <v>614228</v>
      </c>
      <c r="K239" s="21" t="n">
        <v>906550</v>
      </c>
      <c r="L239" s="21" t="n">
        <v>1520778</v>
      </c>
      <c r="M239" s="21" t="n"/>
      <c r="N239" s="21" t="n">
        <v>33000</v>
      </c>
      <c r="O239" s="21" t="n">
        <v>772</v>
      </c>
      <c r="P239" s="21" t="n">
        <v>1554550</v>
      </c>
      <c r="Q239" s="21" t="n">
        <v>1554550</v>
      </c>
      <c r="R239" s="21">
        <f>IF(Q239="","",Q239*(1+in_GrowthRate)^(YEARFRAC(DATE(2024,6,30),in_AgeToDate)*IF(in_AgeToDate&lt;DATE(2024,6,30),-1,1)+1))</f>
        <v/>
      </c>
      <c r="S239" s="38" t="n">
        <v>1.47591773738742</v>
      </c>
      <c r="T239" s="43">
        <f>HYPERLINK("https://projects.propublica.org/nonprofits/organizations/586043294/202511349349304466/full","view filing")</f>
        <v/>
      </c>
    </row>
    <row r="240">
      <c r="A240" t="inlineStr">
        <is>
          <t>Georgia Tech Foundation Inc</t>
        </is>
      </c>
      <c r="B240" s="20" t="inlineStr">
        <is>
          <t>GA</t>
        </is>
      </c>
      <c r="C240" s="42" t="n">
        <v>3.04</v>
      </c>
      <c r="D240" t="inlineStr">
        <is>
          <t>Foundation</t>
        </is>
      </c>
      <c r="E240" s="20" t="n">
        <v>2023</v>
      </c>
      <c r="F240" s="20" t="inlineStr"/>
      <c r="G240" t="inlineStr">
        <is>
          <t>Brian Pellegrino</t>
        </is>
      </c>
      <c r="H240" t="inlineStr">
        <is>
          <t>CHIEF INVESTMENT OFFICER</t>
        </is>
      </c>
      <c r="I240" t="inlineStr">
        <is>
          <t>CIO</t>
        </is>
      </c>
      <c r="J240" s="21" t="n">
        <v>603187</v>
      </c>
      <c r="K240" s="21" t="n">
        <v>740000</v>
      </c>
      <c r="L240" s="21" t="n">
        <v>1343187</v>
      </c>
      <c r="M240" s="21" t="n"/>
      <c r="N240" s="21" t="n">
        <v>30500</v>
      </c>
      <c r="O240" s="21" t="n">
        <v>774</v>
      </c>
      <c r="P240" s="21" t="n">
        <v>1374461</v>
      </c>
      <c r="Q240" s="21" t="n">
        <v>1374461</v>
      </c>
      <c r="R240" s="21">
        <f>IF(Q240="","",Q240*(1+in_GrowthRate)^(YEARFRAC(DATE(2023,6,30),in_AgeToDate)*IF(in_AgeToDate&lt;DATE(2023,6,30),-1,1)+1))</f>
        <v/>
      </c>
      <c r="S240" s="38" t="n">
        <v>1.226816890947583</v>
      </c>
      <c r="T240" s="43">
        <f>HYPERLINK("https://projects.propublica.org/nonprofits/organizations/586043294/202441369349306949/full","view filing")</f>
        <v/>
      </c>
    </row>
    <row r="241">
      <c r="A241" t="inlineStr">
        <is>
          <t>Georgia Tech Foundation Inc</t>
        </is>
      </c>
      <c r="B241" s="20" t="inlineStr">
        <is>
          <t>GA</t>
        </is>
      </c>
      <c r="C241" s="42" t="n">
        <v>3.04</v>
      </c>
      <c r="D241" t="inlineStr">
        <is>
          <t>Foundation</t>
        </is>
      </c>
      <c r="E241" s="20" t="n">
        <v>2022</v>
      </c>
      <c r="F241" s="20" t="inlineStr"/>
      <c r="G241" t="inlineStr">
        <is>
          <t>Brian Pellegrino</t>
        </is>
      </c>
      <c r="H241" t="inlineStr">
        <is>
          <t>CHIEF INVESTMENT OFFICER</t>
        </is>
      </c>
      <c r="I241" t="inlineStr">
        <is>
          <t>CIO</t>
        </is>
      </c>
      <c r="J241" s="21" t="n">
        <v>549664</v>
      </c>
      <c r="K241" s="21" t="n">
        <v>865000</v>
      </c>
      <c r="L241" s="21" t="n">
        <v>1414664</v>
      </c>
      <c r="M241" s="21" t="n"/>
      <c r="N241" s="21" t="n">
        <v>29000</v>
      </c>
      <c r="O241" s="21" t="n">
        <v>836</v>
      </c>
      <c r="P241" s="21" t="n">
        <v>1444500</v>
      </c>
      <c r="Q241" s="21" t="n">
        <v>1444500</v>
      </c>
      <c r="R241" s="21">
        <f>IF(Q241="","",Q241*(1+in_GrowthRate)^(YEARFRAC(DATE(2022,6,30),in_AgeToDate)*IF(in_AgeToDate&lt;DATE(2022,6,30),-1,1)+1))</f>
        <v/>
      </c>
      <c r="S241" s="38" t="n">
        <v>1.573688653431915</v>
      </c>
      <c r="T241" s="43">
        <f>HYPERLINK("https://projects.propublica.org/nonprofits/organizations/586043294/202301329349309280/full","view filing")</f>
        <v/>
      </c>
    </row>
    <row r="242">
      <c r="A242" t="inlineStr">
        <is>
          <t>Ghr Foundation</t>
        </is>
      </c>
      <c r="B242" s="20" t="inlineStr">
        <is>
          <t>MN</t>
        </is>
      </c>
      <c r="C242" s="42" t="n">
        <v>0.91</v>
      </c>
      <c r="D242" t="inlineStr">
        <is>
          <t>Foundation</t>
        </is>
      </c>
      <c r="E242" s="20" t="n">
        <v>2024</v>
      </c>
      <c r="F242" s="20">
        <f>IF(AND(OR(in_Mode="All Funds",AND(C242&gt;=in_BandFloor,C242&lt;=in_BandCeiling,OR(in_Geography="National",COUNTIFS(lst_GeoPreset,in_Geography,lst_GeoState,B242)&gt;0,AND(in_Geography="Custom",ISNUMBER(SEARCH(B242,SUBSTITUTE(in_CustomStates," ",""))))),OR(AND(D242="Endowment",Inputs!$B$14="Y"),AND(D242="Foundation",Inputs!$B$15="Y"),AND(D242="Healthcare",Inputs!$B$16="Y"),AND(D242="Pension",Inputs!$B$17="Y"),AND(D242="OCIO",Inputs!$B$18="Y"),AND(D242="Other",Inputs!$B$19="Y")))),A242&lt;&gt;in_ClientOrg,NOT(AND(in_ExclHarvard="Y",ISNUMBER(SEARCH("Harvard",A242))))),"Y","")</f>
        <v/>
      </c>
      <c r="G242" t="inlineStr">
        <is>
          <t>Jason Matz</t>
        </is>
      </c>
      <c r="H242" t="inlineStr">
        <is>
          <t>Chief Investment Off</t>
        </is>
      </c>
      <c r="I242" t="inlineStr">
        <is>
          <t>CIO</t>
        </is>
      </c>
      <c r="J242" s="21" t="n"/>
      <c r="K242" s="21" t="n"/>
      <c r="L242" s="21" t="n"/>
      <c r="M242" s="21" t="n"/>
      <c r="N242" s="21" t="n"/>
      <c r="O242" s="21" t="n"/>
      <c r="P242" s="21" t="n">
        <v>1207091</v>
      </c>
      <c r="Q242" s="21" t="n">
        <v>1207091</v>
      </c>
      <c r="R242" s="21">
        <f>IF(Q242="","",Q242*(1+in_GrowthRate)^(YEARFRAC(DATE(2024,12,31),in_AgeToDate)*IF(in_AgeToDate&lt;DATE(2024,12,31),-1,1)+1))</f>
        <v/>
      </c>
      <c r="S242" s="38" t="n"/>
      <c r="T242" s="43">
        <f>HYPERLINK("https://projects.propublica.org/nonprofits/organizations/453996122/202533189349102353/full","view filing")</f>
        <v/>
      </c>
    </row>
    <row r="243">
      <c r="A243" t="inlineStr">
        <is>
          <t>Ghr Foundation</t>
        </is>
      </c>
      <c r="B243" s="20" t="inlineStr">
        <is>
          <t>MN</t>
        </is>
      </c>
      <c r="C243" s="42" t="n">
        <v>0.91</v>
      </c>
      <c r="D243" t="inlineStr">
        <is>
          <t>Foundation</t>
        </is>
      </c>
      <c r="E243" s="20" t="n">
        <v>2023</v>
      </c>
      <c r="F243" s="20" t="inlineStr"/>
      <c r="G243" t="inlineStr">
        <is>
          <t>Jason Matz</t>
        </is>
      </c>
      <c r="H243" t="inlineStr">
        <is>
          <t>Chief Investment Off</t>
        </is>
      </c>
      <c r="I243" t="inlineStr">
        <is>
          <t>CIO</t>
        </is>
      </c>
      <c r="J243" s="21" t="n"/>
      <c r="K243" s="21" t="n"/>
      <c r="L243" s="21" t="n"/>
      <c r="M243" s="21" t="n"/>
      <c r="N243" s="21" t="n"/>
      <c r="O243" s="21" t="n"/>
      <c r="P243" s="21" t="n">
        <v>925082</v>
      </c>
      <c r="Q243" s="21" t="n">
        <v>925082</v>
      </c>
      <c r="R243" s="21">
        <f>IF(Q243="","",Q243*(1+in_GrowthRate)^(YEARFRAC(DATE(2023,12,31),in_AgeToDate)*IF(in_AgeToDate&lt;DATE(2023,12,31),-1,1)+1))</f>
        <v/>
      </c>
      <c r="S243" s="38" t="n"/>
      <c r="T243" s="43">
        <f>HYPERLINK("https://projects.propublica.org/nonprofits/organizations/453996122/202433199349103873/full","view filing")</f>
        <v/>
      </c>
    </row>
    <row r="244">
      <c r="A244" t="inlineStr">
        <is>
          <t>Ghr Foundation</t>
        </is>
      </c>
      <c r="B244" s="20" t="inlineStr">
        <is>
          <t>MN</t>
        </is>
      </c>
      <c r="C244" s="42" t="n">
        <v>0.91</v>
      </c>
      <c r="D244" t="inlineStr">
        <is>
          <t>Foundation</t>
        </is>
      </c>
      <c r="E244" s="20" t="n">
        <v>2022</v>
      </c>
      <c r="F244" s="20" t="inlineStr"/>
      <c r="G244" t="inlineStr">
        <is>
          <t>Jason Matz</t>
        </is>
      </c>
      <c r="H244" t="inlineStr">
        <is>
          <t>CHIEF INVESTMENT OFF</t>
        </is>
      </c>
      <c r="I244" t="inlineStr">
        <is>
          <t>CIO</t>
        </is>
      </c>
      <c r="J244" s="21" t="n"/>
      <c r="K244" s="21" t="n"/>
      <c r="L244" s="21" t="n"/>
      <c r="M244" s="21" t="n"/>
      <c r="N244" s="21" t="n"/>
      <c r="O244" s="21" t="n"/>
      <c r="P244" s="21" t="n">
        <v>623421</v>
      </c>
      <c r="Q244" s="21" t="n">
        <v>623421</v>
      </c>
      <c r="R244" s="21">
        <f>IF(Q244="","",Q244*(1+in_GrowthRate)^(YEARFRAC(DATE(2022,12,31),in_AgeToDate)*IF(in_AgeToDate&lt;DATE(2022,12,31),-1,1)+1))</f>
        <v/>
      </c>
      <c r="S244" s="38" t="n"/>
      <c r="T244" s="43">
        <f>HYPERLINK("https://projects.propublica.org/nonprofits/organizations/453996122/202313189349106196/full","view filing")</f>
        <v/>
      </c>
    </row>
    <row r="245">
      <c r="A245" t="inlineStr">
        <is>
          <t>Gordon E And Betty I Moore Foundation</t>
        </is>
      </c>
      <c r="B245" s="20" t="inlineStr">
        <is>
          <t>CA</t>
        </is>
      </c>
      <c r="C245" s="42" t="n">
        <v>11.35</v>
      </c>
      <c r="D245" t="inlineStr">
        <is>
          <t>Foundation</t>
        </is>
      </c>
      <c r="E245" s="20" t="n">
        <v>2024</v>
      </c>
      <c r="F245" s="20">
        <f>IF(AND(OR(in_Mode="All Funds",AND(C245&gt;=in_BandFloor,C245&lt;=in_BandCeiling,OR(in_Geography="National",COUNTIFS(lst_GeoPreset,in_Geography,lst_GeoState,B245)&gt;0,AND(in_Geography="Custom",ISNUMBER(SEARCH(B245,SUBSTITUTE(in_CustomStates," ",""))))),OR(AND(D245="Endowment",Inputs!$B$14="Y"),AND(D245="Foundation",Inputs!$B$15="Y"),AND(D245="Healthcare",Inputs!$B$16="Y"),AND(D245="Pension",Inputs!$B$17="Y"),AND(D245="OCIO",Inputs!$B$18="Y"),AND(D245="Other",Inputs!$B$19="Y")))),A245&lt;&gt;in_ClientOrg,NOT(AND(in_ExclHarvard="Y",ISNUMBER(SEARCH("Harvard",A245))))),"Y","")</f>
        <v/>
      </c>
      <c r="G245" t="inlineStr">
        <is>
          <t>Denise Strack</t>
        </is>
      </c>
      <c r="H245" t="inlineStr">
        <is>
          <t>CHIEF INVESTMENT OFFICER</t>
        </is>
      </c>
      <c r="I245" t="inlineStr">
        <is>
          <t>CIO</t>
        </is>
      </c>
      <c r="J245" s="21" t="n"/>
      <c r="K245" s="21" t="n"/>
      <c r="L245" s="21" t="n"/>
      <c r="M245" s="21" t="n"/>
      <c r="N245" s="21" t="n"/>
      <c r="O245" s="21" t="n">
        <v>849912</v>
      </c>
      <c r="P245" s="21" t="n">
        <v>5218728</v>
      </c>
      <c r="Q245" s="21" t="n">
        <v>5218728</v>
      </c>
      <c r="R245" s="21">
        <f>IF(Q245="","",Q245*(1+in_GrowthRate)^(YEARFRAC(DATE(2024,12,31),in_AgeToDate)*IF(in_AgeToDate&lt;DATE(2024,12,31),-1,1)+1))</f>
        <v/>
      </c>
      <c r="S245" s="38" t="n"/>
      <c r="T245" s="43">
        <f>HYPERLINK("https://projects.propublica.org/nonprofits/organizations/943397785/202503189349103305/full","view filing")</f>
        <v/>
      </c>
    </row>
    <row r="246">
      <c r="A246" t="inlineStr">
        <is>
          <t>Gordon E And Betty I Moore Foundation</t>
        </is>
      </c>
      <c r="B246" s="20" t="inlineStr">
        <is>
          <t>CA</t>
        </is>
      </c>
      <c r="C246" s="42" t="n">
        <v>11.35</v>
      </c>
      <c r="D246" t="inlineStr">
        <is>
          <t>Foundation</t>
        </is>
      </c>
      <c r="E246" s="20" t="n">
        <v>2023</v>
      </c>
      <c r="F246" s="20" t="inlineStr"/>
      <c r="G246" t="inlineStr">
        <is>
          <t>Denise Strack</t>
        </is>
      </c>
      <c r="H246" t="inlineStr">
        <is>
          <t>CHIEF INVESTMENT OFFICER</t>
        </is>
      </c>
      <c r="I246" t="inlineStr">
        <is>
          <t>CIO</t>
        </is>
      </c>
      <c r="J246" s="21" t="n"/>
      <c r="K246" s="21" t="n"/>
      <c r="L246" s="21" t="n"/>
      <c r="M246" s="21" t="n"/>
      <c r="N246" s="21" t="n"/>
      <c r="O246" s="21" t="n">
        <v>562602</v>
      </c>
      <c r="P246" s="21" t="n">
        <v>4542427</v>
      </c>
      <c r="Q246" s="21" t="n">
        <v>4542427</v>
      </c>
      <c r="R246" s="21">
        <f>IF(Q246="","",Q246*(1+in_GrowthRate)^(YEARFRAC(DATE(2023,12,31),in_AgeToDate)*IF(in_AgeToDate&lt;DATE(2023,12,31),-1,1)+1))</f>
        <v/>
      </c>
      <c r="S246" s="38" t="n"/>
      <c r="T246" s="43">
        <f>HYPERLINK("https://projects.propublica.org/nonprofits/organizations/943397785/202433189349101128/full","view filing")</f>
        <v/>
      </c>
    </row>
    <row r="247">
      <c r="A247" t="inlineStr">
        <is>
          <t>Gordon E And Betty I Moore Foundation</t>
        </is>
      </c>
      <c r="B247" s="20" t="inlineStr">
        <is>
          <t>CA</t>
        </is>
      </c>
      <c r="C247" s="42" t="n">
        <v>11.35</v>
      </c>
      <c r="D247" t="inlineStr">
        <is>
          <t>Foundation</t>
        </is>
      </c>
      <c r="E247" s="20" t="n">
        <v>2022</v>
      </c>
      <c r="F247" s="20" t="inlineStr"/>
      <c r="G247" t="inlineStr">
        <is>
          <t>Denise Strack</t>
        </is>
      </c>
      <c r="H247" t="inlineStr">
        <is>
          <t>CHIEF INVESTMENT OFFICER</t>
        </is>
      </c>
      <c r="I247" t="inlineStr">
        <is>
          <t>CIO</t>
        </is>
      </c>
      <c r="J247" s="21" t="n"/>
      <c r="K247" s="21" t="n"/>
      <c r="L247" s="21" t="n"/>
      <c r="M247" s="21" t="n"/>
      <c r="N247" s="21" t="n"/>
      <c r="O247" s="21" t="n">
        <v>1053914</v>
      </c>
      <c r="P247" s="21" t="n">
        <v>7150145</v>
      </c>
      <c r="Q247" s="21" t="n">
        <v>7150145</v>
      </c>
      <c r="R247" s="21">
        <f>IF(Q247="","",Q247*(1+in_GrowthRate)^(YEARFRAC(DATE(2022,12,31),in_AgeToDate)*IF(in_AgeToDate&lt;DATE(2022,12,31),-1,1)+1))</f>
        <v/>
      </c>
      <c r="S247" s="38" t="n"/>
      <c r="T247" s="43">
        <f>HYPERLINK("https://projects.propublica.org/nonprofits/organizations/943397785/202323189349106572/full","view filing")</f>
        <v/>
      </c>
    </row>
    <row r="248">
      <c r="A248" t="inlineStr">
        <is>
          <t>Harvard Management Company Inc</t>
        </is>
      </c>
      <c r="B248" s="20" t="inlineStr">
        <is>
          <t>MA</t>
        </is>
      </c>
      <c r="C248" s="42" t="n">
        <v>53.2</v>
      </c>
      <c r="D248" t="inlineStr">
        <is>
          <t>Endowment</t>
        </is>
      </c>
      <c r="E248" s="20" t="n">
        <v>2025</v>
      </c>
      <c r="F248" s="20">
        <f>IF(AND(OR(in_Mode="All Funds",AND(C248&gt;=in_BandFloor,C248&lt;=in_BandCeiling,OR(in_Geography="National",COUNTIFS(lst_GeoPreset,in_Geography,lst_GeoState,B248)&gt;0,AND(in_Geography="Custom",ISNUMBER(SEARCH(B248,SUBSTITUTE(in_CustomStates," ",""))))),OR(AND(D248="Endowment",Inputs!$B$14="Y"),AND(D248="Foundation",Inputs!$B$15="Y"),AND(D248="Healthcare",Inputs!$B$16="Y"),AND(D248="Pension",Inputs!$B$17="Y"),AND(D248="OCIO",Inputs!$B$18="Y"),AND(D248="Other",Inputs!$B$19="Y")))),A248&lt;&gt;in_ClientOrg,NOT(AND(in_ExclHarvard="Y",ISNUMBER(SEARCH("Harvard",A248))))),"Y","")</f>
        <v/>
      </c>
      <c r="G248" t="inlineStr">
        <is>
          <t>Nirmal P Narvekar</t>
        </is>
      </c>
      <c r="H248" t="inlineStr">
        <is>
          <t>MD - President &amp; CEO</t>
        </is>
      </c>
      <c r="I248" t="inlineStr">
        <is>
          <t>CEO (Inv Entity)</t>
        </is>
      </c>
      <c r="J248" s="21" t="n">
        <v>999442</v>
      </c>
      <c r="K248" s="21" t="n">
        <v>5211544</v>
      </c>
      <c r="L248" s="21" t="n">
        <v>6210986</v>
      </c>
      <c r="M248" s="21" t="n">
        <v>3564</v>
      </c>
      <c r="N248" s="21" t="n">
        <v>133269</v>
      </c>
      <c r="O248" s="21" t="n">
        <v>35989</v>
      </c>
      <c r="P248" s="21" t="n">
        <v>6383808</v>
      </c>
      <c r="Q248" s="21" t="n">
        <v>6288231</v>
      </c>
      <c r="R248" s="21">
        <f>IF(Q248="","",Q248*(1+in_GrowthRate)^(YEARFRAC(DATE(2025,6,30),in_AgeToDate)*IF(in_AgeToDate&lt;DATE(2025,6,30),-1,1)+1))</f>
        <v/>
      </c>
      <c r="S248" s="38" t="n">
        <v>5.214453665145151</v>
      </c>
      <c r="T248" s="43">
        <f>HYPERLINK("https://projects.propublica.org/nonprofits/organizations/237361259/202641329349302354/full","view filing")</f>
        <v/>
      </c>
    </row>
    <row r="249">
      <c r="A249" t="inlineStr">
        <is>
          <t>Harvard Management Company Inc</t>
        </is>
      </c>
      <c r="B249" s="20" t="inlineStr">
        <is>
          <t>MA</t>
        </is>
      </c>
      <c r="C249" s="42" t="n">
        <v>53.2</v>
      </c>
      <c r="D249" t="inlineStr">
        <is>
          <t>Endowment</t>
        </is>
      </c>
      <c r="E249" s="20" t="n">
        <v>2024</v>
      </c>
      <c r="F249" s="20" t="inlineStr"/>
      <c r="G249" t="inlineStr">
        <is>
          <t>Nirmal P Narvekar</t>
        </is>
      </c>
      <c r="H249" t="inlineStr">
        <is>
          <t>MD - President &amp; CEO</t>
        </is>
      </c>
      <c r="I249" t="inlineStr">
        <is>
          <t>CEO (Inv Entity)</t>
        </is>
      </c>
      <c r="J249" s="21" t="n">
        <v>999449</v>
      </c>
      <c r="K249" s="21" t="n">
        <v>5062101</v>
      </c>
      <c r="L249" s="21" t="n">
        <v>6061550</v>
      </c>
      <c r="M249" s="21" t="n">
        <v>3564</v>
      </c>
      <c r="N249" s="21" t="n">
        <v>128577</v>
      </c>
      <c r="O249" s="21" t="n">
        <v>35026</v>
      </c>
      <c r="P249" s="21" t="n">
        <v>6228717</v>
      </c>
      <c r="Q249" s="21" t="n">
        <v>6228717</v>
      </c>
      <c r="R249" s="21">
        <f>IF(Q249="","",Q249*(1+in_GrowthRate)^(YEARFRAC(DATE(2024,6,30),in_AgeToDate)*IF(in_AgeToDate&lt;DATE(2024,6,30),-1,1)+1))</f>
        <v/>
      </c>
      <c r="S249" s="38" t="n">
        <v>5.064891755357202</v>
      </c>
      <c r="T249" s="43">
        <f>HYPERLINK("https://projects.propublica.org/nonprofits/organizations/237361259/202541349349310119/full","view filing")</f>
        <v/>
      </c>
    </row>
    <row r="250">
      <c r="A250" t="inlineStr">
        <is>
          <t>Harvard Management Company Inc</t>
        </is>
      </c>
      <c r="B250" s="20" t="inlineStr">
        <is>
          <t>MA</t>
        </is>
      </c>
      <c r="C250" s="42" t="n">
        <v>53.2</v>
      </c>
      <c r="D250" t="inlineStr">
        <is>
          <t>Endowment</t>
        </is>
      </c>
      <c r="E250" s="20" t="n">
        <v>2023</v>
      </c>
      <c r="F250" s="20" t="inlineStr"/>
      <c r="G250" t="inlineStr">
        <is>
          <t>Nirmal P Narvekar</t>
        </is>
      </c>
      <c r="H250" t="inlineStr">
        <is>
          <t>MD - President &amp; CEO</t>
        </is>
      </c>
      <c r="I250" t="inlineStr">
        <is>
          <t>CEO (Inv Entity)</t>
        </is>
      </c>
      <c r="J250" s="21" t="n">
        <v>999454</v>
      </c>
      <c r="K250" s="21" t="n">
        <v>6103013</v>
      </c>
      <c r="L250" s="21" t="n">
        <v>7102467</v>
      </c>
      <c r="M250" s="21" t="n">
        <v>2500064</v>
      </c>
      <c r="N250" s="21" t="n">
        <v>30500</v>
      </c>
      <c r="O250" s="21" t="n">
        <v>35235</v>
      </c>
      <c r="P250" s="21" t="n">
        <v>9668266</v>
      </c>
      <c r="Q250" s="21" t="n">
        <v>8003933</v>
      </c>
      <c r="R250" s="21">
        <f>IF(Q250="","",Q250*(1+in_GrowthRate)^(YEARFRAC(DATE(2023,6,30),in_AgeToDate)*IF(in_AgeToDate&lt;DATE(2023,6,30),-1,1)+1))</f>
        <v/>
      </c>
      <c r="S250" s="38" t="n">
        <v>6.106347065497761</v>
      </c>
      <c r="T250" s="43">
        <f>HYPERLINK("https://projects.propublica.org/nonprofits/organizations/237361259/202411319349301026/full","view filing")</f>
        <v/>
      </c>
    </row>
    <row r="251">
      <c r="A251" t="inlineStr">
        <is>
          <t>Harvard Management Company Inc</t>
        </is>
      </c>
      <c r="B251" s="20" t="inlineStr">
        <is>
          <t>MA</t>
        </is>
      </c>
      <c r="C251" s="42" t="n">
        <v>53.2</v>
      </c>
      <c r="D251" t="inlineStr">
        <is>
          <t>Endowment</t>
        </is>
      </c>
      <c r="E251" s="20" t="n">
        <v>2022</v>
      </c>
      <c r="F251" s="20" t="inlineStr"/>
      <c r="G251" t="inlineStr">
        <is>
          <t>Nirmal P Narvekar</t>
        </is>
      </c>
      <c r="H251" t="inlineStr">
        <is>
          <t>MD - President &amp; CEO</t>
        </is>
      </c>
      <c r="I251" t="inlineStr">
        <is>
          <t>CEO (Inv Entity)</t>
        </is>
      </c>
      <c r="J251" s="21" t="n">
        <v>999463</v>
      </c>
      <c r="K251" s="21" t="n">
        <v>5251342</v>
      </c>
      <c r="L251" s="21" t="n">
        <v>6250805</v>
      </c>
      <c r="M251" s="21" t="n">
        <v>2498912</v>
      </c>
      <c r="N251" s="21" t="n">
        <v>1693333</v>
      </c>
      <c r="O251" s="21" t="n">
        <v>34765</v>
      </c>
      <c r="P251" s="21" t="n">
        <v>10477815</v>
      </c>
      <c r="Q251" s="21" t="n">
        <v>10477815</v>
      </c>
      <c r="R251" s="21">
        <f>IF(Q251="","",Q251*(1+in_GrowthRate)^(YEARFRAC(DATE(2022,6,30),in_AgeToDate)*IF(in_AgeToDate&lt;DATE(2022,6,30),-1,1)+1))</f>
        <v/>
      </c>
      <c r="S251" s="38" t="n">
        <v>5.25416348579187</v>
      </c>
      <c r="T251" s="43">
        <f>HYPERLINK("https://projects.propublica.org/nonprofits/organizations/237361259/202311319349303021/full","view filing")</f>
        <v/>
      </c>
    </row>
    <row r="252">
      <c r="A252" t="inlineStr">
        <is>
          <t>Henry J Kaiser Family Foundation</t>
        </is>
      </c>
      <c r="B252" s="20" t="inlineStr">
        <is>
          <t>CA</t>
        </is>
      </c>
      <c r="C252" s="42" t="n">
        <v>0.6899999999999999</v>
      </c>
      <c r="D252" t="inlineStr">
        <is>
          <t>Foundation</t>
        </is>
      </c>
      <c r="E252" s="20" t="n">
        <v>2024</v>
      </c>
      <c r="F252" s="20">
        <f>IF(AND(OR(in_Mode="All Funds",AND(C252&gt;=in_BandFloor,C252&lt;=in_BandCeiling,OR(in_Geography="National",COUNTIFS(lst_GeoPreset,in_Geography,lst_GeoState,B252)&gt;0,AND(in_Geography="Custom",ISNUMBER(SEARCH(B252,SUBSTITUTE(in_CustomStates," ",""))))),OR(AND(D252="Endowment",Inputs!$B$14="Y"),AND(D252="Foundation",Inputs!$B$15="Y"),AND(D252="Healthcare",Inputs!$B$16="Y"),AND(D252="Pension",Inputs!$B$17="Y"),AND(D252="OCIO",Inputs!$B$18="Y"),AND(D252="Other",Inputs!$B$19="Y")))),A252&lt;&gt;in_ClientOrg,NOT(AND(in_ExclHarvard="Y",ISNUMBER(SEARCH("Harvard",A252))))),"Y","")</f>
        <v/>
      </c>
      <c r="G252" t="inlineStr">
        <is>
          <t>Dean Duchak</t>
        </is>
      </c>
      <c r="H252" t="inlineStr">
        <is>
          <t>CHIEF INVESTMENT OFFICER</t>
        </is>
      </c>
      <c r="I252" t="inlineStr">
        <is>
          <t>CIO</t>
        </is>
      </c>
      <c r="J252" s="21" t="n">
        <v>482292</v>
      </c>
      <c r="K252" s="21" t="n"/>
      <c r="L252" s="21" t="n">
        <v>482292</v>
      </c>
      <c r="M252" s="21" t="n"/>
      <c r="N252" s="21" t="n">
        <v>34000</v>
      </c>
      <c r="O252" s="21" t="n">
        <v>67969</v>
      </c>
      <c r="P252" s="21" t="n">
        <v>575041</v>
      </c>
      <c r="Q252" s="21" t="n">
        <v>575041</v>
      </c>
      <c r="R252" s="21">
        <f>IF(Q252="","",Q252*(1+in_GrowthRate)^(YEARFRAC(DATE(2024,12,31),in_AgeToDate)*IF(in_AgeToDate&lt;DATE(2024,12,31),-1,1)+1))</f>
        <v/>
      </c>
      <c r="S252" s="38" t="n">
        <v>0</v>
      </c>
      <c r="T252" s="43">
        <f>HYPERLINK("https://projects.propublica.org/nonprofits/organizations/946064808/202503019349303005/full","view filing")</f>
        <v/>
      </c>
    </row>
    <row r="253">
      <c r="A253" t="inlineStr">
        <is>
          <t>Henry J Kaiser Family Foundation</t>
        </is>
      </c>
      <c r="B253" s="20" t="inlineStr">
        <is>
          <t>CA</t>
        </is>
      </c>
      <c r="C253" s="42" t="n">
        <v>0.6899999999999999</v>
      </c>
      <c r="D253" t="inlineStr">
        <is>
          <t>Foundation</t>
        </is>
      </c>
      <c r="E253" s="20" t="n">
        <v>2023</v>
      </c>
      <c r="F253" s="20" t="inlineStr"/>
      <c r="G253" t="inlineStr">
        <is>
          <t>Dean Duchak</t>
        </is>
      </c>
      <c r="H253" t="inlineStr">
        <is>
          <t>CHIEF INVESTMENT OFFICER</t>
        </is>
      </c>
      <c r="I253" t="inlineStr">
        <is>
          <t>CIO</t>
        </is>
      </c>
      <c r="J253" s="21" t="n">
        <v>411875</v>
      </c>
      <c r="K253" s="21" t="n">
        <v>50000</v>
      </c>
      <c r="L253" s="21" t="n">
        <v>461875</v>
      </c>
      <c r="M253" s="21" t="n"/>
      <c r="N253" s="21" t="n">
        <v>34000</v>
      </c>
      <c r="O253" s="21" t="n">
        <v>62019</v>
      </c>
      <c r="P253" s="21" t="n">
        <v>549084</v>
      </c>
      <c r="Q253" s="21" t="n">
        <v>549084</v>
      </c>
      <c r="R253" s="21">
        <f>IF(Q253="","",Q253*(1+in_GrowthRate)^(YEARFRAC(DATE(2023,12,31),in_AgeToDate)*IF(in_AgeToDate&lt;DATE(2023,12,31),-1,1)+1))</f>
        <v/>
      </c>
      <c r="S253" s="38" t="n">
        <v>0.1213960546282246</v>
      </c>
      <c r="T253" s="43">
        <f>HYPERLINK("https://projects.propublica.org/nonprofits/organizations/946064808/202443119349302129/full","view filing")</f>
        <v/>
      </c>
    </row>
    <row r="254">
      <c r="A254" t="inlineStr">
        <is>
          <t>Henry J Kaiser Family Foundation</t>
        </is>
      </c>
      <c r="B254" s="20" t="inlineStr">
        <is>
          <t>CA</t>
        </is>
      </c>
      <c r="C254" s="42" t="n">
        <v>0.6899999999999999</v>
      </c>
      <c r="D254" t="inlineStr">
        <is>
          <t>Foundation</t>
        </is>
      </c>
      <c r="E254" s="20" t="n">
        <v>2023</v>
      </c>
      <c r="F254" s="20" t="inlineStr"/>
      <c r="G254" t="inlineStr">
        <is>
          <t>Eleanor Hsu</t>
        </is>
      </c>
      <c r="H254" t="inlineStr">
        <is>
          <t>CO-CHIEF INVESTMENT OFFICER</t>
        </is>
      </c>
      <c r="I254" t="inlineStr">
        <is>
          <t>Co-CIO</t>
        </is>
      </c>
      <c r="J254" s="21" t="n">
        <v>308125</v>
      </c>
      <c r="K254" s="21" t="n">
        <v>50000</v>
      </c>
      <c r="L254" s="21" t="n">
        <v>358125</v>
      </c>
      <c r="M254" s="21" t="n">
        <v>420278</v>
      </c>
      <c r="N254" s="21" t="n">
        <v>34000</v>
      </c>
      <c r="O254" s="21" t="n">
        <v>56637</v>
      </c>
      <c r="P254" s="21" t="n">
        <v>869040</v>
      </c>
      <c r="Q254" s="21" t="n">
        <v>869040</v>
      </c>
      <c r="R254" s="21">
        <f>IF(Q254="","",Q254*(1+in_GrowthRate)^(YEARFRAC(DATE(2023,12,31),in_AgeToDate)*IF(in_AgeToDate&lt;DATE(2023,12,31),-1,1)+1))</f>
        <v/>
      </c>
      <c r="S254" s="38" t="n">
        <v>0.1622718052738337</v>
      </c>
      <c r="T254" s="43">
        <f>HYPERLINK("https://projects.propublica.org/nonprofits/organizations/946064808/202443119349302129/full","view filing")</f>
        <v/>
      </c>
    </row>
    <row r="255">
      <c r="A255" t="inlineStr">
        <is>
          <t>Henry J Kaiser Family Foundation</t>
        </is>
      </c>
      <c r="B255" s="20" t="inlineStr">
        <is>
          <t>CA</t>
        </is>
      </c>
      <c r="C255" s="42" t="n">
        <v>0.6899999999999999</v>
      </c>
      <c r="D255" t="inlineStr">
        <is>
          <t>Foundation</t>
        </is>
      </c>
      <c r="E255" s="20" t="n">
        <v>2022</v>
      </c>
      <c r="F255" s="20" t="inlineStr"/>
      <c r="G255" t="inlineStr">
        <is>
          <t>Dean Duchak</t>
        </is>
      </c>
      <c r="H255" t="inlineStr">
        <is>
          <t>CO-CHIEF INVESTMENT OFFICER</t>
        </is>
      </c>
      <c r="I255" t="inlineStr">
        <is>
          <t>Co-CIO</t>
        </is>
      </c>
      <c r="J255" s="21" t="n">
        <v>395833</v>
      </c>
      <c r="K255" s="21" t="n">
        <v>76000</v>
      </c>
      <c r="L255" s="21" t="n">
        <v>471833</v>
      </c>
      <c r="M255" s="21" t="n"/>
      <c r="N255" s="21" t="n">
        <v>34000</v>
      </c>
      <c r="O255" s="21" t="n">
        <v>51135</v>
      </c>
      <c r="P255" s="21" t="n">
        <v>555104</v>
      </c>
      <c r="Q255" s="21" t="n">
        <v>555104</v>
      </c>
      <c r="R255" s="21">
        <f>IF(Q255="","",Q255*(1+in_GrowthRate)^(YEARFRAC(DATE(2022,12,31),in_AgeToDate)*IF(in_AgeToDate&lt;DATE(2022,12,31),-1,1)+1))</f>
        <v/>
      </c>
      <c r="S255" s="38" t="n">
        <v>0.1920001616843467</v>
      </c>
      <c r="T255" s="43">
        <f>HYPERLINK("https://projects.propublica.org/nonprofits/organizations/946064808/202333069349302053/full","view filing")</f>
        <v/>
      </c>
    </row>
    <row r="256">
      <c r="A256" t="inlineStr">
        <is>
          <t>Henry J Kaiser Family Foundation</t>
        </is>
      </c>
      <c r="B256" s="20" t="inlineStr">
        <is>
          <t>CA</t>
        </is>
      </c>
      <c r="C256" s="42" t="n">
        <v>0.6899999999999999</v>
      </c>
      <c r="D256" t="inlineStr">
        <is>
          <t>Foundation</t>
        </is>
      </c>
      <c r="E256" s="20" t="n">
        <v>2022</v>
      </c>
      <c r="F256" s="20" t="inlineStr"/>
      <c r="G256" t="inlineStr">
        <is>
          <t>Eleanor Hsu</t>
        </is>
      </c>
      <c r="H256" t="inlineStr">
        <is>
          <t>CO-CHIEF INVESTMENT OFFICER</t>
        </is>
      </c>
      <c r="I256" t="inlineStr">
        <is>
          <t>Co-CIO</t>
        </is>
      </c>
      <c r="J256" s="21" t="n">
        <v>395833</v>
      </c>
      <c r="K256" s="21" t="n">
        <v>76000</v>
      </c>
      <c r="L256" s="21" t="n">
        <v>471833</v>
      </c>
      <c r="M256" s="21" t="n"/>
      <c r="N256" s="21" t="n">
        <v>34000</v>
      </c>
      <c r="O256" s="21" t="n">
        <v>54516</v>
      </c>
      <c r="P256" s="21" t="n">
        <v>553391</v>
      </c>
      <c r="Q256" s="21" t="n">
        <v>553391</v>
      </c>
      <c r="R256" s="21">
        <f>IF(Q256="","",Q256*(1+in_GrowthRate)^(YEARFRAC(DATE(2022,12,31),in_AgeToDate)*IF(in_AgeToDate&lt;DATE(2022,12,31),-1,1)+1))</f>
        <v/>
      </c>
      <c r="S256" s="38" t="n">
        <v>0.1920001616843467</v>
      </c>
      <c r="T256" s="43">
        <f>HYPERLINK("https://projects.propublica.org/nonprofits/organizations/946064808/202333069349302053/full","view filing")</f>
        <v/>
      </c>
    </row>
    <row r="257">
      <c r="A257" t="inlineStr">
        <is>
          <t>Howard Hughes Medical Institute</t>
        </is>
      </c>
      <c r="B257" s="20" t="inlineStr">
        <is>
          <t>MD</t>
        </is>
      </c>
      <c r="C257" s="42" t="n">
        <v>27.97</v>
      </c>
      <c r="D257" t="inlineStr">
        <is>
          <t>Other</t>
        </is>
      </c>
      <c r="E257" s="20" t="n">
        <v>2025</v>
      </c>
      <c r="F257" s="20">
        <f>IF(AND(OR(in_Mode="All Funds",AND(C257&gt;=in_BandFloor,C257&lt;=in_BandCeiling,OR(in_Geography="National",COUNTIFS(lst_GeoPreset,in_Geography,lst_GeoState,B257)&gt;0,AND(in_Geography="Custom",ISNUMBER(SEARCH(B257,SUBSTITUTE(in_CustomStates," ",""))))),OR(AND(D257="Endowment",Inputs!$B$14="Y"),AND(D257="Foundation",Inputs!$B$15="Y"),AND(D257="Healthcare",Inputs!$B$16="Y"),AND(D257="Pension",Inputs!$B$17="Y"),AND(D257="OCIO",Inputs!$B$18="Y"),AND(D257="Other",Inputs!$B$19="Y")))),A257&lt;&gt;in_ClientOrg,NOT(AND(in_ExclHarvard="Y",ISNUMBER(SEARCH("Harvard",A257))))),"Y","")</f>
        <v/>
      </c>
      <c r="G257" t="inlineStr">
        <is>
          <t>Donald Koch</t>
        </is>
      </c>
      <c r="H257" t="inlineStr">
        <is>
          <t>VP &amp; CHIEF INVESTMENT OFFICER</t>
        </is>
      </c>
      <c r="I257" t="inlineStr">
        <is>
          <t>CIO</t>
        </is>
      </c>
      <c r="J257" s="21" t="n">
        <v>1140785</v>
      </c>
      <c r="K257" s="21" t="n">
        <v>765853</v>
      </c>
      <c r="L257" s="21" t="n">
        <v>1906638</v>
      </c>
      <c r="M257" s="21" t="n">
        <v>21382</v>
      </c>
      <c r="N257" s="21" t="n">
        <v>34500</v>
      </c>
      <c r="O257" s="21" t="n">
        <v>42446</v>
      </c>
      <c r="P257" s="21" t="n">
        <v>2004966</v>
      </c>
      <c r="Q257" s="21" t="n">
        <v>2004966</v>
      </c>
      <c r="R257" s="21">
        <f>IF(Q257="","",Q257*(1+in_GrowthRate)^(YEARFRAC(DATE(2025,8,31),in_AgeToDate)*IF(in_AgeToDate&lt;DATE(2025,8,31),-1,1)+1))</f>
        <v/>
      </c>
      <c r="S257" s="38" t="n">
        <v>0.6713385957914945</v>
      </c>
      <c r="T257" s="43">
        <f>HYPERLINK("https://projects.propublica.org/nonprofits/organizations/590735717/202640419349301864/full","view filing")</f>
        <v/>
      </c>
    </row>
    <row r="258">
      <c r="A258" t="inlineStr">
        <is>
          <t>Howard Hughes Medical Institute</t>
        </is>
      </c>
      <c r="B258" s="20" t="inlineStr">
        <is>
          <t>MD</t>
        </is>
      </c>
      <c r="C258" s="42" t="n">
        <v>27.97</v>
      </c>
      <c r="D258" t="inlineStr">
        <is>
          <t>Other</t>
        </is>
      </c>
      <c r="E258" s="20" t="n">
        <v>2024</v>
      </c>
      <c r="F258" s="20" t="inlineStr"/>
      <c r="G258" t="inlineStr">
        <is>
          <t>Donald Koch</t>
        </is>
      </c>
      <c r="H258" t="inlineStr">
        <is>
          <t>VP &amp; CHIEF INVESTMENT OFFICER</t>
        </is>
      </c>
      <c r="I258" t="inlineStr">
        <is>
          <t>CIO</t>
        </is>
      </c>
      <c r="J258" s="21" t="n">
        <v>1096955</v>
      </c>
      <c r="K258" s="21" t="n">
        <v>2472130</v>
      </c>
      <c r="L258" s="21" t="n">
        <v>3569085</v>
      </c>
      <c r="M258" s="21" t="n">
        <v>23810</v>
      </c>
      <c r="N258" s="21" t="n">
        <v>33000</v>
      </c>
      <c r="O258" s="21" t="n">
        <v>38621</v>
      </c>
      <c r="P258" s="21" t="n">
        <v>3664516</v>
      </c>
      <c r="Q258" s="21" t="n">
        <v>3664516</v>
      </c>
      <c r="R258" s="21">
        <f>IF(Q258="","",Q258*(1+in_GrowthRate)^(YEARFRAC(DATE(2024,8,31),in_AgeToDate)*IF(in_AgeToDate&lt;DATE(2024,8,31),-1,1)+1))</f>
        <v/>
      </c>
      <c r="S258" s="38" t="n">
        <v>2.253629364923812</v>
      </c>
      <c r="T258" s="43">
        <f>HYPERLINK("https://projects.propublica.org/nonprofits/organizations/590735717/202510459349301966/full","view filing")</f>
        <v/>
      </c>
    </row>
    <row r="259">
      <c r="A259" t="inlineStr">
        <is>
          <t>Howard Hughes Medical Institute</t>
        </is>
      </c>
      <c r="B259" s="20" t="inlineStr">
        <is>
          <t>MD</t>
        </is>
      </c>
      <c r="C259" s="42" t="n">
        <v>27.97</v>
      </c>
      <c r="D259" t="inlineStr">
        <is>
          <t>Other</t>
        </is>
      </c>
      <c r="E259" s="20" t="n">
        <v>2023</v>
      </c>
      <c r="F259" s="20" t="inlineStr"/>
      <c r="G259" t="inlineStr">
        <is>
          <t>Donald Koch</t>
        </is>
      </c>
      <c r="H259" t="inlineStr">
        <is>
          <t>VP &amp; CHIEF INVESTMENT OFFICER</t>
        </is>
      </c>
      <c r="I259" t="inlineStr">
        <is>
          <t>CIO</t>
        </is>
      </c>
      <c r="J259" s="21" t="n">
        <v>1051554</v>
      </c>
      <c r="K259" s="21" t="n">
        <v>1394179</v>
      </c>
      <c r="L259" s="21" t="n">
        <v>2445733</v>
      </c>
      <c r="M259" s="21" t="n">
        <v>25656</v>
      </c>
      <c r="N259" s="21" t="n">
        <v>30500</v>
      </c>
      <c r="O259" s="21" t="n">
        <v>38794</v>
      </c>
      <c r="P259" s="21" t="n">
        <v>2540683</v>
      </c>
      <c r="Q259" s="21" t="n">
        <v>2540683</v>
      </c>
      <c r="R259" s="21">
        <f>IF(Q259="","",Q259*(1+in_GrowthRate)^(YEARFRAC(DATE(2023,8,31),in_AgeToDate)*IF(in_AgeToDate&lt;DATE(2023,8,31),-1,1)+1))</f>
        <v/>
      </c>
      <c r="S259" s="38" t="n">
        <v>1.325827299406402</v>
      </c>
      <c r="T259" s="43">
        <f>HYPERLINK("https://projects.propublica.org/nonprofits/organizations/590735717/202420529349301717/full","view filing")</f>
        <v/>
      </c>
    </row>
    <row r="260">
      <c r="A260" t="inlineStr">
        <is>
          <t>Howard Hughes Medical Institute</t>
        </is>
      </c>
      <c r="B260" s="20" t="inlineStr">
        <is>
          <t>MD</t>
        </is>
      </c>
      <c r="C260" s="42" t="n">
        <v>27.97</v>
      </c>
      <c r="D260" t="inlineStr">
        <is>
          <t>Other</t>
        </is>
      </c>
      <c r="E260" s="20" t="n">
        <v>2022</v>
      </c>
      <c r="F260" s="20" t="inlineStr"/>
      <c r="G260" t="inlineStr">
        <is>
          <t>Donald Koch</t>
        </is>
      </c>
      <c r="H260" t="inlineStr">
        <is>
          <t>VP &amp; CHIEF INVESTMENT OFFICER</t>
        </is>
      </c>
      <c r="I260" t="inlineStr">
        <is>
          <t>CIO</t>
        </is>
      </c>
      <c r="J260" s="21" t="n">
        <v>805028</v>
      </c>
      <c r="K260" s="21" t="n">
        <v>534180</v>
      </c>
      <c r="L260" s="21" t="n">
        <v>1339208</v>
      </c>
      <c r="M260" s="21" t="n">
        <v>40116</v>
      </c>
      <c r="N260" s="21" t="n">
        <v>29000</v>
      </c>
      <c r="O260" s="21" t="n">
        <v>39162</v>
      </c>
      <c r="P260" s="21" t="n">
        <v>1447486</v>
      </c>
      <c r="Q260" s="21" t="n">
        <v>1447486</v>
      </c>
      <c r="R260" s="21">
        <f>IF(Q260="","",Q260*(1+in_GrowthRate)^(YEARFRAC(DATE(2022,8,31),in_AgeToDate)*IF(in_AgeToDate&lt;DATE(2022,8,31),-1,1)+1))</f>
        <v/>
      </c>
      <c r="S260" s="38" t="n">
        <v>0.6635545595929583</v>
      </c>
      <c r="T260" s="43">
        <f>HYPERLINK("https://projects.propublica.org/nonprofits/organizations/590735717/202330539349300943/full","view filing")</f>
        <v/>
      </c>
    </row>
    <row r="261">
      <c r="A261" t="inlineStr">
        <is>
          <t>Inatai Foundation</t>
        </is>
      </c>
      <c r="B261" s="20" t="inlineStr">
        <is>
          <t>WA</t>
        </is>
      </c>
      <c r="C261" s="42" t="n">
        <v>2.35</v>
      </c>
      <c r="D261" t="inlineStr">
        <is>
          <t>Foundation</t>
        </is>
      </c>
      <c r="E261" s="20" t="n">
        <v>2024</v>
      </c>
      <c r="F261" s="20">
        <f>IF(AND(OR(in_Mode="All Funds",AND(C261&gt;=in_BandFloor,C261&lt;=in_BandCeiling,OR(in_Geography="National",COUNTIFS(lst_GeoPreset,in_Geography,lst_GeoState,B261)&gt;0,AND(in_Geography="Custom",ISNUMBER(SEARCH(B261,SUBSTITUTE(in_CustomStates," ",""))))),OR(AND(D261="Endowment",Inputs!$B$14="Y"),AND(D261="Foundation",Inputs!$B$15="Y"),AND(D261="Healthcare",Inputs!$B$16="Y"),AND(D261="Pension",Inputs!$B$17="Y"),AND(D261="OCIO",Inputs!$B$18="Y"),AND(D261="Other",Inputs!$B$19="Y")))),A261&lt;&gt;in_ClientOrg,NOT(AND(in_ExclHarvard="Y",ISNUMBER(SEARCH("Harvard",A261))))),"Y","")</f>
        <v/>
      </c>
      <c r="G261" t="inlineStr">
        <is>
          <t>Peng Wang</t>
        </is>
      </c>
      <c r="H261" t="inlineStr">
        <is>
          <t>CHIEF INVESTMENT OFFICER</t>
        </is>
      </c>
      <c r="I261" t="inlineStr">
        <is>
          <t>CIO</t>
        </is>
      </c>
      <c r="J261" s="21" t="n">
        <v>496238</v>
      </c>
      <c r="K261" s="21" t="n">
        <v>70000</v>
      </c>
      <c r="L261" s="21" t="n">
        <v>566238</v>
      </c>
      <c r="M261" s="21" t="n">
        <v>22950</v>
      </c>
      <c r="N261" s="21" t="n">
        <v>314500</v>
      </c>
      <c r="O261" s="21" t="n">
        <v>23431</v>
      </c>
      <c r="P261" s="21" t="n">
        <v>927119</v>
      </c>
      <c r="Q261" s="21" t="n">
        <v>927119</v>
      </c>
      <c r="R261" s="21">
        <f>IF(Q261="","",Q261*(1+in_GrowthRate)^(YEARFRAC(DATE(2024,12,31),in_AgeToDate)*IF(in_AgeToDate&lt;DATE(2024,12,31),-1,1)+1))</f>
        <v/>
      </c>
      <c r="S261" s="38" t="n">
        <v>0.1410613455640237</v>
      </c>
      <c r="T261" s="43">
        <f>HYPERLINK("https://projects.propublica.org/nonprofits/organizations/300889914/202503119349302995/full","view filing")</f>
        <v/>
      </c>
    </row>
    <row r="262">
      <c r="A262" t="inlineStr">
        <is>
          <t>Inatai Foundation</t>
        </is>
      </c>
      <c r="B262" s="20" t="inlineStr">
        <is>
          <t>WA</t>
        </is>
      </c>
      <c r="C262" s="42" t="n">
        <v>2.35</v>
      </c>
      <c r="D262" t="inlineStr">
        <is>
          <t>Foundation</t>
        </is>
      </c>
      <c r="E262" s="20" t="n">
        <v>2023</v>
      </c>
      <c r="F262" s="20" t="inlineStr"/>
      <c r="G262" t="inlineStr">
        <is>
          <t>Peng Wang</t>
        </is>
      </c>
      <c r="H262" t="inlineStr">
        <is>
          <t>CHIEF INVESTMENT OFFICER</t>
        </is>
      </c>
      <c r="I262" t="inlineStr">
        <is>
          <t>CIO</t>
        </is>
      </c>
      <c r="J262" s="21" t="n">
        <v>502776</v>
      </c>
      <c r="K262" s="21" t="n">
        <v>13764</v>
      </c>
      <c r="L262" s="21" t="n">
        <v>516540</v>
      </c>
      <c r="M262" s="21" t="n">
        <v>19356</v>
      </c>
      <c r="N262" s="21" t="n">
        <v>52356</v>
      </c>
      <c r="O262" s="21" t="n">
        <v>20329</v>
      </c>
      <c r="P262" s="21" t="n">
        <v>608581</v>
      </c>
      <c r="Q262" s="21" t="n">
        <v>608581</v>
      </c>
      <c r="R262" s="21">
        <f>IF(Q262="","",Q262*(1+in_GrowthRate)^(YEARFRAC(DATE(2023,12,31),in_AgeToDate)*IF(in_AgeToDate&lt;DATE(2023,12,31),-1,1)+1))</f>
        <v/>
      </c>
      <c r="S262" s="38" t="n">
        <v>0.02737600840135567</v>
      </c>
      <c r="T262" s="43">
        <f>HYPERLINK("https://projects.propublica.org/nonprofits/organizations/300889914/202443189349307024/full","view filing")</f>
        <v/>
      </c>
    </row>
    <row r="263">
      <c r="A263" t="inlineStr">
        <is>
          <t>Inatai Foundation</t>
        </is>
      </c>
      <c r="B263" s="20" t="inlineStr">
        <is>
          <t>WA</t>
        </is>
      </c>
      <c r="C263" s="42" t="n">
        <v>2.35</v>
      </c>
      <c r="D263" t="inlineStr">
        <is>
          <t>Foundation</t>
        </is>
      </c>
      <c r="E263" s="20" t="n">
        <v>2022</v>
      </c>
      <c r="F263" s="20" t="inlineStr"/>
      <c r="G263" t="inlineStr">
        <is>
          <t>Peng Wang</t>
        </is>
      </c>
      <c r="H263" t="inlineStr">
        <is>
          <t>CHIEF INVESTMENT OFFICER (FROM 12/22)</t>
        </is>
      </c>
      <c r="I263" t="inlineStr">
        <is>
          <t>CIO</t>
        </is>
      </c>
      <c r="J263" s="21" t="n">
        <v>370888</v>
      </c>
      <c r="K263" s="21" t="n">
        <v>320000</v>
      </c>
      <c r="L263" s="21" t="n">
        <v>690888</v>
      </c>
      <c r="M263" s="21" t="n">
        <v>20500</v>
      </c>
      <c r="N263" s="21" t="n">
        <v>30500</v>
      </c>
      <c r="O263" s="21" t="n">
        <v>19390</v>
      </c>
      <c r="P263" s="21" t="n">
        <v>761278</v>
      </c>
      <c r="Q263" s="21" t="n">
        <v>761278</v>
      </c>
      <c r="R263" s="21">
        <f>IF(Q263="","",Q263*(1+in_GrowthRate)^(YEARFRAC(DATE(2022,12,31),in_AgeToDate)*IF(in_AgeToDate&lt;DATE(2022,12,31),-1,1)+1))</f>
        <v/>
      </c>
      <c r="S263" s="38" t="n">
        <v>0.8627941588835444</v>
      </c>
      <c r="T263" s="43">
        <f>HYPERLINK("https://projects.propublica.org/nonprofits/organizations/300889914/202313189349305281/full","view filing")</f>
        <v/>
      </c>
    </row>
    <row r="264">
      <c r="A264" t="inlineStr">
        <is>
          <t>Indiana University Foundation</t>
        </is>
      </c>
      <c r="B264" s="20" t="inlineStr">
        <is>
          <t>IN</t>
        </is>
      </c>
      <c r="C264" s="42" t="n">
        <v>4.05</v>
      </c>
      <c r="D264" t="inlineStr">
        <is>
          <t>Endowment</t>
        </is>
      </c>
      <c r="E264" s="20" t="n">
        <v>2025</v>
      </c>
      <c r="F264" s="20">
        <f>IF(AND(OR(in_Mode="All Funds",AND(C264&gt;=in_BandFloor,C264&lt;=in_BandCeiling,OR(in_Geography="National",COUNTIFS(lst_GeoPreset,in_Geography,lst_GeoState,B264)&gt;0,AND(in_Geography="Custom",ISNUMBER(SEARCH(B264,SUBSTITUTE(in_CustomStates," ",""))))),OR(AND(D264="Endowment",Inputs!$B$14="Y"),AND(D264="Foundation",Inputs!$B$15="Y"),AND(D264="Healthcare",Inputs!$B$16="Y"),AND(D264="Pension",Inputs!$B$17="Y"),AND(D264="OCIO",Inputs!$B$18="Y"),AND(D264="Other",Inputs!$B$19="Y")))),A264&lt;&gt;in_ClientOrg,NOT(AND(in_ExclHarvard="Y",ISNUMBER(SEARCH("Harvard",A264))))),"Y","")</f>
        <v/>
      </c>
      <c r="G264" t="inlineStr">
        <is>
          <t>D Abe Weldy</t>
        </is>
      </c>
      <c r="H264" t="inlineStr">
        <is>
          <t>Co-CIO</t>
        </is>
      </c>
      <c r="I264" t="inlineStr">
        <is>
          <t>Co-CIO</t>
        </is>
      </c>
      <c r="J264" s="21" t="n">
        <v>331440</v>
      </c>
      <c r="K264" s="21" t="n">
        <v>103125</v>
      </c>
      <c r="L264" s="21" t="n">
        <v>434565</v>
      </c>
      <c r="M264" s="21" t="n">
        <v>6181</v>
      </c>
      <c r="N264" s="21" t="n">
        <v>43320</v>
      </c>
      <c r="O264" s="21" t="n">
        <v>42720</v>
      </c>
      <c r="P264" s="21" t="n">
        <v>526786</v>
      </c>
      <c r="Q264" s="21" t="n">
        <v>526786</v>
      </c>
      <c r="R264" s="21">
        <f>IF(Q264="","",Q264*(1+in_GrowthRate)^(YEARFRAC(DATE(2025,6,30),in_AgeToDate)*IF(in_AgeToDate&lt;DATE(2025,6,30),-1,1)+1))</f>
        <v/>
      </c>
      <c r="S264" s="38" t="n">
        <v>0.3111422881969587</v>
      </c>
      <c r="T264" s="43">
        <f>HYPERLINK("https://projects.propublica.org/nonprofits/organizations/356018940/202611329349300021/full","view filing")</f>
        <v/>
      </c>
    </row>
    <row r="265">
      <c r="A265" t="inlineStr">
        <is>
          <t>Indiana University Foundation</t>
        </is>
      </c>
      <c r="B265" s="20" t="inlineStr">
        <is>
          <t>IN</t>
        </is>
      </c>
      <c r="C265" s="42" t="n">
        <v>4.05</v>
      </c>
      <c r="D265" t="inlineStr">
        <is>
          <t>Endowment</t>
        </is>
      </c>
      <c r="E265" s="20" t="n">
        <v>2025</v>
      </c>
      <c r="F265" s="20">
        <f>IF(AND(OR(in_Mode="All Funds",AND(C265&gt;=in_BandFloor,C265&lt;=in_BandCeiling,OR(in_Geography="National",COUNTIFS(lst_GeoPreset,in_Geography,lst_GeoState,B265)&gt;0,AND(in_Geography="Custom",ISNUMBER(SEARCH(B265,SUBSTITUTE(in_CustomStates," ",""))))),OR(AND(D265="Endowment",Inputs!$B$14="Y"),AND(D265="Foundation",Inputs!$B$15="Y"),AND(D265="Healthcare",Inputs!$B$16="Y"),AND(D265="Pension",Inputs!$B$17="Y"),AND(D265="OCIO",Inputs!$B$18="Y"),AND(D265="Other",Inputs!$B$19="Y")))),A265&lt;&gt;in_ClientOrg,NOT(AND(in_ExclHarvard="Y",ISNUMBER(SEARCH("Harvard",A265))))),"Y","")</f>
        <v/>
      </c>
      <c r="G265" t="inlineStr">
        <is>
          <t>James Bergstrom</t>
        </is>
      </c>
      <c r="H265" t="inlineStr">
        <is>
          <t>Co-CIO</t>
        </is>
      </c>
      <c r="I265" t="inlineStr">
        <is>
          <t>Co-CIO</t>
        </is>
      </c>
      <c r="J265" s="21" t="n">
        <v>331996</v>
      </c>
      <c r="K265" s="21" t="n">
        <v>103125</v>
      </c>
      <c r="L265" s="21" t="n">
        <v>435121</v>
      </c>
      <c r="M265" s="21" t="n">
        <v>865</v>
      </c>
      <c r="N265" s="21" t="n">
        <v>43320</v>
      </c>
      <c r="O265" s="21" t="n">
        <v>42164</v>
      </c>
      <c r="P265" s="21" t="n">
        <v>521470</v>
      </c>
      <c r="Q265" s="21" t="n">
        <v>521470</v>
      </c>
      <c r="R265" s="21">
        <f>IF(Q265="","",Q265*(1+in_GrowthRate)^(YEARFRAC(DATE(2025,6,30),in_AgeToDate)*IF(in_AgeToDate&lt;DATE(2025,6,30),-1,1)+1))</f>
        <v/>
      </c>
      <c r="S265" s="38" t="n">
        <v>0.3106212123037627</v>
      </c>
      <c r="T265" s="43">
        <f>HYPERLINK("https://projects.propublica.org/nonprofits/organizations/356018940/202611329349300021/full","view filing")</f>
        <v/>
      </c>
    </row>
    <row r="266">
      <c r="A266" t="inlineStr">
        <is>
          <t>Indiana University Foundation</t>
        </is>
      </c>
      <c r="B266" s="20" t="inlineStr">
        <is>
          <t>IN</t>
        </is>
      </c>
      <c r="C266" s="42" t="n">
        <v>4.05</v>
      </c>
      <c r="D266" t="inlineStr">
        <is>
          <t>Endowment</t>
        </is>
      </c>
      <c r="E266" s="20" t="n">
        <v>2024</v>
      </c>
      <c r="F266" s="20" t="inlineStr"/>
      <c r="G266" t="inlineStr">
        <is>
          <t>D Abe Weldy</t>
        </is>
      </c>
      <c r="H266" t="inlineStr">
        <is>
          <t>Co-CIO</t>
        </is>
      </c>
      <c r="I266" t="inlineStr">
        <is>
          <t>Co-CIO</t>
        </is>
      </c>
      <c r="J266" s="21" t="n">
        <v>315931</v>
      </c>
      <c r="K266" s="21" t="n">
        <v>413646</v>
      </c>
      <c r="L266" s="21" t="n">
        <v>729577</v>
      </c>
      <c r="M266" s="21" t="n">
        <v>6759</v>
      </c>
      <c r="N266" s="21" t="n">
        <v>41490</v>
      </c>
      <c r="O266" s="21" t="n">
        <v>40375</v>
      </c>
      <c r="P266" s="21" t="n">
        <v>818201</v>
      </c>
      <c r="Q266" s="21" t="n">
        <v>818201</v>
      </c>
      <c r="R266" s="21">
        <f>IF(Q266="","",Q266*(1+in_GrowthRate)^(YEARFRAC(DATE(2024,6,30),in_AgeToDate)*IF(in_AgeToDate&lt;DATE(2024,6,30),-1,1)+1))</f>
        <v/>
      </c>
      <c r="S266" s="38" t="n">
        <v>1.309292218870576</v>
      </c>
      <c r="T266" s="43">
        <f>HYPERLINK("https://projects.propublica.org/nonprofits/organizations/356018940/202531199349300633/full","view filing")</f>
        <v/>
      </c>
    </row>
    <row r="267">
      <c r="A267" t="inlineStr">
        <is>
          <t>Indiana University Foundation</t>
        </is>
      </c>
      <c r="B267" s="20" t="inlineStr">
        <is>
          <t>IN</t>
        </is>
      </c>
      <c r="C267" s="42" t="n">
        <v>4.05</v>
      </c>
      <c r="D267" t="inlineStr">
        <is>
          <t>Endowment</t>
        </is>
      </c>
      <c r="E267" s="20" t="n">
        <v>2024</v>
      </c>
      <c r="F267" s="20" t="inlineStr"/>
      <c r="G267" t="inlineStr">
        <is>
          <t>James Bergstrom</t>
        </is>
      </c>
      <c r="H267" t="inlineStr">
        <is>
          <t>Co-CIO</t>
        </is>
      </c>
      <c r="I267" t="inlineStr">
        <is>
          <t>Co-CIO</t>
        </is>
      </c>
      <c r="J267" s="21" t="n">
        <v>317140</v>
      </c>
      <c r="K267" s="21" t="n">
        <v>413646</v>
      </c>
      <c r="L267" s="21" t="n">
        <v>730786</v>
      </c>
      <c r="M267" s="21" t="n">
        <v>1293</v>
      </c>
      <c r="N267" s="21" t="n">
        <v>41490</v>
      </c>
      <c r="O267" s="21" t="n">
        <v>42644</v>
      </c>
      <c r="P267" s="21" t="n">
        <v>816213</v>
      </c>
      <c r="Q267" s="21" t="n">
        <v>816213</v>
      </c>
      <c r="R267" s="21">
        <f>IF(Q267="","",Q267*(1+in_GrowthRate)^(YEARFRAC(DATE(2024,6,30),in_AgeToDate)*IF(in_AgeToDate&lt;DATE(2024,6,30),-1,1)+1))</f>
        <v/>
      </c>
      <c r="S267" s="38" t="n">
        <v>1.304300939648105</v>
      </c>
      <c r="T267" s="43">
        <f>HYPERLINK("https://projects.propublica.org/nonprofits/organizations/356018940/202531199349300633/full","view filing")</f>
        <v/>
      </c>
    </row>
    <row r="268">
      <c r="A268" t="inlineStr">
        <is>
          <t>Indiana University Foundation</t>
        </is>
      </c>
      <c r="B268" s="20" t="inlineStr">
        <is>
          <t>IN</t>
        </is>
      </c>
      <c r="C268" s="42" t="n">
        <v>4.05</v>
      </c>
      <c r="D268" t="inlineStr">
        <is>
          <t>Endowment</t>
        </is>
      </c>
      <c r="E268" s="20" t="n">
        <v>2023</v>
      </c>
      <c r="F268" s="20" t="inlineStr"/>
      <c r="G268" t="inlineStr">
        <is>
          <t>D Abe Weldy</t>
        </is>
      </c>
      <c r="H268" t="inlineStr">
        <is>
          <t>Co-CIO</t>
        </is>
      </c>
      <c r="I268" t="inlineStr">
        <is>
          <t>Co-CIO</t>
        </is>
      </c>
      <c r="J268" s="21" t="n">
        <v>292400</v>
      </c>
      <c r="K268" s="21" t="n">
        <v>450521</v>
      </c>
      <c r="L268" s="21" t="n">
        <v>742921</v>
      </c>
      <c r="M268" s="21" t="n">
        <v>950</v>
      </c>
      <c r="N268" s="21" t="n">
        <v>38400</v>
      </c>
      <c r="O268" s="21" t="n">
        <v>30002</v>
      </c>
      <c r="P268" s="21" t="n">
        <v>812273</v>
      </c>
      <c r="Q268" s="21" t="n">
        <v>812273</v>
      </c>
      <c r="R268" s="21">
        <f>IF(Q268="","",Q268*(1+in_GrowthRate)^(YEARFRAC(DATE(2023,6,30),in_AgeToDate)*IF(in_AgeToDate&lt;DATE(2023,6,30),-1,1)+1))</f>
        <v/>
      </c>
      <c r="S268" s="38" t="n">
        <v>1.540769493844049</v>
      </c>
      <c r="T268" s="43">
        <f>HYPERLINK("https://projects.propublica.org/nonprofits/organizations/356018940/202431349349308023/full","view filing")</f>
        <v/>
      </c>
    </row>
    <row r="269">
      <c r="A269" t="inlineStr">
        <is>
          <t>Indiana University Foundation</t>
        </is>
      </c>
      <c r="B269" s="20" t="inlineStr">
        <is>
          <t>IN</t>
        </is>
      </c>
      <c r="C269" s="42" t="n">
        <v>4.05</v>
      </c>
      <c r="D269" t="inlineStr">
        <is>
          <t>Endowment</t>
        </is>
      </c>
      <c r="E269" s="20" t="n">
        <v>2023</v>
      </c>
      <c r="F269" s="20" t="inlineStr"/>
      <c r="G269" t="inlineStr">
        <is>
          <t>James Bergstrom</t>
        </is>
      </c>
      <c r="H269" t="inlineStr">
        <is>
          <t>Co-CIO</t>
        </is>
      </c>
      <c r="I269" t="inlineStr">
        <is>
          <t>Co-CIO</t>
        </is>
      </c>
      <c r="J269" s="21" t="n">
        <v>293258</v>
      </c>
      <c r="K269" s="21" t="n">
        <v>450521</v>
      </c>
      <c r="L269" s="21" t="n">
        <v>743779</v>
      </c>
      <c r="M269" s="21" t="n">
        <v>665</v>
      </c>
      <c r="N269" s="21" t="n">
        <v>38400</v>
      </c>
      <c r="O269" s="21" t="n">
        <v>34452</v>
      </c>
      <c r="P269" s="21" t="n">
        <v>817296</v>
      </c>
      <c r="Q269" s="21" t="n">
        <v>817296</v>
      </c>
      <c r="R269" s="21">
        <f>IF(Q269="","",Q269*(1+in_GrowthRate)^(YEARFRAC(DATE(2023,6,30),in_AgeToDate)*IF(in_AgeToDate&lt;DATE(2023,6,30),-1,1)+1))</f>
        <v/>
      </c>
      <c r="S269" s="38" t="n">
        <v>1.536261585361695</v>
      </c>
      <c r="T269" s="43">
        <f>HYPERLINK("https://projects.propublica.org/nonprofits/organizations/356018940/202431349349308023/full","view filing")</f>
        <v/>
      </c>
    </row>
    <row r="270">
      <c r="A270" t="inlineStr">
        <is>
          <t>Indiana University Foundation</t>
        </is>
      </c>
      <c r="B270" s="20" t="inlineStr">
        <is>
          <t>IN</t>
        </is>
      </c>
      <c r="C270" s="42" t="n">
        <v>4.05</v>
      </c>
      <c r="D270" t="inlineStr">
        <is>
          <t>Endowment</t>
        </is>
      </c>
      <c r="E270" s="20" t="n">
        <v>2022</v>
      </c>
      <c r="F270" s="20" t="inlineStr"/>
      <c r="G270" t="inlineStr">
        <is>
          <t>D Abe Weldy</t>
        </is>
      </c>
      <c r="H270" t="inlineStr">
        <is>
          <t>CO-CIO</t>
        </is>
      </c>
      <c r="I270" t="inlineStr">
        <is>
          <t>Co-CIO</t>
        </is>
      </c>
      <c r="J270" s="21" t="n">
        <v>258856</v>
      </c>
      <c r="K270" s="21" t="n">
        <v>135109</v>
      </c>
      <c r="L270" s="21" t="n">
        <v>393965</v>
      </c>
      <c r="M270" s="21" t="n">
        <v>825</v>
      </c>
      <c r="N270" s="21" t="n">
        <v>36360</v>
      </c>
      <c r="O270" s="21" t="n">
        <v>40555</v>
      </c>
      <c r="P270" s="21" t="n">
        <v>471705</v>
      </c>
      <c r="Q270" s="21" t="n">
        <v>471705</v>
      </c>
      <c r="R270" s="21">
        <f>IF(Q270="","",Q270*(1+in_GrowthRate)^(YEARFRAC(DATE(2022,6,30),in_AgeToDate)*IF(in_AgeToDate&lt;DATE(2022,6,30),-1,1)+1))</f>
        <v/>
      </c>
      <c r="S270" s="38" t="n">
        <v>0.5219465648854962</v>
      </c>
      <c r="T270" s="43">
        <f>HYPERLINK("https://projects.propublica.org/nonprofits/organizations/356018940/202331249349302338/full","view filing")</f>
        <v/>
      </c>
    </row>
    <row r="271">
      <c r="A271" t="inlineStr">
        <is>
          <t>Indiana University Foundation</t>
        </is>
      </c>
      <c r="B271" s="20" t="inlineStr">
        <is>
          <t>IN</t>
        </is>
      </c>
      <c r="C271" s="42" t="n">
        <v>4.05</v>
      </c>
      <c r="D271" t="inlineStr">
        <is>
          <t>Endowment</t>
        </is>
      </c>
      <c r="E271" s="20" t="n">
        <v>2022</v>
      </c>
      <c r="F271" s="20" t="inlineStr"/>
      <c r="G271" t="inlineStr">
        <is>
          <t>James Bergstrom</t>
        </is>
      </c>
      <c r="H271" t="inlineStr">
        <is>
          <t>Co-CIO</t>
        </is>
      </c>
      <c r="I271" t="inlineStr">
        <is>
          <t>Co-CIO</t>
        </is>
      </c>
      <c r="J271" s="21" t="n">
        <v>258649</v>
      </c>
      <c r="K271" s="21" t="n">
        <v>135109</v>
      </c>
      <c r="L271" s="21" t="n">
        <v>393758</v>
      </c>
      <c r="M271" s="21" t="n">
        <v>665</v>
      </c>
      <c r="N271" s="21" t="n">
        <v>36360</v>
      </c>
      <c r="O271" s="21" t="n">
        <v>46493</v>
      </c>
      <c r="P271" s="21" t="n">
        <v>477276</v>
      </c>
      <c r="Q271" s="21" t="n">
        <v>477276</v>
      </c>
      <c r="R271" s="21">
        <f>IF(Q271="","",Q271*(1+in_GrowthRate)^(YEARFRAC(DATE(2022,6,30),in_AgeToDate)*IF(in_AgeToDate&lt;DATE(2022,6,30),-1,1)+1))</f>
        <v/>
      </c>
      <c r="S271" s="38" t="n">
        <v>0.5223642851895812</v>
      </c>
      <c r="T271" s="43">
        <f>HYPERLINK("https://projects.propublica.org/nonprofits/organizations/356018940/202331249349302338/full","view filing")</f>
        <v/>
      </c>
    </row>
    <row r="272">
      <c r="A272" t="inlineStr">
        <is>
          <t>Institute For Advanced Study</t>
        </is>
      </c>
      <c r="B272" s="20" t="inlineStr">
        <is>
          <t>NJ</t>
        </is>
      </c>
      <c r="C272" s="42" t="n">
        <v>1.27</v>
      </c>
      <c r="D272" t="inlineStr">
        <is>
          <t>Other</t>
        </is>
      </c>
      <c r="E272" s="20" t="n">
        <v>2025</v>
      </c>
      <c r="F272" s="20">
        <f>IF(AND(OR(in_Mode="All Funds",AND(C272&gt;=in_BandFloor,C272&lt;=in_BandCeiling,OR(in_Geography="National",COUNTIFS(lst_GeoPreset,in_Geography,lst_GeoState,B272)&gt;0,AND(in_Geography="Custom",ISNUMBER(SEARCH(B272,SUBSTITUTE(in_CustomStates," ",""))))),OR(AND(D272="Endowment",Inputs!$B$14="Y"),AND(D272="Foundation",Inputs!$B$15="Y"),AND(D272="Healthcare",Inputs!$B$16="Y"),AND(D272="Pension",Inputs!$B$17="Y"),AND(D272="OCIO",Inputs!$B$18="Y"),AND(D272="Other",Inputs!$B$19="Y")))),A272&lt;&gt;in_ClientOrg,NOT(AND(in_ExclHarvard="Y",ISNUMBER(SEARCH("Harvard",A272))))),"Y","")</f>
        <v/>
      </c>
      <c r="G272" t="inlineStr">
        <is>
          <t>Jeffrey Gatto</t>
        </is>
      </c>
      <c r="H272" t="inlineStr">
        <is>
          <t>CHIEF INVESTMENT OFFICER</t>
        </is>
      </c>
      <c r="I272" t="inlineStr">
        <is>
          <t>CIO</t>
        </is>
      </c>
      <c r="J272" s="21" t="n">
        <v>721063</v>
      </c>
      <c r="K272" s="21" t="n"/>
      <c r="L272" s="21" t="n">
        <v>721063</v>
      </c>
      <c r="M272" s="21" t="n">
        <v>6010</v>
      </c>
      <c r="N272" s="21" t="n">
        <v>42477</v>
      </c>
      <c r="O272" s="21" t="n">
        <v>18899</v>
      </c>
      <c r="P272" s="21" t="n">
        <v>788449</v>
      </c>
      <c r="Q272" s="21" t="n">
        <v>788449</v>
      </c>
      <c r="R272" s="21">
        <f>IF(Q272="","",Q272*(1+in_GrowthRate)^(YEARFRAC(DATE(2025,6,30),in_AgeToDate)*IF(in_AgeToDate&lt;DATE(2025,6,30),-1,1)+1))</f>
        <v/>
      </c>
      <c r="S272" s="38" t="n">
        <v>0</v>
      </c>
      <c r="T272" s="43">
        <f>HYPERLINK("https://projects.propublica.org/nonprofits/organizations/210634988/202631269349301938/full","view filing")</f>
        <v/>
      </c>
    </row>
    <row r="273">
      <c r="A273" t="inlineStr">
        <is>
          <t>Institute For Advanced Study</t>
        </is>
      </c>
      <c r="B273" s="20" t="inlineStr">
        <is>
          <t>NJ</t>
        </is>
      </c>
      <c r="C273" s="42" t="n">
        <v>1.27</v>
      </c>
      <c r="D273" t="inlineStr">
        <is>
          <t>Other</t>
        </is>
      </c>
      <c r="E273" s="20" t="n">
        <v>2024</v>
      </c>
      <c r="F273" s="20" t="inlineStr"/>
      <c r="G273" t="inlineStr">
        <is>
          <t>Jeffrey Gatto</t>
        </is>
      </c>
      <c r="H273" t="inlineStr">
        <is>
          <t>CHIEF INVESTMENT OFFICER</t>
        </is>
      </c>
      <c r="I273" t="inlineStr">
        <is>
          <t>CIO</t>
        </is>
      </c>
      <c r="J273" s="21" t="n">
        <v>684901</v>
      </c>
      <c r="K273" s="21" t="n"/>
      <c r="L273" s="21" t="n">
        <v>684901</v>
      </c>
      <c r="M273" s="21" t="n">
        <v>6446</v>
      </c>
      <c r="N273" s="21" t="n">
        <v>40689</v>
      </c>
      <c r="O273" s="21" t="n">
        <v>17626</v>
      </c>
      <c r="P273" s="21" t="n">
        <v>749662</v>
      </c>
      <c r="Q273" s="21" t="n">
        <v>749662</v>
      </c>
      <c r="R273" s="21">
        <f>IF(Q273="","",Q273*(1+in_GrowthRate)^(YEARFRAC(DATE(2024,6,30),in_AgeToDate)*IF(in_AgeToDate&lt;DATE(2024,6,30),-1,1)+1))</f>
        <v/>
      </c>
      <c r="S273" s="38" t="n">
        <v>0</v>
      </c>
      <c r="T273" s="43">
        <f>HYPERLINK("https://projects.propublica.org/nonprofits/organizations/210634988/202541269349300204/full","view filing")</f>
        <v/>
      </c>
    </row>
    <row r="274">
      <c r="A274" t="inlineStr">
        <is>
          <t>Institute For Advanced Study</t>
        </is>
      </c>
      <c r="B274" s="20" t="inlineStr">
        <is>
          <t>NJ</t>
        </is>
      </c>
      <c r="C274" s="42" t="n">
        <v>1.27</v>
      </c>
      <c r="D274" t="inlineStr">
        <is>
          <t>Other</t>
        </is>
      </c>
      <c r="E274" s="20" t="n">
        <v>2023</v>
      </c>
      <c r="F274" s="20" t="inlineStr"/>
      <c r="G274" t="inlineStr">
        <is>
          <t>Jeffrey Gatto</t>
        </is>
      </c>
      <c r="H274" t="inlineStr">
        <is>
          <t>CHIEF INVESTMENT OFFICER</t>
        </is>
      </c>
      <c r="I274" t="inlineStr">
        <is>
          <t>CIO</t>
        </is>
      </c>
      <c r="J274" s="21" t="n">
        <v>624651</v>
      </c>
      <c r="K274" s="21" t="n"/>
      <c r="L274" s="21" t="n">
        <v>624651</v>
      </c>
      <c r="M274" s="21" t="n">
        <v>5283</v>
      </c>
      <c r="N274" s="21" t="n">
        <v>37665</v>
      </c>
      <c r="O274" s="21" t="n">
        <v>15819</v>
      </c>
      <c r="P274" s="21" t="n">
        <v>683418</v>
      </c>
      <c r="Q274" s="21" t="n">
        <v>683418</v>
      </c>
      <c r="R274" s="21">
        <f>IF(Q274="","",Q274*(1+in_GrowthRate)^(YEARFRAC(DATE(2023,6,30),in_AgeToDate)*IF(in_AgeToDate&lt;DATE(2023,6,30),-1,1)+1))</f>
        <v/>
      </c>
      <c r="S274" s="38" t="n">
        <v>0</v>
      </c>
      <c r="T274" s="43">
        <f>HYPERLINK("https://projects.propublica.org/nonprofits/organizations/210634988/202401279349303070/full","view filing")</f>
        <v/>
      </c>
    </row>
    <row r="275">
      <c r="A275" t="inlineStr">
        <is>
          <t>Institute For Advanced Study</t>
        </is>
      </c>
      <c r="B275" s="20" t="inlineStr">
        <is>
          <t>NJ</t>
        </is>
      </c>
      <c r="C275" s="42" t="n">
        <v>1.27</v>
      </c>
      <c r="D275" t="inlineStr">
        <is>
          <t>Other</t>
        </is>
      </c>
      <c r="E275" s="20" t="n">
        <v>2022</v>
      </c>
      <c r="F275" s="20" t="inlineStr"/>
      <c r="G275" t="inlineStr">
        <is>
          <t>Jeffrey Gatto</t>
        </is>
      </c>
      <c r="H275" t="inlineStr">
        <is>
          <t>CHIEF INVESTMENT OFFICER</t>
        </is>
      </c>
      <c r="I275" t="inlineStr">
        <is>
          <t>CIO</t>
        </is>
      </c>
      <c r="J275" s="21" t="n">
        <v>600321</v>
      </c>
      <c r="K275" s="21" t="n">
        <v>196330</v>
      </c>
      <c r="L275" s="21" t="n">
        <v>796651</v>
      </c>
      <c r="M275" s="21" t="n">
        <v>5031</v>
      </c>
      <c r="N275" s="21" t="n">
        <v>35646</v>
      </c>
      <c r="O275" s="21" t="n">
        <v>12777</v>
      </c>
      <c r="P275" s="21" t="n">
        <v>850105</v>
      </c>
      <c r="Q275" s="21" t="n">
        <v>850105</v>
      </c>
      <c r="R275" s="21">
        <f>IF(Q275="","",Q275*(1+in_GrowthRate)^(YEARFRAC(DATE(2022,6,30),in_AgeToDate)*IF(in_AgeToDate&lt;DATE(2022,6,30),-1,1)+1))</f>
        <v/>
      </c>
      <c r="S275" s="38" t="n">
        <v>0.3270416993575104</v>
      </c>
      <c r="T275" s="43">
        <f>HYPERLINK("https://projects.propublica.org/nonprofits/organizations/210634988/202331309349302973/full","view filing")</f>
        <v/>
      </c>
    </row>
    <row r="276">
      <c r="A276" t="inlineStr">
        <is>
          <t>Intermountain Health Care Inc</t>
        </is>
      </c>
      <c r="B276" s="20" t="inlineStr">
        <is>
          <t>UT</t>
        </is>
      </c>
      <c r="C276" s="42" t="n">
        <v>3.07</v>
      </c>
      <c r="D276" t="inlineStr">
        <is>
          <t>Healthcare</t>
        </is>
      </c>
      <c r="E276" s="20" t="n">
        <v>2024</v>
      </c>
      <c r="F276" s="20">
        <f>IF(AND(OR(in_Mode="All Funds",AND(C276&gt;=in_BandFloor,C276&lt;=in_BandCeiling,OR(in_Geography="National",COUNTIFS(lst_GeoPreset,in_Geography,lst_GeoState,B276)&gt;0,AND(in_Geography="Custom",ISNUMBER(SEARCH(B276,SUBSTITUTE(in_CustomStates," ",""))))),OR(AND(D276="Endowment",Inputs!$B$14="Y"),AND(D276="Foundation",Inputs!$B$15="Y"),AND(D276="Healthcare",Inputs!$B$16="Y"),AND(D276="Pension",Inputs!$B$17="Y"),AND(D276="OCIO",Inputs!$B$18="Y"),AND(D276="Other",Inputs!$B$19="Y")))),A276&lt;&gt;in_ClientOrg,NOT(AND(in_ExclHarvard="Y",ISNUMBER(SEARCH("Harvard",A276))))),"Y","")</f>
        <v/>
      </c>
      <c r="G276" t="inlineStr">
        <is>
          <t>Stacy Jennings</t>
        </is>
      </c>
      <c r="H276" t="inlineStr">
        <is>
          <t>VP/CHIEF INVESTMENT OFFICER</t>
        </is>
      </c>
      <c r="I276" t="inlineStr">
        <is>
          <t>CIO</t>
        </is>
      </c>
      <c r="J276" s="21" t="n"/>
      <c r="K276" s="21" t="n"/>
      <c r="L276" s="21" t="n"/>
      <c r="M276" s="21" t="n"/>
      <c r="N276" s="21" t="n"/>
      <c r="O276" s="21" t="n"/>
      <c r="P276" s="21" t="n">
        <v>1132322</v>
      </c>
      <c r="Q276" s="21" t="n">
        <v>1132322</v>
      </c>
      <c r="R276" s="21">
        <f>IF(Q276="","",Q276*(1+in_GrowthRate)^(YEARFRAC(DATE(2024,12,31),in_AgeToDate)*IF(in_AgeToDate&lt;DATE(2024,12,31),-1,1)+1))</f>
        <v/>
      </c>
      <c r="S276" s="38" t="n"/>
      <c r="T276" s="43">
        <f>HYPERLINK("https://projects.propublica.org/nonprofits/organizations/870269232/202523119349302662/full","view filing")</f>
        <v/>
      </c>
    </row>
    <row r="277">
      <c r="A277" t="inlineStr">
        <is>
          <t>Intermountain Health Care Inc</t>
        </is>
      </c>
      <c r="B277" s="20" t="inlineStr">
        <is>
          <t>UT</t>
        </is>
      </c>
      <c r="C277" s="42" t="n">
        <v>3.07</v>
      </c>
      <c r="D277" t="inlineStr">
        <is>
          <t>Healthcare</t>
        </is>
      </c>
      <c r="E277" s="20" t="n">
        <v>2022</v>
      </c>
      <c r="F277" s="20" t="inlineStr"/>
      <c r="G277" t="inlineStr">
        <is>
          <t>Stacy Jennings</t>
        </is>
      </c>
      <c r="H277" t="inlineStr">
        <is>
          <t>VP / CIO (PARTIAL)</t>
        </is>
      </c>
      <c r="I277" t="inlineStr">
        <is>
          <t>CIO</t>
        </is>
      </c>
      <c r="J277" s="21" t="n"/>
      <c r="K277" s="21" t="n"/>
      <c r="L277" s="21" t="n"/>
      <c r="M277" s="21" t="n"/>
      <c r="N277" s="21" t="n"/>
      <c r="O277" s="21" t="n"/>
      <c r="P277" s="21" t="n">
        <v>960945</v>
      </c>
      <c r="Q277" s="21" t="n">
        <v>960945</v>
      </c>
      <c r="R277" s="21">
        <f>IF(Q277="","",Q277*(1+in_GrowthRate)^(YEARFRAC(DATE(2022,12,31),in_AgeToDate)*IF(in_AgeToDate&lt;DATE(2022,12,31),-1,1)+1))</f>
        <v/>
      </c>
      <c r="S277" s="38" t="n"/>
      <c r="T277" s="43">
        <f>HYPERLINK("https://projects.propublica.org/nonprofits/organizations/870269232/202343069349302379/full","view filing")</f>
        <v/>
      </c>
    </row>
    <row r="278">
      <c r="A278" t="inlineStr">
        <is>
          <t>International City Management Association Retirement Corporation</t>
        </is>
      </c>
      <c r="B278" s="20" t="inlineStr">
        <is>
          <t>DC</t>
        </is>
      </c>
      <c r="C278" s="42" t="n">
        <v>0.63</v>
      </c>
      <c r="D278" t="inlineStr">
        <is>
          <t>Pension</t>
        </is>
      </c>
      <c r="E278" s="20" t="n">
        <v>2024</v>
      </c>
      <c r="F278" s="20">
        <f>IF(AND(OR(in_Mode="All Funds",AND(C278&gt;=in_BandFloor,C278&lt;=in_BandCeiling,OR(in_Geography="National",COUNTIFS(lst_GeoPreset,in_Geography,lst_GeoState,B278)&gt;0,AND(in_Geography="Custom",ISNUMBER(SEARCH(B278,SUBSTITUTE(in_CustomStates," ",""))))),OR(AND(D278="Endowment",Inputs!$B$14="Y"),AND(D278="Foundation",Inputs!$B$15="Y"),AND(D278="Healthcare",Inputs!$B$16="Y"),AND(D278="Pension",Inputs!$B$17="Y"),AND(D278="OCIO",Inputs!$B$18="Y"),AND(D278="Other",Inputs!$B$19="Y")))),A278&lt;&gt;in_ClientOrg,NOT(AND(in_ExclHarvard="Y",ISNUMBER(SEARCH("Harvard",A278))))),"Y","")</f>
        <v/>
      </c>
      <c r="G278" t="inlineStr">
        <is>
          <t>Wayne Wicker Until 40524</t>
        </is>
      </c>
      <c r="H278" t="inlineStr">
        <is>
          <t>SVP, Chief Investment Officer</t>
        </is>
      </c>
      <c r="I278" t="inlineStr">
        <is>
          <t>CIO</t>
        </is>
      </c>
      <c r="J278" s="21" t="n">
        <v>209880</v>
      </c>
      <c r="K278" s="21" t="n">
        <v>1191859</v>
      </c>
      <c r="L278" s="21" t="n">
        <v>1401739</v>
      </c>
      <c r="M278" s="21" t="n">
        <v>145052</v>
      </c>
      <c r="N278" s="21" t="n">
        <v>54650</v>
      </c>
      <c r="O278" s="21" t="n">
        <v>16247</v>
      </c>
      <c r="P278" s="21" t="n">
        <v>1617688</v>
      </c>
      <c r="Q278" s="21" t="n">
        <v>1617688</v>
      </c>
      <c r="R278" s="21">
        <f>IF(Q278="","",Q278*(1+in_GrowthRate)^(YEARFRAC(DATE(2024,12,31),in_AgeToDate)*IF(in_AgeToDate&lt;DATE(2024,12,31),-1,1)+1))</f>
        <v/>
      </c>
      <c r="S278" s="38" t="n">
        <v>5.678764055650849</v>
      </c>
      <c r="T278" s="43">
        <f>HYPERLINK("https://projects.propublica.org/nonprofits/organizations/237268394/202533189349305858/full","view filing")</f>
        <v/>
      </c>
    </row>
    <row r="279">
      <c r="A279" t="inlineStr">
        <is>
          <t>International City Management Association Retirement Corporation</t>
        </is>
      </c>
      <c r="B279" s="20" t="inlineStr">
        <is>
          <t>DC</t>
        </is>
      </c>
      <c r="C279" s="42" t="n">
        <v>0.63</v>
      </c>
      <c r="D279" t="inlineStr">
        <is>
          <t>Pension</t>
        </is>
      </c>
      <c r="E279" s="20" t="n">
        <v>2023</v>
      </c>
      <c r="F279" s="20" t="inlineStr"/>
      <c r="G279" t="inlineStr">
        <is>
          <t>Wayne Wicker</t>
        </is>
      </c>
      <c r="H279" t="inlineStr">
        <is>
          <t>SVP, CHIEF INVESTMENT OFFICER</t>
        </is>
      </c>
      <c r="I279" t="inlineStr">
        <is>
          <t>CIO</t>
        </is>
      </c>
      <c r="J279" s="21" t="n">
        <v>455616</v>
      </c>
      <c r="K279" s="21" t="n">
        <v>1408403</v>
      </c>
      <c r="L279" s="21" t="n">
        <v>1864019</v>
      </c>
      <c r="M279" s="21" t="n">
        <v>7719</v>
      </c>
      <c r="N279" s="21" t="n">
        <v>23100</v>
      </c>
      <c r="O279" s="21" t="n">
        <v>48114</v>
      </c>
      <c r="P279" s="21" t="n">
        <v>1942952</v>
      </c>
      <c r="Q279" s="21" t="n">
        <v>1942952</v>
      </c>
      <c r="R279" s="21">
        <f>IF(Q279="","",Q279*(1+in_GrowthRate)^(YEARFRAC(DATE(2023,12,31),in_AgeToDate)*IF(in_AgeToDate&lt;DATE(2023,12,31),-1,1)+1))</f>
        <v/>
      </c>
      <c r="S279" s="38" t="n">
        <v>3.091206191178536</v>
      </c>
      <c r="T279" s="43">
        <f>HYPERLINK("https://projects.propublica.org/nonprofits/organizations/237268394/202413179349307346/full","view filing")</f>
        <v/>
      </c>
    </row>
    <row r="280">
      <c r="A280" t="inlineStr">
        <is>
          <t>J Paul Getty Trust</t>
        </is>
      </c>
      <c r="B280" s="20" t="inlineStr">
        <is>
          <t>CA</t>
        </is>
      </c>
      <c r="C280" s="42" t="n">
        <v>9.880000000000001</v>
      </c>
      <c r="D280" t="inlineStr">
        <is>
          <t>Foundation</t>
        </is>
      </c>
      <c r="E280" s="20" t="n">
        <v>2025</v>
      </c>
      <c r="F280" s="20">
        <f>IF(AND(OR(in_Mode="All Funds",AND(C280&gt;=in_BandFloor,C280&lt;=in_BandCeiling,OR(in_Geography="National",COUNTIFS(lst_GeoPreset,in_Geography,lst_GeoState,B280)&gt;0,AND(in_Geography="Custom",ISNUMBER(SEARCH(B280,SUBSTITUTE(in_CustomStates," ",""))))),OR(AND(D280="Endowment",Inputs!$B$14="Y"),AND(D280="Foundation",Inputs!$B$15="Y"),AND(D280="Healthcare",Inputs!$B$16="Y"),AND(D280="Pension",Inputs!$B$17="Y"),AND(D280="OCIO",Inputs!$B$18="Y"),AND(D280="Other",Inputs!$B$19="Y")))),A280&lt;&gt;in_ClientOrg,NOT(AND(in_ExclHarvard="Y",ISNUMBER(SEARCH("Harvard",A280))))),"Y","")</f>
        <v/>
      </c>
      <c r="G280" t="inlineStr">
        <is>
          <t>Katharine Krieger</t>
        </is>
      </c>
      <c r="H280" t="inlineStr">
        <is>
          <t>VP, TREASURER &amp; CIO</t>
        </is>
      </c>
      <c r="I280" t="inlineStr">
        <is>
          <t>CIO</t>
        </is>
      </c>
      <c r="J280" s="21" t="n"/>
      <c r="K280" s="21" t="n"/>
      <c r="L280" s="21" t="n"/>
      <c r="M280" s="21" t="n"/>
      <c r="N280" s="21" t="n"/>
      <c r="O280" s="21" t="n">
        <v>426036</v>
      </c>
      <c r="P280" s="21" t="n">
        <v>2278517</v>
      </c>
      <c r="Q280" s="21" t="n">
        <v>2278517</v>
      </c>
      <c r="R280" s="21">
        <f>IF(Q280="","",Q280*(1+in_GrowthRate)^(YEARFRAC(DATE(2025,6,30),in_AgeToDate)*IF(in_AgeToDate&lt;DATE(2025,6,30),-1,1)+1))</f>
        <v/>
      </c>
      <c r="S280" s="38" t="n"/>
      <c r="T280" s="43">
        <f>HYPERLINK("https://projects.propublica.org/nonprofits/organizations/951790021/202611279349102996/full","view filing")</f>
        <v/>
      </c>
    </row>
    <row r="281">
      <c r="A281" t="inlineStr">
        <is>
          <t>J Paul Getty Trust</t>
        </is>
      </c>
      <c r="B281" s="20" t="inlineStr">
        <is>
          <t>CA</t>
        </is>
      </c>
      <c r="C281" s="42" t="n">
        <v>9.880000000000001</v>
      </c>
      <c r="D281" t="inlineStr">
        <is>
          <t>Foundation</t>
        </is>
      </c>
      <c r="E281" s="20" t="n">
        <v>2024</v>
      </c>
      <c r="F281" s="20" t="inlineStr"/>
      <c r="G281" t="inlineStr">
        <is>
          <t>James M Williams</t>
        </is>
      </c>
      <c r="H281" t="inlineStr">
        <is>
          <t>VP, TREASURER &amp; CIO</t>
        </is>
      </c>
      <c r="I281" t="inlineStr">
        <is>
          <t>CIO</t>
        </is>
      </c>
      <c r="J281" s="21" t="n"/>
      <c r="K281" s="21" t="n"/>
      <c r="L281" s="21" t="n"/>
      <c r="M281" s="21" t="n"/>
      <c r="N281" s="21" t="n"/>
      <c r="O281" s="21" t="n">
        <v>2016507</v>
      </c>
      <c r="P281" s="21" t="n">
        <v>4400612</v>
      </c>
      <c r="Q281" s="21" t="n">
        <v>4400612</v>
      </c>
      <c r="R281" s="21">
        <f>IF(Q281="","",Q281*(1+in_GrowthRate)^(YEARFRAC(DATE(2024,6,30),in_AgeToDate)*IF(in_AgeToDate&lt;DATE(2024,6,30),-1,1)+1))</f>
        <v/>
      </c>
      <c r="S281" s="38" t="n"/>
      <c r="T281" s="43">
        <f>HYPERLINK("https://projects.propublica.org/nonprofits/organizations/951790021/202531359349102323/full","view filing")</f>
        <v/>
      </c>
    </row>
    <row r="282">
      <c r="A282" t="inlineStr">
        <is>
          <t>J Paul Getty Trust</t>
        </is>
      </c>
      <c r="B282" s="20" t="inlineStr">
        <is>
          <t>CA</t>
        </is>
      </c>
      <c r="C282" s="42" t="n">
        <v>9.880000000000001</v>
      </c>
      <c r="D282" t="inlineStr">
        <is>
          <t>Foundation</t>
        </is>
      </c>
      <c r="E282" s="20" t="n">
        <v>2023</v>
      </c>
      <c r="F282" s="20" t="inlineStr"/>
      <c r="G282" t="inlineStr">
        <is>
          <t>James M Williams</t>
        </is>
      </c>
      <c r="H282" t="inlineStr">
        <is>
          <t>VP, TREASURER &amp; CIO</t>
        </is>
      </c>
      <c r="I282" t="inlineStr">
        <is>
          <t>CIO</t>
        </is>
      </c>
      <c r="J282" s="21" t="n"/>
      <c r="K282" s="21" t="n"/>
      <c r="L282" s="21" t="n"/>
      <c r="M282" s="21" t="n"/>
      <c r="N282" s="21" t="n"/>
      <c r="O282" s="21" t="n">
        <v>1907520</v>
      </c>
      <c r="P282" s="21" t="n">
        <v>3677974</v>
      </c>
      <c r="Q282" s="21" t="n">
        <v>3677974</v>
      </c>
      <c r="R282" s="21">
        <f>IF(Q282="","",Q282*(1+in_GrowthRate)^(YEARFRAC(DATE(2023,6,30),in_AgeToDate)*IF(in_AgeToDate&lt;DATE(2023,6,30),-1,1)+1))</f>
        <v/>
      </c>
      <c r="S282" s="38" t="n"/>
      <c r="T282" s="43">
        <f>HYPERLINK("https://projects.propublica.org/nonprofits/organizations/951790021/202421359349106107/full","view filing")</f>
        <v/>
      </c>
    </row>
    <row r="283">
      <c r="A283" t="inlineStr">
        <is>
          <t>J Paul Getty Trust</t>
        </is>
      </c>
      <c r="B283" s="20" t="inlineStr">
        <is>
          <t>CA</t>
        </is>
      </c>
      <c r="C283" s="42" t="n">
        <v>9.880000000000001</v>
      </c>
      <c r="D283" t="inlineStr">
        <is>
          <t>Foundation</t>
        </is>
      </c>
      <c r="E283" s="20" t="n">
        <v>2022</v>
      </c>
      <c r="F283" s="20" t="inlineStr"/>
      <c r="G283" t="inlineStr">
        <is>
          <t>James M Williams</t>
        </is>
      </c>
      <c r="H283" t="inlineStr">
        <is>
          <t>VP, TREASURER &amp; CIO</t>
        </is>
      </c>
      <c r="I283" t="inlineStr">
        <is>
          <t>CIO</t>
        </is>
      </c>
      <c r="J283" s="21" t="n"/>
      <c r="K283" s="21" t="n"/>
      <c r="L283" s="21" t="n"/>
      <c r="M283" s="21" t="n"/>
      <c r="N283" s="21" t="n"/>
      <c r="O283" s="21" t="n">
        <v>1445728</v>
      </c>
      <c r="P283" s="21" t="n">
        <v>3721681</v>
      </c>
      <c r="Q283" s="21" t="n">
        <v>3721681</v>
      </c>
      <c r="R283" s="21">
        <f>IF(Q283="","",Q283*(1+in_GrowthRate)^(YEARFRAC(DATE(2022,6,30),in_AgeToDate)*IF(in_AgeToDate&lt;DATE(2022,6,30),-1,1)+1))</f>
        <v/>
      </c>
      <c r="S283" s="38" t="n"/>
      <c r="T283" s="43">
        <f>HYPERLINK("https://projects.propublica.org/nonprofits/organizations/951790021/202311359349103356/full","view filing")</f>
        <v/>
      </c>
    </row>
    <row r="284">
      <c r="A284" t="inlineStr">
        <is>
          <t>James Irvine Foundation</t>
        </is>
      </c>
      <c r="B284" s="20" t="inlineStr">
        <is>
          <t>CA</t>
        </is>
      </c>
      <c r="C284" s="42" t="n">
        <v>3.21</v>
      </c>
      <c r="D284" t="inlineStr">
        <is>
          <t>Foundation</t>
        </is>
      </c>
      <c r="E284" s="20" t="n">
        <v>2024</v>
      </c>
      <c r="F284" s="20">
        <f>IF(AND(OR(in_Mode="All Funds",AND(C284&gt;=in_BandFloor,C284&lt;=in_BandCeiling,OR(in_Geography="National",COUNTIFS(lst_GeoPreset,in_Geography,lst_GeoState,B284)&gt;0,AND(in_Geography="Custom",ISNUMBER(SEARCH(B284,SUBSTITUTE(in_CustomStates," ",""))))),OR(AND(D284="Endowment",Inputs!$B$14="Y"),AND(D284="Foundation",Inputs!$B$15="Y"),AND(D284="Healthcare",Inputs!$B$16="Y"),AND(D284="Pension",Inputs!$B$17="Y"),AND(D284="OCIO",Inputs!$B$18="Y"),AND(D284="Other",Inputs!$B$19="Y")))),A284&lt;&gt;in_ClientOrg,NOT(AND(in_ExclHarvard="Y",ISNUMBER(SEARCH("Harvard",A284))))),"Y","")</f>
        <v/>
      </c>
      <c r="G284" t="inlineStr">
        <is>
          <t>Timothy Recker</t>
        </is>
      </c>
      <c r="H284" t="inlineStr">
        <is>
          <t>TREASURER &amp; CIO</t>
        </is>
      </c>
      <c r="I284" t="inlineStr">
        <is>
          <t>CIO</t>
        </is>
      </c>
      <c r="J284" s="21" t="n"/>
      <c r="K284" s="21" t="n"/>
      <c r="L284" s="21" t="n"/>
      <c r="M284" s="21" t="n"/>
      <c r="N284" s="21" t="n"/>
      <c r="O284" s="21" t="n">
        <v>120217</v>
      </c>
      <c r="P284" s="21" t="n">
        <v>2622717</v>
      </c>
      <c r="Q284" s="21" t="n">
        <v>2622717</v>
      </c>
      <c r="R284" s="21">
        <f>IF(Q284="","",Q284*(1+in_GrowthRate)^(YEARFRAC(DATE(2024,12,31),in_AgeToDate)*IF(in_AgeToDate&lt;DATE(2024,12,31),-1,1)+1))</f>
        <v/>
      </c>
      <c r="S284" s="38" t="n"/>
      <c r="T284" s="43">
        <f>HYPERLINK("https://projects.propublica.org/nonprofits/organizations/941236937/202543149349101919/full","view filing")</f>
        <v/>
      </c>
    </row>
    <row r="285">
      <c r="A285" t="inlineStr">
        <is>
          <t>James Irvine Foundation</t>
        </is>
      </c>
      <c r="B285" s="20" t="inlineStr">
        <is>
          <t>CA</t>
        </is>
      </c>
      <c r="C285" s="42" t="n">
        <v>3.21</v>
      </c>
      <c r="D285" t="inlineStr">
        <is>
          <t>Foundation</t>
        </is>
      </c>
      <c r="E285" s="20" t="n">
        <v>2023</v>
      </c>
      <c r="F285" s="20" t="inlineStr"/>
      <c r="G285" t="inlineStr">
        <is>
          <t>Timothy Recker</t>
        </is>
      </c>
      <c r="H285" t="inlineStr">
        <is>
          <t>TREASURER &amp; CIO</t>
        </is>
      </c>
      <c r="I285" t="inlineStr">
        <is>
          <t>CIO</t>
        </is>
      </c>
      <c r="J285" s="21" t="n"/>
      <c r="K285" s="21" t="n"/>
      <c r="L285" s="21" t="n"/>
      <c r="M285" s="21" t="n"/>
      <c r="N285" s="21" t="n"/>
      <c r="O285" s="21" t="n">
        <v>146785</v>
      </c>
      <c r="P285" s="21" t="n">
        <v>2466285</v>
      </c>
      <c r="Q285" s="21" t="n">
        <v>2466285</v>
      </c>
      <c r="R285" s="21">
        <f>IF(Q285="","",Q285*(1+in_GrowthRate)^(YEARFRAC(DATE(2023,12,31),in_AgeToDate)*IF(in_AgeToDate&lt;DATE(2023,12,31),-1,1)+1))</f>
        <v/>
      </c>
      <c r="S285" s="38" t="n"/>
      <c r="T285" s="43">
        <f>HYPERLINK("https://projects.propublica.org/nonprofits/organizations/941236937/202413169349102431/full","view filing")</f>
        <v/>
      </c>
    </row>
    <row r="286">
      <c r="A286" t="inlineStr">
        <is>
          <t>James Irvine Foundation</t>
        </is>
      </c>
      <c r="B286" s="20" t="inlineStr">
        <is>
          <t>CA</t>
        </is>
      </c>
      <c r="C286" s="42" t="n">
        <v>3.21</v>
      </c>
      <c r="D286" t="inlineStr">
        <is>
          <t>Foundation</t>
        </is>
      </c>
      <c r="E286" s="20" t="n">
        <v>2022</v>
      </c>
      <c r="F286" s="20" t="inlineStr"/>
      <c r="G286" t="inlineStr">
        <is>
          <t>Timothy Recker</t>
        </is>
      </c>
      <c r="H286" t="inlineStr">
        <is>
          <t>TREASURER &amp; CIO</t>
        </is>
      </c>
      <c r="I286" t="inlineStr">
        <is>
          <t>CIO</t>
        </is>
      </c>
      <c r="J286" s="21" t="n"/>
      <c r="K286" s="21" t="n"/>
      <c r="L286" s="21" t="n"/>
      <c r="M286" s="21" t="n"/>
      <c r="N286" s="21" t="n"/>
      <c r="O286" s="21" t="n">
        <v>85377</v>
      </c>
      <c r="P286" s="21" t="n">
        <v>1848127</v>
      </c>
      <c r="Q286" s="21" t="n">
        <v>1848127</v>
      </c>
      <c r="R286" s="21">
        <f>IF(Q286="","",Q286*(1+in_GrowthRate)^(YEARFRAC(DATE(2022,12,31),in_AgeToDate)*IF(in_AgeToDate&lt;DATE(2022,12,31),-1,1)+1))</f>
        <v/>
      </c>
      <c r="S286" s="38" t="n"/>
      <c r="T286" s="43">
        <f>HYPERLINK("https://projects.propublica.org/nonprofits/organizations/941236937/202313139349102426/full","view filing")</f>
        <v/>
      </c>
    </row>
    <row r="287">
      <c r="A287" t="inlineStr">
        <is>
          <t>John D &amp; Catherine T Macarthur Foundation</t>
        </is>
      </c>
      <c r="B287" s="20" t="inlineStr">
        <is>
          <t>IL</t>
        </is>
      </c>
      <c r="C287" s="42" t="n">
        <v>7.19</v>
      </c>
      <c r="D287" t="inlineStr">
        <is>
          <t>Foundation</t>
        </is>
      </c>
      <c r="E287" s="20" t="n">
        <v>2024</v>
      </c>
      <c r="F287" s="20">
        <f>IF(AND(OR(in_Mode="All Funds",AND(C287&gt;=in_BandFloor,C287&lt;=in_BandCeiling,OR(in_Geography="National",COUNTIFS(lst_GeoPreset,in_Geography,lst_GeoState,B287)&gt;0,AND(in_Geography="Custom",ISNUMBER(SEARCH(B287,SUBSTITUTE(in_CustomStates," ",""))))),OR(AND(D287="Endowment",Inputs!$B$14="Y"),AND(D287="Foundation",Inputs!$B$15="Y"),AND(D287="Healthcare",Inputs!$B$16="Y"),AND(D287="Pension",Inputs!$B$17="Y"),AND(D287="OCIO",Inputs!$B$18="Y"),AND(D287="Other",Inputs!$B$19="Y")))),A287&lt;&gt;in_ClientOrg,NOT(AND(in_ExclHarvard="Y",ISNUMBER(SEARCH("Harvard",A287))))),"Y","")</f>
        <v/>
      </c>
      <c r="G287" t="inlineStr">
        <is>
          <t>Susan E Manske</t>
        </is>
      </c>
      <c r="H287" t="inlineStr">
        <is>
          <t>VP / CHIEF INVESTMENT OFFICER</t>
        </is>
      </c>
      <c r="I287" t="inlineStr">
        <is>
          <t>CIO</t>
        </is>
      </c>
      <c r="J287" s="21" t="n"/>
      <c r="K287" s="21" t="n"/>
      <c r="L287" s="21" t="n"/>
      <c r="M287" s="21" t="n"/>
      <c r="N287" s="21" t="n"/>
      <c r="O287" s="21" t="n">
        <v>1227784</v>
      </c>
      <c r="P287" s="21" t="n">
        <v>3739911</v>
      </c>
      <c r="Q287" s="21" t="n">
        <v>3739911</v>
      </c>
      <c r="R287" s="21">
        <f>IF(Q287="","",Q287*(1+in_GrowthRate)^(YEARFRAC(DATE(2024,12,31),in_AgeToDate)*IF(in_AgeToDate&lt;DATE(2024,12,31),-1,1)+1))</f>
        <v/>
      </c>
      <c r="S287" s="38" t="n"/>
      <c r="T287" s="43">
        <f>HYPERLINK("https://projects.propublica.org/nonprofits/organizations/237093598/202503169349102460/full","view filing")</f>
        <v/>
      </c>
    </row>
    <row r="288">
      <c r="A288" t="inlineStr">
        <is>
          <t>John D &amp; Catherine T Macarthur Foundation</t>
        </is>
      </c>
      <c r="B288" s="20" t="inlineStr">
        <is>
          <t>IL</t>
        </is>
      </c>
      <c r="C288" s="42" t="n">
        <v>7.19</v>
      </c>
      <c r="D288" t="inlineStr">
        <is>
          <t>Foundation</t>
        </is>
      </c>
      <c r="E288" s="20" t="n">
        <v>2023</v>
      </c>
      <c r="F288" s="20" t="inlineStr"/>
      <c r="G288" t="inlineStr">
        <is>
          <t>Susan E Manske</t>
        </is>
      </c>
      <c r="H288" t="inlineStr">
        <is>
          <t>VP / CHIEF INVESTMENT OFFICER</t>
        </is>
      </c>
      <c r="I288" t="inlineStr">
        <is>
          <t>CIO</t>
        </is>
      </c>
      <c r="J288" s="21" t="n"/>
      <c r="K288" s="21" t="n"/>
      <c r="L288" s="21" t="n"/>
      <c r="M288" s="21" t="n"/>
      <c r="N288" s="21" t="n"/>
      <c r="O288" s="21" t="n">
        <v>1093363</v>
      </c>
      <c r="P288" s="21" t="n">
        <v>3364082</v>
      </c>
      <c r="Q288" s="21" t="n">
        <v>3364082</v>
      </c>
      <c r="R288" s="21">
        <f>IF(Q288="","",Q288*(1+in_GrowthRate)^(YEARFRAC(DATE(2023,12,31),in_AgeToDate)*IF(in_AgeToDate&lt;DATE(2023,12,31),-1,1)+1))</f>
        <v/>
      </c>
      <c r="S288" s="38" t="n"/>
      <c r="T288" s="43">
        <f>HYPERLINK("https://projects.propublica.org/nonprofits/organizations/237093598/202423189349103932/full","view filing")</f>
        <v/>
      </c>
    </row>
    <row r="289">
      <c r="A289" t="inlineStr">
        <is>
          <t>John D &amp; Catherine T Macarthur Foundation</t>
        </is>
      </c>
      <c r="B289" s="20" t="inlineStr">
        <is>
          <t>IL</t>
        </is>
      </c>
      <c r="C289" s="42" t="n">
        <v>7.19</v>
      </c>
      <c r="D289" t="inlineStr">
        <is>
          <t>Foundation</t>
        </is>
      </c>
      <c r="E289" s="20" t="n">
        <v>2022</v>
      </c>
      <c r="F289" s="20" t="inlineStr"/>
      <c r="G289" t="inlineStr">
        <is>
          <t>Susan E Manske</t>
        </is>
      </c>
      <c r="H289" t="inlineStr">
        <is>
          <t>VP / CHIEF INVESTMENT OFFICER</t>
        </is>
      </c>
      <c r="I289" t="inlineStr">
        <is>
          <t>CIO</t>
        </is>
      </c>
      <c r="J289" s="21" t="n"/>
      <c r="K289" s="21" t="n"/>
      <c r="L289" s="21" t="n"/>
      <c r="M289" s="21" t="n"/>
      <c r="N289" s="21" t="n"/>
      <c r="O289" s="21" t="n">
        <v>1045308</v>
      </c>
      <c r="P289" s="21" t="n">
        <v>3295679</v>
      </c>
      <c r="Q289" s="21" t="n">
        <v>3295679</v>
      </c>
      <c r="R289" s="21">
        <f>IF(Q289="","",Q289*(1+in_GrowthRate)^(YEARFRAC(DATE(2022,12,31),in_AgeToDate)*IF(in_AgeToDate&lt;DATE(2022,12,31),-1,1)+1))</f>
        <v/>
      </c>
      <c r="S289" s="38" t="n"/>
      <c r="T289" s="43">
        <f>HYPERLINK("https://projects.propublica.org/nonprofits/organizations/237093598/202313179349104401/full","view filing")</f>
        <v/>
      </c>
    </row>
    <row r="290">
      <c r="A290" t="inlineStr">
        <is>
          <t>Johns Hopkins University</t>
        </is>
      </c>
      <c r="B290" s="20" t="inlineStr">
        <is>
          <t>MD</t>
        </is>
      </c>
      <c r="C290" s="42" t="n">
        <v>13.73</v>
      </c>
      <c r="D290" t="inlineStr">
        <is>
          <t>Endowment</t>
        </is>
      </c>
      <c r="E290" s="20" t="n">
        <v>2024</v>
      </c>
      <c r="F290" s="20" t="inlineStr"/>
      <c r="G290" t="inlineStr">
        <is>
          <t>Perlioni Jason</t>
        </is>
      </c>
      <c r="H290" t="inlineStr">
        <is>
          <t>VP-INVESTMENTS &amp; CIO</t>
        </is>
      </c>
      <c r="I290" t="inlineStr">
        <is>
          <t>CIO</t>
        </is>
      </c>
      <c r="J290" s="21" t="n">
        <v>738195</v>
      </c>
      <c r="K290" s="21" t="n">
        <v>856313</v>
      </c>
      <c r="L290" s="21" t="n">
        <v>1594508</v>
      </c>
      <c r="M290" s="21" t="n">
        <v>580893</v>
      </c>
      <c r="N290" s="21" t="n">
        <v>946313</v>
      </c>
      <c r="O290" s="21" t="n">
        <v>25503</v>
      </c>
      <c r="P290" s="21" t="n">
        <v>3147217</v>
      </c>
      <c r="Q290" s="21" t="n">
        <v>2566324</v>
      </c>
      <c r="R290" s="21">
        <f>IF(Q290="","",Q290*(1+in_GrowthRate)^(YEARFRAC(DATE(2024,6,30),in_AgeToDate)*IF(in_AgeToDate&lt;DATE(2024,6,30),-1,1)+1))</f>
        <v/>
      </c>
      <c r="S290" s="38" t="n">
        <v>1.160009211658166</v>
      </c>
      <c r="T290" s="43">
        <f>HYPERLINK("https://projects.propublica.org/nonprofits/organizations/520595110/202521359349314342/full","view filing")</f>
        <v/>
      </c>
    </row>
    <row r="291">
      <c r="A291" t="inlineStr">
        <is>
          <t>Johns Hopkins University</t>
        </is>
      </c>
      <c r="B291" s="20" t="inlineStr">
        <is>
          <t>MD</t>
        </is>
      </c>
      <c r="C291" s="42" t="n">
        <v>13.73</v>
      </c>
      <c r="D291" t="inlineStr">
        <is>
          <t>Endowment</t>
        </is>
      </c>
      <c r="E291" s="20" t="n">
        <v>2023</v>
      </c>
      <c r="F291" s="20" t="inlineStr"/>
      <c r="G291" t="inlineStr">
        <is>
          <t>Perlioni Jason</t>
        </is>
      </c>
      <c r="H291" t="inlineStr">
        <is>
          <t>VP-INVESTMENTS &amp; CIO</t>
        </is>
      </c>
      <c r="I291" t="inlineStr">
        <is>
          <t>CIO</t>
        </is>
      </c>
      <c r="J291" s="21" t="n">
        <v>736472</v>
      </c>
      <c r="K291" s="21" t="n">
        <v>1126874</v>
      </c>
      <c r="L291" s="21" t="n">
        <v>1863346</v>
      </c>
      <c r="M291" s="21" t="n"/>
      <c r="N291" s="21" t="n">
        <v>1216874</v>
      </c>
      <c r="O291" s="21" t="n">
        <v>28800</v>
      </c>
      <c r="P291" s="21" t="n">
        <v>3109020</v>
      </c>
      <c r="Q291" s="21" t="n">
        <v>3109020</v>
      </c>
      <c r="R291" s="21">
        <f>IF(Q291="","",Q291*(1+in_GrowthRate)^(YEARFRAC(DATE(2023,6,30),in_AgeToDate)*IF(in_AgeToDate&lt;DATE(2023,6,30),-1,1)+1))</f>
        <v/>
      </c>
      <c r="S291" s="38" t="n">
        <v>1.530097546138889</v>
      </c>
      <c r="T291" s="43">
        <f>HYPERLINK("https://projects.propublica.org/nonprofits/organizations/520595110/202421349349308667/full","view filing")</f>
        <v/>
      </c>
    </row>
    <row r="292">
      <c r="A292" t="inlineStr">
        <is>
          <t>Johns Hopkins University</t>
        </is>
      </c>
      <c r="B292" s="20" t="inlineStr">
        <is>
          <t>MD</t>
        </is>
      </c>
      <c r="C292" s="42" t="n">
        <v>13.73</v>
      </c>
      <c r="D292" t="inlineStr">
        <is>
          <t>Endowment</t>
        </is>
      </c>
      <c r="E292" s="20" t="n">
        <v>2022</v>
      </c>
      <c r="F292" s="20" t="inlineStr"/>
      <c r="G292" t="inlineStr">
        <is>
          <t>Perlioni Jason</t>
        </is>
      </c>
      <c r="H292" t="inlineStr">
        <is>
          <t>VP-INVESTMENTS &amp; CIO</t>
        </is>
      </c>
      <c r="I292" t="inlineStr">
        <is>
          <t>CIO</t>
        </is>
      </c>
      <c r="J292" s="21" t="n">
        <v>737008</v>
      </c>
      <c r="K292" s="21" t="n">
        <v>1287500</v>
      </c>
      <c r="L292" s="21" t="n">
        <v>2024508</v>
      </c>
      <c r="M292" s="21" t="n">
        <v>271773</v>
      </c>
      <c r="N292" s="21" t="n">
        <v>1418000</v>
      </c>
      <c r="O292" s="21" t="n">
        <v>27090</v>
      </c>
      <c r="P292" s="21" t="n">
        <v>3741371</v>
      </c>
      <c r="Q292" s="21" t="n">
        <v>3469598</v>
      </c>
      <c r="R292" s="21">
        <f>IF(Q292="","",Q292*(1+in_GrowthRate)^(YEARFRAC(DATE(2022,6,30),in_AgeToDate)*IF(in_AgeToDate&lt;DATE(2022,6,30),-1,1)+1))</f>
        <v/>
      </c>
      <c r="S292" s="38" t="n">
        <v>1.746928120183227</v>
      </c>
      <c r="T292" s="43">
        <f>HYPERLINK("https://projects.propublica.org/nonprofits/organizations/520595110/202321289349301232/full","view filing")</f>
        <v/>
      </c>
    </row>
    <row r="293">
      <c r="A293" t="inlineStr">
        <is>
          <t>Joyce Foundation</t>
        </is>
      </c>
      <c r="B293" s="20" t="inlineStr">
        <is>
          <t>IL</t>
        </is>
      </c>
      <c r="C293" s="42" t="n">
        <v>1.21</v>
      </c>
      <c r="D293" t="inlineStr">
        <is>
          <t>Foundation</t>
        </is>
      </c>
      <c r="E293" s="20" t="n">
        <v>2024</v>
      </c>
      <c r="F293" s="20">
        <f>IF(AND(OR(in_Mode="All Funds",AND(C293&gt;=in_BandFloor,C293&lt;=in_BandCeiling,OR(in_Geography="National",COUNTIFS(lst_GeoPreset,in_Geography,lst_GeoState,B293)&gt;0,AND(in_Geography="Custom",ISNUMBER(SEARCH(B293,SUBSTITUTE(in_CustomStates," ",""))))),OR(AND(D293="Endowment",Inputs!$B$14="Y"),AND(D293="Foundation",Inputs!$B$15="Y"),AND(D293="Healthcare",Inputs!$B$16="Y"),AND(D293="Pension",Inputs!$B$17="Y"),AND(D293="OCIO",Inputs!$B$18="Y"),AND(D293="Other",Inputs!$B$19="Y")))),A293&lt;&gt;in_ClientOrg,NOT(AND(in_ExclHarvard="Y",ISNUMBER(SEARCH("Harvard",A293))))),"Y","")</f>
        <v/>
      </c>
      <c r="G293" t="inlineStr">
        <is>
          <t>Nickol Hackett</t>
        </is>
      </c>
      <c r="H293" t="inlineStr">
        <is>
          <t>Chief Investment Officer/Treasurer</t>
        </is>
      </c>
      <c r="I293" t="inlineStr">
        <is>
          <t>CIO</t>
        </is>
      </c>
      <c r="J293" s="21" t="n"/>
      <c r="K293" s="21" t="n"/>
      <c r="L293" s="21" t="n"/>
      <c r="M293" s="21" t="n"/>
      <c r="N293" s="21" t="n"/>
      <c r="O293" s="21" t="n">
        <v>68637</v>
      </c>
      <c r="P293" s="21" t="n">
        <v>574248</v>
      </c>
      <c r="Q293" s="21" t="n">
        <v>574248</v>
      </c>
      <c r="R293" s="21">
        <f>IF(Q293="","",Q293*(1+in_GrowthRate)^(YEARFRAC(DATE(2024,12,31),in_AgeToDate)*IF(in_AgeToDate&lt;DATE(2024,12,31),-1,1)+1))</f>
        <v/>
      </c>
      <c r="S293" s="38" t="n"/>
      <c r="T293" s="43">
        <f>HYPERLINK("https://projects.propublica.org/nonprofits/organizations/366079185/202543089349101334/full","view filing")</f>
        <v/>
      </c>
    </row>
    <row r="294">
      <c r="A294" t="inlineStr">
        <is>
          <t>Joyce Foundation</t>
        </is>
      </c>
      <c r="B294" s="20" t="inlineStr">
        <is>
          <t>IL</t>
        </is>
      </c>
      <c r="C294" s="42" t="n">
        <v>1.21</v>
      </c>
      <c r="D294" t="inlineStr">
        <is>
          <t>Foundation</t>
        </is>
      </c>
      <c r="E294" s="20" t="n">
        <v>2023</v>
      </c>
      <c r="F294" s="20" t="inlineStr"/>
      <c r="G294" t="inlineStr">
        <is>
          <t>Nickol Hackett</t>
        </is>
      </c>
      <c r="H294" t="inlineStr">
        <is>
          <t>Chief Investment Officer/Treasurer</t>
        </is>
      </c>
      <c r="I294" t="inlineStr">
        <is>
          <t>CIO</t>
        </is>
      </c>
      <c r="J294" s="21" t="n"/>
      <c r="K294" s="21" t="n"/>
      <c r="L294" s="21" t="n"/>
      <c r="M294" s="21" t="n"/>
      <c r="N294" s="21" t="n"/>
      <c r="O294" s="21" t="n">
        <v>63944</v>
      </c>
      <c r="P294" s="21" t="n">
        <v>559277</v>
      </c>
      <c r="Q294" s="21" t="n">
        <v>559277</v>
      </c>
      <c r="R294" s="21">
        <f>IF(Q294="","",Q294*(1+in_GrowthRate)^(YEARFRAC(DATE(2023,12,31),in_AgeToDate)*IF(in_AgeToDate&lt;DATE(2023,12,31),-1,1)+1))</f>
        <v/>
      </c>
      <c r="S294" s="38" t="n"/>
      <c r="T294" s="43">
        <f>HYPERLINK("https://projects.propublica.org/nonprofits/organizations/366079185/202433109349101803/full","view filing")</f>
        <v/>
      </c>
    </row>
    <row r="295">
      <c r="A295" t="inlineStr">
        <is>
          <t>Joyce Foundation</t>
        </is>
      </c>
      <c r="B295" s="20" t="inlineStr">
        <is>
          <t>IL</t>
        </is>
      </c>
      <c r="C295" s="42" t="n">
        <v>1.21</v>
      </c>
      <c r="D295" t="inlineStr">
        <is>
          <t>Foundation</t>
        </is>
      </c>
      <c r="E295" s="20" t="n">
        <v>2022</v>
      </c>
      <c r="F295" s="20" t="inlineStr"/>
      <c r="G295" t="inlineStr">
        <is>
          <t>Nickol Hackett</t>
        </is>
      </c>
      <c r="H295" t="inlineStr">
        <is>
          <t>Treasurer, Chief Investment Officer</t>
        </is>
      </c>
      <c r="I295" t="inlineStr">
        <is>
          <t>CIO</t>
        </is>
      </c>
      <c r="J295" s="21" t="n"/>
      <c r="K295" s="21" t="n"/>
      <c r="L295" s="21" t="n"/>
      <c r="M295" s="21" t="n"/>
      <c r="N295" s="21" t="n"/>
      <c r="O295" s="21" t="n">
        <v>60871</v>
      </c>
      <c r="P295" s="21" t="n">
        <v>534432</v>
      </c>
      <c r="Q295" s="21" t="n">
        <v>534432</v>
      </c>
      <c r="R295" s="21">
        <f>IF(Q295="","",Q295*(1+in_GrowthRate)^(YEARFRAC(DATE(2022,12,31),in_AgeToDate)*IF(in_AgeToDate&lt;DATE(2022,12,31),-1,1)+1))</f>
        <v/>
      </c>
      <c r="S295" s="38" t="n"/>
      <c r="T295" s="43">
        <f>HYPERLINK("https://projects.propublica.org/nonprofits/organizations/366079185/202303139349103010/full","view filing")</f>
        <v/>
      </c>
    </row>
    <row r="296">
      <c r="A296" t="inlineStr">
        <is>
          <t>Kansas State University Foundation</t>
        </is>
      </c>
      <c r="B296" s="20" t="inlineStr">
        <is>
          <t>KS</t>
        </is>
      </c>
      <c r="C296" s="42" t="n">
        <v>0.9</v>
      </c>
      <c r="D296" t="inlineStr">
        <is>
          <t>Endowment</t>
        </is>
      </c>
      <c r="E296" s="20" t="n">
        <v>2025</v>
      </c>
      <c r="F296" s="20">
        <f>IF(AND(OR(in_Mode="All Funds",AND(C296&gt;=in_BandFloor,C296&lt;=in_BandCeiling,OR(in_Geography="National",COUNTIFS(lst_GeoPreset,in_Geography,lst_GeoState,B296)&gt;0,AND(in_Geography="Custom",ISNUMBER(SEARCH(B296,SUBSTITUTE(in_CustomStates," ",""))))),OR(AND(D296="Endowment",Inputs!$B$14="Y"),AND(D296="Foundation",Inputs!$B$15="Y"),AND(D296="Healthcare",Inputs!$B$16="Y"),AND(D296="Pension",Inputs!$B$17="Y"),AND(D296="OCIO",Inputs!$B$18="Y"),AND(D296="Other",Inputs!$B$19="Y")))),A296&lt;&gt;in_ClientOrg,NOT(AND(in_ExclHarvard="Y",ISNUMBER(SEARCH("Harvard",A296))))),"Y","")</f>
        <v/>
      </c>
      <c r="G296" t="inlineStr">
        <is>
          <t>Paul Chai</t>
        </is>
      </c>
      <c r="H296" t="inlineStr">
        <is>
          <t>VP FOR INVESTMENTS/CIO</t>
        </is>
      </c>
      <c r="I296" t="inlineStr">
        <is>
          <t>CIO</t>
        </is>
      </c>
      <c r="J296" s="21" t="n">
        <v>306013</v>
      </c>
      <c r="K296" s="21" t="n">
        <v>84000</v>
      </c>
      <c r="L296" s="21" t="n">
        <v>390013</v>
      </c>
      <c r="M296" s="21" t="n">
        <v>480</v>
      </c>
      <c r="N296" s="21" t="n">
        <v>28508</v>
      </c>
      <c r="O296" s="21" t="n">
        <v>38307</v>
      </c>
      <c r="P296" s="21" t="n">
        <v>457308</v>
      </c>
      <c r="Q296" s="21" t="n">
        <v>457308</v>
      </c>
      <c r="R296" s="21">
        <f>IF(Q296="","",Q296*(1+in_GrowthRate)^(YEARFRAC(DATE(2025,6,30),in_AgeToDate)*IF(in_AgeToDate&lt;DATE(2025,6,30),-1,1)+1))</f>
        <v/>
      </c>
      <c r="S296" s="38" t="n">
        <v>0.2744981422357874</v>
      </c>
      <c r="T296" s="43">
        <f>HYPERLINK("https://projects.propublica.org/nonprofits/organizations/480667209/202641339349304244/full","view filing")</f>
        <v/>
      </c>
    </row>
    <row r="297">
      <c r="A297" t="inlineStr">
        <is>
          <t>Kansas State University Foundation</t>
        </is>
      </c>
      <c r="B297" s="20" t="inlineStr">
        <is>
          <t>KS</t>
        </is>
      </c>
      <c r="C297" s="42" t="n">
        <v>0.9</v>
      </c>
      <c r="D297" t="inlineStr">
        <is>
          <t>Endowment</t>
        </is>
      </c>
      <c r="E297" s="20" t="n">
        <v>2024</v>
      </c>
      <c r="F297" s="20" t="inlineStr"/>
      <c r="G297" t="inlineStr">
        <is>
          <t>Lois Cox</t>
        </is>
      </c>
      <c r="H297" t="inlineStr">
        <is>
          <t>VP FOR INVESTMENTS/CIO</t>
        </is>
      </c>
      <c r="I297" t="inlineStr">
        <is>
          <t>CIO</t>
        </is>
      </c>
      <c r="J297" s="21" t="n">
        <v>278157</v>
      </c>
      <c r="K297" s="21" t="n">
        <v>330750</v>
      </c>
      <c r="L297" s="21" t="n">
        <v>608907</v>
      </c>
      <c r="M297" s="21" t="n">
        <v>677</v>
      </c>
      <c r="N297" s="21" t="n">
        <v>28702</v>
      </c>
      <c r="O297" s="21" t="n">
        <v>32080</v>
      </c>
      <c r="P297" s="21" t="n">
        <v>670366</v>
      </c>
      <c r="Q297" s="21" t="n">
        <v>670366</v>
      </c>
      <c r="R297" s="21">
        <f>IF(Q297="","",Q297*(1+in_GrowthRate)^(YEARFRAC(DATE(2024,6,30),in_AgeToDate)*IF(in_AgeToDate&lt;DATE(2024,6,30),-1,1)+1))</f>
        <v/>
      </c>
      <c r="S297" s="38" t="n">
        <v>1.189076672526667</v>
      </c>
      <c r="T297" s="43">
        <f>HYPERLINK("https://projects.propublica.org/nonprofits/organizations/480667209/202541349349305449/full","view filing")</f>
        <v/>
      </c>
    </row>
    <row r="298">
      <c r="A298" t="inlineStr">
        <is>
          <t>Kansas State University Foundation</t>
        </is>
      </c>
      <c r="B298" s="20" t="inlineStr">
        <is>
          <t>KS</t>
        </is>
      </c>
      <c r="C298" s="42" t="n">
        <v>0.9</v>
      </c>
      <c r="D298" t="inlineStr">
        <is>
          <t>Endowment</t>
        </is>
      </c>
      <c r="E298" s="20" t="n">
        <v>2023</v>
      </c>
      <c r="F298" s="20" t="inlineStr"/>
      <c r="G298" t="inlineStr">
        <is>
          <t>Lois Cox</t>
        </is>
      </c>
      <c r="H298" t="inlineStr">
        <is>
          <t>VP FOR INVESTMENTS/CIO</t>
        </is>
      </c>
      <c r="I298" t="inlineStr">
        <is>
          <t>CIO</t>
        </is>
      </c>
      <c r="J298" s="21" t="n">
        <v>315546</v>
      </c>
      <c r="K298" s="21" t="n">
        <v>315000</v>
      </c>
      <c r="L298" s="21" t="n">
        <v>630546</v>
      </c>
      <c r="M298" s="21" t="n">
        <v>1066</v>
      </c>
      <c r="N298" s="21" t="n">
        <v>178035</v>
      </c>
      <c r="O298" s="21" t="n">
        <v>31951</v>
      </c>
      <c r="P298" s="21" t="n">
        <v>841598</v>
      </c>
      <c r="Q298" s="21" t="n">
        <v>841598</v>
      </c>
      <c r="R298" s="21">
        <f>IF(Q298="","",Q298*(1+in_GrowthRate)^(YEARFRAC(DATE(2023,6,30),in_AgeToDate)*IF(in_AgeToDate&lt;DATE(2023,6,30),-1,1)+1))</f>
        <v/>
      </c>
      <c r="S298" s="38" t="n">
        <v>0.9982696659124185</v>
      </c>
      <c r="T298" s="43">
        <f>HYPERLINK("https://projects.propublica.org/nonprofits/organizations/480667209/202411359349308191/full","view filing")</f>
        <v/>
      </c>
    </row>
    <row r="299">
      <c r="A299" t="inlineStr">
        <is>
          <t>Kansas State University Foundation</t>
        </is>
      </c>
      <c r="B299" s="20" t="inlineStr">
        <is>
          <t>KS</t>
        </is>
      </c>
      <c r="C299" s="42" t="n">
        <v>0.9</v>
      </c>
      <c r="D299" t="inlineStr">
        <is>
          <t>Endowment</t>
        </is>
      </c>
      <c r="E299" s="20" t="n">
        <v>2022</v>
      </c>
      <c r="F299" s="20" t="inlineStr"/>
      <c r="G299" t="inlineStr">
        <is>
          <t>Lois Cox</t>
        </is>
      </c>
      <c r="H299" t="inlineStr">
        <is>
          <t>VP FOR INVESTMENTS/CIO</t>
        </is>
      </c>
      <c r="I299" t="inlineStr">
        <is>
          <t>CIO</t>
        </is>
      </c>
      <c r="J299" s="21" t="n">
        <v>302675</v>
      </c>
      <c r="K299" s="21" t="n">
        <v>300000</v>
      </c>
      <c r="L299" s="21" t="n">
        <v>602675</v>
      </c>
      <c r="M299" s="21" t="n">
        <v>648</v>
      </c>
      <c r="N299" s="21" t="n">
        <v>30808</v>
      </c>
      <c r="O299" s="21" t="n">
        <v>27320</v>
      </c>
      <c r="P299" s="21" t="n">
        <v>661451</v>
      </c>
      <c r="Q299" s="21" t="n">
        <v>661451</v>
      </c>
      <c r="R299" s="21">
        <f>IF(Q299="","",Q299*(1+in_GrowthRate)^(YEARFRAC(DATE(2022,6,30),in_AgeToDate)*IF(in_AgeToDate&lt;DATE(2022,6,30),-1,1)+1))</f>
        <v/>
      </c>
      <c r="S299" s="38" t="n">
        <v>0.9911621376063434</v>
      </c>
      <c r="T299" s="43">
        <f>HYPERLINK("https://projects.propublica.org/nonprofits/organizations/480667209/202321359349303907/full","view filing")</f>
        <v/>
      </c>
    </row>
    <row r="300">
      <c r="A300" t="inlineStr">
        <is>
          <t>Kansas University Endowment Assoc</t>
        </is>
      </c>
      <c r="B300" s="20" t="inlineStr">
        <is>
          <t>KS</t>
        </is>
      </c>
      <c r="C300" s="42" t="n">
        <v>2.69</v>
      </c>
      <c r="D300" t="inlineStr">
        <is>
          <t>Endowment</t>
        </is>
      </c>
      <c r="E300" s="20" t="n">
        <v>2025</v>
      </c>
      <c r="F300" s="20">
        <f>IF(AND(OR(in_Mode="All Funds",AND(C300&gt;=in_BandFloor,C300&lt;=in_BandCeiling,OR(in_Geography="National",COUNTIFS(lst_GeoPreset,in_Geography,lst_GeoState,B300)&gt;0,AND(in_Geography="Custom",ISNUMBER(SEARCH(B300,SUBSTITUTE(in_CustomStates," ",""))))),OR(AND(D300="Endowment",Inputs!$B$14="Y"),AND(D300="Foundation",Inputs!$B$15="Y"),AND(D300="Healthcare",Inputs!$B$16="Y"),AND(D300="Pension",Inputs!$B$17="Y"),AND(D300="OCIO",Inputs!$B$18="Y"),AND(D300="Other",Inputs!$B$19="Y")))),A300&lt;&gt;in_ClientOrg,NOT(AND(in_ExclHarvard="Y",ISNUMBER(SEARCH("Harvard",A300))))),"Y","")</f>
        <v/>
      </c>
      <c r="G300" t="inlineStr">
        <is>
          <t>James G Clarke</t>
        </is>
      </c>
      <c r="H300" t="inlineStr">
        <is>
          <t>Treasurer/SVP Chief Investment Officer</t>
        </is>
      </c>
      <c r="I300" t="inlineStr">
        <is>
          <t>CIO</t>
        </is>
      </c>
      <c r="J300" s="21" t="n">
        <v>418904</v>
      </c>
      <c r="K300" s="21" t="n">
        <v>288522</v>
      </c>
      <c r="L300" s="21" t="n">
        <v>707426</v>
      </c>
      <c r="M300" s="21" t="n"/>
      <c r="N300" s="21" t="n">
        <v>76940</v>
      </c>
      <c r="O300" s="21" t="n">
        <v>767</v>
      </c>
      <c r="P300" s="21" t="n">
        <v>785133</v>
      </c>
      <c r="Q300" s="21" t="n">
        <v>785133</v>
      </c>
      <c r="R300" s="21">
        <f>IF(Q300="","",Q300*(1+in_GrowthRate)^(YEARFRAC(DATE(2025,6,30),in_AgeToDate)*IF(in_AgeToDate&lt;DATE(2025,6,30),-1,1)+1))</f>
        <v/>
      </c>
      <c r="S300" s="38" t="n">
        <v>0.6887544640299448</v>
      </c>
      <c r="T300" s="43">
        <f>HYPERLINK("https://projects.propublica.org/nonprofits/organizations/480547734/202631329349306968/full","view filing")</f>
        <v/>
      </c>
    </row>
    <row r="301">
      <c r="A301" t="inlineStr">
        <is>
          <t>Kansas University Endowment Assoc</t>
        </is>
      </c>
      <c r="B301" s="20" t="inlineStr">
        <is>
          <t>KS</t>
        </is>
      </c>
      <c r="C301" s="42" t="n">
        <v>2.69</v>
      </c>
      <c r="D301" t="inlineStr">
        <is>
          <t>Endowment</t>
        </is>
      </c>
      <c r="E301" s="20" t="n">
        <v>2024</v>
      </c>
      <c r="F301" s="20" t="inlineStr"/>
      <c r="G301" t="inlineStr">
        <is>
          <t>James G Clarke</t>
        </is>
      </c>
      <c r="H301" t="inlineStr">
        <is>
          <t>Treasurer/SVP Chief Investment Officer</t>
        </is>
      </c>
      <c r="I301" t="inlineStr">
        <is>
          <t>CIO</t>
        </is>
      </c>
      <c r="J301" s="21" t="n">
        <v>395207</v>
      </c>
      <c r="K301" s="21" t="n">
        <v>352787</v>
      </c>
      <c r="L301" s="21" t="n">
        <v>747994</v>
      </c>
      <c r="M301" s="21" t="n"/>
      <c r="N301" s="21" t="n">
        <v>141608</v>
      </c>
      <c r="O301" s="21" t="n">
        <v>791</v>
      </c>
      <c r="P301" s="21" t="n">
        <v>890393</v>
      </c>
      <c r="Q301" s="21" t="n">
        <v>890393</v>
      </c>
      <c r="R301" s="21">
        <f>IF(Q301="","",Q301*(1+in_GrowthRate)^(YEARFRAC(DATE(2024,6,30),in_AgeToDate)*IF(in_AgeToDate&lt;DATE(2024,6,30),-1,1)+1))</f>
        <v/>
      </c>
      <c r="S301" s="38" t="n">
        <v>0.892663844516924</v>
      </c>
      <c r="T301" s="43">
        <f>HYPERLINK("https://projects.propublica.org/nonprofits/organizations/480547734/202501339349304880/full","view filing")</f>
        <v/>
      </c>
    </row>
    <row r="302">
      <c r="A302" t="inlineStr">
        <is>
          <t>Kresge Foundation</t>
        </is>
      </c>
      <c r="B302" s="20" t="inlineStr">
        <is>
          <t>MI</t>
        </is>
      </c>
      <c r="C302" s="42" t="n">
        <v>3.96</v>
      </c>
      <c r="D302" t="inlineStr">
        <is>
          <t>Foundation</t>
        </is>
      </c>
      <c r="E302" s="20" t="n">
        <v>2024</v>
      </c>
      <c r="F302" s="20">
        <f>IF(AND(OR(in_Mode="All Funds",AND(C302&gt;=in_BandFloor,C302&lt;=in_BandCeiling,OR(in_Geography="National",COUNTIFS(lst_GeoPreset,in_Geography,lst_GeoState,B302)&gt;0,AND(in_Geography="Custom",ISNUMBER(SEARCH(B302,SUBSTITUTE(in_CustomStates," ",""))))),OR(AND(D302="Endowment",Inputs!$B$14="Y"),AND(D302="Foundation",Inputs!$B$15="Y"),AND(D302="Healthcare",Inputs!$B$16="Y"),AND(D302="Pension",Inputs!$B$17="Y"),AND(D302="OCIO",Inputs!$B$18="Y"),AND(D302="Other",Inputs!$B$19="Y")))),A302&lt;&gt;in_ClientOrg,NOT(AND(in_ExclHarvard="Y",ISNUMBER(SEARCH("Harvard",A302))))),"Y","")</f>
        <v/>
      </c>
      <c r="G302" t="inlineStr">
        <is>
          <t>John Barker Stmt 24</t>
        </is>
      </c>
      <c r="H302" t="inlineStr">
        <is>
          <t>VP &amp; CIO</t>
        </is>
      </c>
      <c r="I302" t="inlineStr">
        <is>
          <t>CIO</t>
        </is>
      </c>
      <c r="J302" s="21" t="n"/>
      <c r="K302" s="21" t="n"/>
      <c r="L302" s="21" t="n"/>
      <c r="M302" s="21" t="n"/>
      <c r="N302" s="21" t="n"/>
      <c r="O302" s="21" t="n">
        <v>1226823</v>
      </c>
      <c r="P302" s="21" t="n">
        <v>2419127</v>
      </c>
      <c r="Q302" s="21" t="n">
        <v>2419127</v>
      </c>
      <c r="R302" s="21">
        <f>IF(Q302="","",Q302*(1+in_GrowthRate)^(YEARFRAC(DATE(2024,12,31),in_AgeToDate)*IF(in_AgeToDate&lt;DATE(2024,12,31),-1,1)+1))</f>
        <v/>
      </c>
      <c r="S302" s="38" t="n"/>
      <c r="T302" s="43">
        <f>HYPERLINK("https://projects.propublica.org/nonprofits/organizations/381359217/202513169349101931/full","view filing")</f>
        <v/>
      </c>
    </row>
    <row r="303">
      <c r="A303" t="inlineStr">
        <is>
          <t>Kresge Foundation</t>
        </is>
      </c>
      <c r="B303" s="20" t="inlineStr">
        <is>
          <t>MI</t>
        </is>
      </c>
      <c r="C303" s="42" t="n">
        <v>3.96</v>
      </c>
      <c r="D303" t="inlineStr">
        <is>
          <t>Foundation</t>
        </is>
      </c>
      <c r="E303" s="20" t="n">
        <v>2023</v>
      </c>
      <c r="F303" s="20" t="inlineStr"/>
      <c r="G303" t="inlineStr">
        <is>
          <t>John Barker Stmt 23</t>
        </is>
      </c>
      <c r="H303" t="inlineStr">
        <is>
          <t>VP &amp; CIO</t>
        </is>
      </c>
      <c r="I303" t="inlineStr">
        <is>
          <t>CIO</t>
        </is>
      </c>
      <c r="J303" s="21" t="n"/>
      <c r="K303" s="21" t="n"/>
      <c r="L303" s="21" t="n"/>
      <c r="M303" s="21" t="n"/>
      <c r="N303" s="21" t="n"/>
      <c r="O303" s="21" t="n">
        <v>450339</v>
      </c>
      <c r="P303" s="21" t="n">
        <v>1548856</v>
      </c>
      <c r="Q303" s="21" t="n">
        <v>1548856</v>
      </c>
      <c r="R303" s="21">
        <f>IF(Q303="","",Q303*(1+in_GrowthRate)^(YEARFRAC(DATE(2023,12,31),in_AgeToDate)*IF(in_AgeToDate&lt;DATE(2023,12,31),-1,1)+1))</f>
        <v/>
      </c>
      <c r="S303" s="38" t="n"/>
      <c r="T303" s="43">
        <f>HYPERLINK("https://projects.propublica.org/nonprofits/organizations/381359217/202413199349106071/full","view filing")</f>
        <v/>
      </c>
    </row>
    <row r="304">
      <c r="A304" t="inlineStr">
        <is>
          <t>Kresge Foundation</t>
        </is>
      </c>
      <c r="B304" s="20" t="inlineStr">
        <is>
          <t>MI</t>
        </is>
      </c>
      <c r="C304" s="42" t="n">
        <v>3.96</v>
      </c>
      <c r="D304" t="inlineStr">
        <is>
          <t>Foundation</t>
        </is>
      </c>
      <c r="E304" s="20" t="n">
        <v>2022</v>
      </c>
      <c r="F304" s="20" t="inlineStr"/>
      <c r="G304" t="inlineStr">
        <is>
          <t>Robert J Manilla Stmt 24</t>
        </is>
      </c>
      <c r="H304" t="inlineStr">
        <is>
          <t>VP &amp; CIO (ENDED 7/1/22)</t>
        </is>
      </c>
      <c r="I304" t="inlineStr">
        <is>
          <t>CIO</t>
        </is>
      </c>
      <c r="J304" s="21" t="n"/>
      <c r="K304" s="21" t="n"/>
      <c r="L304" s="21" t="n"/>
      <c r="M304" s="21" t="n"/>
      <c r="N304" s="21" t="n"/>
      <c r="O304" s="21" t="n">
        <v>708500</v>
      </c>
      <c r="P304" s="21" t="n">
        <v>1725534</v>
      </c>
      <c r="Q304" s="21" t="n">
        <v>1725534</v>
      </c>
      <c r="R304" s="21">
        <f>IF(Q304="","",Q304*(1+in_GrowthRate)^(YEARFRAC(DATE(2022,12,31),in_AgeToDate)*IF(in_AgeToDate&lt;DATE(2022,12,31),-1,1)+1))</f>
        <v/>
      </c>
      <c r="S304" s="38" t="n"/>
      <c r="T304" s="43">
        <f>HYPERLINK("https://projects.propublica.org/nonprofits/organizations/381359217/202333179349102048/full","view filing")</f>
        <v/>
      </c>
    </row>
    <row r="305">
      <c r="A305" t="inlineStr">
        <is>
          <t>Lafayette College</t>
        </is>
      </c>
      <c r="B305" s="20" t="inlineStr">
        <is>
          <t>PA</t>
        </is>
      </c>
      <c r="C305" s="42" t="n">
        <v>1.2</v>
      </c>
      <c r="D305" t="inlineStr">
        <is>
          <t>Endowment</t>
        </is>
      </c>
      <c r="E305" s="20" t="n">
        <v>2025</v>
      </c>
      <c r="F305" s="20">
        <f>IF(AND(OR(in_Mode="All Funds",AND(C305&gt;=in_BandFloor,C305&lt;=in_BandCeiling,OR(in_Geography="National",COUNTIFS(lst_GeoPreset,in_Geography,lst_GeoState,B305)&gt;0,AND(in_Geography="Custom",ISNUMBER(SEARCH(B305,SUBSTITUTE(in_CustomStates," ",""))))),OR(AND(D305="Endowment",Inputs!$B$14="Y"),AND(D305="Foundation",Inputs!$B$15="Y"),AND(D305="Healthcare",Inputs!$B$16="Y"),AND(D305="Pension",Inputs!$B$17="Y"),AND(D305="OCIO",Inputs!$B$18="Y"),AND(D305="Other",Inputs!$B$19="Y")))),A305&lt;&gt;in_ClientOrg,NOT(AND(in_ExclHarvard="Y",ISNUMBER(SEARCH("Harvard",A305))))),"Y","")</f>
        <v/>
      </c>
      <c r="G305" t="inlineStr">
        <is>
          <t>Krishna Memani</t>
        </is>
      </c>
      <c r="H305" t="inlineStr">
        <is>
          <t>CHIEF INVESTMENT OFFICER</t>
        </is>
      </c>
      <c r="I305" t="inlineStr">
        <is>
          <t>CIO</t>
        </is>
      </c>
      <c r="J305" s="21" t="n">
        <v>446244</v>
      </c>
      <c r="K305" s="21" t="n">
        <v>498735</v>
      </c>
      <c r="L305" s="21" t="n">
        <v>944979</v>
      </c>
      <c r="M305" s="21" t="n">
        <v>15570</v>
      </c>
      <c r="N305" s="21" t="n">
        <v>32775</v>
      </c>
      <c r="O305" s="21" t="n">
        <v>16464</v>
      </c>
      <c r="P305" s="21" t="n">
        <v>1009788</v>
      </c>
      <c r="Q305" s="21" t="n">
        <v>1009788</v>
      </c>
      <c r="R305" s="21">
        <f>IF(Q305="","",Q305*(1+in_GrowthRate)^(YEARFRAC(DATE(2025,6,30),in_AgeToDate)*IF(in_AgeToDate&lt;DATE(2025,6,30),-1,1)+1))</f>
        <v/>
      </c>
      <c r="S305" s="38" t="n">
        <v>1.117628472315594</v>
      </c>
      <c r="T305" s="43">
        <f>HYPERLINK("https://projects.propublica.org/nonprofits/organizations/240795686/202611349349301311/full","view filing")</f>
        <v/>
      </c>
    </row>
    <row r="306">
      <c r="A306" t="inlineStr">
        <is>
          <t>Lafayette College</t>
        </is>
      </c>
      <c r="B306" s="20" t="inlineStr">
        <is>
          <t>PA</t>
        </is>
      </c>
      <c r="C306" s="42" t="n">
        <v>1.2</v>
      </c>
      <c r="D306" t="inlineStr">
        <is>
          <t>Endowment</t>
        </is>
      </c>
      <c r="E306" s="20" t="n">
        <v>2024</v>
      </c>
      <c r="F306" s="20" t="inlineStr"/>
      <c r="G306" t="inlineStr">
        <is>
          <t>Krishna Memani</t>
        </is>
      </c>
      <c r="H306" t="inlineStr">
        <is>
          <t>CHIEF INVESTMENT OFFICER</t>
        </is>
      </c>
      <c r="I306" t="inlineStr">
        <is>
          <t>CIO</t>
        </is>
      </c>
      <c r="J306" s="21" t="n">
        <v>426044</v>
      </c>
      <c r="K306" s="21" t="n">
        <v>500000</v>
      </c>
      <c r="L306" s="21" t="n">
        <v>926044</v>
      </c>
      <c r="M306" s="21" t="n">
        <v>13895</v>
      </c>
      <c r="N306" s="21" t="n">
        <v>31350</v>
      </c>
      <c r="O306" s="21" t="n">
        <v>15720</v>
      </c>
      <c r="P306" s="21" t="n">
        <v>987009</v>
      </c>
      <c r="Q306" s="21" t="n">
        <v>987009</v>
      </c>
      <c r="R306" s="21">
        <f>IF(Q306="","",Q306*(1+in_GrowthRate)^(YEARFRAC(DATE(2024,6,30),in_AgeToDate)*IF(in_AgeToDate&lt;DATE(2024,6,30),-1,1)+1))</f>
        <v/>
      </c>
      <c r="S306" s="38" t="n">
        <v>1.173587704556337</v>
      </c>
      <c r="T306" s="43">
        <f>HYPERLINK("https://projects.propublica.org/nonprofits/organizations/240795686/202531349349305958/full","view filing")</f>
        <v/>
      </c>
    </row>
    <row r="307">
      <c r="A307" t="inlineStr">
        <is>
          <t>Lafayette College</t>
        </is>
      </c>
      <c r="B307" s="20" t="inlineStr">
        <is>
          <t>PA</t>
        </is>
      </c>
      <c r="C307" s="42" t="n">
        <v>1.2</v>
      </c>
      <c r="D307" t="inlineStr">
        <is>
          <t>Endowment</t>
        </is>
      </c>
      <c r="E307" s="20" t="n">
        <v>2023</v>
      </c>
      <c r="F307" s="20" t="inlineStr"/>
      <c r="G307" t="inlineStr">
        <is>
          <t>Krishna Memani</t>
        </is>
      </c>
      <c r="H307" t="inlineStr">
        <is>
          <t>CHIEF INVESTMENT OFFICER</t>
        </is>
      </c>
      <c r="I307" t="inlineStr">
        <is>
          <t>CIO</t>
        </is>
      </c>
      <c r="J307" s="21" t="n">
        <v>412500</v>
      </c>
      <c r="K307" s="21" t="n">
        <v>412500</v>
      </c>
      <c r="L307" s="21" t="n">
        <v>825000</v>
      </c>
      <c r="M307" s="21" t="n">
        <v>13895</v>
      </c>
      <c r="N307" s="21" t="n">
        <v>28975</v>
      </c>
      <c r="O307" s="21" t="n">
        <v>14957</v>
      </c>
      <c r="P307" s="21" t="n">
        <v>882827</v>
      </c>
      <c r="Q307" s="21" t="n">
        <v>882827</v>
      </c>
      <c r="R307" s="21">
        <f>IF(Q307="","",Q307*(1+in_GrowthRate)^(YEARFRAC(DATE(2023,6,30),in_AgeToDate)*IF(in_AgeToDate&lt;DATE(2023,6,30),-1,1)+1))</f>
        <v/>
      </c>
      <c r="S307" s="38" t="n">
        <v>1</v>
      </c>
      <c r="T307" s="43">
        <f>HYPERLINK("https://projects.propublica.org/nonprofits/organizations/240795686/202431219349301968/full","view filing")</f>
        <v/>
      </c>
    </row>
    <row r="308">
      <c r="A308" t="inlineStr">
        <is>
          <t>Lafayette College</t>
        </is>
      </c>
      <c r="B308" s="20" t="inlineStr">
        <is>
          <t>PA</t>
        </is>
      </c>
      <c r="C308" s="42" t="n">
        <v>1.2</v>
      </c>
      <c r="D308" t="inlineStr">
        <is>
          <t>Endowment</t>
        </is>
      </c>
      <c r="E308" s="20" t="n">
        <v>2022</v>
      </c>
      <c r="F308" s="20" t="inlineStr"/>
      <c r="G308" t="inlineStr">
        <is>
          <t>Krishna Memani</t>
        </is>
      </c>
      <c r="H308" t="inlineStr">
        <is>
          <t>CHIEF INVESTMENT OFFICER</t>
        </is>
      </c>
      <c r="I308" t="inlineStr">
        <is>
          <t>CIO</t>
        </is>
      </c>
      <c r="J308" s="21" t="n">
        <v>389973</v>
      </c>
      <c r="K308" s="21" t="n">
        <v>321406</v>
      </c>
      <c r="L308" s="21" t="n">
        <v>711379</v>
      </c>
      <c r="M308" s="21" t="n">
        <v>2791</v>
      </c>
      <c r="N308" s="21" t="n">
        <v>27550</v>
      </c>
      <c r="O308" s="21" t="n">
        <v>25119</v>
      </c>
      <c r="P308" s="21" t="n">
        <v>766839</v>
      </c>
      <c r="Q308" s="21" t="n">
        <v>766839</v>
      </c>
      <c r="R308" s="21">
        <f>IF(Q308="","",Q308*(1+in_GrowthRate)^(YEARFRAC(DATE(2022,6,30),in_AgeToDate)*IF(in_AgeToDate&lt;DATE(2022,6,30),-1,1)+1))</f>
        <v/>
      </c>
      <c r="S308" s="38" t="n">
        <v>0.8241750069876632</v>
      </c>
      <c r="T308" s="43">
        <f>HYPERLINK("https://projects.propublica.org/nonprofits/organizations/240795686/202341359349302749/full","view filing")</f>
        <v/>
      </c>
    </row>
    <row r="309">
      <c r="A309" t="inlineStr">
        <is>
          <t>Lehigh University</t>
        </is>
      </c>
      <c r="B309" s="20" t="inlineStr">
        <is>
          <t>PA</t>
        </is>
      </c>
      <c r="C309" s="42" t="n">
        <v>2</v>
      </c>
      <c r="D309" t="inlineStr">
        <is>
          <t>Endowment</t>
        </is>
      </c>
      <c r="E309" s="20" t="n">
        <v>2025</v>
      </c>
      <c r="F309" s="20">
        <f>IF(AND(OR(in_Mode="All Funds",AND(C309&gt;=in_BandFloor,C309&lt;=in_BandCeiling,OR(in_Geography="National",COUNTIFS(lst_GeoPreset,in_Geography,lst_GeoState,B309)&gt;0,AND(in_Geography="Custom",ISNUMBER(SEARCH(B309,SUBSTITUTE(in_CustomStates," ",""))))),OR(AND(D309="Endowment",Inputs!$B$14="Y"),AND(D309="Foundation",Inputs!$B$15="Y"),AND(D309="Healthcare",Inputs!$B$16="Y"),AND(D309="Pension",Inputs!$B$17="Y"),AND(D309="OCIO",Inputs!$B$18="Y"),AND(D309="Other",Inputs!$B$19="Y")))),A309&lt;&gt;in_ClientOrg,NOT(AND(in_ExclHarvard="Y",ISNUMBER(SEARCH("Harvard",A309))))),"Y","")</f>
        <v/>
      </c>
      <c r="G309" t="inlineStr">
        <is>
          <t>Kristin Agatone</t>
        </is>
      </c>
      <c r="H309" t="inlineStr">
        <is>
          <t>CHIEF INVESTMENT OFF.</t>
        </is>
      </c>
      <c r="I309" t="inlineStr">
        <is>
          <t>CIO</t>
        </is>
      </c>
      <c r="J309" s="21" t="n">
        <v>561923</v>
      </c>
      <c r="K309" s="21" t="n">
        <v>807055</v>
      </c>
      <c r="L309" s="21" t="n">
        <v>1368978</v>
      </c>
      <c r="M309" s="21" t="n">
        <v>619</v>
      </c>
      <c r="N309" s="21" t="n">
        <v>33918</v>
      </c>
      <c r="O309" s="21" t="n">
        <v>26195</v>
      </c>
      <c r="P309" s="21" t="n">
        <v>1429710</v>
      </c>
      <c r="Q309" s="21" t="n">
        <v>1429710</v>
      </c>
      <c r="R309" s="21">
        <f>IF(Q309="","",Q309*(1+in_GrowthRate)^(YEARFRAC(DATE(2025,6,30),in_AgeToDate)*IF(in_AgeToDate&lt;DATE(2025,6,30),-1,1)+1))</f>
        <v/>
      </c>
      <c r="S309" s="38" t="n">
        <v>1.43623770516601</v>
      </c>
      <c r="T309" s="43">
        <f>HYPERLINK("https://projects.propublica.org/nonprofits/organizations/240795445/202610899349301306/full","view filing")</f>
        <v/>
      </c>
    </row>
    <row r="310">
      <c r="A310" t="inlineStr">
        <is>
          <t>Lehigh University</t>
        </is>
      </c>
      <c r="B310" s="20" t="inlineStr">
        <is>
          <t>PA</t>
        </is>
      </c>
      <c r="C310" s="42" t="n">
        <v>2</v>
      </c>
      <c r="D310" t="inlineStr">
        <is>
          <t>Endowment</t>
        </is>
      </c>
      <c r="E310" s="20" t="n">
        <v>2024</v>
      </c>
      <c r="F310" s="20" t="inlineStr"/>
      <c r="G310" t="inlineStr">
        <is>
          <t>Kristin Agatone</t>
        </is>
      </c>
      <c r="H310" t="inlineStr">
        <is>
          <t>CHIEF INVESTMENT OFF.</t>
        </is>
      </c>
      <c r="I310" t="inlineStr">
        <is>
          <t>CIO</t>
        </is>
      </c>
      <c r="J310" s="21" t="n">
        <v>547573</v>
      </c>
      <c r="K310" s="21" t="n">
        <v>893981</v>
      </c>
      <c r="L310" s="21" t="n">
        <v>1441554</v>
      </c>
      <c r="M310" s="21" t="n">
        <v>593</v>
      </c>
      <c r="N310" s="21" t="n">
        <v>36535</v>
      </c>
      <c r="O310" s="21" t="n">
        <v>5471</v>
      </c>
      <c r="P310" s="21" t="n">
        <v>1484153</v>
      </c>
      <c r="Q310" s="21" t="n">
        <v>1484153</v>
      </c>
      <c r="R310" s="21">
        <f>IF(Q310="","",Q310*(1+in_GrowthRate)^(YEARFRAC(DATE(2024,6,30),in_AgeToDate)*IF(in_AgeToDate&lt;DATE(2024,6,30),-1,1)+1))</f>
        <v/>
      </c>
      <c r="S310" s="38" t="n">
        <v>1.632624325888968</v>
      </c>
      <c r="T310" s="43">
        <f>HYPERLINK("https://projects.propublica.org/nonprofits/organizations/240795445/202511159349301861/full","view filing")</f>
        <v/>
      </c>
    </row>
    <row r="311">
      <c r="A311" t="inlineStr">
        <is>
          <t>Lehigh University</t>
        </is>
      </c>
      <c r="B311" s="20" t="inlineStr">
        <is>
          <t>PA</t>
        </is>
      </c>
      <c r="C311" s="42" t="n">
        <v>2</v>
      </c>
      <c r="D311" t="inlineStr">
        <is>
          <t>Endowment</t>
        </is>
      </c>
      <c r="E311" s="20" t="n">
        <v>2023</v>
      </c>
      <c r="F311" s="20" t="inlineStr"/>
      <c r="G311" t="inlineStr">
        <is>
          <t>Kristin Agatone</t>
        </is>
      </c>
      <c r="H311" t="inlineStr">
        <is>
          <t>CHIEF INVESTMENT OFF.</t>
        </is>
      </c>
      <c r="I311" t="inlineStr">
        <is>
          <t>CIO</t>
        </is>
      </c>
      <c r="J311" s="21" t="n">
        <v>533705</v>
      </c>
      <c r="K311" s="21" t="n">
        <v>815980</v>
      </c>
      <c r="L311" s="21" t="n">
        <v>1349685</v>
      </c>
      <c r="M311" s="21" t="n">
        <v>568</v>
      </c>
      <c r="N311" s="21" t="n">
        <v>28407</v>
      </c>
      <c r="O311" s="21" t="n">
        <v>1895</v>
      </c>
      <c r="P311" s="21" t="n">
        <v>1380555</v>
      </c>
      <c r="Q311" s="21" t="n">
        <v>1380555</v>
      </c>
      <c r="R311" s="21">
        <f>IF(Q311="","",Q311*(1+in_GrowthRate)^(YEARFRAC(DATE(2023,6,30),in_AgeToDate)*IF(in_AgeToDate&lt;DATE(2023,6,30),-1,1)+1))</f>
        <v/>
      </c>
      <c r="S311" s="38" t="n">
        <v>1.528897049868373</v>
      </c>
      <c r="T311" s="43">
        <f>HYPERLINK("https://projects.propublica.org/nonprofits/organizations/240795445/202421079349301702/full","view filing")</f>
        <v/>
      </c>
    </row>
    <row r="312">
      <c r="A312" t="inlineStr">
        <is>
          <t>Lehigh University</t>
        </is>
      </c>
      <c r="B312" s="20" t="inlineStr">
        <is>
          <t>PA</t>
        </is>
      </c>
      <c r="C312" s="42" t="n">
        <v>2</v>
      </c>
      <c r="D312" t="inlineStr">
        <is>
          <t>Endowment</t>
        </is>
      </c>
      <c r="E312" s="20" t="n">
        <v>2022</v>
      </c>
      <c r="F312" s="20" t="inlineStr"/>
      <c r="G312" t="inlineStr">
        <is>
          <t>Kristin Agatone</t>
        </is>
      </c>
      <c r="H312" t="inlineStr">
        <is>
          <t>CHIEF INVESTMENT OFF.</t>
        </is>
      </c>
      <c r="I312" t="inlineStr">
        <is>
          <t>CIO</t>
        </is>
      </c>
      <c r="J312" s="21" t="n">
        <v>519625</v>
      </c>
      <c r="K312" s="21" t="n">
        <v>789247</v>
      </c>
      <c r="L312" s="21" t="n">
        <v>1308872</v>
      </c>
      <c r="M312" s="21" t="n">
        <v>556</v>
      </c>
      <c r="N312" s="21" t="n">
        <v>27157</v>
      </c>
      <c r="O312" s="21" t="n">
        <v>2276</v>
      </c>
      <c r="P312" s="21" t="n">
        <v>1338861</v>
      </c>
      <c r="Q312" s="21" t="n">
        <v>1338861</v>
      </c>
      <c r="R312" s="21">
        <f>IF(Q312="","",Q312*(1+in_GrowthRate)^(YEARFRAC(DATE(2022,6,30),in_AgeToDate)*IF(in_AgeToDate&lt;DATE(2022,6,30),-1,1)+1))</f>
        <v/>
      </c>
      <c r="S312" s="38" t="n">
        <v>1.518878037045947</v>
      </c>
      <c r="T312" s="43">
        <f>HYPERLINK("https://projects.propublica.org/nonprofits/organizations/240795445/202340799349300989/full","view filing")</f>
        <v/>
      </c>
    </row>
    <row r="313">
      <c r="A313" t="inlineStr">
        <is>
          <t>Leona M &amp; Harry B Helmsley Charitable Trust</t>
        </is>
      </c>
      <c r="B313" s="20" t="inlineStr">
        <is>
          <t>NY</t>
        </is>
      </c>
      <c r="C313" s="42" t="n">
        <v>6.99</v>
      </c>
      <c r="D313" t="inlineStr">
        <is>
          <t>Foundation</t>
        </is>
      </c>
      <c r="E313" s="20" t="n">
        <v>2025</v>
      </c>
      <c r="F313" s="20">
        <f>IF(AND(OR(in_Mode="All Funds",AND(C313&gt;=in_BandFloor,C313&lt;=in_BandCeiling,OR(in_Geography="National",COUNTIFS(lst_GeoPreset,in_Geography,lst_GeoState,B313)&gt;0,AND(in_Geography="Custom",ISNUMBER(SEARCH(B313,SUBSTITUTE(in_CustomStates," ",""))))),OR(AND(D313="Endowment",Inputs!$B$14="Y"),AND(D313="Foundation",Inputs!$B$15="Y"),AND(D313="Healthcare",Inputs!$B$16="Y"),AND(D313="Pension",Inputs!$B$17="Y"),AND(D313="OCIO",Inputs!$B$18="Y"),AND(D313="Other",Inputs!$B$19="Y")))),A313&lt;&gt;in_ClientOrg,NOT(AND(in_ExclHarvard="Y",ISNUMBER(SEARCH("Harvard",A313))))),"Y","")</f>
        <v/>
      </c>
      <c r="G313" t="inlineStr">
        <is>
          <t>Joshua W Fenton</t>
        </is>
      </c>
      <c r="H313" t="inlineStr">
        <is>
          <t>CHIEF INVESTMENT OFFICER</t>
        </is>
      </c>
      <c r="I313" t="inlineStr">
        <is>
          <t>CIO</t>
        </is>
      </c>
      <c r="J313" s="21" t="n"/>
      <c r="K313" s="21" t="n"/>
      <c r="L313" s="21" t="n"/>
      <c r="M313" s="21" t="n"/>
      <c r="N313" s="21" t="n"/>
      <c r="O313" s="21" t="n">
        <v>237966</v>
      </c>
      <c r="P313" s="21" t="n">
        <v>1255543</v>
      </c>
      <c r="Q313" s="21" t="n">
        <v>1255543</v>
      </c>
      <c r="R313" s="21">
        <f>IF(Q313="","",Q313*(1+in_GrowthRate)^(YEARFRAC(DATE(2025,3,31),in_AgeToDate)*IF(in_AgeToDate&lt;DATE(2025,3,31),-1,1)+1))</f>
        <v/>
      </c>
      <c r="S313" s="38" t="n"/>
      <c r="T313" s="43">
        <f>HYPERLINK("https://projects.propublica.org/nonprofits/organizations/137184401/202600369349100525/full","view filing")</f>
        <v/>
      </c>
    </row>
    <row r="314">
      <c r="A314" t="inlineStr">
        <is>
          <t>Leona M &amp; Harry B Helmsley Charitable Trust</t>
        </is>
      </c>
      <c r="B314" s="20" t="inlineStr">
        <is>
          <t>NY</t>
        </is>
      </c>
      <c r="C314" s="42" t="n">
        <v>6.99</v>
      </c>
      <c r="D314" t="inlineStr">
        <is>
          <t>Foundation</t>
        </is>
      </c>
      <c r="E314" s="20" t="n">
        <v>2024</v>
      </c>
      <c r="F314" s="20" t="inlineStr"/>
      <c r="G314" t="inlineStr">
        <is>
          <t>Joshua W Fenton</t>
        </is>
      </c>
      <c r="H314" t="inlineStr">
        <is>
          <t>CHIEF INVESTMENT OFFICER FROM 1/1/24</t>
        </is>
      </c>
      <c r="I314" t="inlineStr">
        <is>
          <t>CIO</t>
        </is>
      </c>
      <c r="J314" s="21" t="n"/>
      <c r="K314" s="21" t="n"/>
      <c r="L314" s="21" t="n"/>
      <c r="M314" s="21" t="n"/>
      <c r="N314" s="21" t="n"/>
      <c r="O314" s="21" t="n">
        <v>190587</v>
      </c>
      <c r="P314" s="21" t="n">
        <v>985478</v>
      </c>
      <c r="Q314" s="21" t="n">
        <v>985478</v>
      </c>
      <c r="R314" s="21">
        <f>IF(Q314="","",Q314*(1+in_GrowthRate)^(YEARFRAC(DATE(2024,3,31),in_AgeToDate)*IF(in_AgeToDate&lt;DATE(2024,3,31),-1,1)+1))</f>
        <v/>
      </c>
      <c r="S314" s="38" t="n"/>
      <c r="T314" s="43">
        <f>HYPERLINK("https://projects.propublica.org/nonprofits/organizations/137184401/202530289349100408/full","view filing")</f>
        <v/>
      </c>
    </row>
    <row r="315">
      <c r="A315" t="inlineStr">
        <is>
          <t>Leona M &amp; Harry B Helmsley Charitable Trust</t>
        </is>
      </c>
      <c r="B315" s="20" t="inlineStr">
        <is>
          <t>NY</t>
        </is>
      </c>
      <c r="C315" s="42" t="n">
        <v>6.99</v>
      </c>
      <c r="D315" t="inlineStr">
        <is>
          <t>Foundation</t>
        </is>
      </c>
      <c r="E315" s="20" t="n">
        <v>2023</v>
      </c>
      <c r="F315" s="20" t="inlineStr"/>
      <c r="G315" t="inlineStr">
        <is>
          <t>Rosalind M Hewsenian</t>
        </is>
      </c>
      <c r="H315" t="inlineStr">
        <is>
          <t>CHIEF INVESTMENT OFFICER</t>
        </is>
      </c>
      <c r="I315" t="inlineStr">
        <is>
          <t>CIO</t>
        </is>
      </c>
      <c r="J315" s="21" t="n"/>
      <c r="K315" s="21" t="n"/>
      <c r="L315" s="21" t="n"/>
      <c r="M315" s="21" t="n"/>
      <c r="N315" s="21" t="n"/>
      <c r="O315" s="21" t="n">
        <v>193856</v>
      </c>
      <c r="P315" s="21" t="n">
        <v>1933661</v>
      </c>
      <c r="Q315" s="21" t="n">
        <v>1933661</v>
      </c>
      <c r="R315" s="21">
        <f>IF(Q315="","",Q315*(1+in_GrowthRate)^(YEARFRAC(DATE(2023,3,31),in_AgeToDate)*IF(in_AgeToDate&lt;DATE(2023,3,31),-1,1)+1))</f>
        <v/>
      </c>
      <c r="S315" s="38" t="n"/>
      <c r="T315" s="43">
        <f>HYPERLINK("https://projects.propublica.org/nonprofits/organizations/137184401/202400379349100025/full","view filing")</f>
        <v/>
      </c>
    </row>
    <row r="316">
      <c r="A316" t="inlineStr">
        <is>
          <t>Leona M &amp; Harry B Helmsley Charitable Trust</t>
        </is>
      </c>
      <c r="B316" s="20" t="inlineStr">
        <is>
          <t>NY</t>
        </is>
      </c>
      <c r="C316" s="42" t="n">
        <v>6.99</v>
      </c>
      <c r="D316" t="inlineStr">
        <is>
          <t>Foundation</t>
        </is>
      </c>
      <c r="E316" s="20" t="n">
        <v>2022</v>
      </c>
      <c r="F316" s="20" t="inlineStr"/>
      <c r="G316" t="inlineStr">
        <is>
          <t>Rosalind M Hewsenian</t>
        </is>
      </c>
      <c r="H316" t="inlineStr">
        <is>
          <t>CHIEF INVESTMENT OFFICER</t>
        </is>
      </c>
      <c r="I316" t="inlineStr">
        <is>
          <t>CIO</t>
        </is>
      </c>
      <c r="J316" s="21" t="n"/>
      <c r="K316" s="21" t="n"/>
      <c r="L316" s="21" t="n"/>
      <c r="M316" s="21" t="n"/>
      <c r="N316" s="21" t="n"/>
      <c r="O316" s="21" t="n">
        <v>204786</v>
      </c>
      <c r="P316" s="21" t="n">
        <v>1875882</v>
      </c>
      <c r="Q316" s="21" t="n">
        <v>1875882</v>
      </c>
      <c r="R316" s="21">
        <f>IF(Q316="","",Q316*(1+in_GrowthRate)^(YEARFRAC(DATE(2022,3,31),in_AgeToDate)*IF(in_AgeToDate&lt;DATE(2022,3,31),-1,1)+1))</f>
        <v/>
      </c>
      <c r="S316" s="38" t="n"/>
      <c r="T316" s="43">
        <f>HYPERLINK("https://projects.propublica.org/nonprofits/organizations/137184401/202300389349100520/full","view filing")</f>
        <v/>
      </c>
    </row>
    <row r="317">
      <c r="A317" t="inlineStr">
        <is>
          <t>Liberty University Inc</t>
        </is>
      </c>
      <c r="B317" s="20" t="inlineStr">
        <is>
          <t>VA</t>
        </is>
      </c>
      <c r="C317" s="42" t="n">
        <v>2.97</v>
      </c>
      <c r="D317" t="inlineStr">
        <is>
          <t>Endowment</t>
        </is>
      </c>
      <c r="E317" s="20" t="n">
        <v>2025</v>
      </c>
      <c r="F317" s="20">
        <f>IF(AND(OR(in_Mode="All Funds",AND(C317&gt;=in_BandFloor,C317&lt;=in_BandCeiling,OR(in_Geography="National",COUNTIFS(lst_GeoPreset,in_Geography,lst_GeoState,B317)&gt;0,AND(in_Geography="Custom",ISNUMBER(SEARCH(B317,SUBSTITUTE(in_CustomStates," ",""))))),OR(AND(D317="Endowment",Inputs!$B$14="Y"),AND(D317="Foundation",Inputs!$B$15="Y"),AND(D317="Healthcare",Inputs!$B$16="Y"),AND(D317="Pension",Inputs!$B$17="Y"),AND(D317="OCIO",Inputs!$B$18="Y"),AND(D317="Other",Inputs!$B$19="Y")))),A317&lt;&gt;in_ClientOrg,NOT(AND(in_ExclHarvard="Y",ISNUMBER(SEARCH("Harvard",A317))))),"Y","")</f>
        <v/>
      </c>
      <c r="G317" t="inlineStr">
        <is>
          <t>Mrs Cindy Gaebe</t>
        </is>
      </c>
      <c r="H317" t="inlineStr">
        <is>
          <t>SVP of Finance and Chief Investment Officer</t>
        </is>
      </c>
      <c r="I317" t="inlineStr">
        <is>
          <t>CIO</t>
        </is>
      </c>
      <c r="J317" s="21" t="n">
        <v>367679</v>
      </c>
      <c r="K317" s="21" t="n"/>
      <c r="L317" s="21" t="n">
        <v>367679</v>
      </c>
      <c r="M317" s="21" t="n">
        <v>24908</v>
      </c>
      <c r="N317" s="21" t="n">
        <v>17969</v>
      </c>
      <c r="O317" s="21" t="n">
        <v>21983</v>
      </c>
      <c r="P317" s="21" t="n">
        <v>432539</v>
      </c>
      <c r="Q317" s="21" t="n">
        <v>432539</v>
      </c>
      <c r="R317" s="21">
        <f>IF(Q317="","",Q317*(1+in_GrowthRate)^(YEARFRAC(DATE(2025,6,30),in_AgeToDate)*IF(in_AgeToDate&lt;DATE(2025,6,30),-1,1)+1))</f>
        <v/>
      </c>
      <c r="S317" s="38" t="n">
        <v>0</v>
      </c>
      <c r="T317" s="43">
        <f>HYPERLINK("https://projects.propublica.org/nonprofits/organizations/540946734/202621349349312962/full","view filing")</f>
        <v/>
      </c>
    </row>
    <row r="318">
      <c r="A318" t="inlineStr">
        <is>
          <t>Liberty University Inc</t>
        </is>
      </c>
      <c r="B318" s="20" t="inlineStr">
        <is>
          <t>VA</t>
        </is>
      </c>
      <c r="C318" s="42" t="n">
        <v>2.97</v>
      </c>
      <c r="D318" t="inlineStr">
        <is>
          <t>Endowment</t>
        </is>
      </c>
      <c r="E318" s="20" t="n">
        <v>2024</v>
      </c>
      <c r="F318" s="20" t="inlineStr"/>
      <c r="G318" t="inlineStr">
        <is>
          <t>Mrs Cindy Gaebe</t>
        </is>
      </c>
      <c r="H318" t="inlineStr">
        <is>
          <t>SVP OF FIN.&amp; CHIEF INVEST OFF.</t>
        </is>
      </c>
      <c r="I318" t="inlineStr">
        <is>
          <t>CIO</t>
        </is>
      </c>
      <c r="J318" s="21" t="n">
        <v>369792</v>
      </c>
      <c r="K318" s="21" t="n"/>
      <c r="L318" s="21" t="n">
        <v>369792</v>
      </c>
      <c r="M318" s="21" t="n">
        <v>21752</v>
      </c>
      <c r="N318" s="21" t="n"/>
      <c r="O318" s="21" t="n">
        <v>13733</v>
      </c>
      <c r="P318" s="21" t="n">
        <v>405277</v>
      </c>
      <c r="Q318" s="21" t="n">
        <v>405277</v>
      </c>
      <c r="R318" s="21">
        <f>IF(Q318="","",Q318*(1+in_GrowthRate)^(YEARFRAC(DATE(2024,6,30),in_AgeToDate)*IF(in_AgeToDate&lt;DATE(2024,6,30),-1,1)+1))</f>
        <v/>
      </c>
      <c r="S318" s="38" t="n">
        <v>0</v>
      </c>
      <c r="T318" s="43">
        <f>HYPERLINK("https://projects.propublica.org/nonprofits/organizations/540946734/202501359349307950/full","view filing")</f>
        <v/>
      </c>
    </row>
    <row r="319">
      <c r="A319" t="inlineStr">
        <is>
          <t>Liberty University Inc</t>
        </is>
      </c>
      <c r="B319" s="20" t="inlineStr">
        <is>
          <t>VA</t>
        </is>
      </c>
      <c r="C319" s="42" t="n">
        <v>2.97</v>
      </c>
      <c r="D319" t="inlineStr">
        <is>
          <t>Endowment</t>
        </is>
      </c>
      <c r="E319" s="20" t="n">
        <v>2023</v>
      </c>
      <c r="F319" s="20" t="inlineStr"/>
      <c r="G319" t="inlineStr">
        <is>
          <t>Mrs Cindy Gaebe</t>
        </is>
      </c>
      <c r="H319" t="inlineStr">
        <is>
          <t>SVP of Fin.&amp; Chief Invest Off.</t>
        </is>
      </c>
      <c r="I319" t="inlineStr">
        <is>
          <t>CIO</t>
        </is>
      </c>
      <c r="J319" s="21" t="n">
        <v>284004</v>
      </c>
      <c r="K319" s="21" t="n">
        <v>46700</v>
      </c>
      <c r="L319" s="21" t="n">
        <v>330704</v>
      </c>
      <c r="M319" s="21" t="n"/>
      <c r="N319" s="21" t="n"/>
      <c r="O319" s="21" t="n">
        <v>13343</v>
      </c>
      <c r="P319" s="21" t="n">
        <v>344047</v>
      </c>
      <c r="Q319" s="21" t="n">
        <v>344047</v>
      </c>
      <c r="R319" s="21">
        <f>IF(Q319="","",Q319*(1+in_GrowthRate)^(YEARFRAC(DATE(2023,6,30),in_AgeToDate)*IF(in_AgeToDate&lt;DATE(2023,6,30),-1,1)+1))</f>
        <v/>
      </c>
      <c r="S319" s="38" t="n">
        <v>0.1644343037422008</v>
      </c>
      <c r="T319" s="43">
        <f>HYPERLINK("https://projects.propublica.org/nonprofits/organizations/540946734/202401359349310735/full","view filing")</f>
        <v/>
      </c>
    </row>
    <row r="320">
      <c r="A320" t="inlineStr">
        <is>
          <t>Liberty University Inc</t>
        </is>
      </c>
      <c r="B320" s="20" t="inlineStr">
        <is>
          <t>VA</t>
        </is>
      </c>
      <c r="C320" s="42" t="n">
        <v>2.97</v>
      </c>
      <c r="D320" t="inlineStr">
        <is>
          <t>Endowment</t>
        </is>
      </c>
      <c r="E320" s="20" t="n">
        <v>2022</v>
      </c>
      <c r="F320" s="20" t="inlineStr"/>
      <c r="G320" t="inlineStr">
        <is>
          <t>Mrs Cindy Gaebe</t>
        </is>
      </c>
      <c r="H320" t="inlineStr">
        <is>
          <t>SVP of Fin.&amp; Chief Invest Off.</t>
        </is>
      </c>
      <c r="I320" t="inlineStr">
        <is>
          <t>CIO</t>
        </is>
      </c>
      <c r="J320" s="21" t="n">
        <v>235031</v>
      </c>
      <c r="K320" s="21" t="n">
        <v>49000</v>
      </c>
      <c r="L320" s="21" t="n">
        <v>284031</v>
      </c>
      <c r="M320" s="21" t="n">
        <v>1205</v>
      </c>
      <c r="N320" s="21" t="n"/>
      <c r="O320" s="21" t="n">
        <v>12413</v>
      </c>
      <c r="P320" s="21" t="n">
        <v>297649</v>
      </c>
      <c r="Q320" s="21" t="n">
        <v>297649</v>
      </c>
      <c r="R320" s="21">
        <f>IF(Q320="","",Q320*(1+in_GrowthRate)^(YEARFRAC(DATE(2022,6,30),in_AgeToDate)*IF(in_AgeToDate&lt;DATE(2022,6,30),-1,1)+1))</f>
        <v/>
      </c>
      <c r="S320" s="38" t="n">
        <v>0.2084831362671307</v>
      </c>
      <c r="T320" s="43">
        <f>HYPERLINK("https://projects.propublica.org/nonprofits/organizations/540946734/202321359349308877/full","view filing")</f>
        <v/>
      </c>
    </row>
    <row r="321">
      <c r="A321" t="inlineStr">
        <is>
          <t>Loyola University Of Chicago</t>
        </is>
      </c>
      <c r="B321" s="20" t="inlineStr">
        <is>
          <t>IL</t>
        </is>
      </c>
      <c r="C321" s="42" t="n">
        <v>1.18</v>
      </c>
      <c r="D321" t="inlineStr">
        <is>
          <t>Endowment</t>
        </is>
      </c>
      <c r="E321" s="20" t="n">
        <v>2025</v>
      </c>
      <c r="F321" s="20">
        <f>IF(AND(OR(in_Mode="All Funds",AND(C321&gt;=in_BandFloor,C321&lt;=in_BandCeiling,OR(in_Geography="National",COUNTIFS(lst_GeoPreset,in_Geography,lst_GeoState,B321)&gt;0,AND(in_Geography="Custom",ISNUMBER(SEARCH(B321,SUBSTITUTE(in_CustomStates," ",""))))),OR(AND(D321="Endowment",Inputs!$B$14="Y"),AND(D321="Foundation",Inputs!$B$15="Y"),AND(D321="Healthcare",Inputs!$B$16="Y"),AND(D321="Pension",Inputs!$B$17="Y"),AND(D321="OCIO",Inputs!$B$18="Y"),AND(D321="Other",Inputs!$B$19="Y")))),A321&lt;&gt;in_ClientOrg,NOT(AND(in_ExclHarvard="Y",ISNUMBER(SEARCH("Harvard",A321))))),"Y","")</f>
        <v/>
      </c>
      <c r="G321" t="inlineStr">
        <is>
          <t>Katharine Wyatt</t>
        </is>
      </c>
      <c r="H321" t="inlineStr">
        <is>
          <t>CHIEF INVESTMENT OFFICER</t>
        </is>
      </c>
      <c r="I321" t="inlineStr">
        <is>
          <t>CIO</t>
        </is>
      </c>
      <c r="J321" s="21" t="n">
        <v>390472</v>
      </c>
      <c r="K321" s="21" t="n">
        <v>90000</v>
      </c>
      <c r="L321" s="21" t="n">
        <v>480472</v>
      </c>
      <c r="M321" s="21" t="n">
        <v>810</v>
      </c>
      <c r="N321" s="21" t="n">
        <v>34500</v>
      </c>
      <c r="O321" s="21" t="n">
        <v>38520</v>
      </c>
      <c r="P321" s="21" t="n">
        <v>554302</v>
      </c>
      <c r="Q321" s="21" t="n">
        <v>554302</v>
      </c>
      <c r="R321" s="21">
        <f>IF(Q321="","",Q321*(1+in_GrowthRate)^(YEARFRAC(DATE(2025,6,30),in_AgeToDate)*IF(in_AgeToDate&lt;DATE(2025,6,30),-1,1)+1))</f>
        <v/>
      </c>
      <c r="S321" s="38" t="n">
        <v>0.2304902784322563</v>
      </c>
      <c r="T321" s="43">
        <f>HYPERLINK("https://projects.propublica.org/nonprofits/organizations/361408475/202641339349308589/full","view filing")</f>
        <v/>
      </c>
    </row>
    <row r="322">
      <c r="A322" t="inlineStr">
        <is>
          <t>Loyola University Of Chicago</t>
        </is>
      </c>
      <c r="B322" s="20" t="inlineStr">
        <is>
          <t>IL</t>
        </is>
      </c>
      <c r="C322" s="42" t="n">
        <v>1.18</v>
      </c>
      <c r="D322" t="inlineStr">
        <is>
          <t>Endowment</t>
        </is>
      </c>
      <c r="E322" s="20" t="n">
        <v>2024</v>
      </c>
      <c r="F322" s="20" t="inlineStr"/>
      <c r="G322" t="inlineStr">
        <is>
          <t>Katharine Wyatt</t>
        </is>
      </c>
      <c r="H322" t="inlineStr">
        <is>
          <t>CHIEF INVESTMENT OFFICER</t>
        </is>
      </c>
      <c r="I322" t="inlineStr">
        <is>
          <t>CIO</t>
        </is>
      </c>
      <c r="J322" s="21" t="n">
        <v>376596</v>
      </c>
      <c r="K322" s="21" t="n">
        <v>85000</v>
      </c>
      <c r="L322" s="21" t="n">
        <v>461596</v>
      </c>
      <c r="M322" s="21" t="n">
        <v>800</v>
      </c>
      <c r="N322" s="21" t="n">
        <v>33000</v>
      </c>
      <c r="O322" s="21" t="n">
        <v>34910</v>
      </c>
      <c r="P322" s="21" t="n">
        <v>530306</v>
      </c>
      <c r="Q322" s="21" t="n">
        <v>530306</v>
      </c>
      <c r="R322" s="21">
        <f>IF(Q322="","",Q322*(1+in_GrowthRate)^(YEARFRAC(DATE(2024,6,30),in_AgeToDate)*IF(in_AgeToDate&lt;DATE(2024,6,30),-1,1)+1))</f>
        <v/>
      </c>
      <c r="S322" s="38" t="n">
        <v>0.2257060616682068</v>
      </c>
      <c r="T322" s="43">
        <f>HYPERLINK("https://projects.propublica.org/nonprofits/organizations/361408475/202501359349307250/full","view filing")</f>
        <v/>
      </c>
    </row>
    <row r="323">
      <c r="A323" t="inlineStr">
        <is>
          <t>Loyola University Of Chicago</t>
        </is>
      </c>
      <c r="B323" s="20" t="inlineStr">
        <is>
          <t>IL</t>
        </is>
      </c>
      <c r="C323" s="42" t="n">
        <v>1.18</v>
      </c>
      <c r="D323" t="inlineStr">
        <is>
          <t>Endowment</t>
        </is>
      </c>
      <c r="E323" s="20" t="n">
        <v>2023</v>
      </c>
      <c r="F323" s="20" t="inlineStr"/>
      <c r="G323" t="inlineStr">
        <is>
          <t>Katharine Wyatt</t>
        </is>
      </c>
      <c r="H323" t="inlineStr">
        <is>
          <t>CHIEF INVESTMENT OFFICER</t>
        </is>
      </c>
      <c r="I323" t="inlineStr">
        <is>
          <t>CIO</t>
        </is>
      </c>
      <c r="J323" s="21" t="n">
        <v>356266</v>
      </c>
      <c r="K323" s="21" t="n">
        <v>80000</v>
      </c>
      <c r="L323" s="21" t="n">
        <v>436266</v>
      </c>
      <c r="M323" s="21" t="n">
        <v>2040</v>
      </c>
      <c r="N323" s="21" t="n">
        <v>30500</v>
      </c>
      <c r="O323" s="21" t="n">
        <v>32707</v>
      </c>
      <c r="P323" s="21" t="n">
        <v>501513</v>
      </c>
      <c r="Q323" s="21" t="n">
        <v>501513</v>
      </c>
      <c r="R323" s="21">
        <f>IF(Q323="","",Q323*(1+in_GrowthRate)^(YEARFRAC(DATE(2023,6,30),in_AgeToDate)*IF(in_AgeToDate&lt;DATE(2023,6,30),-1,1)+1))</f>
        <v/>
      </c>
      <c r="S323" s="38" t="n">
        <v>0.2245513183969281</v>
      </c>
      <c r="T323" s="43">
        <f>HYPERLINK("https://projects.propublica.org/nonprofits/organizations/361408475/202441349349304749/full","view filing")</f>
        <v/>
      </c>
    </row>
    <row r="324">
      <c r="A324" t="inlineStr">
        <is>
          <t>Loyola University Of Chicago</t>
        </is>
      </c>
      <c r="B324" s="20" t="inlineStr">
        <is>
          <t>IL</t>
        </is>
      </c>
      <c r="C324" s="42" t="n">
        <v>1.18</v>
      </c>
      <c r="D324" t="inlineStr">
        <is>
          <t>Endowment</t>
        </is>
      </c>
      <c r="E324" s="20" t="n">
        <v>2022</v>
      </c>
      <c r="F324" s="20" t="inlineStr"/>
      <c r="G324" t="inlineStr">
        <is>
          <t>Katharine Wyatt</t>
        </is>
      </c>
      <c r="H324" t="inlineStr">
        <is>
          <t>CHIEF INVESTMENT OFFICER</t>
        </is>
      </c>
      <c r="I324" t="inlineStr">
        <is>
          <t>CIO</t>
        </is>
      </c>
      <c r="J324" s="21" t="n">
        <v>346065</v>
      </c>
      <c r="K324" s="21" t="n">
        <v>75000</v>
      </c>
      <c r="L324" s="21" t="n">
        <v>421065</v>
      </c>
      <c r="M324" s="21" t="n">
        <v>1540</v>
      </c>
      <c r="N324" s="21" t="n">
        <v>23882</v>
      </c>
      <c r="O324" s="21" t="n">
        <v>32706</v>
      </c>
      <c r="P324" s="21" t="n">
        <v>479193</v>
      </c>
      <c r="Q324" s="21" t="n">
        <v>479193</v>
      </c>
      <c r="R324" s="21">
        <f>IF(Q324="","",Q324*(1+in_GrowthRate)^(YEARFRAC(DATE(2022,6,30),in_AgeToDate)*IF(in_AgeToDate&lt;DATE(2022,6,30),-1,1)+1))</f>
        <v/>
      </c>
      <c r="S324" s="38" t="n">
        <v>0.2167222920549608</v>
      </c>
      <c r="T324" s="43">
        <f>HYPERLINK("https://projects.propublica.org/nonprofits/organizations/361408475/202301329349309100/full","view filing")</f>
        <v/>
      </c>
    </row>
    <row r="325">
      <c r="A325" t="inlineStr">
        <is>
          <t>Lynde And Harry Bradley Foundation Inc</t>
        </is>
      </c>
      <c r="B325" s="20" t="inlineStr">
        <is>
          <t>WI</t>
        </is>
      </c>
      <c r="C325" s="42" t="n">
        <v>0.95</v>
      </c>
      <c r="D325" t="inlineStr">
        <is>
          <t>Foundation</t>
        </is>
      </c>
      <c r="E325" s="20" t="n">
        <v>2024</v>
      </c>
      <c r="F325" s="20">
        <f>IF(AND(OR(in_Mode="All Funds",AND(C325&gt;=in_BandFloor,C325&lt;=in_BandCeiling,OR(in_Geography="National",COUNTIFS(lst_GeoPreset,in_Geography,lst_GeoState,B325)&gt;0,AND(in_Geography="Custom",ISNUMBER(SEARCH(B325,SUBSTITUTE(in_CustomStates," ",""))))),OR(AND(D325="Endowment",Inputs!$B$14="Y"),AND(D325="Foundation",Inputs!$B$15="Y"),AND(D325="Healthcare",Inputs!$B$16="Y"),AND(D325="Pension",Inputs!$B$17="Y"),AND(D325="OCIO",Inputs!$B$18="Y"),AND(D325="Other",Inputs!$B$19="Y")))),A325&lt;&gt;in_ClientOrg,NOT(AND(in_ExclHarvard="Y",ISNUMBER(SEARCH("Harvard",A325))))),"Y","")</f>
        <v/>
      </c>
      <c r="G325" t="inlineStr">
        <is>
          <t>Stephen A Langlois</t>
        </is>
      </c>
      <c r="H325" t="inlineStr">
        <is>
          <t>Senior Vice President and Chief Investment Officer</t>
        </is>
      </c>
      <c r="I325" t="inlineStr">
        <is>
          <t>CIO</t>
        </is>
      </c>
      <c r="J325" s="21" t="n"/>
      <c r="K325" s="21" t="n"/>
      <c r="L325" s="21" t="n"/>
      <c r="M325" s="21" t="n"/>
      <c r="N325" s="21" t="n"/>
      <c r="O325" s="21" t="n">
        <v>77063</v>
      </c>
      <c r="P325" s="21" t="n">
        <v>465940</v>
      </c>
      <c r="Q325" s="21" t="n">
        <v>465940</v>
      </c>
      <c r="R325" s="21">
        <f>IF(Q325="","",Q325*(1+in_GrowthRate)^(YEARFRAC(DATE(2024,12,31),in_AgeToDate)*IF(in_AgeToDate&lt;DATE(2024,12,31),-1,1)+1))</f>
        <v/>
      </c>
      <c r="S325" s="38" t="n"/>
      <c r="T325" s="43">
        <f>HYPERLINK("https://projects.propublica.org/nonprofits/organizations/396037928/202523219349106577/full","view filing")</f>
        <v/>
      </c>
    </row>
    <row r="326">
      <c r="A326" t="inlineStr">
        <is>
          <t>Lynde And Harry Bradley Foundation Inc</t>
        </is>
      </c>
      <c r="B326" s="20" t="inlineStr">
        <is>
          <t>WI</t>
        </is>
      </c>
      <c r="C326" s="42" t="n">
        <v>0.95</v>
      </c>
      <c r="D326" t="inlineStr">
        <is>
          <t>Foundation</t>
        </is>
      </c>
      <c r="E326" s="20" t="n">
        <v>2023</v>
      </c>
      <c r="F326" s="20" t="inlineStr"/>
      <c r="G326" t="inlineStr">
        <is>
          <t>Stephen A Langlois</t>
        </is>
      </c>
      <c r="H326" t="inlineStr">
        <is>
          <t>Senior Vice President and Chief Investment Officer</t>
        </is>
      </c>
      <c r="I326" t="inlineStr">
        <is>
          <t>CIO</t>
        </is>
      </c>
      <c r="J326" s="21" t="n"/>
      <c r="K326" s="21" t="n"/>
      <c r="L326" s="21" t="n"/>
      <c r="M326" s="21" t="n"/>
      <c r="N326" s="21" t="n"/>
      <c r="O326" s="21" t="n">
        <v>75344</v>
      </c>
      <c r="P326" s="21" t="n">
        <v>411374</v>
      </c>
      <c r="Q326" s="21" t="n">
        <v>411374</v>
      </c>
      <c r="R326" s="21">
        <f>IF(Q326="","",Q326*(1+in_GrowthRate)^(YEARFRAC(DATE(2023,12,31),in_AgeToDate)*IF(in_AgeToDate&lt;DATE(2023,12,31),-1,1)+1))</f>
        <v/>
      </c>
      <c r="S326" s="38" t="n"/>
      <c r="T326" s="43">
        <f>HYPERLINK("https://projects.propublica.org/nonprofits/organizations/396037928/202403209349104125/full","view filing")</f>
        <v/>
      </c>
    </row>
    <row r="327">
      <c r="A327" t="inlineStr">
        <is>
          <t>M J Murdock Charitable Trust</t>
        </is>
      </c>
      <c r="B327" s="20" t="inlineStr">
        <is>
          <t>WA</t>
        </is>
      </c>
      <c r="C327" s="42" t="n">
        <v>1.96</v>
      </c>
      <c r="D327" t="inlineStr">
        <is>
          <t>Foundation</t>
        </is>
      </c>
      <c r="E327" s="20" t="n">
        <v>2024</v>
      </c>
      <c r="F327" s="20">
        <f>IF(AND(OR(in_Mode="All Funds",AND(C327&gt;=in_BandFloor,C327&lt;=in_BandCeiling,OR(in_Geography="National",COUNTIFS(lst_GeoPreset,in_Geography,lst_GeoState,B327)&gt;0,AND(in_Geography="Custom",ISNUMBER(SEARCH(B327,SUBSTITUTE(in_CustomStates," ",""))))),OR(AND(D327="Endowment",Inputs!$B$14="Y"),AND(D327="Foundation",Inputs!$B$15="Y"),AND(D327="Healthcare",Inputs!$B$16="Y"),AND(D327="Pension",Inputs!$B$17="Y"),AND(D327="OCIO",Inputs!$B$18="Y"),AND(D327="Other",Inputs!$B$19="Y")))),A327&lt;&gt;in_ClientOrg,NOT(AND(in_ExclHarvard="Y",ISNUMBER(SEARCH("Harvard",A327))))),"Y","")</f>
        <v/>
      </c>
      <c r="G327" t="inlineStr">
        <is>
          <t>Elmer Huh</t>
        </is>
      </c>
      <c r="H327" t="inlineStr">
        <is>
          <t>CIO</t>
        </is>
      </c>
      <c r="I327" t="inlineStr">
        <is>
          <t>CIO</t>
        </is>
      </c>
      <c r="J327" s="21" t="n"/>
      <c r="K327" s="21" t="n"/>
      <c r="L327" s="21" t="n"/>
      <c r="M327" s="21" t="n"/>
      <c r="N327" s="21" t="n"/>
      <c r="O327" s="21" t="n">
        <v>93296</v>
      </c>
      <c r="P327" s="21" t="n">
        <v>792946</v>
      </c>
      <c r="Q327" s="21" t="n">
        <v>792946</v>
      </c>
      <c r="R327" s="21">
        <f>IF(Q327="","",Q327*(1+in_GrowthRate)^(YEARFRAC(DATE(2024,12,31),in_AgeToDate)*IF(in_AgeToDate&lt;DATE(2024,12,31),-1,1)+1))</f>
        <v/>
      </c>
      <c r="S327" s="38" t="n"/>
      <c r="T327" s="43">
        <f>HYPERLINK("https://projects.propublica.org/nonprofits/organizations/237456468/202513189349104056/full","view filing")</f>
        <v/>
      </c>
    </row>
    <row r="328">
      <c r="A328" t="inlineStr">
        <is>
          <t>M J Murdock Charitable Trust</t>
        </is>
      </c>
      <c r="B328" s="20" t="inlineStr">
        <is>
          <t>WA</t>
        </is>
      </c>
      <c r="C328" s="42" t="n">
        <v>1.96</v>
      </c>
      <c r="D328" t="inlineStr">
        <is>
          <t>Foundation</t>
        </is>
      </c>
      <c r="E328" s="20" t="n">
        <v>2023</v>
      </c>
      <c r="F328" s="20" t="inlineStr"/>
      <c r="G328" t="inlineStr">
        <is>
          <t>Elmer Huh</t>
        </is>
      </c>
      <c r="H328" t="inlineStr">
        <is>
          <t>CIO</t>
        </is>
      </c>
      <c r="I328" t="inlineStr">
        <is>
          <t>CIO</t>
        </is>
      </c>
      <c r="J328" s="21" t="n"/>
      <c r="K328" s="21" t="n"/>
      <c r="L328" s="21" t="n"/>
      <c r="M328" s="21" t="n"/>
      <c r="N328" s="21" t="n"/>
      <c r="O328" s="21" t="n">
        <v>95326</v>
      </c>
      <c r="P328" s="21" t="n">
        <v>734735</v>
      </c>
      <c r="Q328" s="21" t="n">
        <v>734735</v>
      </c>
      <c r="R328" s="21">
        <f>IF(Q328="","",Q328*(1+in_GrowthRate)^(YEARFRAC(DATE(2023,12,31),in_AgeToDate)*IF(in_AgeToDate&lt;DATE(2023,12,31),-1,1)+1))</f>
        <v/>
      </c>
      <c r="S328" s="38" t="n"/>
      <c r="T328" s="43">
        <f>HYPERLINK("https://projects.propublica.org/nonprofits/organizations/237456468/202443199349106519/full","view filing")</f>
        <v/>
      </c>
    </row>
    <row r="329">
      <c r="A329" t="inlineStr">
        <is>
          <t>M J Murdock Charitable Trust</t>
        </is>
      </c>
      <c r="B329" s="20" t="inlineStr">
        <is>
          <t>WA</t>
        </is>
      </c>
      <c r="C329" s="42" t="n">
        <v>1.96</v>
      </c>
      <c r="D329" t="inlineStr">
        <is>
          <t>Foundation</t>
        </is>
      </c>
      <c r="E329" s="20" t="n">
        <v>2022</v>
      </c>
      <c r="F329" s="20" t="inlineStr"/>
      <c r="G329" t="inlineStr">
        <is>
          <t>Elmer Huh</t>
        </is>
      </c>
      <c r="H329" t="inlineStr">
        <is>
          <t>CIO</t>
        </is>
      </c>
      <c r="I329" t="inlineStr">
        <is>
          <t>CIO</t>
        </is>
      </c>
      <c r="J329" s="21" t="n"/>
      <c r="K329" s="21" t="n"/>
      <c r="L329" s="21" t="n"/>
      <c r="M329" s="21" t="n"/>
      <c r="N329" s="21" t="n"/>
      <c r="O329" s="21" t="n">
        <v>94083</v>
      </c>
      <c r="P329" s="21" t="n">
        <v>689241</v>
      </c>
      <c r="Q329" s="21" t="n">
        <v>689241</v>
      </c>
      <c r="R329" s="21">
        <f>IF(Q329="","",Q329*(1+in_GrowthRate)^(YEARFRAC(DATE(2022,12,31),in_AgeToDate)*IF(in_AgeToDate&lt;DATE(2022,12,31),-1,1)+1))</f>
        <v/>
      </c>
      <c r="S329" s="38" t="n"/>
      <c r="T329" s="43">
        <f>HYPERLINK("https://projects.propublica.org/nonprofits/organizations/237456468/202313199349103306/full","view filing")</f>
        <v/>
      </c>
    </row>
    <row r="330">
      <c r="A330" t="inlineStr">
        <is>
          <t>Macalester College</t>
        </is>
      </c>
      <c r="B330" s="20" t="inlineStr">
        <is>
          <t>MN</t>
        </is>
      </c>
      <c r="C330" s="42" t="n">
        <v>0.92</v>
      </c>
      <c r="D330" t="inlineStr">
        <is>
          <t>Endowment</t>
        </is>
      </c>
      <c r="E330" s="20" t="n">
        <v>2025</v>
      </c>
      <c r="F330" s="20">
        <f>IF(AND(OR(in_Mode="All Funds",AND(C330&gt;=in_BandFloor,C330&lt;=in_BandCeiling,OR(in_Geography="National",COUNTIFS(lst_GeoPreset,in_Geography,lst_GeoState,B330)&gt;0,AND(in_Geography="Custom",ISNUMBER(SEARCH(B330,SUBSTITUTE(in_CustomStates," ",""))))),OR(AND(D330="Endowment",Inputs!$B$14="Y"),AND(D330="Foundation",Inputs!$B$15="Y"),AND(D330="Healthcare",Inputs!$B$16="Y"),AND(D330="Pension",Inputs!$B$17="Y"),AND(D330="OCIO",Inputs!$B$18="Y"),AND(D330="Other",Inputs!$B$19="Y")))),A330&lt;&gt;in_ClientOrg,NOT(AND(in_ExclHarvard="Y",ISNUMBER(SEARCH("Harvard",A330))))),"Y","")</f>
        <v/>
      </c>
      <c r="G330" t="inlineStr">
        <is>
          <t>Gary Martin End 83024</t>
        </is>
      </c>
      <c r="H330" t="inlineStr">
        <is>
          <t>CHIEF INVESTMENT OFFICER</t>
        </is>
      </c>
      <c r="I330" t="inlineStr">
        <is>
          <t>CIO</t>
        </is>
      </c>
      <c r="J330" s="21" t="n">
        <v>267236</v>
      </c>
      <c r="K330" s="21" t="n">
        <v>62000</v>
      </c>
      <c r="L330" s="21" t="n">
        <v>329236</v>
      </c>
      <c r="M330" s="21" t="n">
        <v>190401</v>
      </c>
      <c r="N330" s="21" t="n">
        <v>31270</v>
      </c>
      <c r="O330" s="21" t="n">
        <v>17660</v>
      </c>
      <c r="P330" s="21" t="n">
        <v>568567</v>
      </c>
      <c r="Q330" s="21" t="n">
        <v>568567</v>
      </c>
      <c r="R330" s="21">
        <f>IF(Q330="","",Q330*(1+in_GrowthRate)^(YEARFRAC(DATE(2025,5,31),in_AgeToDate)*IF(in_AgeToDate&lt;DATE(2025,5,31),-1,1)+1))</f>
        <v/>
      </c>
      <c r="S330" s="38" t="n">
        <v>0.232004670029487</v>
      </c>
      <c r="T330" s="43">
        <f>HYPERLINK("https://projects.propublica.org/nonprofits/organizations/410693962/202600769349301400/full","view filing")</f>
        <v/>
      </c>
    </row>
    <row r="331">
      <c r="A331" t="inlineStr">
        <is>
          <t>Macalester College</t>
        </is>
      </c>
      <c r="B331" s="20" t="inlineStr">
        <is>
          <t>MN</t>
        </is>
      </c>
      <c r="C331" s="42" t="n">
        <v>0.92</v>
      </c>
      <c r="D331" t="inlineStr">
        <is>
          <t>Endowment</t>
        </is>
      </c>
      <c r="E331" s="20" t="n">
        <v>2024</v>
      </c>
      <c r="F331" s="20" t="inlineStr"/>
      <c r="G331" t="inlineStr">
        <is>
          <t>Gary Martin</t>
        </is>
      </c>
      <c r="H331" t="inlineStr">
        <is>
          <t>CHIEF INVESTMENT OFFICER</t>
        </is>
      </c>
      <c r="I331" t="inlineStr">
        <is>
          <t>CIO</t>
        </is>
      </c>
      <c r="J331" s="21" t="n">
        <v>393992</v>
      </c>
      <c r="K331" s="21" t="n"/>
      <c r="L331" s="21" t="n">
        <v>393992</v>
      </c>
      <c r="M331" s="21" t="n">
        <v>2804</v>
      </c>
      <c r="N331" s="21" t="n">
        <v>33000</v>
      </c>
      <c r="O331" s="21" t="n">
        <v>24003</v>
      </c>
      <c r="P331" s="21" t="n">
        <v>453799</v>
      </c>
      <c r="Q331" s="21" t="n">
        <v>453799</v>
      </c>
      <c r="R331" s="21">
        <f>IF(Q331="","",Q331*(1+in_GrowthRate)^(YEARFRAC(DATE(2024,5,31),in_AgeToDate)*IF(in_AgeToDate&lt;DATE(2024,5,31),-1,1)+1))</f>
        <v/>
      </c>
      <c r="S331" s="38" t="n">
        <v>0</v>
      </c>
      <c r="T331" s="43">
        <f>HYPERLINK("https://projects.propublica.org/nonprofits/organizations/410693962/202540929349300944/full","view filing")</f>
        <v/>
      </c>
    </row>
    <row r="332">
      <c r="A332" t="inlineStr">
        <is>
          <t>Macalester College</t>
        </is>
      </c>
      <c r="B332" s="20" t="inlineStr">
        <is>
          <t>MN</t>
        </is>
      </c>
      <c r="C332" s="42" t="n">
        <v>0.92</v>
      </c>
      <c r="D332" t="inlineStr">
        <is>
          <t>Endowment</t>
        </is>
      </c>
      <c r="E332" s="20" t="n">
        <v>2023</v>
      </c>
      <c r="F332" s="20" t="inlineStr"/>
      <c r="G332" t="inlineStr">
        <is>
          <t>Gary Martin</t>
        </is>
      </c>
      <c r="H332" t="inlineStr">
        <is>
          <t>CHIEF INVESTMENT OFFICER</t>
        </is>
      </c>
      <c r="I332" t="inlineStr">
        <is>
          <t>CIO</t>
        </is>
      </c>
      <c r="J332" s="21" t="n">
        <v>375753</v>
      </c>
      <c r="K332" s="21" t="n"/>
      <c r="L332" s="21" t="n">
        <v>375753</v>
      </c>
      <c r="M332" s="21" t="n">
        <v>2640</v>
      </c>
      <c r="N332" s="21" t="n">
        <v>30500</v>
      </c>
      <c r="O332" s="21" t="n">
        <v>22201</v>
      </c>
      <c r="P332" s="21" t="n">
        <v>431094</v>
      </c>
      <c r="Q332" s="21" t="n">
        <v>431094</v>
      </c>
      <c r="R332" s="21">
        <f>IF(Q332="","",Q332*(1+in_GrowthRate)^(YEARFRAC(DATE(2023,5,31),in_AgeToDate)*IF(in_AgeToDate&lt;DATE(2023,5,31),-1,1)+1))</f>
        <v/>
      </c>
      <c r="S332" s="38" t="n">
        <v>0</v>
      </c>
      <c r="T332" s="43">
        <f>HYPERLINK("https://projects.propublica.org/nonprofits/organizations/410693962/202431069349300843/full","view filing")</f>
        <v/>
      </c>
    </row>
    <row r="333">
      <c r="A333" t="inlineStr">
        <is>
          <t>Macalester College</t>
        </is>
      </c>
      <c r="B333" s="20" t="inlineStr">
        <is>
          <t>MN</t>
        </is>
      </c>
      <c r="C333" s="42" t="n">
        <v>0.92</v>
      </c>
      <c r="D333" t="inlineStr">
        <is>
          <t>Endowment</t>
        </is>
      </c>
      <c r="E333" s="20" t="n">
        <v>2022</v>
      </c>
      <c r="F333" s="20" t="inlineStr"/>
      <c r="G333" t="inlineStr">
        <is>
          <t>Gary Martin</t>
        </is>
      </c>
      <c r="H333" t="inlineStr">
        <is>
          <t>CHIEF INVESTMENT OFFICER</t>
        </is>
      </c>
      <c r="I333" t="inlineStr">
        <is>
          <t>CIO</t>
        </is>
      </c>
      <c r="J333" s="21" t="n">
        <v>360146</v>
      </c>
      <c r="K333" s="21" t="n"/>
      <c r="L333" s="21" t="n">
        <v>360146</v>
      </c>
      <c r="M333" s="21" t="n">
        <v>2474</v>
      </c>
      <c r="N333" s="21" t="n">
        <v>29000</v>
      </c>
      <c r="O333" s="21" t="n">
        <v>21414</v>
      </c>
      <c r="P333" s="21" t="n">
        <v>413034</v>
      </c>
      <c r="Q333" s="21" t="n">
        <v>413034</v>
      </c>
      <c r="R333" s="21">
        <f>IF(Q333="","",Q333*(1+in_GrowthRate)^(YEARFRAC(DATE(2022,5,31),in_AgeToDate)*IF(in_AgeToDate&lt;DATE(2022,5,31),-1,1)+1))</f>
        <v/>
      </c>
      <c r="S333" s="38" t="n">
        <v>0</v>
      </c>
      <c r="T333" s="43">
        <f>HYPERLINK("https://projects.propublica.org/nonprofits/organizations/410693962/202321039349301707/full","view filing")</f>
        <v/>
      </c>
    </row>
    <row r="334">
      <c r="A334" t="inlineStr">
        <is>
          <t>Margaret A Cargill Foundation</t>
        </is>
      </c>
      <c r="B334" s="20" t="inlineStr">
        <is>
          <t>MN</t>
        </is>
      </c>
      <c r="C334" s="42" t="n">
        <v>3.05</v>
      </c>
      <c r="D334" t="inlineStr">
        <is>
          <t>Foundation</t>
        </is>
      </c>
      <c r="E334" s="20" t="n">
        <v>2024</v>
      </c>
      <c r="F334" s="20">
        <f>IF(AND(OR(in_Mode="All Funds",AND(C334&gt;=in_BandFloor,C334&lt;=in_BandCeiling,OR(in_Geography="National",COUNTIFS(lst_GeoPreset,in_Geography,lst_GeoState,B334)&gt;0,AND(in_Geography="Custom",ISNUMBER(SEARCH(B334,SUBSTITUTE(in_CustomStates," ",""))))),OR(AND(D334="Endowment",Inputs!$B$14="Y"),AND(D334="Foundation",Inputs!$B$15="Y"),AND(D334="Healthcare",Inputs!$B$16="Y"),AND(D334="Pension",Inputs!$B$17="Y"),AND(D334="OCIO",Inputs!$B$18="Y"),AND(D334="Other",Inputs!$B$19="Y")))),A334&lt;&gt;in_ClientOrg,NOT(AND(in_ExclHarvard="Y",ISNUMBER(SEARCH("Harvard",A334))))),"Y","")</f>
        <v/>
      </c>
      <c r="G334" t="inlineStr">
        <is>
          <t>Shawn Wischmeier</t>
        </is>
      </c>
      <c r="H334" t="inlineStr">
        <is>
          <t>CHIEF INVESTMENT OFFICER</t>
        </is>
      </c>
      <c r="I334" t="inlineStr">
        <is>
          <t>CIO</t>
        </is>
      </c>
      <c r="J334" s="21" t="n"/>
      <c r="K334" s="21" t="n"/>
      <c r="L334" s="21" t="n"/>
      <c r="M334" s="21" t="n"/>
      <c r="N334" s="21" t="n"/>
      <c r="O334" s="21" t="n">
        <v>365543</v>
      </c>
      <c r="P334" s="21" t="n">
        <v>2966463</v>
      </c>
      <c r="Q334" s="21" t="n">
        <v>2966463</v>
      </c>
      <c r="R334" s="21">
        <f>IF(Q334="","",Q334*(1+in_GrowthRate)^(YEARFRAC(DATE(2024,12,31),in_AgeToDate)*IF(in_AgeToDate&lt;DATE(2024,12,31),-1,1)+1))</f>
        <v/>
      </c>
      <c r="S334" s="38" t="n"/>
      <c r="T334" s="43">
        <f>HYPERLINK("https://projects.propublica.org/nonprofits/organizations/371758406/202503189349102200/full","view filing")</f>
        <v/>
      </c>
    </row>
    <row r="335">
      <c r="A335" t="inlineStr">
        <is>
          <t>Margaret A Cargill Foundation</t>
        </is>
      </c>
      <c r="B335" s="20" t="inlineStr">
        <is>
          <t>MN</t>
        </is>
      </c>
      <c r="C335" s="42" t="n">
        <v>3.05</v>
      </c>
      <c r="D335" t="inlineStr">
        <is>
          <t>Foundation</t>
        </is>
      </c>
      <c r="E335" s="20" t="n">
        <v>2023</v>
      </c>
      <c r="F335" s="20" t="inlineStr"/>
      <c r="G335" t="inlineStr">
        <is>
          <t>Shawn Wischmeier</t>
        </is>
      </c>
      <c r="H335" t="inlineStr">
        <is>
          <t>CHIEF INVESTMENT OFFICER</t>
        </is>
      </c>
      <c r="I335" t="inlineStr">
        <is>
          <t>CIO</t>
        </is>
      </c>
      <c r="J335" s="21" t="n"/>
      <c r="K335" s="21" t="n"/>
      <c r="L335" s="21" t="n"/>
      <c r="M335" s="21" t="n"/>
      <c r="N335" s="21" t="n"/>
      <c r="O335" s="21" t="n">
        <v>283589</v>
      </c>
      <c r="P335" s="21" t="n">
        <v>2348866</v>
      </c>
      <c r="Q335" s="21" t="n">
        <v>2348866</v>
      </c>
      <c r="R335" s="21">
        <f>IF(Q335="","",Q335*(1+in_GrowthRate)^(YEARFRAC(DATE(2023,12,31),in_AgeToDate)*IF(in_AgeToDate&lt;DATE(2023,12,31),-1,1)+1))</f>
        <v/>
      </c>
      <c r="S335" s="38" t="n"/>
      <c r="T335" s="43">
        <f>HYPERLINK("https://projects.propublica.org/nonprofits/organizations/371758406/202403199349105610/full","view filing")</f>
        <v/>
      </c>
    </row>
    <row r="336">
      <c r="A336" t="inlineStr">
        <is>
          <t>Margaret A Cargill Foundation</t>
        </is>
      </c>
      <c r="B336" s="20" t="inlineStr">
        <is>
          <t>MN</t>
        </is>
      </c>
      <c r="C336" s="42" t="n">
        <v>3.05</v>
      </c>
      <c r="D336" t="inlineStr">
        <is>
          <t>Foundation</t>
        </is>
      </c>
      <c r="E336" s="20" t="n">
        <v>2022</v>
      </c>
      <c r="F336" s="20" t="inlineStr"/>
      <c r="G336" t="inlineStr">
        <is>
          <t>Shawn Wischmeier</t>
        </is>
      </c>
      <c r="H336" t="inlineStr">
        <is>
          <t>CHIEF INVESTMENT OFFICER</t>
        </is>
      </c>
      <c r="I336" t="inlineStr">
        <is>
          <t>CIO</t>
        </is>
      </c>
      <c r="J336" s="21" t="n"/>
      <c r="K336" s="21" t="n"/>
      <c r="L336" s="21" t="n"/>
      <c r="M336" s="21" t="n"/>
      <c r="N336" s="21" t="n"/>
      <c r="O336" s="21" t="n">
        <v>234508</v>
      </c>
      <c r="P336" s="21" t="n">
        <v>1936830</v>
      </c>
      <c r="Q336" s="21" t="n">
        <v>1936830</v>
      </c>
      <c r="R336" s="21">
        <f>IF(Q336="","",Q336*(1+in_GrowthRate)^(YEARFRAC(DATE(2022,12,31),in_AgeToDate)*IF(in_AgeToDate&lt;DATE(2022,12,31),-1,1)+1))</f>
        <v/>
      </c>
      <c r="S336" s="38" t="n"/>
      <c r="T336" s="43">
        <f>HYPERLINK("https://projects.propublica.org/nonprofits/organizations/371758406/202323149349100022/full","view filing")</f>
        <v/>
      </c>
    </row>
    <row r="337">
      <c r="A337" t="inlineStr">
        <is>
          <t>Marquette University</t>
        </is>
      </c>
      <c r="B337" s="20" t="inlineStr">
        <is>
          <t>WI</t>
        </is>
      </c>
      <c r="C337" s="42" t="n">
        <v>1.13</v>
      </c>
      <c r="D337" t="inlineStr">
        <is>
          <t>Endowment</t>
        </is>
      </c>
      <c r="E337" s="20" t="n">
        <v>2025</v>
      </c>
      <c r="F337" s="20">
        <f>IF(AND(OR(in_Mode="All Funds",AND(C337&gt;=in_BandFloor,C337&lt;=in_BandCeiling,OR(in_Geography="National",COUNTIFS(lst_GeoPreset,in_Geography,lst_GeoState,B337)&gt;0,AND(in_Geography="Custom",ISNUMBER(SEARCH(B337,SUBSTITUTE(in_CustomStates," ",""))))),OR(AND(D337="Endowment",Inputs!$B$14="Y"),AND(D337="Foundation",Inputs!$B$15="Y"),AND(D337="Healthcare",Inputs!$B$16="Y"),AND(D337="Pension",Inputs!$B$17="Y"),AND(D337="OCIO",Inputs!$B$18="Y"),AND(D337="Other",Inputs!$B$19="Y")))),A337&lt;&gt;in_ClientOrg,NOT(AND(in_ExclHarvard="Y",ISNUMBER(SEARCH("Harvard",A337))))),"Y","")</f>
        <v/>
      </c>
      <c r="G337" t="inlineStr">
        <is>
          <t>Mr Sean Gissal</t>
        </is>
      </c>
      <c r="H337" t="inlineStr">
        <is>
          <t>Chief Investment Officer</t>
        </is>
      </c>
      <c r="I337" t="inlineStr">
        <is>
          <t>CIO</t>
        </is>
      </c>
      <c r="J337" s="21" t="n">
        <v>353185</v>
      </c>
      <c r="K337" s="21" t="n"/>
      <c r="L337" s="21" t="n">
        <v>353185</v>
      </c>
      <c r="M337" s="21" t="n"/>
      <c r="N337" s="21" t="n">
        <v>27600</v>
      </c>
      <c r="O337" s="21" t="n">
        <v>93786</v>
      </c>
      <c r="P337" s="21" t="n">
        <v>474571</v>
      </c>
      <c r="Q337" s="21" t="n">
        <v>474571</v>
      </c>
      <c r="R337" s="21">
        <f>IF(Q337="","",Q337*(1+in_GrowthRate)^(YEARFRAC(DATE(2025,6,30),in_AgeToDate)*IF(in_AgeToDate&lt;DATE(2025,6,30),-1,1)+1))</f>
        <v/>
      </c>
      <c r="S337" s="38" t="n">
        <v>0</v>
      </c>
      <c r="T337" s="43">
        <f>HYPERLINK("https://projects.propublica.org/nonprofits/organizations/390806251/202611349349303611/full","view filing")</f>
        <v/>
      </c>
    </row>
    <row r="338">
      <c r="A338" t="inlineStr">
        <is>
          <t>Marquette University</t>
        </is>
      </c>
      <c r="B338" s="20" t="inlineStr">
        <is>
          <t>WI</t>
        </is>
      </c>
      <c r="C338" s="42" t="n">
        <v>1.13</v>
      </c>
      <c r="D338" t="inlineStr">
        <is>
          <t>Endowment</t>
        </is>
      </c>
      <c r="E338" s="20" t="n">
        <v>2024</v>
      </c>
      <c r="F338" s="20" t="inlineStr"/>
      <c r="G338" t="inlineStr">
        <is>
          <t>Mr Sean W Gissal</t>
        </is>
      </c>
      <c r="H338" t="inlineStr">
        <is>
          <t>Chief Investment Officer</t>
        </is>
      </c>
      <c r="I338" t="inlineStr">
        <is>
          <t>CIO</t>
        </is>
      </c>
      <c r="J338" s="21" t="n">
        <v>344851</v>
      </c>
      <c r="K338" s="21" t="n"/>
      <c r="L338" s="21" t="n">
        <v>344851</v>
      </c>
      <c r="M338" s="21" t="n">
        <v>241</v>
      </c>
      <c r="N338" s="21" t="n">
        <v>26400</v>
      </c>
      <c r="O338" s="21" t="n">
        <v>84273</v>
      </c>
      <c r="P338" s="21" t="n">
        <v>455765</v>
      </c>
      <c r="Q338" s="21" t="n">
        <v>455765</v>
      </c>
      <c r="R338" s="21">
        <f>IF(Q338="","",Q338*(1+in_GrowthRate)^(YEARFRAC(DATE(2024,6,30),in_AgeToDate)*IF(in_AgeToDate&lt;DATE(2024,6,30),-1,1)+1))</f>
        <v/>
      </c>
      <c r="S338" s="38" t="n">
        <v>0</v>
      </c>
      <c r="T338" s="43">
        <f>HYPERLINK("https://projects.propublica.org/nonprofits/organizations/390806251/202541349349306029/full","view filing")</f>
        <v/>
      </c>
    </row>
    <row r="339">
      <c r="A339" t="inlineStr">
        <is>
          <t>Marquette University</t>
        </is>
      </c>
      <c r="B339" s="20" t="inlineStr">
        <is>
          <t>WI</t>
        </is>
      </c>
      <c r="C339" s="42" t="n">
        <v>1.13</v>
      </c>
      <c r="D339" t="inlineStr">
        <is>
          <t>Endowment</t>
        </is>
      </c>
      <c r="E339" s="20" t="n">
        <v>2023</v>
      </c>
      <c r="F339" s="20" t="inlineStr"/>
      <c r="G339" t="inlineStr">
        <is>
          <t>Mr Sean Gissal</t>
        </is>
      </c>
      <c r="H339" t="inlineStr">
        <is>
          <t>Chief Investment Officer</t>
        </is>
      </c>
      <c r="I339" t="inlineStr">
        <is>
          <t>CIO</t>
        </is>
      </c>
      <c r="J339" s="21" t="n">
        <v>327604</v>
      </c>
      <c r="K339" s="21" t="n"/>
      <c r="L339" s="21" t="n">
        <v>327604</v>
      </c>
      <c r="M339" s="21" t="n">
        <v>247</v>
      </c>
      <c r="N339" s="21" t="n">
        <v>24400</v>
      </c>
      <c r="O339" s="21" t="n">
        <v>80325</v>
      </c>
      <c r="P339" s="21" t="n">
        <v>432576</v>
      </c>
      <c r="Q339" s="21" t="n">
        <v>432576</v>
      </c>
      <c r="R339" s="21">
        <f>IF(Q339="","",Q339*(1+in_GrowthRate)^(YEARFRAC(DATE(2023,6,30),in_AgeToDate)*IF(in_AgeToDate&lt;DATE(2023,6,30),-1,1)+1))</f>
        <v/>
      </c>
      <c r="S339" s="38" t="n">
        <v>0</v>
      </c>
      <c r="T339" s="43">
        <f>HYPERLINK("https://projects.propublica.org/nonprofits/organizations/390806251/202421369349308087/full","view filing")</f>
        <v/>
      </c>
    </row>
    <row r="340">
      <c r="A340" t="inlineStr">
        <is>
          <t>Marquette University</t>
        </is>
      </c>
      <c r="B340" s="20" t="inlineStr">
        <is>
          <t>WI</t>
        </is>
      </c>
      <c r="C340" s="42" t="n">
        <v>1.13</v>
      </c>
      <c r="D340" t="inlineStr">
        <is>
          <t>Endowment</t>
        </is>
      </c>
      <c r="E340" s="20" t="n">
        <v>2022</v>
      </c>
      <c r="F340" s="20" t="inlineStr"/>
      <c r="G340" t="inlineStr">
        <is>
          <t>Mr Sean Gissal</t>
        </is>
      </c>
      <c r="H340" t="inlineStr">
        <is>
          <t>Chief Investment Officer</t>
        </is>
      </c>
      <c r="I340" t="inlineStr">
        <is>
          <t>CIO</t>
        </is>
      </c>
      <c r="J340" s="21" t="n">
        <v>302142</v>
      </c>
      <c r="K340" s="21" t="n"/>
      <c r="L340" s="21" t="n">
        <v>302142</v>
      </c>
      <c r="M340" s="21" t="n"/>
      <c r="N340" s="21" t="n">
        <v>16640</v>
      </c>
      <c r="O340" s="21" t="n">
        <v>76640</v>
      </c>
      <c r="P340" s="21" t="n">
        <v>395422</v>
      </c>
      <c r="Q340" s="21" t="n">
        <v>395422</v>
      </c>
      <c r="R340" s="21">
        <f>IF(Q340="","",Q340*(1+in_GrowthRate)^(YEARFRAC(DATE(2022,6,30),in_AgeToDate)*IF(in_AgeToDate&lt;DATE(2022,6,30),-1,1)+1))</f>
        <v/>
      </c>
      <c r="S340" s="38" t="n">
        <v>0</v>
      </c>
      <c r="T340" s="43">
        <f>HYPERLINK("https://projects.propublica.org/nonprofits/organizations/390806251/202301339349301530/full","view filing")</f>
        <v/>
      </c>
    </row>
    <row r="341">
      <c r="A341" t="inlineStr">
        <is>
          <t>Mass General Brigham Incorporated</t>
        </is>
      </c>
      <c r="B341" s="20" t="inlineStr">
        <is>
          <t>MA</t>
        </is>
      </c>
      <c r="C341" s="42" t="n">
        <v>2.28</v>
      </c>
      <c r="D341" t="inlineStr">
        <is>
          <t>Healthcare</t>
        </is>
      </c>
      <c r="E341" s="20" t="n">
        <v>2025</v>
      </c>
      <c r="F341" s="20">
        <f>IF(AND(OR(in_Mode="All Funds",AND(C341&gt;=in_BandFloor,C341&lt;=in_BandCeiling,OR(in_Geography="National",COUNTIFS(lst_GeoPreset,in_Geography,lst_GeoState,B341)&gt;0,AND(in_Geography="Custom",ISNUMBER(SEARCH(B341,SUBSTITUTE(in_CustomStates," ",""))))),OR(AND(D341="Endowment",Inputs!$B$14="Y"),AND(D341="Foundation",Inputs!$B$15="Y"),AND(D341="Healthcare",Inputs!$B$16="Y"),AND(D341="Pension",Inputs!$B$17="Y"),AND(D341="OCIO",Inputs!$B$18="Y"),AND(D341="Other",Inputs!$B$19="Y")))),A341&lt;&gt;in_ClientOrg,NOT(AND(in_ExclHarvard="Y",ISNUMBER(SEARCH("Harvard",A341))))),"Y","")</f>
        <v/>
      </c>
      <c r="G341" t="inlineStr">
        <is>
          <t>Emma Somers-Roy</t>
        </is>
      </c>
      <c r="H341" t="inlineStr">
        <is>
          <t>CHIEF INVESTMENT OFFICER</t>
        </is>
      </c>
      <c r="I341" t="inlineStr">
        <is>
          <t>CIO</t>
        </is>
      </c>
      <c r="J341" s="21" t="n">
        <v>877000</v>
      </c>
      <c r="K341" s="21" t="n">
        <v>2205061</v>
      </c>
      <c r="L341" s="21" t="n">
        <v>3082061</v>
      </c>
      <c r="M341" s="21" t="n">
        <v>81943</v>
      </c>
      <c r="N341" s="21" t="n">
        <v>18833</v>
      </c>
      <c r="O341" s="21" t="n">
        <v>41810</v>
      </c>
      <c r="P341" s="21" t="n">
        <v>3224647</v>
      </c>
      <c r="Q341" s="21" t="n">
        <v>3224647</v>
      </c>
      <c r="R341" s="21">
        <f>IF(Q341="","",Q341*(1+in_GrowthRate)^(YEARFRAC(DATE(2025,9,30),in_AgeToDate)*IF(in_AgeToDate&lt;DATE(2025,9,30),-1,1)+1))</f>
        <v/>
      </c>
      <c r="S341" s="38" t="n">
        <v>2.514322690992018</v>
      </c>
      <c r="T341" s="43">
        <f>HYPERLINK("https://projects.propublica.org/nonprofits/organizations/43230035/202622259349300127/full","view filing")</f>
        <v/>
      </c>
    </row>
    <row r="342">
      <c r="A342" t="inlineStr">
        <is>
          <t>Mass General Brigham Incorporated</t>
        </is>
      </c>
      <c r="B342" s="20" t="inlineStr">
        <is>
          <t>MA</t>
        </is>
      </c>
      <c r="C342" s="42" t="n">
        <v>2.28</v>
      </c>
      <c r="D342" t="inlineStr">
        <is>
          <t>Healthcare</t>
        </is>
      </c>
      <c r="E342" s="20" t="n">
        <v>2024</v>
      </c>
      <c r="F342" s="20" t="inlineStr"/>
      <c r="G342" t="inlineStr">
        <is>
          <t>Emma Somers-Roy</t>
        </is>
      </c>
      <c r="H342" t="inlineStr">
        <is>
          <t>CHIEF INVESTMENT OFFICER</t>
        </is>
      </c>
      <c r="I342" t="inlineStr">
        <is>
          <t>CIO</t>
        </is>
      </c>
      <c r="J342" s="21" t="n">
        <v>354457</v>
      </c>
      <c r="K342" s="21" t="n">
        <v>836551</v>
      </c>
      <c r="L342" s="21" t="n">
        <v>1191008</v>
      </c>
      <c r="M342" s="21" t="n">
        <v>11183</v>
      </c>
      <c r="N342" s="21" t="n"/>
      <c r="O342" s="21" t="n">
        <v>36644</v>
      </c>
      <c r="P342" s="21" t="n">
        <v>1238835</v>
      </c>
      <c r="Q342" s="21" t="n">
        <v>1238835</v>
      </c>
      <c r="R342" s="21">
        <f>IF(Q342="","",Q342*(1+in_GrowthRate)^(YEARFRAC(DATE(2024,9,30),in_AgeToDate)*IF(in_AgeToDate&lt;DATE(2024,9,30),-1,1)+1))</f>
        <v/>
      </c>
      <c r="S342" s="38" t="n">
        <v>2.360091633117698</v>
      </c>
      <c r="T342" s="43">
        <f>HYPERLINK("https://projects.propublica.org/nonprofits/organizations/43230035/202502269349302855/full","view filing")</f>
        <v/>
      </c>
    </row>
    <row r="343">
      <c r="A343" t="inlineStr">
        <is>
          <t>Mass General Brigham Incorporated</t>
        </is>
      </c>
      <c r="B343" s="20" t="inlineStr">
        <is>
          <t>MA</t>
        </is>
      </c>
      <c r="C343" s="42" t="n">
        <v>2.28</v>
      </c>
      <c r="D343" t="inlineStr">
        <is>
          <t>Healthcare</t>
        </is>
      </c>
      <c r="E343" s="20" t="n">
        <v>2023</v>
      </c>
      <c r="F343" s="20" t="inlineStr"/>
      <c r="G343" t="inlineStr">
        <is>
          <t>John R Barker</t>
        </is>
      </c>
      <c r="H343" t="inlineStr">
        <is>
          <t>CHIEF INVESTMENT OFFICER</t>
        </is>
      </c>
      <c r="I343" t="inlineStr">
        <is>
          <t>CIO</t>
        </is>
      </c>
      <c r="J343" s="21" t="n">
        <v>719500</v>
      </c>
      <c r="K343" s="21" t="n">
        <v>2536466</v>
      </c>
      <c r="L343" s="21" t="n">
        <v>3255966</v>
      </c>
      <c r="M343" s="21" t="n">
        <v>61089</v>
      </c>
      <c r="N343" s="21" t="n">
        <v>27450</v>
      </c>
      <c r="O343" s="21" t="n">
        <v>35501</v>
      </c>
      <c r="P343" s="21" t="n">
        <v>3380006</v>
      </c>
      <c r="Q343" s="21" t="n">
        <v>3380006</v>
      </c>
      <c r="R343" s="21">
        <f>IF(Q343="","",Q343*(1+in_GrowthRate)^(YEARFRAC(DATE(2023,9,30),in_AgeToDate)*IF(in_AgeToDate&lt;DATE(2023,9,30),-1,1)+1))</f>
        <v/>
      </c>
      <c r="S343" s="38" t="n">
        <v>3.525317581653926</v>
      </c>
      <c r="T343" s="43">
        <f>HYPERLINK("https://projects.propublica.org/nonprofits/organizations/43230035/202442269349300854/full","view filing")</f>
        <v/>
      </c>
    </row>
    <row r="344">
      <c r="A344" t="inlineStr">
        <is>
          <t>Mass General Brigham Incorporated</t>
        </is>
      </c>
      <c r="B344" s="20" t="inlineStr">
        <is>
          <t>MA</t>
        </is>
      </c>
      <c r="C344" s="42" t="n">
        <v>2.28</v>
      </c>
      <c r="D344" t="inlineStr">
        <is>
          <t>Healthcare</t>
        </is>
      </c>
      <c r="E344" s="20" t="n">
        <v>2022</v>
      </c>
      <c r="F344" s="20" t="inlineStr"/>
      <c r="G344" t="inlineStr">
        <is>
          <t>John R Barker</t>
        </is>
      </c>
      <c r="H344" t="inlineStr">
        <is>
          <t>CHIEF INVESTMENT OFFICER</t>
        </is>
      </c>
      <c r="I344" t="inlineStr">
        <is>
          <t>CIO</t>
        </is>
      </c>
      <c r="J344" s="21" t="n">
        <v>694500</v>
      </c>
      <c r="K344" s="21" t="n">
        <v>2664000</v>
      </c>
      <c r="L344" s="21" t="n">
        <v>3358500</v>
      </c>
      <c r="M344" s="21" t="n">
        <v>87896</v>
      </c>
      <c r="N344" s="21" t="n">
        <v>26100</v>
      </c>
      <c r="O344" s="21" t="n">
        <v>32751</v>
      </c>
      <c r="P344" s="21" t="n">
        <v>3505247</v>
      </c>
      <c r="Q344" s="21" t="n">
        <v>3505247</v>
      </c>
      <c r="R344" s="21">
        <f>IF(Q344="","",Q344*(1+in_GrowthRate)^(YEARFRAC(DATE(2022,9,30),in_AgeToDate)*IF(in_AgeToDate&lt;DATE(2022,9,30),-1,1)+1))</f>
        <v/>
      </c>
      <c r="S344" s="38" t="n">
        <v>3.83585313174946</v>
      </c>
      <c r="T344" s="43">
        <f>HYPERLINK("https://projects.propublica.org/nonprofits/organizations/43230035/202342269349302779/full","view filing")</f>
        <v/>
      </c>
    </row>
    <row r="345">
      <c r="A345" t="inlineStr">
        <is>
          <t>Massachusetts Institute Of Technology</t>
        </is>
      </c>
      <c r="B345" s="20" t="inlineStr">
        <is>
          <t>MA</t>
        </is>
      </c>
      <c r="C345" s="42" t="n">
        <v>27.37</v>
      </c>
      <c r="D345" t="inlineStr">
        <is>
          <t>Endowment</t>
        </is>
      </c>
      <c r="E345" s="20" t="n">
        <v>2025</v>
      </c>
      <c r="F345" s="20">
        <f>IF(AND(OR(in_Mode="All Funds",AND(C345&gt;=in_BandFloor,C345&lt;=in_BandCeiling,OR(in_Geography="National",COUNTIFS(lst_GeoPreset,in_Geography,lst_GeoState,B345)&gt;0,AND(in_Geography="Custom",ISNUMBER(SEARCH(B345,SUBSTITUTE(in_CustomStates," ",""))))),OR(AND(D345="Endowment",Inputs!$B$14="Y"),AND(D345="Foundation",Inputs!$B$15="Y"),AND(D345="Healthcare",Inputs!$B$16="Y"),AND(D345="Pension",Inputs!$B$17="Y"),AND(D345="OCIO",Inputs!$B$18="Y"),AND(D345="Other",Inputs!$B$19="Y")))),A345&lt;&gt;in_ClientOrg,NOT(AND(in_ExclHarvard="Y",ISNUMBER(SEARCH("Harvard",A345))))),"Y","")</f>
        <v/>
      </c>
      <c r="G345" t="inlineStr">
        <is>
          <t>Seth Alexander</t>
        </is>
      </c>
      <c r="H345" t="inlineStr">
        <is>
          <t>President of MITIMCo</t>
        </is>
      </c>
      <c r="I345" t="inlineStr">
        <is>
          <t>CEO (Inv Entity)</t>
        </is>
      </c>
      <c r="J345" s="21" t="n">
        <v>994577</v>
      </c>
      <c r="K345" s="21" t="n">
        <v>2788083</v>
      </c>
      <c r="L345" s="21" t="n">
        <v>3782660</v>
      </c>
      <c r="M345" s="21" t="n">
        <v>62415</v>
      </c>
      <c r="N345" s="21" t="n">
        <v>581546</v>
      </c>
      <c r="O345" s="21" t="n">
        <v>35769</v>
      </c>
      <c r="P345" s="21" t="n">
        <v>4462390</v>
      </c>
      <c r="Q345" s="21" t="n">
        <v>3832053</v>
      </c>
      <c r="R345" s="21">
        <f>IF(Q345="","",Q345*(1+in_GrowthRate)^(YEARFRAC(DATE(2025,6,30),in_AgeToDate)*IF(in_AgeToDate&lt;DATE(2025,6,30),-1,1)+1))</f>
        <v/>
      </c>
      <c r="S345" s="38" t="n">
        <v>2.803285215724876</v>
      </c>
      <c r="T345" s="43">
        <f>HYPERLINK("https://projects.propublica.org/nonprofits/organizations/42103594/202601359349306115/full","view filing")</f>
        <v/>
      </c>
    </row>
    <row r="346">
      <c r="A346" t="inlineStr">
        <is>
          <t>Massachusetts Institute Of Technology</t>
        </is>
      </c>
      <c r="B346" s="20" t="inlineStr">
        <is>
          <t>MA</t>
        </is>
      </c>
      <c r="C346" s="42" t="n">
        <v>27.37</v>
      </c>
      <c r="D346" t="inlineStr">
        <is>
          <t>Endowment</t>
        </is>
      </c>
      <c r="E346" s="20" t="n">
        <v>2024</v>
      </c>
      <c r="F346" s="20" t="inlineStr"/>
      <c r="G346" t="inlineStr">
        <is>
          <t>Seth Alexander</t>
        </is>
      </c>
      <c r="H346" t="inlineStr">
        <is>
          <t>President of MITIMCo</t>
        </is>
      </c>
      <c r="I346" t="inlineStr">
        <is>
          <t>CEO (Inv Entity)</t>
        </is>
      </c>
      <c r="J346" s="21" t="n">
        <v>941458</v>
      </c>
      <c r="K346" s="21" t="n">
        <v>2131720</v>
      </c>
      <c r="L346" s="21" t="n">
        <v>3073178</v>
      </c>
      <c r="M346" s="21" t="n">
        <v>61688</v>
      </c>
      <c r="N346" s="21" t="n">
        <v>579596</v>
      </c>
      <c r="O346" s="21" t="n">
        <v>33852</v>
      </c>
      <c r="P346" s="21" t="n">
        <v>3748314</v>
      </c>
      <c r="Q346" s="21" t="n">
        <v>3388808</v>
      </c>
      <c r="R346" s="21">
        <f>IF(Q346="","",Q346*(1+in_GrowthRate)^(YEARFRAC(DATE(2024,6,30),in_AgeToDate)*IF(in_AgeToDate&lt;DATE(2024,6,30),-1,1)+1))</f>
        <v/>
      </c>
      <c r="S346" s="38" t="n">
        <v>2.264275198681195</v>
      </c>
      <c r="T346" s="43">
        <f>HYPERLINK("https://projects.propublica.org/nonprofits/organizations/42103594/202501359349301830/full","view filing")</f>
        <v/>
      </c>
    </row>
    <row r="347">
      <c r="A347" t="inlineStr">
        <is>
          <t>Massachusetts Institute Of Technology</t>
        </is>
      </c>
      <c r="B347" s="20" t="inlineStr">
        <is>
          <t>MA</t>
        </is>
      </c>
      <c r="C347" s="42" t="n">
        <v>27.37</v>
      </c>
      <c r="D347" t="inlineStr">
        <is>
          <t>Endowment</t>
        </is>
      </c>
      <c r="E347" s="20" t="n">
        <v>2023</v>
      </c>
      <c r="F347" s="20" t="inlineStr"/>
      <c r="G347" t="inlineStr">
        <is>
          <t>Seth Alexander</t>
        </is>
      </c>
      <c r="H347" t="inlineStr">
        <is>
          <t>President of MITIMCo</t>
        </is>
      </c>
      <c r="I347" t="inlineStr">
        <is>
          <t>CEO (Inv Entity)</t>
        </is>
      </c>
      <c r="J347" s="21" t="n">
        <v>911111</v>
      </c>
      <c r="K347" s="21" t="n">
        <v>1666438</v>
      </c>
      <c r="L347" s="21" t="n">
        <v>2577549</v>
      </c>
      <c r="M347" s="21" t="n">
        <v>58114</v>
      </c>
      <c r="N347" s="21" t="n">
        <v>425126</v>
      </c>
      <c r="O347" s="21" t="n">
        <v>32317</v>
      </c>
      <c r="P347" s="21" t="n">
        <v>3093106</v>
      </c>
      <c r="Q347" s="21" t="n">
        <v>2745249</v>
      </c>
      <c r="R347" s="21">
        <f>IF(Q347="","",Q347*(1+in_GrowthRate)^(YEARFRAC(DATE(2023,6,30),in_AgeToDate)*IF(in_AgeToDate&lt;DATE(2023,6,30),-1,1)+1))</f>
        <v/>
      </c>
      <c r="S347" s="38" t="n">
        <v>1.82901754012409</v>
      </c>
      <c r="T347" s="43">
        <f>HYPERLINK("https://projects.propublica.org/nonprofits/organizations/42103594/202441369349318094/full","view filing")</f>
        <v/>
      </c>
    </row>
    <row r="348">
      <c r="A348" t="inlineStr">
        <is>
          <t>Massachusetts Institute Of Technology</t>
        </is>
      </c>
      <c r="B348" s="20" t="inlineStr">
        <is>
          <t>MA</t>
        </is>
      </c>
      <c r="C348" s="42" t="n">
        <v>27.37</v>
      </c>
      <c r="D348" t="inlineStr">
        <is>
          <t>Endowment</t>
        </is>
      </c>
      <c r="E348" s="20" t="n">
        <v>2022</v>
      </c>
      <c r="F348" s="20" t="inlineStr"/>
      <c r="G348" t="inlineStr">
        <is>
          <t>Seth Alexander</t>
        </is>
      </c>
      <c r="H348" t="inlineStr">
        <is>
          <t>President of MITIMCo</t>
        </is>
      </c>
      <c r="I348" t="inlineStr">
        <is>
          <t>CEO (Inv Entity)</t>
        </is>
      </c>
      <c r="J348" s="21" t="n">
        <v>860135</v>
      </c>
      <c r="K348" s="21" t="n">
        <v>1778631</v>
      </c>
      <c r="L348" s="21" t="n">
        <v>2638766</v>
      </c>
      <c r="M348" s="21" t="n">
        <v>58396</v>
      </c>
      <c r="N348" s="21" t="n">
        <v>379757</v>
      </c>
      <c r="O348" s="21" t="n">
        <v>31290</v>
      </c>
      <c r="P348" s="21" t="n">
        <v>3108210</v>
      </c>
      <c r="Q348" s="21" t="n">
        <v>2786407</v>
      </c>
      <c r="R348" s="21">
        <f>IF(Q348="","",Q348*(1+in_GrowthRate)^(YEARFRAC(DATE(2022,6,30),in_AgeToDate)*IF(in_AgeToDate&lt;DATE(2022,6,30),-1,1)+1))</f>
        <v/>
      </c>
      <c r="S348" s="38" t="n">
        <v>2.067850976881536</v>
      </c>
      <c r="T348" s="43">
        <f>HYPERLINK("https://projects.propublica.org/nonprofits/organizations/42103594/202311329349308061/full","view filing")</f>
        <v/>
      </c>
    </row>
    <row r="349">
      <c r="A349" t="inlineStr">
        <is>
          <t>Memorial Sloan Kettering Cancer Center</t>
        </is>
      </c>
      <c r="B349" s="20" t="inlineStr">
        <is>
          <t>NY</t>
        </is>
      </c>
      <c r="C349" s="42" t="n">
        <v>6.52</v>
      </c>
      <c r="D349" t="inlineStr">
        <is>
          <t>Healthcare</t>
        </is>
      </c>
      <c r="E349" s="20" t="n">
        <v>2024</v>
      </c>
      <c r="F349" s="20">
        <f>IF(AND(OR(in_Mode="All Funds",AND(C349&gt;=in_BandFloor,C349&lt;=in_BandCeiling,OR(in_Geography="National",COUNTIFS(lst_GeoPreset,in_Geography,lst_GeoState,B349)&gt;0,AND(in_Geography="Custom",ISNUMBER(SEARCH(B349,SUBSTITUTE(in_CustomStates," ",""))))),OR(AND(D349="Endowment",Inputs!$B$14="Y"),AND(D349="Foundation",Inputs!$B$15="Y"),AND(D349="Healthcare",Inputs!$B$16="Y"),AND(D349="Pension",Inputs!$B$17="Y"),AND(D349="OCIO",Inputs!$B$18="Y"),AND(D349="Other",Inputs!$B$19="Y")))),A349&lt;&gt;in_ClientOrg,NOT(AND(in_ExclHarvard="Y",ISNUMBER(SEARCH("Harvard",A349))))),"Y","")</f>
        <v/>
      </c>
      <c r="G349" t="inlineStr">
        <is>
          <t>Jason Klein</t>
        </is>
      </c>
      <c r="H349" t="inlineStr">
        <is>
          <t>SVP &amp; CHIEF INVESTMENT OFFICER</t>
        </is>
      </c>
      <c r="I349" t="inlineStr">
        <is>
          <t>CIO</t>
        </is>
      </c>
      <c r="J349" s="21" t="n">
        <v>1260630</v>
      </c>
      <c r="K349" s="21" t="n">
        <v>1000000</v>
      </c>
      <c r="L349" s="21" t="n">
        <v>2260630</v>
      </c>
      <c r="M349" s="21" t="n">
        <v>11250</v>
      </c>
      <c r="N349" s="21" t="n">
        <v>27600</v>
      </c>
      <c r="O349" s="21" t="n">
        <v>62301</v>
      </c>
      <c r="P349" s="21" t="n">
        <v>2361781</v>
      </c>
      <c r="Q349" s="21" t="n">
        <v>2361781</v>
      </c>
      <c r="R349" s="21">
        <f>IF(Q349="","",Q349*(1+in_GrowthRate)^(YEARFRAC(DATE(2024,12,31),in_AgeToDate)*IF(in_AgeToDate&lt;DATE(2024,12,31),-1,1)+1))</f>
        <v/>
      </c>
      <c r="S349" s="38" t="n">
        <v>0.7932541665675099</v>
      </c>
      <c r="T349" s="43">
        <f>HYPERLINK("https://projects.propublica.org/nonprofits/organizations/131924236/202533159349305998/full","view filing")</f>
        <v/>
      </c>
    </row>
    <row r="350">
      <c r="A350" t="inlineStr">
        <is>
          <t>Memorial Sloan Kettering Cancer Center</t>
        </is>
      </c>
      <c r="B350" s="20" t="inlineStr">
        <is>
          <t>NY</t>
        </is>
      </c>
      <c r="C350" s="42" t="n">
        <v>6.52</v>
      </c>
      <c r="D350" t="inlineStr">
        <is>
          <t>Healthcare</t>
        </is>
      </c>
      <c r="E350" s="20" t="n">
        <v>2023</v>
      </c>
      <c r="F350" s="20" t="inlineStr"/>
      <c r="G350" t="inlineStr">
        <is>
          <t>Jason Klein</t>
        </is>
      </c>
      <c r="H350" t="inlineStr">
        <is>
          <t>SVP &amp; CHIEF INVESTMENT OFFICER</t>
        </is>
      </c>
      <c r="I350" t="inlineStr">
        <is>
          <t>CIO</t>
        </is>
      </c>
      <c r="J350" s="21" t="n">
        <v>1133496</v>
      </c>
      <c r="K350" s="21" t="n">
        <v>2225250</v>
      </c>
      <c r="L350" s="21" t="n">
        <v>3358746</v>
      </c>
      <c r="M350" s="21" t="n">
        <v>140223</v>
      </c>
      <c r="N350" s="21" t="n">
        <v>26400</v>
      </c>
      <c r="O350" s="21" t="n">
        <v>56076</v>
      </c>
      <c r="P350" s="21" t="n">
        <v>3581445</v>
      </c>
      <c r="Q350" s="21" t="n">
        <v>3581445</v>
      </c>
      <c r="R350" s="21">
        <f>IF(Q350="","",Q350*(1+in_GrowthRate)^(YEARFRAC(DATE(2023,12,31),in_AgeToDate)*IF(in_AgeToDate&lt;DATE(2023,12,31),-1,1)+1))</f>
        <v/>
      </c>
      <c r="S350" s="38" t="n">
        <v>1.963174109127866</v>
      </c>
      <c r="T350" s="43">
        <f>HYPERLINK("https://projects.propublica.org/nonprofits/organizations/131924236/202433199349316733/full","view filing")</f>
        <v/>
      </c>
    </row>
    <row r="351">
      <c r="A351" t="inlineStr">
        <is>
          <t>Memorial Sloan Kettering Cancer Center</t>
        </is>
      </c>
      <c r="B351" s="20" t="inlineStr">
        <is>
          <t>NY</t>
        </is>
      </c>
      <c r="C351" s="42" t="n">
        <v>6.52</v>
      </c>
      <c r="D351" t="inlineStr">
        <is>
          <t>Healthcare</t>
        </is>
      </c>
      <c r="E351" s="20" t="n">
        <v>2022</v>
      </c>
      <c r="F351" s="20" t="inlineStr"/>
      <c r="G351" t="inlineStr">
        <is>
          <t>Jason Klein</t>
        </is>
      </c>
      <c r="H351" t="inlineStr">
        <is>
          <t>SVP &amp; CHIEF INVESTMENT OFFICER</t>
        </is>
      </c>
      <c r="I351" t="inlineStr">
        <is>
          <t>CIO</t>
        </is>
      </c>
      <c r="J351" s="21" t="n">
        <v>1178244</v>
      </c>
      <c r="K351" s="21" t="n">
        <v>2530000</v>
      </c>
      <c r="L351" s="21" t="n">
        <v>3708244</v>
      </c>
      <c r="M351" s="21" t="n">
        <v>3099681</v>
      </c>
      <c r="N351" s="21" t="n">
        <v>24400</v>
      </c>
      <c r="O351" s="21" t="n">
        <v>51722</v>
      </c>
      <c r="P351" s="21" t="n">
        <v>6884047</v>
      </c>
      <c r="Q351" s="21" t="n">
        <v>6868047</v>
      </c>
      <c r="R351" s="21">
        <f>IF(Q351="","",Q351*(1+in_GrowthRate)^(YEARFRAC(DATE(2022,12,31),in_AgeToDate)*IF(in_AgeToDate&lt;DATE(2022,12,31),-1,1)+1))</f>
        <v/>
      </c>
      <c r="S351" s="38" t="n">
        <v>2.147263215429062</v>
      </c>
      <c r="T351" s="43">
        <f>HYPERLINK("https://projects.propublica.org/nonprofits/organizations/131924236/202333199349305773/full","view filing")</f>
        <v/>
      </c>
    </row>
    <row r="352">
      <c r="A352" t="inlineStr">
        <is>
          <t>Mercy Corps</t>
        </is>
      </c>
      <c r="B352" s="20" t="inlineStr">
        <is>
          <t>OR</t>
        </is>
      </c>
      <c r="C352" s="42" t="n">
        <v>0.26</v>
      </c>
      <c r="D352" t="inlineStr">
        <is>
          <t>Other</t>
        </is>
      </c>
      <c r="E352" s="20" t="n">
        <v>2025</v>
      </c>
      <c r="F352" s="20">
        <f>IF(AND(OR(in_Mode="All Funds",AND(C352&gt;=in_BandFloor,C352&lt;=in_BandCeiling,OR(in_Geography="National",COUNTIFS(lst_GeoPreset,in_Geography,lst_GeoState,B352)&gt;0,AND(in_Geography="Custom",ISNUMBER(SEARCH(B352,SUBSTITUTE(in_CustomStates," ",""))))),OR(AND(D352="Endowment",Inputs!$B$14="Y"),AND(D352="Foundation",Inputs!$B$15="Y"),AND(D352="Healthcare",Inputs!$B$16="Y"),AND(D352="Pension",Inputs!$B$17="Y"),AND(D352="OCIO",Inputs!$B$18="Y"),AND(D352="Other",Inputs!$B$19="Y")))),A352&lt;&gt;in_ClientOrg,NOT(AND(in_ExclHarvard="Y",ISNUMBER(SEARCH("Harvard",A352))))),"Y","")</f>
        <v/>
      </c>
      <c r="G352" t="inlineStr">
        <is>
          <t>Jonathan Scott Onder</t>
        </is>
      </c>
      <c r="H352" t="inlineStr">
        <is>
          <t>Chief Investment Officer</t>
        </is>
      </c>
      <c r="I352" t="inlineStr">
        <is>
          <t>CIO</t>
        </is>
      </c>
      <c r="J352" s="21" t="n">
        <v>231378</v>
      </c>
      <c r="K352" s="21" t="n"/>
      <c r="L352" s="21" t="n">
        <v>231378</v>
      </c>
      <c r="M352" s="21" t="n">
        <v>1723</v>
      </c>
      <c r="N352" s="21" t="n">
        <v>14297</v>
      </c>
      <c r="O352" s="21" t="n">
        <v>27630</v>
      </c>
      <c r="P352" s="21" t="n">
        <v>275028</v>
      </c>
      <c r="Q352" s="21" t="n">
        <v>275028</v>
      </c>
      <c r="R352" s="21">
        <f>IF(Q352="","",Q352*(1+in_GrowthRate)^(YEARFRAC(DATE(2025,6,30),in_AgeToDate)*IF(in_AgeToDate&lt;DATE(2025,6,30),-1,1)+1))</f>
        <v/>
      </c>
      <c r="S352" s="38" t="n">
        <v>0</v>
      </c>
      <c r="T352" s="43">
        <f>HYPERLINK("https://projects.propublica.org/nonprofits/organizations/911148123/202620309349300817/full","view filing")</f>
        <v/>
      </c>
    </row>
    <row r="353">
      <c r="A353" t="inlineStr">
        <is>
          <t>Meyer Memorial Trust</t>
        </is>
      </c>
      <c r="B353" s="20" t="inlineStr">
        <is>
          <t>OR</t>
        </is>
      </c>
      <c r="C353" s="42" t="n">
        <v>0.88</v>
      </c>
      <c r="D353" t="inlineStr">
        <is>
          <t>Foundation</t>
        </is>
      </c>
      <c r="E353" s="20" t="n">
        <v>2023</v>
      </c>
      <c r="F353" s="20" t="inlineStr"/>
      <c r="G353" t="inlineStr">
        <is>
          <t>Rukaiyah Adams</t>
        </is>
      </c>
      <c r="H353" t="inlineStr">
        <is>
          <t>Chief invest officer</t>
        </is>
      </c>
      <c r="I353" t="inlineStr">
        <is>
          <t>CIO</t>
        </is>
      </c>
      <c r="J353" s="21" t="n"/>
      <c r="K353" s="21" t="n"/>
      <c r="L353" s="21" t="n"/>
      <c r="M353" s="21" t="n"/>
      <c r="N353" s="21" t="n"/>
      <c r="O353" s="21" t="n"/>
      <c r="P353" s="21" t="n">
        <v>360453</v>
      </c>
      <c r="Q353" s="21" t="n">
        <v>360453</v>
      </c>
      <c r="R353" s="21">
        <f>IF(Q353="","",Q353*(1+in_GrowthRate)^(YEARFRAC(DATE(2023,3,31),in_AgeToDate)*IF(in_AgeToDate&lt;DATE(2023,3,31),-1,1)+1))</f>
        <v/>
      </c>
      <c r="S353" s="38" t="n"/>
      <c r="T353" s="43">
        <f>HYPERLINK("https://projects.propublica.org/nonprofits/organizations/930806316/202420439349101117/full","view filing")</f>
        <v/>
      </c>
    </row>
    <row r="354">
      <c r="A354" t="inlineStr">
        <is>
          <t>Meyer Memorial Trust</t>
        </is>
      </c>
      <c r="B354" s="20" t="inlineStr">
        <is>
          <t>OR</t>
        </is>
      </c>
      <c r="C354" s="42" t="n">
        <v>0.88</v>
      </c>
      <c r="D354" t="inlineStr">
        <is>
          <t>Foundation</t>
        </is>
      </c>
      <c r="E354" s="20" t="n">
        <v>2022</v>
      </c>
      <c r="F354" s="20" t="inlineStr"/>
      <c r="G354" t="inlineStr">
        <is>
          <t>Rukaiyah Adams</t>
        </is>
      </c>
      <c r="H354" t="inlineStr">
        <is>
          <t>Chief invest officer</t>
        </is>
      </c>
      <c r="I354" t="inlineStr">
        <is>
          <t>CIO</t>
        </is>
      </c>
      <c r="J354" s="21" t="n"/>
      <c r="K354" s="21" t="n"/>
      <c r="L354" s="21" t="n"/>
      <c r="M354" s="21" t="n"/>
      <c r="N354" s="21" t="n"/>
      <c r="O354" s="21" t="n"/>
      <c r="P354" s="21" t="n">
        <v>507515</v>
      </c>
      <c r="Q354" s="21" t="n">
        <v>507515</v>
      </c>
      <c r="R354" s="21">
        <f>IF(Q354="","",Q354*(1+in_GrowthRate)^(YEARFRAC(DATE(2022,3,31),in_AgeToDate)*IF(in_AgeToDate&lt;DATE(2022,3,31),-1,1)+1))</f>
        <v/>
      </c>
      <c r="S354" s="38" t="n"/>
      <c r="T354" s="43">
        <f>HYPERLINK("https://projects.propublica.org/nonprofits/organizations/930806316/202340399349100719/full","view filing")</f>
        <v/>
      </c>
    </row>
    <row r="355">
      <c r="A355" t="inlineStr">
        <is>
          <t>Moses H Cone Memorial Hospital</t>
        </is>
      </c>
      <c r="B355" s="20" t="inlineStr">
        <is>
          <t>NC</t>
        </is>
      </c>
      <c r="C355" s="42" t="n">
        <v>1.07</v>
      </c>
      <c r="D355" t="inlineStr">
        <is>
          <t>Healthcare</t>
        </is>
      </c>
      <c r="E355" s="20" t="n">
        <v>2024</v>
      </c>
      <c r="F355" s="20">
        <f>IF(AND(OR(in_Mode="All Funds",AND(C355&gt;=in_BandFloor,C355&lt;=in_BandCeiling,OR(in_Geography="National",COUNTIFS(lst_GeoPreset,in_Geography,lst_GeoState,B355)&gt;0,AND(in_Geography="Custom",ISNUMBER(SEARCH(B355,SUBSTITUTE(in_CustomStates," ",""))))),OR(AND(D355="Endowment",Inputs!$B$14="Y"),AND(D355="Foundation",Inputs!$B$15="Y"),AND(D355="Healthcare",Inputs!$B$16="Y"),AND(D355="Pension",Inputs!$B$17="Y"),AND(D355="OCIO",Inputs!$B$18="Y"),AND(D355="Other",Inputs!$B$19="Y")))),A355&lt;&gt;in_ClientOrg,NOT(AND(in_ExclHarvard="Y",ISNUMBER(SEARCH("Harvard",A355))))),"Y","")</f>
        <v/>
      </c>
      <c r="G355" t="inlineStr">
        <is>
          <t>Miller John</t>
        </is>
      </c>
      <c r="H355" t="inlineStr">
        <is>
          <t>CIO &amp; TREASURER</t>
        </is>
      </c>
      <c r="I355" t="inlineStr">
        <is>
          <t>CIO</t>
        </is>
      </c>
      <c r="J355" s="21" t="n">
        <v>401762</v>
      </c>
      <c r="K355" s="21" t="n">
        <v>13497</v>
      </c>
      <c r="L355" s="21" t="n">
        <v>415259</v>
      </c>
      <c r="M355" s="21" t="n">
        <v>72113</v>
      </c>
      <c r="N355" s="21" t="n">
        <v>94061</v>
      </c>
      <c r="O355" s="21" t="n">
        <v>25253</v>
      </c>
      <c r="P355" s="21" t="n">
        <v>606686</v>
      </c>
      <c r="Q355" s="21" t="n">
        <v>606686</v>
      </c>
      <c r="R355" s="21">
        <f>IF(Q355="","",Q355*(1+in_GrowthRate)^(YEARFRAC(DATE(2024,12,31),in_AgeToDate)*IF(in_AgeToDate&lt;DATE(2024,12,31),-1,1)+1))</f>
        <v/>
      </c>
      <c r="S355" s="38" t="n">
        <v>0.03359451615633136</v>
      </c>
      <c r="T355" s="43">
        <f>HYPERLINK("https://projects.propublica.org/nonprofits/organizations/560532302/202513219349308376/full","view filing")</f>
        <v/>
      </c>
    </row>
    <row r="356">
      <c r="A356" t="inlineStr">
        <is>
          <t>Moses H Cone Memorial Hospital</t>
        </is>
      </c>
      <c r="B356" s="20" t="inlineStr">
        <is>
          <t>NC</t>
        </is>
      </c>
      <c r="C356" s="42" t="n">
        <v>1.07</v>
      </c>
      <c r="D356" t="inlineStr">
        <is>
          <t>Healthcare</t>
        </is>
      </c>
      <c r="E356" s="20" t="n">
        <v>2023</v>
      </c>
      <c r="F356" s="20" t="inlineStr"/>
      <c r="G356" t="inlineStr">
        <is>
          <t>Miller John</t>
        </is>
      </c>
      <c r="H356" t="inlineStr">
        <is>
          <t>Chief Investment Officer and T</t>
        </is>
      </c>
      <c r="I356" t="inlineStr">
        <is>
          <t>CIO</t>
        </is>
      </c>
      <c r="J356" s="21" t="n">
        <v>368070</v>
      </c>
      <c r="K356" s="21" t="n">
        <v>101991</v>
      </c>
      <c r="L356" s="21" t="n">
        <v>470061</v>
      </c>
      <c r="M356" s="21" t="n">
        <v>71124</v>
      </c>
      <c r="N356" s="21" t="n">
        <v>90275</v>
      </c>
      <c r="O356" s="21" t="n">
        <v>12201</v>
      </c>
      <c r="P356" s="21" t="n">
        <v>643661</v>
      </c>
      <c r="Q356" s="21" t="n">
        <v>643661</v>
      </c>
      <c r="R356" s="21">
        <f>IF(Q356="","",Q356*(1+in_GrowthRate)^(YEARFRAC(DATE(2023,9,30),in_AgeToDate)*IF(in_AgeToDate&lt;DATE(2023,9,30),-1,1)+1))</f>
        <v/>
      </c>
      <c r="S356" s="38" t="n">
        <v>0.2770967479012145</v>
      </c>
      <c r="T356" s="43">
        <f>HYPERLINK("https://projects.propublica.org/nonprofits/organizations/560532302/202442289349301379/full","view filing")</f>
        <v/>
      </c>
    </row>
    <row r="357">
      <c r="A357" t="inlineStr">
        <is>
          <t>Moses H Cone Memorial Hospital</t>
        </is>
      </c>
      <c r="B357" s="20" t="inlineStr">
        <is>
          <t>NC</t>
        </is>
      </c>
      <c r="C357" s="42" t="n">
        <v>1.07</v>
      </c>
      <c r="D357" t="inlineStr">
        <is>
          <t>Healthcare</t>
        </is>
      </c>
      <c r="E357" s="20" t="n">
        <v>2022</v>
      </c>
      <c r="F357" s="20" t="inlineStr"/>
      <c r="G357" t="inlineStr">
        <is>
          <t>Miller John</t>
        </is>
      </c>
      <c r="H357" t="inlineStr">
        <is>
          <t>CIO &amp; Treasurer</t>
        </is>
      </c>
      <c r="I357" t="inlineStr">
        <is>
          <t>CIO</t>
        </is>
      </c>
      <c r="J357" s="21" t="n">
        <v>379707</v>
      </c>
      <c r="K357" s="21" t="n">
        <v>101053</v>
      </c>
      <c r="L357" s="21" t="n">
        <v>480760</v>
      </c>
      <c r="M357" s="21" t="n">
        <v>52768</v>
      </c>
      <c r="N357" s="21" t="n">
        <v>70161</v>
      </c>
      <c r="O357" s="21" t="n">
        <v>31755</v>
      </c>
      <c r="P357" s="21" t="n">
        <v>635444</v>
      </c>
      <c r="Q357" s="21" t="n">
        <v>635444</v>
      </c>
      <c r="R357" s="21">
        <f>IF(Q357="","",Q357*(1+in_GrowthRate)^(YEARFRAC(DATE(2022,9,30),in_AgeToDate)*IF(in_AgeToDate&lt;DATE(2022,9,30),-1,1)+1))</f>
        <v/>
      </c>
      <c r="S357" s="38" t="n">
        <v>0.2661341508057529</v>
      </c>
      <c r="T357" s="43">
        <f>HYPERLINK("https://projects.propublica.org/nonprofits/organizations/560532302/202322269349301852/full","view filing")</f>
        <v/>
      </c>
    </row>
    <row r="358">
      <c r="A358" t="inlineStr">
        <is>
          <t>Mother Cabrini Health Foundation</t>
        </is>
      </c>
      <c r="B358" s="20" t="inlineStr">
        <is>
          <t>NY</t>
        </is>
      </c>
      <c r="C358" s="42" t="n">
        <v>3.2</v>
      </c>
      <c r="D358" t="inlineStr">
        <is>
          <t>Healthcare</t>
        </is>
      </c>
      <c r="E358" s="20" t="n">
        <v>2024</v>
      </c>
      <c r="F358" s="20">
        <f>IF(AND(OR(in_Mode="All Funds",AND(C358&gt;=in_BandFloor,C358&lt;=in_BandCeiling,OR(in_Geography="National",COUNTIFS(lst_GeoPreset,in_Geography,lst_GeoState,B358)&gt;0,AND(in_Geography="Custom",ISNUMBER(SEARCH(B358,SUBSTITUTE(in_CustomStates," ",""))))),OR(AND(D358="Endowment",Inputs!$B$14="Y"),AND(D358="Foundation",Inputs!$B$15="Y"),AND(D358="Healthcare",Inputs!$B$16="Y"),AND(D358="Pension",Inputs!$B$17="Y"),AND(D358="OCIO",Inputs!$B$18="Y"),AND(D358="Other",Inputs!$B$19="Y")))),A358&lt;&gt;in_ClientOrg,NOT(AND(in_ExclHarvard="Y",ISNUMBER(SEARCH("Harvard",A358))))),"Y","")</f>
        <v/>
      </c>
      <c r="G358" t="inlineStr">
        <is>
          <t>Colin Ambrose</t>
        </is>
      </c>
      <c r="H358" t="inlineStr">
        <is>
          <t>CHIEF INVESTMENT OFFICER</t>
        </is>
      </c>
      <c r="I358" t="inlineStr">
        <is>
          <t>CIO</t>
        </is>
      </c>
      <c r="J358" s="21" t="n"/>
      <c r="K358" s="21" t="n"/>
      <c r="L358" s="21" t="n"/>
      <c r="M358" s="21" t="n"/>
      <c r="N358" s="21" t="n"/>
      <c r="O358" s="21" t="n">
        <v>87327</v>
      </c>
      <c r="P358" s="21" t="n">
        <v>1579340</v>
      </c>
      <c r="Q358" s="21" t="n">
        <v>1579340</v>
      </c>
      <c r="R358" s="21">
        <f>IF(Q358="","",Q358*(1+in_GrowthRate)^(YEARFRAC(DATE(2024,12,31),in_AgeToDate)*IF(in_AgeToDate&lt;DATE(2024,12,31),-1,1)+1))</f>
        <v/>
      </c>
      <c r="S358" s="38" t="n"/>
      <c r="T358" s="43">
        <f>HYPERLINK("https://projects.propublica.org/nonprofits/organizations/830590263/202503219349101675/full","view filing")</f>
        <v/>
      </c>
    </row>
    <row r="359">
      <c r="A359" t="inlineStr">
        <is>
          <t>Mother Cabrini Health Foundation</t>
        </is>
      </c>
      <c r="B359" s="20" t="inlineStr">
        <is>
          <t>NY</t>
        </is>
      </c>
      <c r="C359" s="42" t="n">
        <v>3.2</v>
      </c>
      <c r="D359" t="inlineStr">
        <is>
          <t>Healthcare</t>
        </is>
      </c>
      <c r="E359" s="20" t="n">
        <v>2023</v>
      </c>
      <c r="F359" s="20" t="inlineStr"/>
      <c r="G359" t="inlineStr">
        <is>
          <t>Colin Ambrose</t>
        </is>
      </c>
      <c r="H359" t="inlineStr">
        <is>
          <t>CHIEF INVESTMENT OFFICER</t>
        </is>
      </c>
      <c r="I359" t="inlineStr">
        <is>
          <t>CIO</t>
        </is>
      </c>
      <c r="J359" s="21" t="n"/>
      <c r="K359" s="21" t="n"/>
      <c r="L359" s="21" t="n"/>
      <c r="M359" s="21" t="n"/>
      <c r="N359" s="21" t="n"/>
      <c r="O359" s="21" t="n">
        <v>81917</v>
      </c>
      <c r="P359" s="21" t="n">
        <v>1537236</v>
      </c>
      <c r="Q359" s="21" t="n">
        <v>1537236</v>
      </c>
      <c r="R359" s="21">
        <f>IF(Q359="","",Q359*(1+in_GrowthRate)^(YEARFRAC(DATE(2023,12,31),in_AgeToDate)*IF(in_AgeToDate&lt;DATE(2023,12,31),-1,1)+1))</f>
        <v/>
      </c>
      <c r="S359" s="38" t="n"/>
      <c r="T359" s="43">
        <f>HYPERLINK("https://projects.propublica.org/nonprofits/organizations/830590263/202433209349104363/full","view filing")</f>
        <v/>
      </c>
    </row>
    <row r="360">
      <c r="A360" t="inlineStr">
        <is>
          <t>Mother Cabrini Health Foundation</t>
        </is>
      </c>
      <c r="B360" s="20" t="inlineStr">
        <is>
          <t>NY</t>
        </is>
      </c>
      <c r="C360" s="42" t="n">
        <v>3.2</v>
      </c>
      <c r="D360" t="inlineStr">
        <is>
          <t>Healthcare</t>
        </is>
      </c>
      <c r="E360" s="20" t="n">
        <v>2022</v>
      </c>
      <c r="F360" s="20" t="inlineStr"/>
      <c r="G360" t="inlineStr">
        <is>
          <t>Colin Ambrose</t>
        </is>
      </c>
      <c r="H360" t="inlineStr">
        <is>
          <t>CHIEF INVESTMENT OFFICER</t>
        </is>
      </c>
      <c r="I360" t="inlineStr">
        <is>
          <t>CIO</t>
        </is>
      </c>
      <c r="J360" s="21" t="n"/>
      <c r="K360" s="21" t="n"/>
      <c r="L360" s="21" t="n"/>
      <c r="M360" s="21" t="n"/>
      <c r="N360" s="21" t="n"/>
      <c r="O360" s="21" t="n">
        <v>86470</v>
      </c>
      <c r="P360" s="21" t="n">
        <v>1716691</v>
      </c>
      <c r="Q360" s="21" t="n">
        <v>1716691</v>
      </c>
      <c r="R360" s="21">
        <f>IF(Q360="","",Q360*(1+in_GrowthRate)^(YEARFRAC(DATE(2022,12,31),in_AgeToDate)*IF(in_AgeToDate&lt;DATE(2022,12,31),-1,1)+1))</f>
        <v/>
      </c>
      <c r="S360" s="38" t="n"/>
      <c r="T360" s="43">
        <f>HYPERLINK("https://projects.propublica.org/nonprofits/organizations/830590263/202343179349104034/full","view filing")</f>
        <v/>
      </c>
    </row>
    <row r="361">
      <c r="A361" t="inlineStr">
        <is>
          <t>Mount Sinai Hospital</t>
        </is>
      </c>
      <c r="B361" s="20" t="inlineStr">
        <is>
          <t>NY</t>
        </is>
      </c>
      <c r="C361" s="42" t="n">
        <v>1.96</v>
      </c>
      <c r="D361" t="inlineStr">
        <is>
          <t>Healthcare</t>
        </is>
      </c>
      <c r="E361" s="20" t="n">
        <v>2024</v>
      </c>
      <c r="F361" s="20">
        <f>IF(AND(OR(in_Mode="All Funds",AND(C361&gt;=in_BandFloor,C361&lt;=in_BandCeiling,OR(in_Geography="National",COUNTIFS(lst_GeoPreset,in_Geography,lst_GeoState,B361)&gt;0,AND(in_Geography="Custom",ISNUMBER(SEARCH(B361,SUBSTITUTE(in_CustomStates," ",""))))),OR(AND(D361="Endowment",Inputs!$B$14="Y"),AND(D361="Foundation",Inputs!$B$15="Y"),AND(D361="Healthcare",Inputs!$B$16="Y"),AND(D361="Pension",Inputs!$B$17="Y"),AND(D361="OCIO",Inputs!$B$18="Y"),AND(D361="Other",Inputs!$B$19="Y")))),A361&lt;&gt;in_ClientOrg,NOT(AND(in_ExclHarvard="Y",ISNUMBER(SEARCH("Harvard",A361))))),"Y","")</f>
        <v/>
      </c>
      <c r="G361" t="inlineStr">
        <is>
          <t>Scott Pittman</t>
        </is>
      </c>
      <c r="H361" t="inlineStr">
        <is>
          <t>SR VP SYS CHIEF INVESTMENT OFF</t>
        </is>
      </c>
      <c r="I361" t="inlineStr">
        <is>
          <t>CIO</t>
        </is>
      </c>
      <c r="J361" s="21" t="n">
        <v>627720</v>
      </c>
      <c r="K361" s="21" t="n">
        <v>512757</v>
      </c>
      <c r="L361" s="21" t="n">
        <v>1140477</v>
      </c>
      <c r="M361" s="21" t="n">
        <v>35668</v>
      </c>
      <c r="N361" s="21" t="n">
        <v>18047</v>
      </c>
      <c r="O361" s="21" t="n">
        <v>18901</v>
      </c>
      <c r="P361" s="21" t="n">
        <v>1213093</v>
      </c>
      <c r="Q361" s="21" t="n">
        <v>1213093</v>
      </c>
      <c r="R361" s="21">
        <f>IF(Q361="","",Q361*(1+in_GrowthRate)^(YEARFRAC(DATE(2024,12,31),in_AgeToDate)*IF(in_AgeToDate&lt;DATE(2024,12,31),-1,1)+1))</f>
        <v/>
      </c>
      <c r="S361" s="38" t="n">
        <v>0.8168562416363984</v>
      </c>
      <c r="T361" s="43">
        <f>HYPERLINK("https://projects.propublica.org/nonprofits/organizations/131624096/202600859349301025/full","view filing")</f>
        <v/>
      </c>
    </row>
    <row r="362">
      <c r="A362" t="inlineStr">
        <is>
          <t>Mount Sinai Hospital</t>
        </is>
      </c>
      <c r="B362" s="20" t="inlineStr">
        <is>
          <t>NY</t>
        </is>
      </c>
      <c r="C362" s="42" t="n">
        <v>1.96</v>
      </c>
      <c r="D362" t="inlineStr">
        <is>
          <t>Healthcare</t>
        </is>
      </c>
      <c r="E362" s="20" t="n">
        <v>2023</v>
      </c>
      <c r="F362" s="20" t="inlineStr"/>
      <c r="G362" t="inlineStr">
        <is>
          <t>Scott Pittman</t>
        </is>
      </c>
      <c r="H362" t="inlineStr">
        <is>
          <t>SR VP SYS CHIEF INVESTMENT OFF</t>
        </is>
      </c>
      <c r="I362" t="inlineStr">
        <is>
          <t>CIO</t>
        </is>
      </c>
      <c r="J362" s="21" t="n">
        <v>674400</v>
      </c>
      <c r="K362" s="21" t="n">
        <v>505823</v>
      </c>
      <c r="L362" s="21" t="n">
        <v>1180223</v>
      </c>
      <c r="M362" s="21" t="n">
        <v>40218</v>
      </c>
      <c r="N362" s="21" t="n">
        <v>17906</v>
      </c>
      <c r="O362" s="21" t="n">
        <v>18693</v>
      </c>
      <c r="P362" s="21" t="n">
        <v>1257040</v>
      </c>
      <c r="Q362" s="21" t="n">
        <v>1257040</v>
      </c>
      <c r="R362" s="21">
        <f>IF(Q362="","",Q362*(1+in_GrowthRate)^(YEARFRAC(DATE(2023,12,31),in_AgeToDate)*IF(in_AgeToDate&lt;DATE(2023,12,31),-1,1)+1))</f>
        <v/>
      </c>
      <c r="S362" s="38" t="n">
        <v>0.7500341043890866</v>
      </c>
      <c r="T362" s="43">
        <f>HYPERLINK("https://projects.propublica.org/nonprofits/organizations/131624096/202403189349301575/full","view filing")</f>
        <v/>
      </c>
    </row>
    <row r="363">
      <c r="A363" t="inlineStr">
        <is>
          <t>Mount Sinai Hospital</t>
        </is>
      </c>
      <c r="B363" s="20" t="inlineStr">
        <is>
          <t>NY</t>
        </is>
      </c>
      <c r="C363" s="42" t="n">
        <v>1.96</v>
      </c>
      <c r="D363" t="inlineStr">
        <is>
          <t>Healthcare</t>
        </is>
      </c>
      <c r="E363" s="20" t="n">
        <v>2022</v>
      </c>
      <c r="F363" s="20" t="inlineStr"/>
      <c r="G363" t="inlineStr">
        <is>
          <t>Scott Pittman</t>
        </is>
      </c>
      <c r="H363" t="inlineStr">
        <is>
          <t>SR VP SYS CHIEF INVESTMENT OFF</t>
        </is>
      </c>
      <c r="I363" t="inlineStr">
        <is>
          <t>CIO</t>
        </is>
      </c>
      <c r="J363" s="21" t="n">
        <v>651480</v>
      </c>
      <c r="K363" s="21" t="n">
        <v>514204</v>
      </c>
      <c r="L363" s="21" t="n">
        <v>1165684</v>
      </c>
      <c r="M363" s="21" t="n">
        <v>39426</v>
      </c>
      <c r="N363" s="21" t="n">
        <v>16549</v>
      </c>
      <c r="O363" s="21" t="n">
        <v>17591</v>
      </c>
      <c r="P363" s="21" t="n">
        <v>1239250</v>
      </c>
      <c r="Q363" s="21" t="n">
        <v>1239250</v>
      </c>
      <c r="R363" s="21">
        <f>IF(Q363="","",Q363*(1+in_GrowthRate)^(YEARFRAC(DATE(2022,12,31),in_AgeToDate)*IF(in_AgeToDate&lt;DATE(2022,12,31),-1,1)+1))</f>
        <v/>
      </c>
      <c r="S363" s="38" t="n">
        <v>0.7892859335666482</v>
      </c>
      <c r="T363" s="43">
        <f>HYPERLINK("https://projects.propublica.org/nonprofits/organizations/131624096/202333139349305728/full","view filing")</f>
        <v/>
      </c>
    </row>
    <row r="364">
      <c r="A364" t="inlineStr">
        <is>
          <t>Museum Of Modern Art</t>
        </is>
      </c>
      <c r="B364" s="20" t="inlineStr">
        <is>
          <t>NY</t>
        </is>
      </c>
      <c r="C364" s="42" t="n">
        <v>1.95</v>
      </c>
      <c r="D364" t="inlineStr">
        <is>
          <t>Other</t>
        </is>
      </c>
      <c r="E364" s="20" t="n">
        <v>2025</v>
      </c>
      <c r="F364" s="20">
        <f>IF(AND(OR(in_Mode="All Funds",AND(C364&gt;=in_BandFloor,C364&lt;=in_BandCeiling,OR(in_Geography="National",COUNTIFS(lst_GeoPreset,in_Geography,lst_GeoState,B364)&gt;0,AND(in_Geography="Custom",ISNUMBER(SEARCH(B364,SUBSTITUTE(in_CustomStates," ",""))))),OR(AND(D364="Endowment",Inputs!$B$14="Y"),AND(D364="Foundation",Inputs!$B$15="Y"),AND(D364="Healthcare",Inputs!$B$16="Y"),AND(D364="Pension",Inputs!$B$17="Y"),AND(D364="OCIO",Inputs!$B$18="Y"),AND(D364="Other",Inputs!$B$19="Y")))),A364&lt;&gt;in_ClientOrg,NOT(AND(in_ExclHarvard="Y",ISNUMBER(SEARCH("Harvard",A364))))),"Y","")</f>
        <v/>
      </c>
      <c r="G364" t="inlineStr">
        <is>
          <t>Lou-Alan Fernandes</t>
        </is>
      </c>
      <c r="H364" t="inlineStr">
        <is>
          <t>Chief Investment Officer</t>
        </is>
      </c>
      <c r="I364" t="inlineStr">
        <is>
          <t>CIO</t>
        </is>
      </c>
      <c r="J364" s="21" t="n">
        <v>1021719</v>
      </c>
      <c r="K364" s="21" t="n">
        <v>600000</v>
      </c>
      <c r="L364" s="21" t="n">
        <v>1621719</v>
      </c>
      <c r="M364" s="21" t="n">
        <v>630</v>
      </c>
      <c r="N364" s="21" t="n">
        <v>20700</v>
      </c>
      <c r="O364" s="21" t="n">
        <v>51706</v>
      </c>
      <c r="P364" s="21" t="n">
        <v>1694755</v>
      </c>
      <c r="Q364" s="21" t="n">
        <v>1694755</v>
      </c>
      <c r="R364" s="21">
        <f>IF(Q364="","",Q364*(1+in_GrowthRate)^(YEARFRAC(DATE(2025,6,30),in_AgeToDate)*IF(in_AgeToDate&lt;DATE(2025,6,30),-1,1)+1))</f>
        <v/>
      </c>
      <c r="S364" s="38" t="n">
        <v>0.5872456125412173</v>
      </c>
      <c r="T364" s="43">
        <f>HYPERLINK("https://projects.propublica.org/nonprofits/organizations/131624100/202631339349300538/full","view filing")</f>
        <v/>
      </c>
    </row>
    <row r="365">
      <c r="A365" t="inlineStr">
        <is>
          <t>Museum Of Modern Art</t>
        </is>
      </c>
      <c r="B365" s="20" t="inlineStr">
        <is>
          <t>NY</t>
        </is>
      </c>
      <c r="C365" s="42" t="n">
        <v>1.95</v>
      </c>
      <c r="D365" t="inlineStr">
        <is>
          <t>Other</t>
        </is>
      </c>
      <c r="E365" s="20" t="n">
        <v>2024</v>
      </c>
      <c r="F365" s="20" t="inlineStr"/>
      <c r="G365" t="inlineStr">
        <is>
          <t>Lou-Alan Fernandes</t>
        </is>
      </c>
      <c r="H365" t="inlineStr">
        <is>
          <t>Chief Investment Officer (Beg 01/23)</t>
        </is>
      </c>
      <c r="I365" t="inlineStr">
        <is>
          <t>CIO</t>
        </is>
      </c>
      <c r="J365" s="21" t="n">
        <v>990326</v>
      </c>
      <c r="K365" s="21" t="n">
        <v>500000</v>
      </c>
      <c r="L365" s="21" t="n">
        <v>1490326</v>
      </c>
      <c r="M365" s="21" t="n">
        <v>581</v>
      </c>
      <c r="N365" s="21" t="n"/>
      <c r="O365" s="21" t="n">
        <v>44900</v>
      </c>
      <c r="P365" s="21" t="n">
        <v>1535807</v>
      </c>
      <c r="Q365" s="21" t="n">
        <v>1535807</v>
      </c>
      <c r="R365" s="21">
        <f>IF(Q365="","",Q365*(1+in_GrowthRate)^(YEARFRAC(DATE(2024,6,30),in_AgeToDate)*IF(in_AgeToDate&lt;DATE(2024,6,30),-1,1)+1))</f>
        <v/>
      </c>
      <c r="S365" s="38" t="n">
        <v>0.5048842502367907</v>
      </c>
      <c r="T365" s="43">
        <f>HYPERLINK("https://projects.propublica.org/nonprofits/organizations/131624100/202521349349310217/full","view filing")</f>
        <v/>
      </c>
    </row>
    <row r="366">
      <c r="A366" t="inlineStr">
        <is>
          <t>Museum Of Modern Art</t>
        </is>
      </c>
      <c r="B366" s="20" t="inlineStr">
        <is>
          <t>NY</t>
        </is>
      </c>
      <c r="C366" s="42" t="n">
        <v>1.95</v>
      </c>
      <c r="D366" t="inlineStr">
        <is>
          <t>Other</t>
        </is>
      </c>
      <c r="E366" s="20" t="n">
        <v>2022</v>
      </c>
      <c r="F366" s="20" t="inlineStr"/>
      <c r="G366" t="inlineStr">
        <is>
          <t>Anthony Wai</t>
        </is>
      </c>
      <c r="H366" t="inlineStr">
        <is>
          <t>Chief Investment Officer</t>
        </is>
      </c>
      <c r="I366" t="inlineStr">
        <is>
          <t>CIO</t>
        </is>
      </c>
      <c r="J366" s="21" t="n">
        <v>600446</v>
      </c>
      <c r="K366" s="21" t="n">
        <v>297925</v>
      </c>
      <c r="L366" s="21" t="n">
        <v>898371</v>
      </c>
      <c r="M366" s="21" t="n">
        <v>7130</v>
      </c>
      <c r="N366" s="21" t="n">
        <v>82000</v>
      </c>
      <c r="O366" s="21" t="n">
        <v>38237</v>
      </c>
      <c r="P366" s="21" t="n">
        <v>1025738</v>
      </c>
      <c r="Q366" s="21" t="n">
        <v>1025738</v>
      </c>
      <c r="R366" s="21">
        <f>IF(Q366="","",Q366*(1+in_GrowthRate)^(YEARFRAC(DATE(2022,6,30),in_AgeToDate)*IF(in_AgeToDate&lt;DATE(2022,6,30),-1,1)+1))</f>
        <v/>
      </c>
      <c r="S366" s="38" t="n">
        <v>0.4961728448519934</v>
      </c>
      <c r="T366" s="43">
        <f>HYPERLINK("https://projects.propublica.org/nonprofits/organizations/131624100/202341359349302904/full","view filing")</f>
        <v/>
      </c>
    </row>
    <row r="367">
      <c r="A367" t="inlineStr">
        <is>
          <t>National Christian Charitable Foundation</t>
        </is>
      </c>
      <c r="B367" s="20" t="inlineStr">
        <is>
          <t>GA</t>
        </is>
      </c>
      <c r="C367" s="42" t="n">
        <v>5.9</v>
      </c>
      <c r="D367" t="inlineStr">
        <is>
          <t>Foundation</t>
        </is>
      </c>
      <c r="E367" s="20" t="n">
        <v>2024</v>
      </c>
      <c r="F367" s="20">
        <f>IF(AND(OR(in_Mode="All Funds",AND(C367&gt;=in_BandFloor,C367&lt;=in_BandCeiling,OR(in_Geography="National",COUNTIFS(lst_GeoPreset,in_Geography,lst_GeoState,B367)&gt;0,AND(in_Geography="Custom",ISNUMBER(SEARCH(B367,SUBSTITUTE(in_CustomStates," ",""))))),OR(AND(D367="Endowment",Inputs!$B$14="Y"),AND(D367="Foundation",Inputs!$B$15="Y"),AND(D367="Healthcare",Inputs!$B$16="Y"),AND(D367="Pension",Inputs!$B$17="Y"),AND(D367="OCIO",Inputs!$B$18="Y"),AND(D367="Other",Inputs!$B$19="Y")))),A367&lt;&gt;in_ClientOrg,NOT(AND(in_ExclHarvard="Y",ISNUMBER(SEARCH("Harvard",A367))))),"Y","")</f>
        <v/>
      </c>
      <c r="G367" t="inlineStr">
        <is>
          <t>Lisa Mcvey</t>
        </is>
      </c>
      <c r="H367" t="inlineStr">
        <is>
          <t>CIO</t>
        </is>
      </c>
      <c r="I367" t="inlineStr">
        <is>
          <t>CIO</t>
        </is>
      </c>
      <c r="J367" s="21" t="n">
        <v>243951</v>
      </c>
      <c r="K367" s="21" t="n">
        <v>20000</v>
      </c>
      <c r="L367" s="21" t="n">
        <v>263951</v>
      </c>
      <c r="M367" s="21" t="n"/>
      <c r="N367" s="21" t="n"/>
      <c r="O367" s="21" t="n">
        <v>24842</v>
      </c>
      <c r="P367" s="21" t="n">
        <v>288793</v>
      </c>
      <c r="Q367" s="21" t="n">
        <v>288793</v>
      </c>
      <c r="R367" s="21">
        <f>IF(Q367="","",Q367*(1+in_GrowthRate)^(YEARFRAC(DATE(2024,12,31),in_AgeToDate)*IF(in_AgeToDate&lt;DATE(2024,12,31),-1,1)+1))</f>
        <v/>
      </c>
      <c r="S367" s="38" t="n">
        <v>0.08198367704989937</v>
      </c>
      <c r="T367" s="43">
        <f>HYPERLINK("https://projects.propublica.org/nonprofits/organizations/581493949/202513109349303201/full","view filing")</f>
        <v/>
      </c>
    </row>
    <row r="368">
      <c r="A368" t="inlineStr">
        <is>
          <t>National Christian Charitable Foundation</t>
        </is>
      </c>
      <c r="B368" s="20" t="inlineStr">
        <is>
          <t>GA</t>
        </is>
      </c>
      <c r="C368" s="42" t="n">
        <v>5.9</v>
      </c>
      <c r="D368" t="inlineStr">
        <is>
          <t>Foundation</t>
        </is>
      </c>
      <c r="E368" s="20" t="n">
        <v>2023</v>
      </c>
      <c r="F368" s="20" t="inlineStr"/>
      <c r="G368" t="inlineStr">
        <is>
          <t>Lisa Mcvey</t>
        </is>
      </c>
      <c r="H368" t="inlineStr">
        <is>
          <t>CIO</t>
        </is>
      </c>
      <c r="I368" t="inlineStr">
        <is>
          <t>CIO</t>
        </is>
      </c>
      <c r="J368" s="21" t="n">
        <v>232724</v>
      </c>
      <c r="K368" s="21" t="n">
        <v>20300</v>
      </c>
      <c r="L368" s="21" t="n">
        <v>253024</v>
      </c>
      <c r="M368" s="21" t="n"/>
      <c r="N368" s="21" t="n"/>
      <c r="O368" s="21" t="n">
        <v>23920</v>
      </c>
      <c r="P368" s="21" t="n">
        <v>276944</v>
      </c>
      <c r="Q368" s="21" t="n">
        <v>276944</v>
      </c>
      <c r="R368" s="21">
        <f>IF(Q368="","",Q368*(1+in_GrowthRate)^(YEARFRAC(DATE(2023,12,31),in_AgeToDate)*IF(in_AgeToDate&lt;DATE(2023,12,31),-1,1)+1))</f>
        <v/>
      </c>
      <c r="S368" s="38" t="n">
        <v>0.08722778914078479</v>
      </c>
      <c r="T368" s="43">
        <f>HYPERLINK("https://projects.propublica.org/nonprofits/organizations/581493949/202443169349306424/full","view filing")</f>
        <v/>
      </c>
    </row>
    <row r="369">
      <c r="A369" t="inlineStr">
        <is>
          <t>National Christian Charitable Foundation</t>
        </is>
      </c>
      <c r="B369" s="20" t="inlineStr">
        <is>
          <t>GA</t>
        </is>
      </c>
      <c r="C369" s="42" t="n">
        <v>5.9</v>
      </c>
      <c r="D369" t="inlineStr">
        <is>
          <t>Foundation</t>
        </is>
      </c>
      <c r="E369" s="20" t="n">
        <v>2022</v>
      </c>
      <c r="F369" s="20" t="inlineStr"/>
      <c r="G369" t="inlineStr">
        <is>
          <t>Lisa Mcvey</t>
        </is>
      </c>
      <c r="H369" t="inlineStr">
        <is>
          <t>CIO</t>
        </is>
      </c>
      <c r="I369" t="inlineStr">
        <is>
          <t>CIO</t>
        </is>
      </c>
      <c r="J369" s="21" t="n">
        <v>221866</v>
      </c>
      <c r="K369" s="21" t="n">
        <v>15000</v>
      </c>
      <c r="L369" s="21" t="n">
        <v>236866</v>
      </c>
      <c r="M369" s="21" t="n"/>
      <c r="N369" s="21" t="n"/>
      <c r="O369" s="21" t="n">
        <v>22845</v>
      </c>
      <c r="P369" s="21" t="n">
        <v>259711</v>
      </c>
      <c r="Q369" s="21" t="n">
        <v>259711</v>
      </c>
      <c r="R369" s="21">
        <f>IF(Q369="","",Q369*(1+in_GrowthRate)^(YEARFRAC(DATE(2022,12,31),in_AgeToDate)*IF(in_AgeToDate&lt;DATE(2022,12,31),-1,1)+1))</f>
        <v/>
      </c>
      <c r="S369" s="38" t="n">
        <v>0.06760837622709202</v>
      </c>
      <c r="T369" s="43">
        <f>HYPERLINK("https://projects.propublica.org/nonprofits/organizations/581493949/202333179349303063/full","view filing")</f>
        <v/>
      </c>
    </row>
    <row r="370">
      <c r="A370" t="inlineStr">
        <is>
          <t>National Fish And Wildlife Foundation</t>
        </is>
      </c>
      <c r="B370" s="20" t="inlineStr">
        <is>
          <t>DC</t>
        </is>
      </c>
      <c r="C370" s="42" t="n">
        <v>1.36</v>
      </c>
      <c r="D370" t="inlineStr">
        <is>
          <t>Foundation</t>
        </is>
      </c>
      <c r="E370" s="20" t="n">
        <v>2025</v>
      </c>
      <c r="F370" s="20">
        <f>IF(AND(OR(in_Mode="All Funds",AND(C370&gt;=in_BandFloor,C370&lt;=in_BandCeiling,OR(in_Geography="National",COUNTIFS(lst_GeoPreset,in_Geography,lst_GeoState,B370)&gt;0,AND(in_Geography="Custom",ISNUMBER(SEARCH(B370,SUBSTITUTE(in_CustomStates," ",""))))),OR(AND(D370="Endowment",Inputs!$B$14="Y"),AND(D370="Foundation",Inputs!$B$15="Y"),AND(D370="Healthcare",Inputs!$B$16="Y"),AND(D370="Pension",Inputs!$B$17="Y"),AND(D370="OCIO",Inputs!$B$18="Y"),AND(D370="Other",Inputs!$B$19="Y")))),A370&lt;&gt;in_ClientOrg,NOT(AND(in_ExclHarvard="Y",ISNUMBER(SEARCH("Harvard",A370))))),"Y","")</f>
        <v/>
      </c>
      <c r="G370" t="inlineStr">
        <is>
          <t>Addison Dana</t>
        </is>
      </c>
      <c r="H370" t="inlineStr">
        <is>
          <t>CHIEF INVESTMENT OFFICER</t>
        </is>
      </c>
      <c r="I370" t="inlineStr">
        <is>
          <t>CIO</t>
        </is>
      </c>
      <c r="J370" s="21" t="n">
        <v>338624</v>
      </c>
      <c r="K370" s="21" t="n">
        <v>260352</v>
      </c>
      <c r="L370" s="21" t="n">
        <v>598976</v>
      </c>
      <c r="M370" s="21" t="n">
        <v>28940</v>
      </c>
      <c r="N370" s="21" t="n">
        <v>34500</v>
      </c>
      <c r="O370" s="21" t="n">
        <v>37389</v>
      </c>
      <c r="P370" s="21" t="n">
        <v>699805</v>
      </c>
      <c r="Q370" s="21" t="n">
        <v>569245</v>
      </c>
      <c r="R370" s="21">
        <f>IF(Q370="","",Q370*(1+in_GrowthRate)^(YEARFRAC(DATE(2025,9,30),in_AgeToDate)*IF(in_AgeToDate&lt;DATE(2025,9,30),-1,1)+1))</f>
        <v/>
      </c>
      <c r="S370" s="38" t="n">
        <v>0.7688527688527689</v>
      </c>
      <c r="T370" s="43">
        <f>HYPERLINK("https://projects.propublica.org/nonprofits/organizations/521384139/202641979349300629/full","view filing")</f>
        <v/>
      </c>
    </row>
    <row r="371">
      <c r="A371" t="inlineStr">
        <is>
          <t>National Fish And Wildlife Foundation</t>
        </is>
      </c>
      <c r="B371" s="20" t="inlineStr">
        <is>
          <t>DC</t>
        </is>
      </c>
      <c r="C371" s="42" t="n">
        <v>1.36</v>
      </c>
      <c r="D371" t="inlineStr">
        <is>
          <t>Foundation</t>
        </is>
      </c>
      <c r="E371" s="20" t="n">
        <v>2023</v>
      </c>
      <c r="F371" s="20" t="inlineStr"/>
      <c r="G371" t="inlineStr">
        <is>
          <t>Addison Dana</t>
        </is>
      </c>
      <c r="H371" t="inlineStr">
        <is>
          <t>CHIEF INVESTMENT OFFICER</t>
        </is>
      </c>
      <c r="I371" t="inlineStr">
        <is>
          <t>CIO</t>
        </is>
      </c>
      <c r="J371" s="21" t="n">
        <v>311727</v>
      </c>
      <c r="K371" s="21" t="n">
        <v>43840</v>
      </c>
      <c r="L371" s="21" t="n">
        <v>355567</v>
      </c>
      <c r="M371" s="21" t="n">
        <v>7624</v>
      </c>
      <c r="N371" s="21" t="n">
        <v>94500</v>
      </c>
      <c r="O371" s="21" t="n">
        <v>31463</v>
      </c>
      <c r="P371" s="21" t="n">
        <v>489154</v>
      </c>
      <c r="Q371" s="21" t="n">
        <v>489154</v>
      </c>
      <c r="R371" s="21">
        <f>IF(Q371="","",Q371*(1+in_GrowthRate)^(YEARFRAC(DATE(2023,9,30),in_AgeToDate)*IF(in_AgeToDate&lt;DATE(2023,9,30),-1,1)+1))</f>
        <v/>
      </c>
      <c r="S371" s="38" t="n">
        <v>0.1406358769051125</v>
      </c>
      <c r="T371" s="43">
        <f>HYPERLINK("https://projects.propublica.org/nonprofits/organizations/521384139/202402269349300850/full","view filing")</f>
        <v/>
      </c>
    </row>
    <row r="372">
      <c r="A372" t="inlineStr">
        <is>
          <t>National Geographic Society</t>
        </is>
      </c>
      <c r="B372" s="20" t="inlineStr">
        <is>
          <t>DC</t>
        </is>
      </c>
      <c r="C372" s="42" t="n">
        <v>1.71</v>
      </c>
      <c r="D372" t="inlineStr">
        <is>
          <t>Other</t>
        </is>
      </c>
      <c r="E372" s="20" t="n">
        <v>2025</v>
      </c>
      <c r="F372" s="20">
        <f>IF(AND(OR(in_Mode="All Funds",AND(C372&gt;=in_BandFloor,C372&lt;=in_BandCeiling,OR(in_Geography="National",COUNTIFS(lst_GeoPreset,in_Geography,lst_GeoState,B372)&gt;0,AND(in_Geography="Custom",ISNUMBER(SEARCH(B372,SUBSTITUTE(in_CustomStates," ",""))))),OR(AND(D372="Endowment",Inputs!$B$14="Y"),AND(D372="Foundation",Inputs!$B$15="Y"),AND(D372="Healthcare",Inputs!$B$16="Y"),AND(D372="Pension",Inputs!$B$17="Y"),AND(D372="OCIO",Inputs!$B$18="Y"),AND(D372="Other",Inputs!$B$19="Y")))),A372&lt;&gt;in_ClientOrg,NOT(AND(in_ExclHarvard="Y",ISNUMBER(SEARCH("Harvard",A372))))),"Y","")</f>
        <v/>
      </c>
      <c r="G372" t="inlineStr">
        <is>
          <t>Kristi Craig</t>
        </is>
      </c>
      <c r="H372" t="inlineStr">
        <is>
          <t>CHIEF INVESTMENT OFFICER</t>
        </is>
      </c>
      <c r="I372" t="inlineStr">
        <is>
          <t>CIO</t>
        </is>
      </c>
      <c r="J372" s="21" t="n">
        <v>655243</v>
      </c>
      <c r="K372" s="21" t="n">
        <v>646000</v>
      </c>
      <c r="L372" s="21" t="n">
        <v>1301243</v>
      </c>
      <c r="M372" s="21" t="n">
        <v>6617</v>
      </c>
      <c r="N372" s="21" t="n">
        <v>11750</v>
      </c>
      <c r="O372" s="21" t="n">
        <v>27112</v>
      </c>
      <c r="P372" s="21" t="n">
        <v>1346722</v>
      </c>
      <c r="Q372" s="21" t="n">
        <v>1346722</v>
      </c>
      <c r="R372" s="21">
        <f>IF(Q372="","",Q372*(1+in_GrowthRate)^(YEARFRAC(DATE(2025,12,31),in_AgeToDate)*IF(in_AgeToDate&lt;DATE(2025,12,31),-1,1)+1))</f>
        <v/>
      </c>
      <c r="S372" s="38" t="n">
        <v>0.9858937829171773</v>
      </c>
      <c r="T372" s="43">
        <f>HYPERLINK("https://projects.propublica.org/nonprofits/organizations/530193519/202622039349300962/full","view filing")</f>
        <v/>
      </c>
    </row>
    <row r="373">
      <c r="A373" t="inlineStr">
        <is>
          <t>National Geographic Society</t>
        </is>
      </c>
      <c r="B373" s="20" t="inlineStr">
        <is>
          <t>DC</t>
        </is>
      </c>
      <c r="C373" s="42" t="n">
        <v>1.71</v>
      </c>
      <c r="D373" t="inlineStr">
        <is>
          <t>Other</t>
        </is>
      </c>
      <c r="E373" s="20" t="n">
        <v>2024</v>
      </c>
      <c r="F373" s="20" t="inlineStr"/>
      <c r="G373" t="inlineStr">
        <is>
          <t>Kristi Craig</t>
        </is>
      </c>
      <c r="H373" t="inlineStr">
        <is>
          <t>Chief Investment Officer</t>
        </is>
      </c>
      <c r="I373" t="inlineStr">
        <is>
          <t>CIO</t>
        </is>
      </c>
      <c r="J373" s="21" t="n">
        <v>639875</v>
      </c>
      <c r="K373" s="21" t="n">
        <v>520000</v>
      </c>
      <c r="L373" s="21" t="n">
        <v>1159875</v>
      </c>
      <c r="M373" s="21" t="n"/>
      <c r="N373" s="21" t="n"/>
      <c r="O373" s="21" t="n">
        <v>26525</v>
      </c>
      <c r="P373" s="21" t="n">
        <v>1186400</v>
      </c>
      <c r="Q373" s="21" t="n">
        <v>1186400</v>
      </c>
      <c r="R373" s="21">
        <f>IF(Q373="","",Q373*(1+in_GrowthRate)^(YEARFRAC(DATE(2024,12,31),in_AgeToDate)*IF(in_AgeToDate&lt;DATE(2024,12,31),-1,1)+1))</f>
        <v/>
      </c>
      <c r="S373" s="38" t="n">
        <v>0.8126587224067201</v>
      </c>
      <c r="T373" s="43">
        <f>HYPERLINK("https://projects.propublica.org/nonprofits/organizations/530193519/202512739349301916/full","view filing")</f>
        <v/>
      </c>
    </row>
    <row r="374">
      <c r="A374" t="inlineStr">
        <is>
          <t>National Geographic Society</t>
        </is>
      </c>
      <c r="B374" s="20" t="inlineStr">
        <is>
          <t>DC</t>
        </is>
      </c>
      <c r="C374" s="42" t="n">
        <v>1.71</v>
      </c>
      <c r="D374" t="inlineStr">
        <is>
          <t>Other</t>
        </is>
      </c>
      <c r="E374" s="20" t="n">
        <v>2023</v>
      </c>
      <c r="F374" s="20" t="inlineStr"/>
      <c r="G374" t="inlineStr">
        <is>
          <t>Kristi Craig</t>
        </is>
      </c>
      <c r="H374" t="inlineStr">
        <is>
          <t>Chief Investment Officer</t>
        </is>
      </c>
      <c r="I374" t="inlineStr">
        <is>
          <t>CIO</t>
        </is>
      </c>
      <c r="J374" s="21" t="n">
        <v>513914</v>
      </c>
      <c r="K374" s="21" t="n">
        <v>439726</v>
      </c>
      <c r="L374" s="21" t="n">
        <v>953640</v>
      </c>
      <c r="M374" s="21" t="n">
        <v>2743</v>
      </c>
      <c r="N374" s="21" t="n"/>
      <c r="O374" s="21" t="n">
        <v>24918</v>
      </c>
      <c r="P374" s="21" t="n">
        <v>981301</v>
      </c>
      <c r="Q374" s="21" t="n">
        <v>981301</v>
      </c>
      <c r="R374" s="21">
        <f>IF(Q374="","",Q374*(1+in_GrowthRate)^(YEARFRAC(DATE(2023,12,31),in_AgeToDate)*IF(in_AgeToDate&lt;DATE(2023,12,31),-1,1)+1))</f>
        <v/>
      </c>
      <c r="S374" s="38" t="n">
        <v>0.8556412162346229</v>
      </c>
      <c r="T374" s="43">
        <f>HYPERLINK("https://projects.propublica.org/nonprofits/organizations/530193519/202431319349302053/full","view filing")</f>
        <v/>
      </c>
    </row>
    <row r="375">
      <c r="A375" t="inlineStr">
        <is>
          <t>National Geographic Society</t>
        </is>
      </c>
      <c r="B375" s="20" t="inlineStr">
        <is>
          <t>DC</t>
        </is>
      </c>
      <c r="C375" s="42" t="n">
        <v>1.71</v>
      </c>
      <c r="D375" t="inlineStr">
        <is>
          <t>Other</t>
        </is>
      </c>
      <c r="E375" s="20" t="n">
        <v>2022</v>
      </c>
      <c r="F375" s="20" t="inlineStr"/>
      <c r="G375" t="inlineStr">
        <is>
          <t>Kristi Craig</t>
        </is>
      </c>
      <c r="H375" t="inlineStr">
        <is>
          <t>Chief Investment Officer</t>
        </is>
      </c>
      <c r="I375" t="inlineStr">
        <is>
          <t>CIO</t>
        </is>
      </c>
      <c r="J375" s="21" t="n">
        <v>382911</v>
      </c>
      <c r="K375" s="21" t="n">
        <v>200000</v>
      </c>
      <c r="L375" s="21" t="n">
        <v>582911</v>
      </c>
      <c r="M375" s="21" t="n"/>
      <c r="N375" s="21" t="n">
        <v>1547</v>
      </c>
      <c r="O375" s="21" t="n">
        <v>19213</v>
      </c>
      <c r="P375" s="21" t="n">
        <v>603671</v>
      </c>
      <c r="Q375" s="21" t="n">
        <v>603671</v>
      </c>
      <c r="R375" s="21">
        <f>IF(Q375="","",Q375*(1+in_GrowthRate)^(YEARFRAC(DATE(2022,12,31),in_AgeToDate)*IF(in_AgeToDate&lt;DATE(2022,12,31),-1,1)+1))</f>
        <v/>
      </c>
      <c r="S375" s="38" t="n">
        <v>0.5223145848513101</v>
      </c>
      <c r="T375" s="43">
        <f>HYPERLINK("https://projects.propublica.org/nonprofits/organizations/530193519/202331359349311078/full","view filing")</f>
        <v/>
      </c>
    </row>
    <row r="376">
      <c r="A376" t="inlineStr">
        <is>
          <t>Nature Conservancy</t>
        </is>
      </c>
      <c r="B376" s="20" t="inlineStr">
        <is>
          <t>VA</t>
        </is>
      </c>
      <c r="C376" s="42" t="n">
        <v>3.86</v>
      </c>
      <c r="D376" t="inlineStr">
        <is>
          <t>Other</t>
        </is>
      </c>
      <c r="E376" s="20" t="n">
        <v>2025</v>
      </c>
      <c r="F376" s="20">
        <f>IF(AND(OR(in_Mode="All Funds",AND(C376&gt;=in_BandFloor,C376&lt;=in_BandCeiling,OR(in_Geography="National",COUNTIFS(lst_GeoPreset,in_Geography,lst_GeoState,B376)&gt;0,AND(in_Geography="Custom",ISNUMBER(SEARCH(B376,SUBSTITUTE(in_CustomStates," ",""))))),OR(AND(D376="Endowment",Inputs!$B$14="Y"),AND(D376="Foundation",Inputs!$B$15="Y"),AND(D376="Healthcare",Inputs!$B$16="Y"),AND(D376="Pension",Inputs!$B$17="Y"),AND(D376="OCIO",Inputs!$B$18="Y"),AND(D376="Other",Inputs!$B$19="Y")))),A376&lt;&gt;in_ClientOrg,NOT(AND(in_ExclHarvard="Y",ISNUMBER(SEARCH("Harvard",A376))))),"Y","")</f>
        <v/>
      </c>
      <c r="G376" t="inlineStr">
        <is>
          <t>Bola Olusanya</t>
        </is>
      </c>
      <c r="H376" t="inlineStr">
        <is>
          <t>CHIEF INVESTMENT OFFICER</t>
        </is>
      </c>
      <c r="I376" t="inlineStr">
        <is>
          <t>CIO</t>
        </is>
      </c>
      <c r="J376" s="21" t="n">
        <v>706385</v>
      </c>
      <c r="K376" s="21" t="n">
        <v>70000</v>
      </c>
      <c r="L376" s="21" t="n">
        <v>776385</v>
      </c>
      <c r="M376" s="21" t="n">
        <v>1518</v>
      </c>
      <c r="N376" s="21" t="n">
        <v>34753</v>
      </c>
      <c r="O376" s="21" t="n">
        <v>19357</v>
      </c>
      <c r="P376" s="21" t="n">
        <v>832013</v>
      </c>
      <c r="Q376" s="21" t="n">
        <v>832013</v>
      </c>
      <c r="R376" s="21">
        <f>IF(Q376="","",Q376*(1+in_GrowthRate)^(YEARFRAC(DATE(2025,6,30),in_AgeToDate)*IF(in_AgeToDate&lt;DATE(2025,6,30),-1,1)+1))</f>
        <v/>
      </c>
      <c r="S376" s="38" t="n">
        <v>0.09909610198404553</v>
      </c>
      <c r="T376" s="43">
        <f>HYPERLINK("https://projects.propublica.org/nonprofits/organizations/530242652/202611349349310061/full","view filing")</f>
        <v/>
      </c>
    </row>
    <row r="377">
      <c r="A377" t="inlineStr">
        <is>
          <t>Nature Conservancy</t>
        </is>
      </c>
      <c r="B377" s="20" t="inlineStr">
        <is>
          <t>VA</t>
        </is>
      </c>
      <c r="C377" s="42" t="n">
        <v>3.86</v>
      </c>
      <c r="D377" t="inlineStr">
        <is>
          <t>Other</t>
        </is>
      </c>
      <c r="E377" s="20" t="n">
        <v>2024</v>
      </c>
      <c r="F377" s="20" t="inlineStr"/>
      <c r="G377" t="inlineStr">
        <is>
          <t>Bola Olusanya</t>
        </is>
      </c>
      <c r="H377" t="inlineStr">
        <is>
          <t>CHIEF INVESTMENT OFFICER</t>
        </is>
      </c>
      <c r="I377" t="inlineStr">
        <is>
          <t>CIO</t>
        </is>
      </c>
      <c r="J377" s="21" t="n">
        <v>555293</v>
      </c>
      <c r="K377" s="21" t="n">
        <v>300000</v>
      </c>
      <c r="L377" s="21" t="n">
        <v>855293</v>
      </c>
      <c r="M377" s="21" t="n">
        <v>990</v>
      </c>
      <c r="N377" s="21" t="n">
        <v>31421</v>
      </c>
      <c r="O377" s="21" t="n">
        <v>18098</v>
      </c>
      <c r="P377" s="21" t="n">
        <v>905802</v>
      </c>
      <c r="Q377" s="21" t="n">
        <v>905802</v>
      </c>
      <c r="R377" s="21">
        <f>IF(Q377="","",Q377*(1+in_GrowthRate)^(YEARFRAC(DATE(2024,6,30),in_AgeToDate)*IF(in_AgeToDate&lt;DATE(2024,6,30),-1,1)+1))</f>
        <v/>
      </c>
      <c r="S377" s="38" t="n">
        <v>0.5402553246664373</v>
      </c>
      <c r="T377" s="43">
        <f>HYPERLINK("https://projects.propublica.org/nonprofits/organizations/530242652/202511289349301711/full","view filing")</f>
        <v/>
      </c>
    </row>
    <row r="378">
      <c r="A378" t="inlineStr">
        <is>
          <t>Nature Conservancy</t>
        </is>
      </c>
      <c r="B378" s="20" t="inlineStr">
        <is>
          <t>VA</t>
        </is>
      </c>
      <c r="C378" s="42" t="n">
        <v>3.86</v>
      </c>
      <c r="D378" t="inlineStr">
        <is>
          <t>Other</t>
        </is>
      </c>
      <c r="E378" s="20" t="n">
        <v>2023</v>
      </c>
      <c r="F378" s="20" t="inlineStr"/>
      <c r="G378" t="inlineStr">
        <is>
          <t>Bola Olusanya</t>
        </is>
      </c>
      <c r="H378" t="inlineStr">
        <is>
          <t>CHIEF INVESTMENT OFFICER</t>
        </is>
      </c>
      <c r="I378" t="inlineStr">
        <is>
          <t>CIO</t>
        </is>
      </c>
      <c r="J378" s="21" t="n">
        <v>486023</v>
      </c>
      <c r="K378" s="21" t="n">
        <v>368333</v>
      </c>
      <c r="L378" s="21" t="n">
        <v>854356</v>
      </c>
      <c r="M378" s="21" t="n">
        <v>990</v>
      </c>
      <c r="N378" s="21" t="n">
        <v>29157</v>
      </c>
      <c r="O378" s="21" t="n">
        <v>18668</v>
      </c>
      <c r="P378" s="21" t="n">
        <v>903171</v>
      </c>
      <c r="Q378" s="21" t="n">
        <v>903171</v>
      </c>
      <c r="R378" s="21">
        <f>IF(Q378="","",Q378*(1+in_GrowthRate)^(YEARFRAC(DATE(2023,6,30),in_AgeToDate)*IF(in_AgeToDate&lt;DATE(2023,6,30),-1,1)+1))</f>
        <v/>
      </c>
      <c r="S378" s="38" t="n">
        <v>0.7578509659007907</v>
      </c>
      <c r="T378" s="43">
        <f>HYPERLINK("https://projects.propublica.org/nonprofits/organizations/530242652/202431279349301813/full","view filing")</f>
        <v/>
      </c>
    </row>
    <row r="379">
      <c r="A379" t="inlineStr">
        <is>
          <t>Nature Conservancy</t>
        </is>
      </c>
      <c r="B379" s="20" t="inlineStr">
        <is>
          <t>VA</t>
        </is>
      </c>
      <c r="C379" s="42" t="n">
        <v>3.86</v>
      </c>
      <c r="D379" t="inlineStr">
        <is>
          <t>Other</t>
        </is>
      </c>
      <c r="E379" s="20" t="n">
        <v>2022</v>
      </c>
      <c r="F379" s="20" t="inlineStr"/>
      <c r="G379" t="inlineStr">
        <is>
          <t>Bola Olusanya</t>
        </is>
      </c>
      <c r="H379" t="inlineStr">
        <is>
          <t>CHIEF INVESTMENT OFFICER</t>
        </is>
      </c>
      <c r="I379" t="inlineStr">
        <is>
          <t>CIO</t>
        </is>
      </c>
      <c r="J379" s="21" t="n">
        <v>419539</v>
      </c>
      <c r="K379" s="21" t="n"/>
      <c r="L379" s="21" t="n">
        <v>419539</v>
      </c>
      <c r="M379" s="21" t="n">
        <v>1990</v>
      </c>
      <c r="N379" s="21" t="n">
        <v>23355</v>
      </c>
      <c r="O379" s="21" t="n">
        <v>101</v>
      </c>
      <c r="P379" s="21" t="n">
        <v>444985</v>
      </c>
      <c r="Q379" s="21" t="n">
        <v>444985</v>
      </c>
      <c r="R379" s="21">
        <f>IF(Q379="","",Q379*(1+in_GrowthRate)^(YEARFRAC(DATE(2022,6,30),in_AgeToDate)*IF(in_AgeToDate&lt;DATE(2022,6,30),-1,1)+1))</f>
        <v/>
      </c>
      <c r="S379" s="38" t="n">
        <v>0</v>
      </c>
      <c r="T379" s="43">
        <f>HYPERLINK("https://projects.propublica.org/nonprofits/organizations/530242652/202321329349304902/full","view filing")</f>
        <v/>
      </c>
    </row>
    <row r="380">
      <c r="A380" t="inlineStr">
        <is>
          <t>New York University</t>
        </is>
      </c>
      <c r="B380" s="20" t="inlineStr">
        <is>
          <t>NY</t>
        </is>
      </c>
      <c r="C380" s="42" t="n">
        <v>7.28</v>
      </c>
      <c r="D380" t="inlineStr">
        <is>
          <t>Endowment</t>
        </is>
      </c>
      <c r="E380" s="20" t="n">
        <v>2025</v>
      </c>
      <c r="F380" s="20">
        <f>IF(AND(OR(in_Mode="All Funds",AND(C380&gt;=in_BandFloor,C380&lt;=in_BandCeiling,OR(in_Geography="National",COUNTIFS(lst_GeoPreset,in_Geography,lst_GeoState,B380)&gt;0,AND(in_Geography="Custom",ISNUMBER(SEARCH(B380,SUBSTITUTE(in_CustomStates," ",""))))),OR(AND(D380="Endowment",Inputs!$B$14="Y"),AND(D380="Foundation",Inputs!$B$15="Y"),AND(D380="Healthcare",Inputs!$B$16="Y"),AND(D380="Pension",Inputs!$B$17="Y"),AND(D380="OCIO",Inputs!$B$18="Y"),AND(D380="Other",Inputs!$B$19="Y")))),A380&lt;&gt;in_ClientOrg,NOT(AND(in_ExclHarvard="Y",ISNUMBER(SEARCH("Harvard",A380))))),"Y","")</f>
        <v/>
      </c>
      <c r="G380" t="inlineStr">
        <is>
          <t>Michelle Knudsen</t>
        </is>
      </c>
      <c r="H380" t="inlineStr">
        <is>
          <t>CHIEF INVESTMENT OFFICER (Start Date: 06/24/2024)</t>
        </is>
      </c>
      <c r="I380" t="inlineStr">
        <is>
          <t>CIO</t>
        </is>
      </c>
      <c r="J380" s="21" t="n">
        <v>523950</v>
      </c>
      <c r="K380" s="21" t="n"/>
      <c r="L380" s="21" t="n">
        <v>523950</v>
      </c>
      <c r="M380" s="21" t="n"/>
      <c r="N380" s="21" t="n"/>
      <c r="O380" s="21" t="n">
        <v>73</v>
      </c>
      <c r="P380" s="21" t="n">
        <v>524023</v>
      </c>
      <c r="Q380" s="21" t="n">
        <v>524023</v>
      </c>
      <c r="R380" s="21">
        <f>IF(Q380="","",Q380*(1+in_GrowthRate)^(YEARFRAC(DATE(2025,8,31),in_AgeToDate)*IF(in_AgeToDate&lt;DATE(2025,8,31),-1,1)+1))</f>
        <v/>
      </c>
      <c r="S380" s="38" t="n">
        <v>0</v>
      </c>
      <c r="T380" s="43">
        <f>HYPERLINK("https://projects.propublica.org/nonprofits/organizations/135562308/202641949349300684/full","view filing")</f>
        <v/>
      </c>
    </row>
    <row r="381">
      <c r="A381" t="inlineStr">
        <is>
          <t>New York University</t>
        </is>
      </c>
      <c r="B381" s="20" t="inlineStr">
        <is>
          <t>NY</t>
        </is>
      </c>
      <c r="C381" s="42" t="n">
        <v>7.28</v>
      </c>
      <c r="D381" t="inlineStr">
        <is>
          <t>Endowment</t>
        </is>
      </c>
      <c r="E381" s="20" t="n">
        <v>2024</v>
      </c>
      <c r="F381" s="20" t="inlineStr"/>
      <c r="G381" t="inlineStr">
        <is>
          <t>Kathleen Jacobs</t>
        </is>
      </c>
      <c r="H381" t="inlineStr">
        <is>
          <t>CHIEF INVESTMENT OFFICER (End date: 09/30/2023)</t>
        </is>
      </c>
      <c r="I381" t="inlineStr">
        <is>
          <t>CIO</t>
        </is>
      </c>
      <c r="J381" s="21" t="n">
        <v>922625</v>
      </c>
      <c r="K381" s="21" t="n">
        <v>4000</v>
      </c>
      <c r="L381" s="21" t="n">
        <v>926625</v>
      </c>
      <c r="M381" s="21" t="n">
        <v>3100000</v>
      </c>
      <c r="N381" s="21" t="n">
        <v>33000</v>
      </c>
      <c r="O381" s="21" t="n">
        <v>15302</v>
      </c>
      <c r="P381" s="21" t="n">
        <v>4074927</v>
      </c>
      <c r="Q381" s="21" t="n">
        <v>4074927</v>
      </c>
      <c r="R381" s="21">
        <f>IF(Q381="","",Q381*(1+in_GrowthRate)^(YEARFRAC(DATE(2024,8,31),in_AgeToDate)*IF(in_AgeToDate&lt;DATE(2024,8,31),-1,1)+1))</f>
        <v/>
      </c>
      <c r="S381" s="38" t="n">
        <v>0.004335455900284515</v>
      </c>
      <c r="T381" s="43">
        <f>HYPERLINK("https://projects.propublica.org/nonprofits/organizations/135562308/202521959349301227/full","view filing")</f>
        <v/>
      </c>
    </row>
    <row r="382">
      <c r="A382" t="inlineStr">
        <is>
          <t>New York University</t>
        </is>
      </c>
      <c r="B382" s="20" t="inlineStr">
        <is>
          <t>NY</t>
        </is>
      </c>
      <c r="C382" s="42" t="n">
        <v>7.28</v>
      </c>
      <c r="D382" t="inlineStr">
        <is>
          <t>Endowment</t>
        </is>
      </c>
      <c r="E382" s="20" t="n">
        <v>2023</v>
      </c>
      <c r="F382" s="20" t="inlineStr"/>
      <c r="G382" t="inlineStr">
        <is>
          <t>Kathleen Jacobs</t>
        </is>
      </c>
      <c r="H382" t="inlineStr">
        <is>
          <t>CHIEF INVESTMENT OFFICER</t>
        </is>
      </c>
      <c r="I382" t="inlineStr">
        <is>
          <t>CIO</t>
        </is>
      </c>
      <c r="J382" s="21" t="n">
        <v>788831</v>
      </c>
      <c r="K382" s="21" t="n">
        <v>758423</v>
      </c>
      <c r="L382" s="21" t="n">
        <v>1547254</v>
      </c>
      <c r="M382" s="21" t="n"/>
      <c r="N382" s="21" t="n">
        <v>30500</v>
      </c>
      <c r="O382" s="21" t="n">
        <v>19121</v>
      </c>
      <c r="P382" s="21" t="n">
        <v>1596875</v>
      </c>
      <c r="Q382" s="21" t="n">
        <v>1596875</v>
      </c>
      <c r="R382" s="21">
        <f>IF(Q382="","",Q382*(1+in_GrowthRate)^(YEARFRAC(DATE(2023,8,31),in_AgeToDate)*IF(in_AgeToDate&lt;DATE(2023,8,31),-1,1)+1))</f>
        <v/>
      </c>
      <c r="S382" s="38" t="n">
        <v>0.961451819210959</v>
      </c>
      <c r="T382" s="43">
        <f>HYPERLINK("https://projects.propublica.org/nonprofits/organizations/135562308/202401939349301015/full","view filing")</f>
        <v/>
      </c>
    </row>
    <row r="383">
      <c r="A383" t="inlineStr">
        <is>
          <t>New York University</t>
        </is>
      </c>
      <c r="B383" s="20" t="inlineStr">
        <is>
          <t>NY</t>
        </is>
      </c>
      <c r="C383" s="42" t="n">
        <v>7.28</v>
      </c>
      <c r="D383" t="inlineStr">
        <is>
          <t>Endowment</t>
        </is>
      </c>
      <c r="E383" s="20" t="n">
        <v>2022</v>
      </c>
      <c r="F383" s="20" t="inlineStr"/>
      <c r="G383" t="inlineStr">
        <is>
          <t>Kathleen Jacobs</t>
        </is>
      </c>
      <c r="H383" t="inlineStr">
        <is>
          <t>CHIEF INVESTMENT OFFICER</t>
        </is>
      </c>
      <c r="I383" t="inlineStr">
        <is>
          <t>CIO</t>
        </is>
      </c>
      <c r="J383" s="21" t="n">
        <v>764827</v>
      </c>
      <c r="K383" s="21" t="n">
        <v>1308961</v>
      </c>
      <c r="L383" s="21" t="n">
        <v>2073788</v>
      </c>
      <c r="M383" s="21" t="n"/>
      <c r="N383" s="21" t="n">
        <v>29000</v>
      </c>
      <c r="O383" s="21" t="n">
        <v>18846</v>
      </c>
      <c r="P383" s="21" t="n">
        <v>2121634</v>
      </c>
      <c r="Q383" s="21" t="n">
        <v>2121634</v>
      </c>
      <c r="R383" s="21">
        <f>IF(Q383="","",Q383*(1+in_GrowthRate)^(YEARFRAC(DATE(2022,8,31),in_AgeToDate)*IF(in_AgeToDate&lt;DATE(2022,8,31),-1,1)+1))</f>
        <v/>
      </c>
      <c r="S383" s="38" t="n">
        <v>1.71144716386843</v>
      </c>
      <c r="T383" s="43">
        <f>HYPERLINK("https://projects.propublica.org/nonprofits/organizations/135562308/202341929349301584/full","view filing")</f>
        <v/>
      </c>
    </row>
    <row r="384">
      <c r="A384" t="inlineStr">
        <is>
          <t>Northwestern University</t>
        </is>
      </c>
      <c r="B384" s="20" t="inlineStr">
        <is>
          <t>IL</t>
        </is>
      </c>
      <c r="C384" s="42" t="n">
        <v>15.17</v>
      </c>
      <c r="D384" t="inlineStr">
        <is>
          <t>Endowment</t>
        </is>
      </c>
      <c r="E384" s="20" t="n">
        <v>2025</v>
      </c>
      <c r="F384" s="20">
        <f>IF(AND(OR(in_Mode="All Funds",AND(C384&gt;=in_BandFloor,C384&lt;=in_BandCeiling,OR(in_Geography="National",COUNTIFS(lst_GeoPreset,in_Geography,lst_GeoState,B384)&gt;0,AND(in_Geography="Custom",ISNUMBER(SEARCH(B384,SUBSTITUTE(in_CustomStates," ",""))))),OR(AND(D384="Endowment",Inputs!$B$14="Y"),AND(D384="Foundation",Inputs!$B$15="Y"),AND(D384="Healthcare",Inputs!$B$16="Y"),AND(D384="Pension",Inputs!$B$17="Y"),AND(D384="OCIO",Inputs!$B$18="Y"),AND(D384="Other",Inputs!$B$19="Y")))),A384&lt;&gt;in_ClientOrg,NOT(AND(in_ExclHarvard="Y",ISNUMBER(SEARCH("Harvard",A384))))),"Y","")</f>
        <v/>
      </c>
      <c r="G384" t="inlineStr">
        <is>
          <t>Amy Falls</t>
        </is>
      </c>
      <c r="H384" t="inlineStr">
        <is>
          <t>VP &amp; Chief Investment Officer</t>
        </is>
      </c>
      <c r="I384" t="inlineStr">
        <is>
          <t>CIO</t>
        </is>
      </c>
      <c r="J384" s="21" t="n">
        <v>1010449</v>
      </c>
      <c r="K384" s="21" t="n"/>
      <c r="L384" s="21" t="n">
        <v>1010449</v>
      </c>
      <c r="M384" s="21" t="n">
        <v>1372462</v>
      </c>
      <c r="N384" s="21" t="n">
        <v>1230891</v>
      </c>
      <c r="O384" s="21" t="n">
        <v>48255</v>
      </c>
      <c r="P384" s="21" t="n">
        <v>3662057</v>
      </c>
      <c r="Q384" s="21" t="n">
        <v>3189179</v>
      </c>
      <c r="R384" s="21">
        <f>IF(Q384="","",Q384*(1+in_GrowthRate)^(YEARFRAC(DATE(2025,8,31),in_AgeToDate)*IF(in_AgeToDate&lt;DATE(2025,8,31),-1,1)+1))</f>
        <v/>
      </c>
      <c r="S384" s="38" t="n">
        <v>0</v>
      </c>
      <c r="T384" s="43">
        <f>HYPERLINK("https://projects.propublica.org/nonprofits/organizations/362167817/202611959349301976/full","view filing")</f>
        <v/>
      </c>
    </row>
    <row r="385">
      <c r="A385" t="inlineStr">
        <is>
          <t>Northwestern University</t>
        </is>
      </c>
      <c r="B385" s="20" t="inlineStr">
        <is>
          <t>IL</t>
        </is>
      </c>
      <c r="C385" s="42" t="n">
        <v>15.17</v>
      </c>
      <c r="D385" t="inlineStr">
        <is>
          <t>Endowment</t>
        </is>
      </c>
      <c r="E385" s="20" t="n">
        <v>2024</v>
      </c>
      <c r="F385" s="20" t="inlineStr"/>
      <c r="G385" t="inlineStr">
        <is>
          <t>Amy Falls</t>
        </is>
      </c>
      <c r="H385" t="inlineStr">
        <is>
          <t>VP &amp; Chief Investment Officer</t>
        </is>
      </c>
      <c r="I385" t="inlineStr">
        <is>
          <t>CIO</t>
        </is>
      </c>
      <c r="J385" s="21" t="n">
        <v>943486</v>
      </c>
      <c r="K385" s="21" t="n">
        <v>1250000</v>
      </c>
      <c r="L385" s="21" t="n">
        <v>2193486</v>
      </c>
      <c r="M385" s="21" t="n">
        <v>20832</v>
      </c>
      <c r="N385" s="21" t="n">
        <v>641500</v>
      </c>
      <c r="O385" s="21" t="n">
        <v>41847</v>
      </c>
      <c r="P385" s="21" t="n">
        <v>2897665</v>
      </c>
      <c r="Q385" s="21" t="n">
        <v>2523227</v>
      </c>
      <c r="R385" s="21">
        <f>IF(Q385="","",Q385*(1+in_GrowthRate)^(YEARFRAC(DATE(2024,8,31),in_AgeToDate)*IF(in_AgeToDate&lt;DATE(2024,8,31),-1,1)+1))</f>
        <v/>
      </c>
      <c r="S385" s="38" t="n">
        <v>1.324873924997297</v>
      </c>
      <c r="T385" s="43">
        <f>HYPERLINK("https://projects.propublica.org/nonprofits/organizations/362167817/202531959349301243/full","view filing")</f>
        <v/>
      </c>
    </row>
    <row r="386">
      <c r="A386" t="inlineStr">
        <is>
          <t>Northwestern University</t>
        </is>
      </c>
      <c r="B386" s="20" t="inlineStr">
        <is>
          <t>IL</t>
        </is>
      </c>
      <c r="C386" s="42" t="n">
        <v>15.17</v>
      </c>
      <c r="D386" t="inlineStr">
        <is>
          <t>Endowment</t>
        </is>
      </c>
      <c r="E386" s="20" t="n">
        <v>2023</v>
      </c>
      <c r="F386" s="20" t="inlineStr"/>
      <c r="G386" t="inlineStr">
        <is>
          <t>Amy Falls</t>
        </is>
      </c>
      <c r="H386" t="inlineStr">
        <is>
          <t>VP &amp; Chief Investment Officer</t>
        </is>
      </c>
      <c r="I386" t="inlineStr">
        <is>
          <t>CIO</t>
        </is>
      </c>
      <c r="J386" s="21" t="n">
        <v>918219</v>
      </c>
      <c r="K386" s="21" t="n">
        <v>750000</v>
      </c>
      <c r="L386" s="21" t="n">
        <v>1668219</v>
      </c>
      <c r="M386" s="21" t="n">
        <v>1032</v>
      </c>
      <c r="N386" s="21" t="n">
        <v>772975</v>
      </c>
      <c r="O386" s="21" t="n">
        <v>38731</v>
      </c>
      <c r="P386" s="21" t="n">
        <v>2480957</v>
      </c>
      <c r="Q386" s="21" t="n">
        <v>2480957</v>
      </c>
      <c r="R386" s="21">
        <f>IF(Q386="","",Q386*(1+in_GrowthRate)^(YEARFRAC(DATE(2023,8,31),in_AgeToDate)*IF(in_AgeToDate&lt;DATE(2023,8,31),-1,1)+1))</f>
        <v/>
      </c>
      <c r="S386" s="38" t="n">
        <v>0.8167986068682961</v>
      </c>
      <c r="T386" s="43">
        <f>HYPERLINK("https://projects.propublica.org/nonprofits/organizations/362167817/202421949349301317/full","view filing")</f>
        <v/>
      </c>
    </row>
    <row r="387">
      <c r="A387" t="inlineStr">
        <is>
          <t>Northwestern University</t>
        </is>
      </c>
      <c r="B387" s="20" t="inlineStr">
        <is>
          <t>IL</t>
        </is>
      </c>
      <c r="C387" s="42" t="n">
        <v>15.17</v>
      </c>
      <c r="D387" t="inlineStr">
        <is>
          <t>Endowment</t>
        </is>
      </c>
      <c r="E387" s="20" t="n">
        <v>2022</v>
      </c>
      <c r="F387" s="20" t="inlineStr"/>
      <c r="G387" t="inlineStr">
        <is>
          <t>Amy Falls</t>
        </is>
      </c>
      <c r="H387" t="inlineStr">
        <is>
          <t>VP &amp; Chief Investment Officer</t>
        </is>
      </c>
      <c r="I387" t="inlineStr">
        <is>
          <t>CIO</t>
        </is>
      </c>
      <c r="J387" s="21" t="n">
        <v>591884</v>
      </c>
      <c r="K387" s="21" t="n">
        <v>880000</v>
      </c>
      <c r="L387" s="21" t="n">
        <v>1471884</v>
      </c>
      <c r="M387" s="21" t="n">
        <v>60688</v>
      </c>
      <c r="N387" s="21" t="n">
        <v>29000</v>
      </c>
      <c r="O387" s="21" t="n">
        <v>26158</v>
      </c>
      <c r="P387" s="21" t="n">
        <v>1587730</v>
      </c>
      <c r="Q387" s="21" t="n">
        <v>1587730</v>
      </c>
      <c r="R387" s="21">
        <f>IF(Q387="","",Q387*(1+in_GrowthRate)^(YEARFRAC(DATE(2022,8,31),in_AgeToDate)*IF(in_AgeToDate&lt;DATE(2022,8,31),-1,1)+1))</f>
        <v/>
      </c>
      <c r="S387" s="38" t="n">
        <v>1.486777814571774</v>
      </c>
      <c r="T387" s="43">
        <f>HYPERLINK("https://projects.propublica.org/nonprofits/organizations/362167817/202301989349301715/full","view filing")</f>
        <v/>
      </c>
    </row>
    <row r="388">
      <c r="A388" t="inlineStr">
        <is>
          <t>Oberlin College</t>
        </is>
      </c>
      <c r="B388" s="20" t="inlineStr">
        <is>
          <t>OH</t>
        </is>
      </c>
      <c r="C388" s="42" t="n">
        <v>1.48</v>
      </c>
      <c r="D388" t="inlineStr">
        <is>
          <t>Endowment</t>
        </is>
      </c>
      <c r="E388" s="20" t="n">
        <v>2025</v>
      </c>
      <c r="F388" s="20">
        <f>IF(AND(OR(in_Mode="All Funds",AND(C388&gt;=in_BandFloor,C388&lt;=in_BandCeiling,OR(in_Geography="National",COUNTIFS(lst_GeoPreset,in_Geography,lst_GeoState,B388)&gt;0,AND(in_Geography="Custom",ISNUMBER(SEARCH(B388,SUBSTITUTE(in_CustomStates," ",""))))),OR(AND(D388="Endowment",Inputs!$B$14="Y"),AND(D388="Foundation",Inputs!$B$15="Y"),AND(D388="Healthcare",Inputs!$B$16="Y"),AND(D388="Pension",Inputs!$B$17="Y"),AND(D388="OCIO",Inputs!$B$18="Y"),AND(D388="Other",Inputs!$B$19="Y")))),A388&lt;&gt;in_ClientOrg,NOT(AND(in_ExclHarvard="Y",ISNUMBER(SEARCH("Harvard",A388))))),"Y","")</f>
        <v/>
      </c>
      <c r="G388" t="inlineStr">
        <is>
          <t>Jun Yang</t>
        </is>
      </c>
      <c r="H388" t="inlineStr">
        <is>
          <t>CHIEF INVESTMENT OFFICER</t>
        </is>
      </c>
      <c r="I388" t="inlineStr">
        <is>
          <t>CIO</t>
        </is>
      </c>
      <c r="J388" s="21" t="n">
        <v>465820</v>
      </c>
      <c r="K388" s="21" t="n">
        <v>288449</v>
      </c>
      <c r="L388" s="21" t="n">
        <v>754269</v>
      </c>
      <c r="M388" s="21" t="n">
        <v>774</v>
      </c>
      <c r="N388" s="21" t="n">
        <v>31600</v>
      </c>
      <c r="O388" s="21" t="n">
        <v>56025</v>
      </c>
      <c r="P388" s="21" t="n">
        <v>842668</v>
      </c>
      <c r="Q388" s="21" t="n">
        <v>842668</v>
      </c>
      <c r="R388" s="21">
        <f>IF(Q388="","",Q388*(1+in_GrowthRate)^(YEARFRAC(DATE(2025,6,30),in_AgeToDate)*IF(in_AgeToDate&lt;DATE(2025,6,30),-1,1)+1))</f>
        <v/>
      </c>
      <c r="S388" s="38" t="n">
        <v>0.6192284573440384</v>
      </c>
      <c r="T388" s="43">
        <f>HYPERLINK("https://projects.propublica.org/nonprofits/organizations/340714363/202600799349300015/full","view filing")</f>
        <v/>
      </c>
    </row>
    <row r="389">
      <c r="A389" t="inlineStr">
        <is>
          <t>Oberlin College</t>
        </is>
      </c>
      <c r="B389" s="20" t="inlineStr">
        <is>
          <t>OH</t>
        </is>
      </c>
      <c r="C389" s="42" t="n">
        <v>1.48</v>
      </c>
      <c r="D389" t="inlineStr">
        <is>
          <t>Endowment</t>
        </is>
      </c>
      <c r="E389" s="20" t="n">
        <v>2024</v>
      </c>
      <c r="F389" s="20" t="inlineStr"/>
      <c r="G389" t="inlineStr">
        <is>
          <t>Jun Yang</t>
        </is>
      </c>
      <c r="H389" t="inlineStr">
        <is>
          <t>CHIEF INVESTMENT OFFICER</t>
        </is>
      </c>
      <c r="I389" t="inlineStr">
        <is>
          <t>CIO</t>
        </is>
      </c>
      <c r="J389" s="21" t="n">
        <v>475462</v>
      </c>
      <c r="K389" s="21" t="n">
        <v>393681</v>
      </c>
      <c r="L389" s="21" t="n">
        <v>869143</v>
      </c>
      <c r="M389" s="21" t="n">
        <v>774</v>
      </c>
      <c r="N389" s="21" t="n">
        <v>30400</v>
      </c>
      <c r="O389" s="21" t="n">
        <v>54057</v>
      </c>
      <c r="P389" s="21" t="n">
        <v>954374</v>
      </c>
      <c r="Q389" s="21" t="n">
        <v>954374</v>
      </c>
      <c r="R389" s="21">
        <f>IF(Q389="","",Q389*(1+in_GrowthRate)^(YEARFRAC(DATE(2024,6,30),in_AgeToDate)*IF(in_AgeToDate&lt;DATE(2024,6,30),-1,1)+1))</f>
        <v/>
      </c>
      <c r="S389" s="38" t="n">
        <v>0.8279967694579167</v>
      </c>
      <c r="T389" s="43">
        <f>HYPERLINK("https://projects.propublica.org/nonprofits/organizations/340714363/202540979349300224/full","view filing")</f>
        <v/>
      </c>
    </row>
    <row r="390">
      <c r="A390" t="inlineStr">
        <is>
          <t>Oberlin College</t>
        </is>
      </c>
      <c r="B390" s="20" t="inlineStr">
        <is>
          <t>OH</t>
        </is>
      </c>
      <c r="C390" s="42" t="n">
        <v>1.48</v>
      </c>
      <c r="D390" t="inlineStr">
        <is>
          <t>Endowment</t>
        </is>
      </c>
      <c r="E390" s="20" t="n">
        <v>2023</v>
      </c>
      <c r="F390" s="20" t="inlineStr"/>
      <c r="G390" t="inlineStr">
        <is>
          <t>Jun Yang</t>
        </is>
      </c>
      <c r="H390" t="inlineStr">
        <is>
          <t>Chief Investment Officer</t>
        </is>
      </c>
      <c r="I390" t="inlineStr">
        <is>
          <t>CIO</t>
        </is>
      </c>
      <c r="J390" s="21" t="n">
        <v>441430</v>
      </c>
      <c r="K390" s="21" t="n">
        <v>324315</v>
      </c>
      <c r="L390" s="21" t="n">
        <v>765745</v>
      </c>
      <c r="M390" s="21" t="n">
        <v>774</v>
      </c>
      <c r="N390" s="21" t="n">
        <v>26400</v>
      </c>
      <c r="O390" s="21" t="n">
        <v>50123</v>
      </c>
      <c r="P390" s="21" t="n">
        <v>843042</v>
      </c>
      <c r="Q390" s="21" t="n">
        <v>843042</v>
      </c>
      <c r="R390" s="21">
        <f>IF(Q390="","",Q390*(1+in_GrowthRate)^(YEARFRAC(DATE(2023,6,30),in_AgeToDate)*IF(in_AgeToDate&lt;DATE(2023,6,30),-1,1)+1))</f>
        <v/>
      </c>
      <c r="S390" s="38" t="n">
        <v>0.7346917971139252</v>
      </c>
      <c r="T390" s="43">
        <f>HYPERLINK("https://projects.propublica.org/nonprofits/organizations/340714363/202441369349312414/full","view filing")</f>
        <v/>
      </c>
    </row>
    <row r="391">
      <c r="A391" t="inlineStr">
        <is>
          <t>Oberlin College</t>
        </is>
      </c>
      <c r="B391" s="20" t="inlineStr">
        <is>
          <t>OH</t>
        </is>
      </c>
      <c r="C391" s="42" t="n">
        <v>1.48</v>
      </c>
      <c r="D391" t="inlineStr">
        <is>
          <t>Endowment</t>
        </is>
      </c>
      <c r="E391" s="20" t="n">
        <v>2022</v>
      </c>
      <c r="F391" s="20" t="inlineStr"/>
      <c r="G391" t="inlineStr">
        <is>
          <t>Jun Yang</t>
        </is>
      </c>
      <c r="H391" t="inlineStr">
        <is>
          <t>Chief Investment Officer</t>
        </is>
      </c>
      <c r="I391" t="inlineStr">
        <is>
          <t>CIO</t>
        </is>
      </c>
      <c r="J391" s="21" t="n">
        <v>433082</v>
      </c>
      <c r="K391" s="21" t="n">
        <v>211625</v>
      </c>
      <c r="L391" s="21" t="n">
        <v>644707</v>
      </c>
      <c r="M391" s="21" t="n">
        <v>414</v>
      </c>
      <c r="N391" s="21" t="n">
        <v>35237</v>
      </c>
      <c r="O391" s="21" t="n">
        <v>26178</v>
      </c>
      <c r="P391" s="21" t="n">
        <v>706536</v>
      </c>
      <c r="Q391" s="21" t="n">
        <v>706536</v>
      </c>
      <c r="R391" s="21">
        <f>IF(Q391="","",Q391*(1+in_GrowthRate)^(YEARFRAC(DATE(2022,6,30),in_AgeToDate)*IF(in_AgeToDate&lt;DATE(2022,6,30),-1,1)+1))</f>
        <v/>
      </c>
      <c r="S391" s="38" t="n">
        <v>0.4886488009199182</v>
      </c>
      <c r="T391" s="43">
        <f>HYPERLINK("https://projects.propublica.org/nonprofits/organizations/340714363/202341339349301804/full","view filing")</f>
        <v/>
      </c>
    </row>
    <row r="392">
      <c r="A392" t="inlineStr">
        <is>
          <t>Oklahoma State University Foundation</t>
        </is>
      </c>
      <c r="B392" s="20" t="inlineStr">
        <is>
          <t>OK</t>
        </is>
      </c>
      <c r="C392" s="42" t="n">
        <v>1.56</v>
      </c>
      <c r="D392" t="inlineStr">
        <is>
          <t>Endowment</t>
        </is>
      </c>
      <c r="E392" s="20" t="n">
        <v>2025</v>
      </c>
      <c r="F392" s="20">
        <f>IF(AND(OR(in_Mode="All Funds",AND(C392&gt;=in_BandFloor,C392&lt;=in_BandCeiling,OR(in_Geography="National",COUNTIFS(lst_GeoPreset,in_Geography,lst_GeoState,B392)&gt;0,AND(in_Geography="Custom",ISNUMBER(SEARCH(B392,SUBSTITUTE(in_CustomStates," ",""))))),OR(AND(D392="Endowment",Inputs!$B$14="Y"),AND(D392="Foundation",Inputs!$B$15="Y"),AND(D392="Healthcare",Inputs!$B$16="Y"),AND(D392="Pension",Inputs!$B$17="Y"),AND(D392="OCIO",Inputs!$B$18="Y"),AND(D392="Other",Inputs!$B$19="Y")))),A392&lt;&gt;in_ClientOrg,NOT(AND(in_ExclHarvard="Y",ISNUMBER(SEARCH("Harvard",A392))))),"Y","")</f>
        <v/>
      </c>
      <c r="G392" t="inlineStr">
        <is>
          <t>Ryan Harms</t>
        </is>
      </c>
      <c r="H392" t="inlineStr">
        <is>
          <t>CHIEF INVESTMENT OFFICER</t>
        </is>
      </c>
      <c r="I392" t="inlineStr">
        <is>
          <t>CIO</t>
        </is>
      </c>
      <c r="J392" s="21" t="n"/>
      <c r="K392" s="21" t="n"/>
      <c r="L392" s="21" t="n"/>
      <c r="M392" s="21" t="n"/>
      <c r="N392" s="21" t="n"/>
      <c r="O392" s="21" t="n"/>
      <c r="P392" s="21" t="n">
        <v>952222</v>
      </c>
      <c r="Q392" s="21" t="n">
        <v>952222</v>
      </c>
      <c r="R392" s="21">
        <f>IF(Q392="","",Q392*(1+in_GrowthRate)^(YEARFRAC(DATE(2025,6,30),in_AgeToDate)*IF(in_AgeToDate&lt;DATE(2025,6,30),-1,1)+1))</f>
        <v/>
      </c>
      <c r="S392" s="38" t="n"/>
      <c r="T392" s="43">
        <f>HYPERLINK("https://projects.propublica.org/nonprofits/organizations/736097060/202611289349302616/full","view filing")</f>
        <v/>
      </c>
    </row>
    <row r="393">
      <c r="A393" t="inlineStr">
        <is>
          <t>Oklahoma State University Foundation</t>
        </is>
      </c>
      <c r="B393" s="20" t="inlineStr">
        <is>
          <t>OK</t>
        </is>
      </c>
      <c r="C393" s="42" t="n">
        <v>1.56</v>
      </c>
      <c r="D393" t="inlineStr">
        <is>
          <t>Endowment</t>
        </is>
      </c>
      <c r="E393" s="20" t="n">
        <v>2024</v>
      </c>
      <c r="F393" s="20" t="inlineStr"/>
      <c r="G393" t="inlineStr">
        <is>
          <t>Ryan Harms</t>
        </is>
      </c>
      <c r="H393" t="inlineStr">
        <is>
          <t>CHIEF INVESTMENT OFFICER</t>
        </is>
      </c>
      <c r="I393" t="inlineStr">
        <is>
          <t>CIO</t>
        </is>
      </c>
      <c r="J393" s="21" t="n"/>
      <c r="K393" s="21" t="n"/>
      <c r="L393" s="21" t="n"/>
      <c r="M393" s="21" t="n"/>
      <c r="N393" s="21" t="n"/>
      <c r="O393" s="21" t="n"/>
      <c r="P393" s="21" t="n">
        <v>630415</v>
      </c>
      <c r="Q393" s="21" t="n">
        <v>630415</v>
      </c>
      <c r="R393" s="21">
        <f>IF(Q393="","",Q393*(1+in_GrowthRate)^(YEARFRAC(DATE(2024,6,30),in_AgeToDate)*IF(in_AgeToDate&lt;DATE(2024,6,30),-1,1)+1))</f>
        <v/>
      </c>
      <c r="S393" s="38" t="n"/>
      <c r="T393" s="43">
        <f>HYPERLINK("https://projects.propublica.org/nonprofits/organizations/736097060/202521229349302392/full","view filing")</f>
        <v/>
      </c>
    </row>
    <row r="394">
      <c r="A394" t="inlineStr">
        <is>
          <t>Oklahoma State University Foundation</t>
        </is>
      </c>
      <c r="B394" s="20" t="inlineStr">
        <is>
          <t>OK</t>
        </is>
      </c>
      <c r="C394" s="42" t="n">
        <v>1.56</v>
      </c>
      <c r="D394" t="inlineStr">
        <is>
          <t>Endowment</t>
        </is>
      </c>
      <c r="E394" s="20" t="n">
        <v>2023</v>
      </c>
      <c r="F394" s="20" t="inlineStr"/>
      <c r="G394" t="inlineStr">
        <is>
          <t>Ryan Harms</t>
        </is>
      </c>
      <c r="H394" t="inlineStr">
        <is>
          <t>CHIEF INVESTMENT OFFICER</t>
        </is>
      </c>
      <c r="I394" t="inlineStr">
        <is>
          <t>CIO</t>
        </is>
      </c>
      <c r="J394" s="21" t="n"/>
      <c r="K394" s="21" t="n"/>
      <c r="L394" s="21" t="n"/>
      <c r="M394" s="21" t="n"/>
      <c r="N394" s="21" t="n"/>
      <c r="O394" s="21" t="n"/>
      <c r="P394" s="21" t="n">
        <v>519897</v>
      </c>
      <c r="Q394" s="21" t="n">
        <v>519897</v>
      </c>
      <c r="R394" s="21">
        <f>IF(Q394="","",Q394*(1+in_GrowthRate)^(YEARFRAC(DATE(2023,6,30),in_AgeToDate)*IF(in_AgeToDate&lt;DATE(2023,6,30),-1,1)+1))</f>
        <v/>
      </c>
      <c r="S394" s="38" t="n"/>
      <c r="T394" s="43">
        <f>HYPERLINK("https://projects.propublica.org/nonprofits/organizations/736097060/202411369349306306/full","view filing")</f>
        <v/>
      </c>
    </row>
    <row r="395">
      <c r="A395" t="inlineStr">
        <is>
          <t>Oklahoma State University Foundation</t>
        </is>
      </c>
      <c r="B395" s="20" t="inlineStr">
        <is>
          <t>OK</t>
        </is>
      </c>
      <c r="C395" s="42" t="n">
        <v>1.56</v>
      </c>
      <c r="D395" t="inlineStr">
        <is>
          <t>Endowment</t>
        </is>
      </c>
      <c r="E395" s="20" t="n">
        <v>2022</v>
      </c>
      <c r="F395" s="20" t="inlineStr"/>
      <c r="G395" t="inlineStr">
        <is>
          <t>Ryan Tidwell</t>
        </is>
      </c>
      <c r="H395" t="inlineStr">
        <is>
          <t>CEO/CIO</t>
        </is>
      </c>
      <c r="I395" t="inlineStr">
        <is>
          <t>CIO</t>
        </is>
      </c>
      <c r="J395" s="21" t="n"/>
      <c r="K395" s="21" t="n"/>
      <c r="L395" s="21" t="n"/>
      <c r="M395" s="21" t="n"/>
      <c r="N395" s="21" t="n"/>
      <c r="O395" s="21" t="n"/>
      <c r="P395" s="21" t="n">
        <v>455768</v>
      </c>
      <c r="Q395" s="21" t="n">
        <v>455768</v>
      </c>
      <c r="R395" s="21">
        <f>IF(Q395="","",Q395*(1+in_GrowthRate)^(YEARFRAC(DATE(2022,6,30),in_AgeToDate)*IF(in_AgeToDate&lt;DATE(2022,6,30),-1,1)+1))</f>
        <v/>
      </c>
      <c r="S395" s="38" t="n"/>
      <c r="T395" s="43">
        <f>HYPERLINK("https://projects.propublica.org/nonprofits/organizations/736097060/202311359349306096/full","view filing")</f>
        <v/>
      </c>
    </row>
    <row r="396">
      <c r="A396" t="inlineStr">
        <is>
          <t>Pepperdine University</t>
        </is>
      </c>
      <c r="B396" s="20" t="inlineStr">
        <is>
          <t>CA</t>
        </is>
      </c>
      <c r="C396" s="42" t="n">
        <v>1.29</v>
      </c>
      <c r="D396" t="inlineStr">
        <is>
          <t>Endowment</t>
        </is>
      </c>
      <c r="E396" s="20" t="n">
        <v>2025</v>
      </c>
      <c r="F396" s="20">
        <f>IF(AND(OR(in_Mode="All Funds",AND(C396&gt;=in_BandFloor,C396&lt;=in_BandCeiling,OR(in_Geography="National",COUNTIFS(lst_GeoPreset,in_Geography,lst_GeoState,B396)&gt;0,AND(in_Geography="Custom",ISNUMBER(SEARCH(B396,SUBSTITUTE(in_CustomStates," ",""))))),OR(AND(D396="Endowment",Inputs!$B$14="Y"),AND(D396="Foundation",Inputs!$B$15="Y"),AND(D396="Healthcare",Inputs!$B$16="Y"),AND(D396="Pension",Inputs!$B$17="Y"),AND(D396="OCIO",Inputs!$B$18="Y"),AND(D396="Other",Inputs!$B$19="Y")))),A396&lt;&gt;in_ClientOrg,NOT(AND(in_ExclHarvard="Y",ISNUMBER(SEARCH("Harvard",A396))))),"Y","")</f>
        <v/>
      </c>
      <c r="G396" t="inlineStr">
        <is>
          <t>Jeffrey Rohde</t>
        </is>
      </c>
      <c r="H396" t="inlineStr">
        <is>
          <t>CHIEF INVESTMENT OFFICER</t>
        </is>
      </c>
      <c r="I396" t="inlineStr">
        <is>
          <t>CIO</t>
        </is>
      </c>
      <c r="J396" s="21" t="n">
        <v>375718</v>
      </c>
      <c r="K396" s="21" t="n">
        <v>71000</v>
      </c>
      <c r="L396" s="21" t="n">
        <v>446718</v>
      </c>
      <c r="M396" s="21" t="n">
        <v>810</v>
      </c>
      <c r="N396" s="21" t="n">
        <v>34500</v>
      </c>
      <c r="O396" s="21" t="n">
        <v>42385</v>
      </c>
      <c r="P396" s="21" t="n">
        <v>524413</v>
      </c>
      <c r="Q396" s="21" t="n">
        <v>524413</v>
      </c>
      <c r="R396" s="21">
        <f>IF(Q396="","",Q396*(1+in_GrowthRate)^(YEARFRAC(DATE(2025,7,31),in_AgeToDate)*IF(in_AgeToDate&lt;DATE(2025,7,31),-1,1)+1))</f>
        <v/>
      </c>
      <c r="S396" s="38" t="n">
        <v>0.1889715158709458</v>
      </c>
      <c r="T396" s="43">
        <f>HYPERLINK("https://projects.propublica.org/nonprofits/organizations/951644037/202611539349301221/full","view filing")</f>
        <v/>
      </c>
    </row>
    <row r="397">
      <c r="A397" t="inlineStr">
        <is>
          <t>Pepperdine University</t>
        </is>
      </c>
      <c r="B397" s="20" t="inlineStr">
        <is>
          <t>CA</t>
        </is>
      </c>
      <c r="C397" s="42" t="n">
        <v>1.29</v>
      </c>
      <c r="D397" t="inlineStr">
        <is>
          <t>Endowment</t>
        </is>
      </c>
      <c r="E397" s="20" t="n">
        <v>2024</v>
      </c>
      <c r="F397" s="20" t="inlineStr"/>
      <c r="G397" t="inlineStr">
        <is>
          <t>Jeffrey Rohde</t>
        </is>
      </c>
      <c r="H397" t="inlineStr">
        <is>
          <t>CHIEF INVESTMENT OFFICER</t>
        </is>
      </c>
      <c r="I397" t="inlineStr">
        <is>
          <t>CIO</t>
        </is>
      </c>
      <c r="J397" s="21" t="n">
        <v>349094</v>
      </c>
      <c r="K397" s="21" t="n">
        <v>52000</v>
      </c>
      <c r="L397" s="21" t="n">
        <v>401094</v>
      </c>
      <c r="M397" s="21" t="n">
        <v>719</v>
      </c>
      <c r="N397" s="21" t="n">
        <v>33000</v>
      </c>
      <c r="O397" s="21" t="n">
        <v>45755</v>
      </c>
      <c r="P397" s="21" t="n">
        <v>480568</v>
      </c>
      <c r="Q397" s="21" t="n">
        <v>480568</v>
      </c>
      <c r="R397" s="21">
        <f>IF(Q397="","",Q397*(1+in_GrowthRate)^(YEARFRAC(DATE(2024,7,31),in_AgeToDate)*IF(in_AgeToDate&lt;DATE(2024,7,31),-1,1)+1))</f>
        <v/>
      </c>
      <c r="S397" s="38" t="n">
        <v>0.1489570144431013</v>
      </c>
      <c r="T397" s="43">
        <f>HYPERLINK("https://projects.propublica.org/nonprofits/organizations/951644037/202501569349301705/full","view filing")</f>
        <v/>
      </c>
    </row>
    <row r="398">
      <c r="A398" t="inlineStr">
        <is>
          <t>Pepperdine University</t>
        </is>
      </c>
      <c r="B398" s="20" t="inlineStr">
        <is>
          <t>CA</t>
        </is>
      </c>
      <c r="C398" s="42" t="n">
        <v>1.29</v>
      </c>
      <c r="D398" t="inlineStr">
        <is>
          <t>Endowment</t>
        </is>
      </c>
      <c r="E398" s="20" t="n">
        <v>2023</v>
      </c>
      <c r="F398" s="20" t="inlineStr"/>
      <c r="G398" t="inlineStr">
        <is>
          <t>Jeffrey Rohde</t>
        </is>
      </c>
      <c r="H398" t="inlineStr">
        <is>
          <t>CHIEF INVESTMENT OFFICER</t>
        </is>
      </c>
      <c r="I398" t="inlineStr">
        <is>
          <t>CIO</t>
        </is>
      </c>
      <c r="J398" s="21" t="n">
        <v>328942</v>
      </c>
      <c r="K398" s="21" t="n">
        <v>77185</v>
      </c>
      <c r="L398" s="21" t="n">
        <v>406127</v>
      </c>
      <c r="M398" s="21" t="n">
        <v>600</v>
      </c>
      <c r="N398" s="21" t="n">
        <v>30500</v>
      </c>
      <c r="O398" s="21" t="n">
        <v>43545</v>
      </c>
      <c r="P398" s="21" t="n">
        <v>480772</v>
      </c>
      <c r="Q398" s="21" t="n">
        <v>480772</v>
      </c>
      <c r="R398" s="21">
        <f>IF(Q398="","",Q398*(1+in_GrowthRate)^(YEARFRAC(DATE(2023,7,31),in_AgeToDate)*IF(in_AgeToDate&lt;DATE(2023,7,31),-1,1)+1))</f>
        <v/>
      </c>
      <c r="S398" s="38" t="n">
        <v>0.2346462294264642</v>
      </c>
      <c r="T398" s="43">
        <f>HYPERLINK("https://projects.propublica.org/nonprofits/organizations/951644037/202441669349300249/full","view filing")</f>
        <v/>
      </c>
    </row>
    <row r="399">
      <c r="A399" t="inlineStr">
        <is>
          <t>Pomona College</t>
        </is>
      </c>
      <c r="B399" s="20" t="inlineStr">
        <is>
          <t>CA</t>
        </is>
      </c>
      <c r="C399" s="42" t="n">
        <v>3.22</v>
      </c>
      <c r="D399" t="inlineStr">
        <is>
          <t>Endowment</t>
        </is>
      </c>
      <c r="E399" s="20" t="n">
        <v>2025</v>
      </c>
      <c r="F399" s="20">
        <f>IF(AND(OR(in_Mode="All Funds",AND(C399&gt;=in_BandFloor,C399&lt;=in_BandCeiling,OR(in_Geography="National",COUNTIFS(lst_GeoPreset,in_Geography,lst_GeoState,B399)&gt;0,AND(in_Geography="Custom",ISNUMBER(SEARCH(B399,SUBSTITUTE(in_CustomStates," ",""))))),OR(AND(D399="Endowment",Inputs!$B$14="Y"),AND(D399="Foundation",Inputs!$B$15="Y"),AND(D399="Healthcare",Inputs!$B$16="Y"),AND(D399="Pension",Inputs!$B$17="Y"),AND(D399="OCIO",Inputs!$B$18="Y"),AND(D399="Other",Inputs!$B$19="Y")))),A399&lt;&gt;in_ClientOrg,NOT(AND(in_ExclHarvard="Y",ISNUMBER(SEARCH("Harvard",A399))))),"Y","")</f>
        <v/>
      </c>
      <c r="G399" t="inlineStr">
        <is>
          <t>David Wallace</t>
        </is>
      </c>
      <c r="H399" t="inlineStr">
        <is>
          <t>ASST TREASURER/CIO</t>
        </is>
      </c>
      <c r="I399" t="inlineStr">
        <is>
          <t>CIO</t>
        </is>
      </c>
      <c r="J399" s="21" t="n">
        <v>489997</v>
      </c>
      <c r="K399" s="21" t="n">
        <v>148698</v>
      </c>
      <c r="L399" s="21" t="n">
        <v>638695</v>
      </c>
      <c r="M399" s="21" t="n"/>
      <c r="N399" s="21" t="n">
        <v>38028</v>
      </c>
      <c r="O399" s="21" t="n">
        <v>31713</v>
      </c>
      <c r="P399" s="21" t="n">
        <v>708436</v>
      </c>
      <c r="Q399" s="21" t="n">
        <v>708436</v>
      </c>
      <c r="R399" s="21">
        <f>IF(Q399="","",Q399*(1+in_GrowthRate)^(YEARFRAC(DATE(2025,6,30),in_AgeToDate)*IF(in_AgeToDate&lt;DATE(2025,6,30),-1,1)+1))</f>
        <v/>
      </c>
      <c r="S399" s="38" t="n">
        <v>0.3034671640846781</v>
      </c>
      <c r="T399" s="43">
        <f>HYPERLINK("https://projects.propublica.org/nonprofits/organizations/951664112/202621329349306532/full","view filing")</f>
        <v/>
      </c>
    </row>
    <row r="400">
      <c r="A400" t="inlineStr">
        <is>
          <t>Pomona College</t>
        </is>
      </c>
      <c r="B400" s="20" t="inlineStr">
        <is>
          <t>CA</t>
        </is>
      </c>
      <c r="C400" s="42" t="n">
        <v>3.22</v>
      </c>
      <c r="D400" t="inlineStr">
        <is>
          <t>Endowment</t>
        </is>
      </c>
      <c r="E400" s="20" t="n">
        <v>2024</v>
      </c>
      <c r="F400" s="20" t="inlineStr"/>
      <c r="G400" t="inlineStr">
        <is>
          <t>David Wallace</t>
        </is>
      </c>
      <c r="H400" t="inlineStr">
        <is>
          <t>ASST TREASURER/CIO</t>
        </is>
      </c>
      <c r="I400" t="inlineStr">
        <is>
          <t>CIO</t>
        </is>
      </c>
      <c r="J400" s="21" t="n">
        <v>472525</v>
      </c>
      <c r="K400" s="21" t="n">
        <v>117565</v>
      </c>
      <c r="L400" s="21" t="n">
        <v>590090</v>
      </c>
      <c r="M400" s="21" t="n"/>
      <c r="N400" s="21" t="n">
        <v>36396</v>
      </c>
      <c r="O400" s="21" t="n">
        <v>29753</v>
      </c>
      <c r="P400" s="21" t="n">
        <v>656239</v>
      </c>
      <c r="Q400" s="21" t="n">
        <v>656239</v>
      </c>
      <c r="R400" s="21">
        <f>IF(Q400="","",Q400*(1+in_GrowthRate)^(YEARFRAC(DATE(2024,6,30),in_AgeToDate)*IF(in_AgeToDate&lt;DATE(2024,6,30),-1,1)+1))</f>
        <v/>
      </c>
      <c r="S400" s="38" t="n">
        <v>0.2488016507063118</v>
      </c>
      <c r="T400" s="43">
        <f>HYPERLINK("https://projects.propublica.org/nonprofits/organizations/951664112/202521349349307757/full","view filing")</f>
        <v/>
      </c>
    </row>
    <row r="401">
      <c r="A401" t="inlineStr">
        <is>
          <t>Pomona College</t>
        </is>
      </c>
      <c r="B401" s="20" t="inlineStr">
        <is>
          <t>CA</t>
        </is>
      </c>
      <c r="C401" s="42" t="n">
        <v>3.22</v>
      </c>
      <c r="D401" t="inlineStr">
        <is>
          <t>Endowment</t>
        </is>
      </c>
      <c r="E401" s="20" t="n">
        <v>2023</v>
      </c>
      <c r="F401" s="20" t="inlineStr"/>
      <c r="G401" t="inlineStr">
        <is>
          <t>David Wallace</t>
        </is>
      </c>
      <c r="H401" t="inlineStr">
        <is>
          <t>ASST TREASURER/CIO</t>
        </is>
      </c>
      <c r="I401" t="inlineStr">
        <is>
          <t>CIO</t>
        </is>
      </c>
      <c r="J401" s="21" t="n">
        <v>378063</v>
      </c>
      <c r="K401" s="21" t="n"/>
      <c r="L401" s="21" t="n">
        <v>378063</v>
      </c>
      <c r="M401" s="21" t="n"/>
      <c r="N401" s="21" t="n">
        <v>33660</v>
      </c>
      <c r="O401" s="21" t="n">
        <v>24743</v>
      </c>
      <c r="P401" s="21" t="n">
        <v>436466</v>
      </c>
      <c r="Q401" s="21" t="n">
        <v>436466</v>
      </c>
      <c r="R401" s="21">
        <f>IF(Q401="","",Q401*(1+in_GrowthRate)^(YEARFRAC(DATE(2023,6,30),in_AgeToDate)*IF(in_AgeToDate&lt;DATE(2023,6,30),-1,1)+1))</f>
        <v/>
      </c>
      <c r="S401" s="38" t="n">
        <v>0</v>
      </c>
      <c r="T401" s="43">
        <f>HYPERLINK("https://projects.propublica.org/nonprofits/organizations/951664112/202421369349306222/full","view filing")</f>
        <v/>
      </c>
    </row>
    <row r="402">
      <c r="A402" t="inlineStr">
        <is>
          <t>Pomona College</t>
        </is>
      </c>
      <c r="B402" s="20" t="inlineStr">
        <is>
          <t>CA</t>
        </is>
      </c>
      <c r="C402" s="42" t="n">
        <v>3.22</v>
      </c>
      <c r="D402" t="inlineStr">
        <is>
          <t>Endowment</t>
        </is>
      </c>
      <c r="E402" s="20" t="n">
        <v>2022</v>
      </c>
      <c r="F402" s="20" t="inlineStr"/>
      <c r="G402" t="inlineStr">
        <is>
          <t>David Wallace</t>
        </is>
      </c>
      <c r="H402" t="inlineStr">
        <is>
          <t>ASST TREASURER/CIO</t>
        </is>
      </c>
      <c r="I402" t="inlineStr">
        <is>
          <t>CIO</t>
        </is>
      </c>
      <c r="J402" s="21" t="n">
        <v>282917</v>
      </c>
      <c r="K402" s="21" t="n"/>
      <c r="L402" s="21" t="n">
        <v>282917</v>
      </c>
      <c r="M402" s="21" t="n"/>
      <c r="N402" s="21" t="n">
        <v>31875</v>
      </c>
      <c r="O402" s="21" t="n">
        <v>22989</v>
      </c>
      <c r="P402" s="21" t="n">
        <v>337781</v>
      </c>
      <c r="Q402" s="21" t="n">
        <v>337781</v>
      </c>
      <c r="R402" s="21">
        <f>IF(Q402="","",Q402*(1+in_GrowthRate)^(YEARFRAC(DATE(2022,6,30),in_AgeToDate)*IF(in_AgeToDate&lt;DATE(2022,6,30),-1,1)+1))</f>
        <v/>
      </c>
      <c r="S402" s="38" t="n">
        <v>0</v>
      </c>
      <c r="T402" s="43">
        <f>HYPERLINK("https://projects.propublica.org/nonprofits/organizations/951664112/202331359349316888/full","view filing")</f>
        <v/>
      </c>
    </row>
    <row r="403">
      <c r="A403" t="inlineStr">
        <is>
          <t>President &amp; Trustees Of Colby College</t>
        </is>
      </c>
      <c r="B403" s="20" t="inlineStr">
        <is>
          <t>ME</t>
        </is>
      </c>
      <c r="C403" s="42" t="n">
        <v>1.16</v>
      </c>
      <c r="D403" t="inlineStr">
        <is>
          <t>Endowment</t>
        </is>
      </c>
      <c r="E403" s="20" t="n">
        <v>2025</v>
      </c>
      <c r="F403" s="20">
        <f>IF(AND(OR(in_Mode="All Funds",AND(C403&gt;=in_BandFloor,C403&lt;=in_BandCeiling,OR(in_Geography="National",COUNTIFS(lst_GeoPreset,in_Geography,lst_GeoState,B403)&gt;0,AND(in_Geography="Custom",ISNUMBER(SEARCH(B403,SUBSTITUTE(in_CustomStates," ",""))))),OR(AND(D403="Endowment",Inputs!$B$14="Y"),AND(D403="Foundation",Inputs!$B$15="Y"),AND(D403="Healthcare",Inputs!$B$16="Y"),AND(D403="Pension",Inputs!$B$17="Y"),AND(D403="OCIO",Inputs!$B$18="Y"),AND(D403="Other",Inputs!$B$19="Y")))),A403&lt;&gt;in_ClientOrg,NOT(AND(in_ExclHarvard="Y",ISNUMBER(SEARCH("Harvard",A403))))),"Y","")</f>
        <v/>
      </c>
      <c r="G403" t="inlineStr">
        <is>
          <t>Deborah Shufrin</t>
        </is>
      </c>
      <c r="H403" t="inlineStr">
        <is>
          <t>Associate VP and Chief Investment Officer</t>
        </is>
      </c>
      <c r="I403" t="inlineStr">
        <is>
          <t>CIO</t>
        </is>
      </c>
      <c r="J403" s="21" t="n">
        <v>650181</v>
      </c>
      <c r="K403" s="21" t="n">
        <v>172411</v>
      </c>
      <c r="L403" s="21" t="n">
        <v>822592</v>
      </c>
      <c r="M403" s="21" t="n">
        <v>37400</v>
      </c>
      <c r="N403" s="21" t="n">
        <v>32802</v>
      </c>
      <c r="O403" s="21" t="n">
        <v>28341</v>
      </c>
      <c r="P403" s="21" t="n">
        <v>921135</v>
      </c>
      <c r="Q403" s="21" t="n">
        <v>921135</v>
      </c>
      <c r="R403" s="21">
        <f>IF(Q403="","",Q403*(1+in_GrowthRate)^(YEARFRAC(DATE(2025,6,30),in_AgeToDate)*IF(in_AgeToDate&lt;DATE(2025,6,30),-1,1)+1))</f>
        <v/>
      </c>
      <c r="S403" s="38" t="n">
        <v>0.2651738515890191</v>
      </c>
      <c r="T403" s="43">
        <f>HYPERLINK("https://projects.propublica.org/nonprofits/organizations/10211497/202631319349303008/full","view filing")</f>
        <v/>
      </c>
    </row>
    <row r="404">
      <c r="A404" t="inlineStr">
        <is>
          <t>President &amp; Trustees Of Colby College</t>
        </is>
      </c>
      <c r="B404" s="20" t="inlineStr">
        <is>
          <t>ME</t>
        </is>
      </c>
      <c r="C404" s="42" t="n">
        <v>1.16</v>
      </c>
      <c r="D404" t="inlineStr">
        <is>
          <t>Endowment</t>
        </is>
      </c>
      <c r="E404" s="20" t="n">
        <v>2024</v>
      </c>
      <c r="F404" s="20" t="inlineStr"/>
      <c r="G404" t="inlineStr">
        <is>
          <t>Shufrin Deborah</t>
        </is>
      </c>
      <c r="H404" t="inlineStr">
        <is>
          <t>Associate VP and Chief Investment Officer</t>
        </is>
      </c>
      <c r="I404" t="inlineStr">
        <is>
          <t>CIO</t>
        </is>
      </c>
      <c r="J404" s="21" t="n">
        <v>639450</v>
      </c>
      <c r="K404" s="21" t="n">
        <v>102375</v>
      </c>
      <c r="L404" s="21" t="n">
        <v>741825</v>
      </c>
      <c r="M404" s="21" t="n">
        <v>27000</v>
      </c>
      <c r="N404" s="21" t="n">
        <v>31302</v>
      </c>
      <c r="O404" s="21" t="n">
        <v>12489</v>
      </c>
      <c r="P404" s="21" t="n">
        <v>812616</v>
      </c>
      <c r="Q404" s="21" t="n">
        <v>812616</v>
      </c>
      <c r="R404" s="21">
        <f>IF(Q404="","",Q404*(1+in_GrowthRate)^(YEARFRAC(DATE(2024,6,30),in_AgeToDate)*IF(in_AgeToDate&lt;DATE(2024,6,30),-1,1)+1))</f>
        <v/>
      </c>
      <c r="S404" s="38" t="n">
        <v>0.1600985221674877</v>
      </c>
      <c r="T404" s="43">
        <f>HYPERLINK("https://projects.propublica.org/nonprofits/organizations/10211497/202541329349303094/full","view filing")</f>
        <v/>
      </c>
    </row>
    <row r="405">
      <c r="A405" t="inlineStr">
        <is>
          <t>President &amp; Trustees Of Colby College</t>
        </is>
      </c>
      <c r="B405" s="20" t="inlineStr">
        <is>
          <t>ME</t>
        </is>
      </c>
      <c r="C405" s="42" t="n">
        <v>1.16</v>
      </c>
      <c r="D405" t="inlineStr">
        <is>
          <t>Endowment</t>
        </is>
      </c>
      <c r="E405" s="20" t="n">
        <v>2023</v>
      </c>
      <c r="F405" s="20" t="inlineStr"/>
      <c r="G405" t="inlineStr">
        <is>
          <t>Shufrin Deborah</t>
        </is>
      </c>
      <c r="H405" t="inlineStr">
        <is>
          <t>Associate VP and Chief Investment Officer</t>
        </is>
      </c>
      <c r="I405" t="inlineStr">
        <is>
          <t>CIO</t>
        </is>
      </c>
      <c r="J405" s="21" t="n">
        <v>615000</v>
      </c>
      <c r="K405" s="21" t="n">
        <v>119250</v>
      </c>
      <c r="L405" s="21" t="n">
        <v>734250</v>
      </c>
      <c r="M405" s="21" t="n">
        <v>27000</v>
      </c>
      <c r="N405" s="21" t="n"/>
      <c r="O405" s="21" t="n">
        <v>11565</v>
      </c>
      <c r="P405" s="21" t="n">
        <v>772815</v>
      </c>
      <c r="Q405" s="21" t="n">
        <v>772815</v>
      </c>
      <c r="R405" s="21">
        <f>IF(Q405="","",Q405*(1+in_GrowthRate)^(YEARFRAC(DATE(2023,6,30),in_AgeToDate)*IF(in_AgeToDate&lt;DATE(2023,6,30),-1,1)+1))</f>
        <v/>
      </c>
      <c r="S405" s="38" t="n">
        <v>0.1939024390243902</v>
      </c>
      <c r="T405" s="43">
        <f>HYPERLINK("https://projects.propublica.org/nonprofits/organizations/10211497/202421319349300017/full","view filing")</f>
        <v/>
      </c>
    </row>
    <row r="406">
      <c r="A406" t="inlineStr">
        <is>
          <t>President &amp; Trustees Of Colby College</t>
        </is>
      </c>
      <c r="B406" s="20" t="inlineStr">
        <is>
          <t>ME</t>
        </is>
      </c>
      <c r="C406" s="42" t="n">
        <v>1.16</v>
      </c>
      <c r="D406" t="inlineStr">
        <is>
          <t>Endowment</t>
        </is>
      </c>
      <c r="E406" s="20" t="n">
        <v>2022</v>
      </c>
      <c r="F406" s="20" t="inlineStr"/>
      <c r="G406" t="inlineStr">
        <is>
          <t>Shufrin Deborah</t>
        </is>
      </c>
      <c r="H406" t="inlineStr">
        <is>
          <t>Associate VP and Chief Investment Officer</t>
        </is>
      </c>
      <c r="I406" t="inlineStr">
        <is>
          <t>CIO</t>
        </is>
      </c>
      <c r="J406" s="21" t="n">
        <v>450000</v>
      </c>
      <c r="K406" s="21" t="n"/>
      <c r="L406" s="21" t="n">
        <v>450000</v>
      </c>
      <c r="M406" s="21" t="n"/>
      <c r="N406" s="21" t="n"/>
      <c r="O406" s="21" t="n">
        <v>8332</v>
      </c>
      <c r="P406" s="21" t="n">
        <v>458332</v>
      </c>
      <c r="Q406" s="21" t="n">
        <v>458332</v>
      </c>
      <c r="R406" s="21">
        <f>IF(Q406="","",Q406*(1+in_GrowthRate)^(YEARFRAC(DATE(2022,6,30),in_AgeToDate)*IF(in_AgeToDate&lt;DATE(2022,6,30),-1,1)+1))</f>
        <v/>
      </c>
      <c r="S406" s="38" t="n">
        <v>0</v>
      </c>
      <c r="T406" s="43">
        <f>HYPERLINK("https://projects.propublica.org/nonprofits/organizations/10211497/202301359349310385/full","view filing")</f>
        <v/>
      </c>
    </row>
    <row r="407">
      <c r="A407" t="inlineStr">
        <is>
          <t>President Board Of Trustees Santa Clara College</t>
        </is>
      </c>
      <c r="B407" s="20" t="inlineStr">
        <is>
          <t>CA</t>
        </is>
      </c>
      <c r="C407" s="42" t="n">
        <v>1.67</v>
      </c>
      <c r="D407" t="inlineStr">
        <is>
          <t>Endowment</t>
        </is>
      </c>
      <c r="E407" s="20" t="n">
        <v>2024</v>
      </c>
      <c r="F407" s="20" t="inlineStr"/>
      <c r="G407" t="inlineStr">
        <is>
          <t>John Kerrigan</t>
        </is>
      </c>
      <c r="H407" t="inlineStr">
        <is>
          <t>CHIEF INVESTMENT OFFICER</t>
        </is>
      </c>
      <c r="I407" t="inlineStr">
        <is>
          <t>CIO</t>
        </is>
      </c>
      <c r="J407" s="21" t="n">
        <v>555765</v>
      </c>
      <c r="K407" s="21" t="n">
        <v>217487</v>
      </c>
      <c r="L407" s="21" t="n">
        <v>773252</v>
      </c>
      <c r="M407" s="21" t="n">
        <v>8105</v>
      </c>
      <c r="N407" s="21" t="n">
        <v>25008</v>
      </c>
      <c r="O407" s="21" t="n">
        <v>29684</v>
      </c>
      <c r="P407" s="21" t="n">
        <v>836049</v>
      </c>
      <c r="Q407" s="21" t="n">
        <v>836049</v>
      </c>
      <c r="R407" s="21">
        <f>IF(Q407="","",Q407*(1+in_GrowthRate)^(YEARFRAC(DATE(2024,6,30),in_AgeToDate)*IF(in_AgeToDate&lt;DATE(2024,6,30),-1,1)+1))</f>
        <v/>
      </c>
      <c r="S407" s="38" t="n">
        <v>0.3913290689410092</v>
      </c>
      <c r="T407" s="43">
        <f>HYPERLINK("https://projects.propublica.org/nonprofits/organizations/941156617/202541349349310994/full","view filing")</f>
        <v/>
      </c>
    </row>
    <row r="408">
      <c r="A408" t="inlineStr">
        <is>
          <t>President Board Of Trustees Santa Clara College</t>
        </is>
      </c>
      <c r="B408" s="20" t="inlineStr">
        <is>
          <t>CA</t>
        </is>
      </c>
      <c r="C408" s="42" t="n">
        <v>1.67</v>
      </c>
      <c r="D408" t="inlineStr">
        <is>
          <t>Endowment</t>
        </is>
      </c>
      <c r="E408" s="20" t="n">
        <v>2023</v>
      </c>
      <c r="F408" s="20" t="inlineStr"/>
      <c r="G408" t="inlineStr">
        <is>
          <t>John Kerrigan</t>
        </is>
      </c>
      <c r="H408" t="inlineStr">
        <is>
          <t>CHIEF INVESTMENT OFFICER</t>
        </is>
      </c>
      <c r="I408" t="inlineStr">
        <is>
          <t>CIO</t>
        </is>
      </c>
      <c r="J408" s="21" t="n">
        <v>538399</v>
      </c>
      <c r="K408" s="21" t="n">
        <v>234733</v>
      </c>
      <c r="L408" s="21" t="n">
        <v>773132</v>
      </c>
      <c r="M408" s="21" t="n">
        <v>8105</v>
      </c>
      <c r="N408" s="21" t="n">
        <v>21750</v>
      </c>
      <c r="O408" s="21" t="n">
        <v>30681</v>
      </c>
      <c r="P408" s="21" t="n">
        <v>833668</v>
      </c>
      <c r="Q408" s="21" t="n">
        <v>833668</v>
      </c>
      <c r="R408" s="21">
        <f>IF(Q408="","",Q408*(1+in_GrowthRate)^(YEARFRAC(DATE(2023,6,30),in_AgeToDate)*IF(in_AgeToDate&lt;DATE(2023,6,30),-1,1)+1))</f>
        <v/>
      </c>
      <c r="S408" s="38" t="n">
        <v>0.4359833506377241</v>
      </c>
      <c r="T408" s="43">
        <f>HYPERLINK("https://projects.propublica.org/nonprofits/organizations/941156617/202401369349318455/full","view filing")</f>
        <v/>
      </c>
    </row>
    <row r="409">
      <c r="A409" t="inlineStr">
        <is>
          <t>President Board Of Trustees Santa Clara College</t>
        </is>
      </c>
      <c r="B409" s="20" t="inlineStr">
        <is>
          <t>CA</t>
        </is>
      </c>
      <c r="C409" s="42" t="n">
        <v>1.67</v>
      </c>
      <c r="D409" t="inlineStr">
        <is>
          <t>Endowment</t>
        </is>
      </c>
      <c r="E409" s="20" t="n">
        <v>2022</v>
      </c>
      <c r="F409" s="20" t="inlineStr"/>
      <c r="G409" t="inlineStr">
        <is>
          <t>John Kerrigan</t>
        </is>
      </c>
      <c r="H409" t="inlineStr">
        <is>
          <t>CHIEF INVESTMENT OFFICER</t>
        </is>
      </c>
      <c r="I409" t="inlineStr">
        <is>
          <t>CIO</t>
        </is>
      </c>
      <c r="J409" s="21" t="n">
        <v>518217</v>
      </c>
      <c r="K409" s="21" t="n">
        <v>181163</v>
      </c>
      <c r="L409" s="21" t="n">
        <v>699380</v>
      </c>
      <c r="M409" s="21" t="n">
        <v>8105</v>
      </c>
      <c r="N409" s="21" t="n">
        <v>14941</v>
      </c>
      <c r="O409" s="21" t="n">
        <v>29405</v>
      </c>
      <c r="P409" s="21" t="n">
        <v>751831</v>
      </c>
      <c r="Q409" s="21" t="n">
        <v>751831</v>
      </c>
      <c r="R409" s="21">
        <f>IF(Q409="","",Q409*(1+in_GrowthRate)^(YEARFRAC(DATE(2022,6,30),in_AgeToDate)*IF(in_AgeToDate&lt;DATE(2022,6,30),-1,1)+1))</f>
        <v/>
      </c>
      <c r="S409" s="38" t="n">
        <v>0.3495890717595139</v>
      </c>
      <c r="T409" s="43">
        <f>HYPERLINK("https://projects.propublica.org/nonprofits/organizations/941156617/202341359349320669/full","view filing")</f>
        <v/>
      </c>
    </row>
    <row r="410">
      <c r="A410" t="inlineStr">
        <is>
          <t>Princeton University</t>
        </is>
      </c>
      <c r="B410" s="20" t="inlineStr">
        <is>
          <t>NJ</t>
        </is>
      </c>
      <c r="C410" s="42" t="n">
        <v>36.42</v>
      </c>
      <c r="D410" t="inlineStr">
        <is>
          <t>Endowment</t>
        </is>
      </c>
      <c r="E410" s="20" t="n">
        <v>2025</v>
      </c>
      <c r="F410" s="20">
        <f>IF(AND(OR(in_Mode="All Funds",AND(C410&gt;=in_BandFloor,C410&lt;=in_BandCeiling,OR(in_Geography="National",COUNTIFS(lst_GeoPreset,in_Geography,lst_GeoState,B410)&gt;0,AND(in_Geography="Custom",ISNUMBER(SEARCH(B410,SUBSTITUTE(in_CustomStates," ",""))))),OR(AND(D410="Endowment",Inputs!$B$14="Y"),AND(D410="Foundation",Inputs!$B$15="Y"),AND(D410="Healthcare",Inputs!$B$16="Y"),AND(D410="Pension",Inputs!$B$17="Y"),AND(D410="OCIO",Inputs!$B$18="Y"),AND(D410="Other",Inputs!$B$19="Y")))),A410&lt;&gt;in_ClientOrg,NOT(AND(in_ExclHarvard="Y",ISNUMBER(SEARCH("Harvard",A410))))),"Y","")</f>
        <v/>
      </c>
      <c r="G410" t="inlineStr">
        <is>
          <t>Vincent Tuohey</t>
        </is>
      </c>
      <c r="H410" t="inlineStr">
        <is>
          <t>President of PRINCO</t>
        </is>
      </c>
      <c r="I410" t="inlineStr">
        <is>
          <t>CEO (Inv Entity)</t>
        </is>
      </c>
      <c r="J410" s="21" t="n">
        <v>860440</v>
      </c>
      <c r="K410" s="21" t="n">
        <v>876250</v>
      </c>
      <c r="L410" s="21" t="n">
        <v>1736690</v>
      </c>
      <c r="M410" s="21" t="n">
        <v>2026057</v>
      </c>
      <c r="N410" s="21" t="n">
        <v>918390</v>
      </c>
      <c r="O410" s="21" t="n">
        <v>41639</v>
      </c>
      <c r="P410" s="21" t="n">
        <v>4722776</v>
      </c>
      <c r="Q410" s="21" t="n">
        <v>4722776</v>
      </c>
      <c r="R410" s="21">
        <f>IF(Q410="","",Q410*(1+in_GrowthRate)^(YEARFRAC(DATE(2025,6,30),in_AgeToDate)*IF(in_AgeToDate&lt;DATE(2025,6,30),-1,1)+1))</f>
        <v/>
      </c>
      <c r="S410" s="38" t="n">
        <v>1.01837432011529</v>
      </c>
      <c r="T410" s="43">
        <f>HYPERLINK("https://projects.propublica.org/nonprofits/organizations/210634501/202611349349307136/full","view filing")</f>
        <v/>
      </c>
    </row>
    <row r="411">
      <c r="A411" t="inlineStr">
        <is>
          <t>Princeton University</t>
        </is>
      </c>
      <c r="B411" s="20" t="inlineStr">
        <is>
          <t>NJ</t>
        </is>
      </c>
      <c r="C411" s="42" t="n">
        <v>36.42</v>
      </c>
      <c r="D411" t="inlineStr">
        <is>
          <t>Endowment</t>
        </is>
      </c>
      <c r="E411" s="20" t="n">
        <v>2022</v>
      </c>
      <c r="F411" s="20" t="inlineStr"/>
      <c r="G411" t="inlineStr">
        <is>
          <t>Andrew Golden</t>
        </is>
      </c>
      <c r="H411" t="inlineStr">
        <is>
          <t>president of the Princeton University Investment Company</t>
        </is>
      </c>
      <c r="I411" t="inlineStr">
        <is>
          <t>CEO (Inv Entity)</t>
        </is>
      </c>
      <c r="J411" s="21" t="n">
        <v>1024618</v>
      </c>
      <c r="K411" s="21" t="n">
        <v>5254858</v>
      </c>
      <c r="L411" s="21" t="n">
        <v>6279476</v>
      </c>
      <c r="M411" s="21" t="n">
        <v>115314</v>
      </c>
      <c r="N411" s="21" t="n">
        <v>2799642</v>
      </c>
      <c r="O411" s="21" t="n">
        <v>34055</v>
      </c>
      <c r="P411" s="21" t="n">
        <v>9228487</v>
      </c>
      <c r="Q411" s="21" t="n">
        <v>3973629</v>
      </c>
      <c r="R411" s="21">
        <f>IF(Q411="","",Q411*(1+in_GrowthRate)^(YEARFRAC(DATE(2022,6,30),in_AgeToDate)*IF(in_AgeToDate&lt;DATE(2022,6,30),-1,1)+1))</f>
        <v/>
      </c>
      <c r="S411" s="38" t="n">
        <v>5.12860207413885</v>
      </c>
      <c r="T411" s="43">
        <f>HYPERLINK("https://projects.propublica.org/nonprofits/organizations/210634501/202341359349301724/full","view filing")</f>
        <v/>
      </c>
    </row>
    <row r="412">
      <c r="A412" t="inlineStr">
        <is>
          <t>Principia Corporation</t>
        </is>
      </c>
      <c r="B412" s="20" t="inlineStr">
        <is>
          <t>MO</t>
        </is>
      </c>
      <c r="C412" s="42" t="n">
        <v>0.96</v>
      </c>
      <c r="D412" t="inlineStr">
        <is>
          <t>Endowment</t>
        </is>
      </c>
      <c r="E412" s="20" t="n">
        <v>2025</v>
      </c>
      <c r="F412" s="20">
        <f>IF(AND(OR(in_Mode="All Funds",AND(C412&gt;=in_BandFloor,C412&lt;=in_BandCeiling,OR(in_Geography="National",COUNTIFS(lst_GeoPreset,in_Geography,lst_GeoState,B412)&gt;0,AND(in_Geography="Custom",ISNUMBER(SEARCH(B412,SUBSTITUTE(in_CustomStates," ",""))))),OR(AND(D412="Endowment",Inputs!$B$14="Y"),AND(D412="Foundation",Inputs!$B$15="Y"),AND(D412="Healthcare",Inputs!$B$16="Y"),AND(D412="Pension",Inputs!$B$17="Y"),AND(D412="OCIO",Inputs!$B$18="Y"),AND(D412="Other",Inputs!$B$19="Y")))),A412&lt;&gt;in_ClientOrg,NOT(AND(in_ExclHarvard="Y",ISNUMBER(SEARCH("Harvard",A412))))),"Y","")</f>
        <v/>
      </c>
      <c r="G412" t="inlineStr">
        <is>
          <t>Hans Fredrikson</t>
        </is>
      </c>
      <c r="H412" t="inlineStr">
        <is>
          <t>Chief Investment Officer</t>
        </is>
      </c>
      <c r="I412" t="inlineStr">
        <is>
          <t>CIO</t>
        </is>
      </c>
      <c r="J412" s="21" t="n">
        <v>296940</v>
      </c>
      <c r="K412" s="21" t="n"/>
      <c r="L412" s="21" t="n">
        <v>296940</v>
      </c>
      <c r="M412" s="21" t="n">
        <v>3216</v>
      </c>
      <c r="N412" s="21" t="n">
        <v>4500</v>
      </c>
      <c r="O412" s="21" t="n">
        <v>19047</v>
      </c>
      <c r="P412" s="21" t="n">
        <v>323703</v>
      </c>
      <c r="Q412" s="21" t="n">
        <v>323703</v>
      </c>
      <c r="R412" s="21">
        <f>IF(Q412="","",Q412*(1+in_GrowthRate)^(YEARFRAC(DATE(2025,6,30),in_AgeToDate)*IF(in_AgeToDate&lt;DATE(2025,6,30),-1,1)+1))</f>
        <v/>
      </c>
      <c r="S412" s="38" t="n">
        <v>0</v>
      </c>
      <c r="T412" s="43">
        <f>HYPERLINK("https://projects.propublica.org/nonprofits/organizations/430652667/202601249349301645/full","view filing")</f>
        <v/>
      </c>
    </row>
    <row r="413">
      <c r="A413" t="inlineStr">
        <is>
          <t>Principia Corporation</t>
        </is>
      </c>
      <c r="B413" s="20" t="inlineStr">
        <is>
          <t>MO</t>
        </is>
      </c>
      <c r="C413" s="42" t="n">
        <v>0.96</v>
      </c>
      <c r="D413" t="inlineStr">
        <is>
          <t>Endowment</t>
        </is>
      </c>
      <c r="E413" s="20" t="n">
        <v>2024</v>
      </c>
      <c r="F413" s="20" t="inlineStr"/>
      <c r="G413" t="inlineStr">
        <is>
          <t>Hans Fredrikson</t>
        </is>
      </c>
      <c r="H413" t="inlineStr">
        <is>
          <t>Chief Investment Officer (begin July 2023)</t>
        </is>
      </c>
      <c r="I413" t="inlineStr">
        <is>
          <t>CIO</t>
        </is>
      </c>
      <c r="J413" s="21" t="n">
        <v>146720</v>
      </c>
      <c r="K413" s="21" t="n"/>
      <c r="L413" s="21" t="n">
        <v>146720</v>
      </c>
      <c r="M413" s="21" t="n">
        <v>1498</v>
      </c>
      <c r="N413" s="21" t="n">
        <v>4500</v>
      </c>
      <c r="O413" s="21" t="n">
        <v>9560</v>
      </c>
      <c r="P413" s="21" t="n">
        <v>162278</v>
      </c>
      <c r="Q413" s="21" t="n">
        <v>162278</v>
      </c>
      <c r="R413" s="21">
        <f>IF(Q413="","",Q413*(1+in_GrowthRate)^(YEARFRAC(DATE(2024,6,30),in_AgeToDate)*IF(in_AgeToDate&lt;DATE(2024,6,30),-1,1)+1))</f>
        <v/>
      </c>
      <c r="S413" s="38" t="n">
        <v>0</v>
      </c>
      <c r="T413" s="43">
        <f>HYPERLINK("https://projects.propublica.org/nonprofits/organizations/430652667/202541269349300634/full","view filing")</f>
        <v/>
      </c>
    </row>
    <row r="414">
      <c r="A414" t="inlineStr">
        <is>
          <t>Principia Corporation</t>
        </is>
      </c>
      <c r="B414" s="20" t="inlineStr">
        <is>
          <t>MO</t>
        </is>
      </c>
      <c r="C414" s="42" t="n">
        <v>0.96</v>
      </c>
      <c r="D414" t="inlineStr">
        <is>
          <t>Endowment</t>
        </is>
      </c>
      <c r="E414" s="20" t="n">
        <v>2023</v>
      </c>
      <c r="F414" s="20" t="inlineStr"/>
      <c r="G414" t="inlineStr">
        <is>
          <t>Howard E Berner Jr</t>
        </is>
      </c>
      <c r="H414" t="inlineStr">
        <is>
          <t>Chief Investment Officer</t>
        </is>
      </c>
      <c r="I414" t="inlineStr">
        <is>
          <t>CIO</t>
        </is>
      </c>
      <c r="J414" s="21" t="n">
        <v>290111</v>
      </c>
      <c r="K414" s="21" t="n"/>
      <c r="L414" s="21" t="n">
        <v>290111</v>
      </c>
      <c r="M414" s="21" t="n">
        <v>6935</v>
      </c>
      <c r="N414" s="21" t="n">
        <v>7302</v>
      </c>
      <c r="O414" s="21" t="n">
        <v>11344</v>
      </c>
      <c r="P414" s="21" t="n">
        <v>315692</v>
      </c>
      <c r="Q414" s="21" t="n">
        <v>315692</v>
      </c>
      <c r="R414" s="21">
        <f>IF(Q414="","",Q414*(1+in_GrowthRate)^(YEARFRAC(DATE(2023,6,30),in_AgeToDate)*IF(in_AgeToDate&lt;DATE(2023,6,30),-1,1)+1))</f>
        <v/>
      </c>
      <c r="S414" s="38" t="n">
        <v>0</v>
      </c>
      <c r="T414" s="43">
        <f>HYPERLINK("https://projects.propublica.org/nonprofits/organizations/430652667/202431249349302143/full","view filing")</f>
        <v/>
      </c>
    </row>
    <row r="415">
      <c r="A415" t="inlineStr">
        <is>
          <t>Principia Corporation</t>
        </is>
      </c>
      <c r="B415" s="20" t="inlineStr">
        <is>
          <t>MO</t>
        </is>
      </c>
      <c r="C415" s="42" t="n">
        <v>0.96</v>
      </c>
      <c r="D415" t="inlineStr">
        <is>
          <t>Endowment</t>
        </is>
      </c>
      <c r="E415" s="20" t="n">
        <v>2022</v>
      </c>
      <c r="F415" s="20" t="inlineStr"/>
      <c r="G415" t="inlineStr">
        <is>
          <t>Howard E Berner Jr</t>
        </is>
      </c>
      <c r="H415" t="inlineStr">
        <is>
          <t>Chief Investment Officer</t>
        </is>
      </c>
      <c r="I415" t="inlineStr">
        <is>
          <t>CIO</t>
        </is>
      </c>
      <c r="J415" s="21" t="n">
        <v>283015</v>
      </c>
      <c r="K415" s="21" t="n"/>
      <c r="L415" s="21" t="n">
        <v>283015</v>
      </c>
      <c r="M415" s="21" t="n">
        <v>2243</v>
      </c>
      <c r="N415" s="21" t="n">
        <v>7160</v>
      </c>
      <c r="O415" s="21" t="n">
        <v>10358</v>
      </c>
      <c r="P415" s="21" t="n">
        <v>302776</v>
      </c>
      <c r="Q415" s="21" t="n">
        <v>302776</v>
      </c>
      <c r="R415" s="21">
        <f>IF(Q415="","",Q415*(1+in_GrowthRate)^(YEARFRAC(DATE(2022,6,30),in_AgeToDate)*IF(in_AgeToDate&lt;DATE(2022,6,30),-1,1)+1))</f>
        <v/>
      </c>
      <c r="S415" s="38" t="n">
        <v>0</v>
      </c>
      <c r="T415" s="43">
        <f>HYPERLINK("https://projects.propublica.org/nonprofits/organizations/430652667/202321049349301517/full","view filing")</f>
        <v/>
      </c>
    </row>
    <row r="416">
      <c r="A416" t="inlineStr">
        <is>
          <t>Purdue Research Foundation</t>
        </is>
      </c>
      <c r="B416" s="20" t="inlineStr">
        <is>
          <t>IN</t>
        </is>
      </c>
      <c r="C416" s="42" t="n">
        <v>4.67</v>
      </c>
      <c r="D416" t="inlineStr">
        <is>
          <t>Foundation</t>
        </is>
      </c>
      <c r="E416" s="20" t="n">
        <v>2025</v>
      </c>
      <c r="F416" s="20">
        <f>IF(AND(OR(in_Mode="All Funds",AND(C416&gt;=in_BandFloor,C416&lt;=in_BandCeiling,OR(in_Geography="National",COUNTIFS(lst_GeoPreset,in_Geography,lst_GeoState,B416)&gt;0,AND(in_Geography="Custom",ISNUMBER(SEARCH(B416,SUBSTITUTE(in_CustomStates," ",""))))),OR(AND(D416="Endowment",Inputs!$B$14="Y"),AND(D416="Foundation",Inputs!$B$15="Y"),AND(D416="Healthcare",Inputs!$B$16="Y"),AND(D416="Pension",Inputs!$B$17="Y"),AND(D416="OCIO",Inputs!$B$18="Y"),AND(D416="Other",Inputs!$B$19="Y")))),A416&lt;&gt;in_ClientOrg,NOT(AND(in_ExclHarvard="Y",ISNUMBER(SEARCH("Harvard",A416))))),"Y","")</f>
        <v/>
      </c>
      <c r="G416" t="inlineStr">
        <is>
          <t>David Cooper</t>
        </is>
      </c>
      <c r="H416" t="inlineStr">
        <is>
          <t>Chief Investment Officer</t>
        </is>
      </c>
      <c r="I416" t="inlineStr">
        <is>
          <t>CIO</t>
        </is>
      </c>
      <c r="J416" s="21" t="n">
        <v>376543</v>
      </c>
      <c r="K416" s="21" t="n">
        <v>182219</v>
      </c>
      <c r="L416" s="21" t="n">
        <v>558762</v>
      </c>
      <c r="M416" s="21" t="n">
        <v>1377</v>
      </c>
      <c r="N416" s="21" t="n">
        <v>34500</v>
      </c>
      <c r="O416" s="21" t="n">
        <v>15161</v>
      </c>
      <c r="P416" s="21" t="n">
        <v>609800</v>
      </c>
      <c r="Q416" s="21" t="n">
        <v>609800</v>
      </c>
      <c r="R416" s="21">
        <f>IF(Q416="","",Q416*(1+in_GrowthRate)^(YEARFRAC(DATE(2025,6,30),in_AgeToDate)*IF(in_AgeToDate&lt;DATE(2025,6,30),-1,1)+1))</f>
        <v/>
      </c>
      <c r="S416" s="38" t="n">
        <v>0.4839261385817822</v>
      </c>
      <c r="T416" s="43">
        <f>HYPERLINK("https://projects.propublica.org/nonprofits/organizations/351052049/202641209349300529/full","view filing")</f>
        <v/>
      </c>
    </row>
    <row r="417">
      <c r="A417" t="inlineStr">
        <is>
          <t>Purdue Research Foundation</t>
        </is>
      </c>
      <c r="B417" s="20" t="inlineStr">
        <is>
          <t>IN</t>
        </is>
      </c>
      <c r="C417" s="42" t="n">
        <v>4.67</v>
      </c>
      <c r="D417" t="inlineStr">
        <is>
          <t>Foundation</t>
        </is>
      </c>
      <c r="E417" s="20" t="n">
        <v>2024</v>
      </c>
      <c r="F417" s="20" t="inlineStr"/>
      <c r="G417" t="inlineStr">
        <is>
          <t>David Cooper</t>
        </is>
      </c>
      <c r="H417" t="inlineStr">
        <is>
          <t>Chief Investment Officer</t>
        </is>
      </c>
      <c r="I417" t="inlineStr">
        <is>
          <t>CIO</t>
        </is>
      </c>
      <c r="J417" s="21" t="n">
        <v>347488</v>
      </c>
      <c r="K417" s="21" t="n">
        <v>128975</v>
      </c>
      <c r="L417" s="21" t="n">
        <v>476463</v>
      </c>
      <c r="M417" s="21" t="n">
        <v>1242</v>
      </c>
      <c r="N417" s="21" t="n">
        <v>33000</v>
      </c>
      <c r="O417" s="21" t="n">
        <v>13413</v>
      </c>
      <c r="P417" s="21" t="n">
        <v>524118</v>
      </c>
      <c r="Q417" s="21" t="n">
        <v>524118</v>
      </c>
      <c r="R417" s="21">
        <f>IF(Q417="","",Q417*(1+in_GrowthRate)^(YEARFRAC(DATE(2024,6,30),in_AgeToDate)*IF(in_AgeToDate&lt;DATE(2024,6,30),-1,1)+1))</f>
        <v/>
      </c>
      <c r="S417" s="38" t="n">
        <v>0.3711638963072106</v>
      </c>
      <c r="T417" s="43">
        <f>HYPERLINK("https://projects.propublica.org/nonprofits/organizations/351052049/202541329349304169/full","view filing")</f>
        <v/>
      </c>
    </row>
    <row r="418">
      <c r="A418" t="inlineStr">
        <is>
          <t>Purdue Research Foundation</t>
        </is>
      </c>
      <c r="B418" s="20" t="inlineStr">
        <is>
          <t>IN</t>
        </is>
      </c>
      <c r="C418" s="42" t="n">
        <v>4.67</v>
      </c>
      <c r="D418" t="inlineStr">
        <is>
          <t>Foundation</t>
        </is>
      </c>
      <c r="E418" s="20" t="n">
        <v>2023</v>
      </c>
      <c r="F418" s="20" t="inlineStr"/>
      <c r="G418" t="inlineStr">
        <is>
          <t>David Cooper</t>
        </is>
      </c>
      <c r="H418" t="inlineStr">
        <is>
          <t>Chief Investment Officer</t>
        </is>
      </c>
      <c r="I418" t="inlineStr">
        <is>
          <t>CIO</t>
        </is>
      </c>
      <c r="J418" s="21" t="n">
        <v>347488</v>
      </c>
      <c r="K418" s="21" t="n">
        <v>180713</v>
      </c>
      <c r="L418" s="21" t="n">
        <v>528201</v>
      </c>
      <c r="M418" s="21" t="n">
        <v>810</v>
      </c>
      <c r="N418" s="21" t="n">
        <v>30500</v>
      </c>
      <c r="O418" s="21" t="n">
        <v>15105</v>
      </c>
      <c r="P418" s="21" t="n">
        <v>574616</v>
      </c>
      <c r="Q418" s="21" t="n">
        <v>574616</v>
      </c>
      <c r="R418" s="21">
        <f>IF(Q418="","",Q418*(1+in_GrowthRate)^(YEARFRAC(DATE(2023,6,30),in_AgeToDate)*IF(in_AgeToDate&lt;DATE(2023,6,30),-1,1)+1))</f>
        <v/>
      </c>
      <c r="S418" s="38" t="n">
        <v>0.5200553688184916</v>
      </c>
      <c r="T418" s="43">
        <f>HYPERLINK("https://projects.propublica.org/nonprofits/organizations/351052049/202401239349301830/full","view filing")</f>
        <v/>
      </c>
    </row>
    <row r="419">
      <c r="A419" t="inlineStr">
        <is>
          <t>Purdue Research Foundation</t>
        </is>
      </c>
      <c r="B419" s="20" t="inlineStr">
        <is>
          <t>IN</t>
        </is>
      </c>
      <c r="C419" s="42" t="n">
        <v>4.67</v>
      </c>
      <c r="D419" t="inlineStr">
        <is>
          <t>Foundation</t>
        </is>
      </c>
      <c r="E419" s="20" t="n">
        <v>2022</v>
      </c>
      <c r="F419" s="20" t="inlineStr"/>
      <c r="G419" t="inlineStr">
        <is>
          <t>David Cooper</t>
        </is>
      </c>
      <c r="H419" t="inlineStr">
        <is>
          <t>Chief Investment Officer</t>
        </is>
      </c>
      <c r="I419" t="inlineStr">
        <is>
          <t>CIO</t>
        </is>
      </c>
      <c r="J419" s="21" t="n">
        <v>346817</v>
      </c>
      <c r="K419" s="21" t="n">
        <v>58625</v>
      </c>
      <c r="L419" s="21" t="n">
        <v>405442</v>
      </c>
      <c r="M419" s="21" t="n">
        <v>810</v>
      </c>
      <c r="N419" s="21" t="n">
        <v>29000</v>
      </c>
      <c r="O419" s="21" t="n">
        <v>15979</v>
      </c>
      <c r="P419" s="21" t="n">
        <v>451231</v>
      </c>
      <c r="Q419" s="21" t="n">
        <v>451231</v>
      </c>
      <c r="R419" s="21">
        <f>IF(Q419="","",Q419*(1+in_GrowthRate)^(YEARFRAC(DATE(2022,6,30),in_AgeToDate)*IF(in_AgeToDate&lt;DATE(2022,6,30),-1,1)+1))</f>
        <v/>
      </c>
      <c r="S419" s="38" t="n">
        <v>0.1690372732593846</v>
      </c>
      <c r="T419" s="43">
        <f>HYPERLINK("https://projects.propublica.org/nonprofits/organizations/351052049/202341319349305369/full","view filing")</f>
        <v/>
      </c>
    </row>
    <row r="420">
      <c r="A420" t="inlineStr">
        <is>
          <t>Rainwater Charitable Foundation</t>
        </is>
      </c>
      <c r="B420" s="20" t="inlineStr">
        <is>
          <t>TX</t>
        </is>
      </c>
      <c r="C420" s="42" t="n">
        <v>1.03</v>
      </c>
      <c r="D420" t="inlineStr">
        <is>
          <t>Foundation</t>
        </is>
      </c>
      <c r="E420" s="20" t="n">
        <v>2024</v>
      </c>
      <c r="F420" s="20">
        <f>IF(AND(OR(in_Mode="All Funds",AND(C420&gt;=in_BandFloor,C420&lt;=in_BandCeiling,OR(in_Geography="National",COUNTIFS(lst_GeoPreset,in_Geography,lst_GeoState,B420)&gt;0,AND(in_Geography="Custom",ISNUMBER(SEARCH(B420,SUBSTITUTE(in_CustomStates," ",""))))),OR(AND(D420="Endowment",Inputs!$B$14="Y"),AND(D420="Foundation",Inputs!$B$15="Y"),AND(D420="Healthcare",Inputs!$B$16="Y"),AND(D420="Pension",Inputs!$B$17="Y"),AND(D420="OCIO",Inputs!$B$18="Y"),AND(D420="Other",Inputs!$B$19="Y")))),A420&lt;&gt;in_ClientOrg,NOT(AND(in_ExclHarvard="Y",ISNUMBER(SEARCH("Harvard",A420))))),"Y","")</f>
        <v/>
      </c>
      <c r="G420" t="inlineStr">
        <is>
          <t>Aaron Bigbee</t>
        </is>
      </c>
      <c r="H420" t="inlineStr">
        <is>
          <t>CIO AND INVESTMENT MANAGER</t>
        </is>
      </c>
      <c r="I420" t="inlineStr">
        <is>
          <t>CIO</t>
        </is>
      </c>
      <c r="J420" s="21" t="n"/>
      <c r="K420" s="21" t="n"/>
      <c r="L420" s="21" t="n"/>
      <c r="M420" s="21" t="n"/>
      <c r="N420" s="21" t="n"/>
      <c r="O420" s="21" t="n">
        <v>233609</v>
      </c>
      <c r="P420" s="21" t="n">
        <v>890225</v>
      </c>
      <c r="Q420" s="21" t="n">
        <v>890225</v>
      </c>
      <c r="R420" s="21">
        <f>IF(Q420="","",Q420*(1+in_GrowthRate)^(YEARFRAC(DATE(2024,12,31),in_AgeToDate)*IF(in_AgeToDate&lt;DATE(2024,12,31),-1,1)+1))</f>
        <v/>
      </c>
      <c r="S420" s="38" t="n"/>
      <c r="T420" s="43">
        <f>HYPERLINK("https://projects.propublica.org/nonprofits/organizations/800870036/202513179349102861/full","view filing")</f>
        <v/>
      </c>
    </row>
    <row r="421">
      <c r="A421" t="inlineStr">
        <is>
          <t>Rainwater Charitable Foundation</t>
        </is>
      </c>
      <c r="B421" s="20" t="inlineStr">
        <is>
          <t>TX</t>
        </is>
      </c>
      <c r="C421" s="42" t="n">
        <v>1.03</v>
      </c>
      <c r="D421" t="inlineStr">
        <is>
          <t>Foundation</t>
        </is>
      </c>
      <c r="E421" s="20" t="n">
        <v>2023</v>
      </c>
      <c r="F421" s="20" t="inlineStr"/>
      <c r="G421" t="inlineStr">
        <is>
          <t>Aaron Bigbee</t>
        </is>
      </c>
      <c r="H421" t="inlineStr">
        <is>
          <t>CIO AND INVESTMENT MANAGER</t>
        </is>
      </c>
      <c r="I421" t="inlineStr">
        <is>
          <t>CIO</t>
        </is>
      </c>
      <c r="J421" s="21" t="n"/>
      <c r="K421" s="21" t="n"/>
      <c r="L421" s="21" t="n"/>
      <c r="M421" s="21" t="n"/>
      <c r="N421" s="21" t="n"/>
      <c r="O421" s="21" t="n">
        <v>264052</v>
      </c>
      <c r="P421" s="21" t="n">
        <v>854772</v>
      </c>
      <c r="Q421" s="21" t="n">
        <v>854772</v>
      </c>
      <c r="R421" s="21">
        <f>IF(Q421="","",Q421*(1+in_GrowthRate)^(YEARFRAC(DATE(2023,12,31),in_AgeToDate)*IF(in_AgeToDate&lt;DATE(2023,12,31),-1,1)+1))</f>
        <v/>
      </c>
      <c r="S421" s="38" t="n"/>
      <c r="T421" s="43">
        <f>HYPERLINK("https://projects.propublica.org/nonprofits/organizations/800870036/202413199349103606/full","view filing")</f>
        <v/>
      </c>
    </row>
    <row r="422">
      <c r="A422" t="inlineStr">
        <is>
          <t>Rainwater Charitable Foundation</t>
        </is>
      </c>
      <c r="B422" s="20" t="inlineStr">
        <is>
          <t>TX</t>
        </is>
      </c>
      <c r="C422" s="42" t="n">
        <v>1.03</v>
      </c>
      <c r="D422" t="inlineStr">
        <is>
          <t>Foundation</t>
        </is>
      </c>
      <c r="E422" s="20" t="n">
        <v>2022</v>
      </c>
      <c r="F422" s="20" t="inlineStr"/>
      <c r="G422" t="inlineStr">
        <is>
          <t>Randolph Kim</t>
        </is>
      </c>
      <c r="H422" t="inlineStr">
        <is>
          <t>CIO AND INVESTMENT MANAGER</t>
        </is>
      </c>
      <c r="I422" t="inlineStr">
        <is>
          <t>CIO</t>
        </is>
      </c>
      <c r="J422" s="21" t="n"/>
      <c r="K422" s="21" t="n"/>
      <c r="L422" s="21" t="n"/>
      <c r="M422" s="21" t="n"/>
      <c r="N422" s="21" t="n"/>
      <c r="O422" s="21" t="n">
        <v>147436</v>
      </c>
      <c r="P422" s="21" t="n">
        <v>1063725</v>
      </c>
      <c r="Q422" s="21" t="n">
        <v>1063725</v>
      </c>
      <c r="R422" s="21">
        <f>IF(Q422="","",Q422*(1+in_GrowthRate)^(YEARFRAC(DATE(2022,12,31),in_AgeToDate)*IF(in_AgeToDate&lt;DATE(2022,12,31),-1,1)+1))</f>
        <v/>
      </c>
      <c r="S422" s="38" t="n"/>
      <c r="T422" s="43">
        <f>HYPERLINK("https://projects.propublica.org/nonprofits/organizations/800870036/202313199349105406/full","view filing")</f>
        <v/>
      </c>
    </row>
    <row r="423">
      <c r="A423" t="inlineStr">
        <is>
          <t>Reed Institute</t>
        </is>
      </c>
      <c r="B423" s="20" t="inlineStr">
        <is>
          <t>OR</t>
        </is>
      </c>
      <c r="C423" s="42" t="n">
        <v>0.88</v>
      </c>
      <c r="D423" t="inlineStr">
        <is>
          <t>Endowment</t>
        </is>
      </c>
      <c r="E423" s="20" t="n">
        <v>2025</v>
      </c>
      <c r="F423" s="20">
        <f>IF(AND(OR(in_Mode="All Funds",AND(C423&gt;=in_BandFloor,C423&lt;=in_BandCeiling,OR(in_Geography="National",COUNTIFS(lst_GeoPreset,in_Geography,lst_GeoState,B423)&gt;0,AND(in_Geography="Custom",ISNUMBER(SEARCH(B423,SUBSTITUTE(in_CustomStates," ",""))))),OR(AND(D423="Endowment",Inputs!$B$14="Y"),AND(D423="Foundation",Inputs!$B$15="Y"),AND(D423="Healthcare",Inputs!$B$16="Y"),AND(D423="Pension",Inputs!$B$17="Y"),AND(D423="OCIO",Inputs!$B$18="Y"),AND(D423="Other",Inputs!$B$19="Y")))),A423&lt;&gt;in_ClientOrg,NOT(AND(in_ExclHarvard="Y",ISNUMBER(SEARCH("Harvard",A423))))),"Y","")</f>
        <v/>
      </c>
      <c r="G423" t="inlineStr">
        <is>
          <t>Erik Bernhardt</t>
        </is>
      </c>
      <c r="H423" t="inlineStr">
        <is>
          <t>Chief Investment Officer</t>
        </is>
      </c>
      <c r="I423" t="inlineStr">
        <is>
          <t>CIO</t>
        </is>
      </c>
      <c r="J423" s="21" t="n">
        <v>380004</v>
      </c>
      <c r="K423" s="21" t="n">
        <v>89823</v>
      </c>
      <c r="L423" s="21" t="n">
        <v>469827</v>
      </c>
      <c r="M423" s="21" t="n">
        <v>900</v>
      </c>
      <c r="N423" s="21" t="n">
        <v>34500</v>
      </c>
      <c r="O423" s="21" t="n">
        <v>25039</v>
      </c>
      <c r="P423" s="21" t="n">
        <v>530266</v>
      </c>
      <c r="Q423" s="21" t="n">
        <v>530266</v>
      </c>
      <c r="R423" s="21">
        <f>IF(Q423="","",Q423*(1+in_GrowthRate)^(YEARFRAC(DATE(2025,6,30),in_AgeToDate)*IF(in_AgeToDate&lt;DATE(2025,6,30),-1,1)+1))</f>
        <v/>
      </c>
      <c r="S423" s="38" t="n">
        <v>0.2363738276439195</v>
      </c>
      <c r="T423" s="43">
        <f>HYPERLINK("https://projects.propublica.org/nonprofits/organizations/930386908/202631319349304193/full","view filing")</f>
        <v/>
      </c>
    </row>
    <row r="424">
      <c r="A424" t="inlineStr">
        <is>
          <t>Reed Institute</t>
        </is>
      </c>
      <c r="B424" s="20" t="inlineStr">
        <is>
          <t>OR</t>
        </is>
      </c>
      <c r="C424" s="42" t="n">
        <v>0.88</v>
      </c>
      <c r="D424" t="inlineStr">
        <is>
          <t>Endowment</t>
        </is>
      </c>
      <c r="E424" s="20" t="n">
        <v>2024</v>
      </c>
      <c r="F424" s="20" t="inlineStr"/>
      <c r="G424" t="inlineStr">
        <is>
          <t>Erik Bernhardt</t>
        </is>
      </c>
      <c r="H424" t="inlineStr">
        <is>
          <t>Chief Investment Officer</t>
        </is>
      </c>
      <c r="I424" t="inlineStr">
        <is>
          <t>CIO</t>
        </is>
      </c>
      <c r="J424" s="21" t="n">
        <v>369009</v>
      </c>
      <c r="K424" s="21" t="n">
        <v>61176</v>
      </c>
      <c r="L424" s="21" t="n">
        <v>430185</v>
      </c>
      <c r="M424" s="21" t="n">
        <v>863</v>
      </c>
      <c r="N424" s="21" t="n">
        <v>33000</v>
      </c>
      <c r="O424" s="21" t="n">
        <v>23936</v>
      </c>
      <c r="P424" s="21" t="n">
        <v>487984</v>
      </c>
      <c r="Q424" s="21" t="n">
        <v>487984</v>
      </c>
      <c r="R424" s="21">
        <f>IF(Q424="","",Q424*(1+in_GrowthRate)^(YEARFRAC(DATE(2024,6,30),in_AgeToDate)*IF(in_AgeToDate&lt;DATE(2024,6,30),-1,1)+1))</f>
        <v/>
      </c>
      <c r="S424" s="38" t="n">
        <v>0.165784574359975</v>
      </c>
      <c r="T424" s="43">
        <f>HYPERLINK("https://projects.propublica.org/nonprofits/organizations/930386908/202531279349301508/full","view filing")</f>
        <v/>
      </c>
    </row>
    <row r="425">
      <c r="A425" t="inlineStr">
        <is>
          <t>Reed Institute</t>
        </is>
      </c>
      <c r="B425" s="20" t="inlineStr">
        <is>
          <t>OR</t>
        </is>
      </c>
      <c r="C425" s="42" t="n">
        <v>0.88</v>
      </c>
      <c r="D425" t="inlineStr">
        <is>
          <t>Endowment</t>
        </is>
      </c>
      <c r="E425" s="20" t="n">
        <v>2023</v>
      </c>
      <c r="F425" s="20" t="inlineStr"/>
      <c r="G425" t="inlineStr">
        <is>
          <t>Erik Bernhardt</t>
        </is>
      </c>
      <c r="H425" t="inlineStr">
        <is>
          <t>Chief Investment Officer</t>
        </is>
      </c>
      <c r="I425" t="inlineStr">
        <is>
          <t>CIO</t>
        </is>
      </c>
      <c r="J425" s="21" t="n">
        <v>348600</v>
      </c>
      <c r="K425" s="21" t="n">
        <v>41093</v>
      </c>
      <c r="L425" s="21" t="n">
        <v>389693</v>
      </c>
      <c r="M425" s="21" t="n">
        <v>900</v>
      </c>
      <c r="N425" s="21" t="n">
        <v>30500</v>
      </c>
      <c r="O425" s="21" t="n">
        <v>22844</v>
      </c>
      <c r="P425" s="21" t="n">
        <v>443937</v>
      </c>
      <c r="Q425" s="21" t="n">
        <v>443937</v>
      </c>
      <c r="R425" s="21">
        <f>IF(Q425="","",Q425*(1+in_GrowthRate)^(YEARFRAC(DATE(2023,6,30),in_AgeToDate)*IF(in_AgeToDate&lt;DATE(2023,6,30),-1,1)+1))</f>
        <v/>
      </c>
      <c r="S425" s="38" t="n">
        <v>0.1178800917957544</v>
      </c>
      <c r="T425" s="43">
        <f>HYPERLINK("https://projects.propublica.org/nonprofits/organizations/930386908/202401279349302600/full","view filing")</f>
        <v/>
      </c>
    </row>
    <row r="426">
      <c r="A426" t="inlineStr">
        <is>
          <t>Reed Institute</t>
        </is>
      </c>
      <c r="B426" s="20" t="inlineStr">
        <is>
          <t>OR</t>
        </is>
      </c>
      <c r="C426" s="42" t="n">
        <v>0.88</v>
      </c>
      <c r="D426" t="inlineStr">
        <is>
          <t>Endowment</t>
        </is>
      </c>
      <c r="E426" s="20" t="n">
        <v>2022</v>
      </c>
      <c r="F426" s="20" t="inlineStr"/>
      <c r="G426" t="inlineStr">
        <is>
          <t>Erik Bernhardt</t>
        </is>
      </c>
      <c r="H426" t="inlineStr">
        <is>
          <t>Chief Investment Officer</t>
        </is>
      </c>
      <c r="I426" t="inlineStr">
        <is>
          <t>CIO</t>
        </is>
      </c>
      <c r="J426" s="21" t="n">
        <v>333594</v>
      </c>
      <c r="K426" s="21" t="n"/>
      <c r="L426" s="21" t="n">
        <v>333594</v>
      </c>
      <c r="M426" s="21" t="n"/>
      <c r="N426" s="21" t="n">
        <v>29000</v>
      </c>
      <c r="O426" s="21" t="n">
        <v>22375</v>
      </c>
      <c r="P426" s="21" t="n">
        <v>384969</v>
      </c>
      <c r="Q426" s="21" t="n">
        <v>384969</v>
      </c>
      <c r="R426" s="21">
        <f>IF(Q426="","",Q426*(1+in_GrowthRate)^(YEARFRAC(DATE(2022,6,30),in_AgeToDate)*IF(in_AgeToDate&lt;DATE(2022,6,30),-1,1)+1))</f>
        <v/>
      </c>
      <c r="S426" s="38" t="n">
        <v>0</v>
      </c>
      <c r="T426" s="43">
        <f>HYPERLINK("https://projects.propublica.org/nonprofits/organizations/930386908/202321299349304247/full","view filing")</f>
        <v/>
      </c>
    </row>
    <row r="427">
      <c r="A427" t="inlineStr">
        <is>
          <t>Rf Catalytic Capital Inc</t>
        </is>
      </c>
      <c r="B427" s="20" t="inlineStr">
        <is>
          <t>NY</t>
        </is>
      </c>
      <c r="C427" s="42" t="n">
        <v>0.18</v>
      </c>
      <c r="D427" t="inlineStr">
        <is>
          <t>Foundation</t>
        </is>
      </c>
      <c r="E427" s="20" t="n">
        <v>2024</v>
      </c>
      <c r="F427" s="20">
        <f>IF(AND(OR(in_Mode="All Funds",AND(C427&gt;=in_BandFloor,C427&lt;=in_BandCeiling,OR(in_Geography="National",COUNTIFS(lst_GeoPreset,in_Geography,lst_GeoState,B427)&gt;0,AND(in_Geography="Custom",ISNUMBER(SEARCH(B427,SUBSTITUTE(in_CustomStates," ",""))))),OR(AND(D427="Endowment",Inputs!$B$14="Y"),AND(D427="Foundation",Inputs!$B$15="Y"),AND(D427="Healthcare",Inputs!$B$16="Y"),AND(D427="Pension",Inputs!$B$17="Y"),AND(D427="OCIO",Inputs!$B$18="Y"),AND(D427="Other",Inputs!$B$19="Y")))),A427&lt;&gt;in_ClientOrg,NOT(AND(in_ExclHarvard="Y",ISNUMBER(SEARCH("Harvard",A427))))),"Y","")</f>
        <v/>
      </c>
      <c r="G427" t="inlineStr">
        <is>
          <t>Stefana Fairholme</t>
        </is>
      </c>
      <c r="H427" t="inlineStr">
        <is>
          <t>CHIEF INVESTMENT OFFICER OF GEAPP</t>
        </is>
      </c>
      <c r="I427" t="inlineStr">
        <is>
          <t>CIO</t>
        </is>
      </c>
      <c r="J427" s="21" t="n">
        <v>410799</v>
      </c>
      <c r="K427" s="21" t="n"/>
      <c r="L427" s="21" t="n">
        <v>410799</v>
      </c>
      <c r="M427" s="21" t="n">
        <v>978</v>
      </c>
      <c r="N427" s="21" t="n">
        <v>41080</v>
      </c>
      <c r="O427" s="21" t="n"/>
      <c r="P427" s="21" t="n">
        <v>452857</v>
      </c>
      <c r="Q427" s="21" t="n">
        <v>452857</v>
      </c>
      <c r="R427" s="21">
        <f>IF(Q427="","",Q427*(1+in_GrowthRate)^(YEARFRAC(DATE(2024,12,31),in_AgeToDate)*IF(in_AgeToDate&lt;DATE(2024,12,31),-1,1)+1))</f>
        <v/>
      </c>
      <c r="S427" s="38" t="n">
        <v>0</v>
      </c>
      <c r="T427" s="43">
        <f>HYPERLINK("https://projects.propublica.org/nonprofits/organizations/852150251/202513119349303756/full","view filing")</f>
        <v/>
      </c>
    </row>
    <row r="428">
      <c r="A428" t="inlineStr">
        <is>
          <t>Rf Catalytic Capital Inc</t>
        </is>
      </c>
      <c r="B428" s="20" t="inlineStr">
        <is>
          <t>NY</t>
        </is>
      </c>
      <c r="C428" s="42" t="n">
        <v>0.18</v>
      </c>
      <c r="D428" t="inlineStr">
        <is>
          <t>Foundation</t>
        </is>
      </c>
      <c r="E428" s="20" t="n">
        <v>2023</v>
      </c>
      <c r="F428" s="20" t="inlineStr"/>
      <c r="G428" t="inlineStr">
        <is>
          <t>Stefana Fairholme</t>
        </is>
      </c>
      <c r="H428" t="inlineStr">
        <is>
          <t>CHIEF INVESTMENT OFFICER OF GEAPP</t>
        </is>
      </c>
      <c r="I428" t="inlineStr">
        <is>
          <t>CIO</t>
        </is>
      </c>
      <c r="J428" s="21" t="n">
        <v>360353</v>
      </c>
      <c r="K428" s="21" t="n"/>
      <c r="L428" s="21" t="n">
        <v>360353</v>
      </c>
      <c r="M428" s="21" t="n">
        <v>1028</v>
      </c>
      <c r="N428" s="21" t="n">
        <v>64864</v>
      </c>
      <c r="O428" s="21" t="n"/>
      <c r="P428" s="21" t="n">
        <v>426245</v>
      </c>
      <c r="Q428" s="21" t="n">
        <v>426245</v>
      </c>
      <c r="R428" s="21">
        <f>IF(Q428="","",Q428*(1+in_GrowthRate)^(YEARFRAC(DATE(2023,12,31),in_AgeToDate)*IF(in_AgeToDate&lt;DATE(2023,12,31),-1,1)+1))</f>
        <v/>
      </c>
      <c r="S428" s="38" t="n">
        <v>0</v>
      </c>
      <c r="T428" s="43">
        <f>HYPERLINK("https://projects.propublica.org/nonprofits/organizations/852150251/202413139349303401/full","view filing")</f>
        <v/>
      </c>
    </row>
    <row r="429">
      <c r="A429" t="inlineStr">
        <is>
          <t>Robert Wood Johnson Foundation</t>
        </is>
      </c>
      <c r="B429" s="20" t="inlineStr">
        <is>
          <t>NJ</t>
        </is>
      </c>
      <c r="C429" s="42" t="n">
        <v>12.61</v>
      </c>
      <c r="D429" t="inlineStr">
        <is>
          <t>Foundation</t>
        </is>
      </c>
      <c r="E429" s="20" t="n">
        <v>2024</v>
      </c>
      <c r="F429" s="20">
        <f>IF(AND(OR(in_Mode="All Funds",AND(C429&gt;=in_BandFloor,C429&lt;=in_BandCeiling,OR(in_Geography="National",COUNTIFS(lst_GeoPreset,in_Geography,lst_GeoState,B429)&gt;0,AND(in_Geography="Custom",ISNUMBER(SEARCH(B429,SUBSTITUTE(in_CustomStates," ",""))))),OR(AND(D429="Endowment",Inputs!$B$14="Y"),AND(D429="Foundation",Inputs!$B$15="Y"),AND(D429="Healthcare",Inputs!$B$16="Y"),AND(D429="Pension",Inputs!$B$17="Y"),AND(D429="OCIO",Inputs!$B$18="Y"),AND(D429="Other",Inputs!$B$19="Y")))),A429&lt;&gt;in_ClientOrg,NOT(AND(in_ExclHarvard="Y",ISNUMBER(SEARCH("Harvard",A429))))),"Y","")</f>
        <v/>
      </c>
      <c r="G429" t="inlineStr">
        <is>
          <t>May Ng</t>
        </is>
      </c>
      <c r="H429" t="inlineStr">
        <is>
          <t>CIO</t>
        </is>
      </c>
      <c r="I429" t="inlineStr">
        <is>
          <t>CIO</t>
        </is>
      </c>
      <c r="J429" s="21" t="n"/>
      <c r="K429" s="21" t="n"/>
      <c r="L429" s="21" t="n"/>
      <c r="M429" s="21" t="n"/>
      <c r="N429" s="21" t="n"/>
      <c r="O429" s="21" t="n">
        <v>84006</v>
      </c>
      <c r="P429" s="21" t="n">
        <v>2223605</v>
      </c>
      <c r="Q429" s="21" t="n">
        <v>2223605</v>
      </c>
      <c r="R429" s="21">
        <f>IF(Q429="","",Q429*(1+in_GrowthRate)^(YEARFRAC(DATE(2024,12,31),in_AgeToDate)*IF(in_AgeToDate&lt;DATE(2024,12,31),-1,1)+1))</f>
        <v/>
      </c>
      <c r="S429" s="38" t="n"/>
      <c r="T429" s="43">
        <f>HYPERLINK("https://projects.propublica.org/nonprofits/organizations/226029397/202503109349101385/full","view filing")</f>
        <v/>
      </c>
    </row>
    <row r="430">
      <c r="A430" t="inlineStr">
        <is>
          <t>Robert Wood Johnson Foundation</t>
        </is>
      </c>
      <c r="B430" s="20" t="inlineStr">
        <is>
          <t>NJ</t>
        </is>
      </c>
      <c r="C430" s="42" t="n">
        <v>12.61</v>
      </c>
      <c r="D430" t="inlineStr">
        <is>
          <t>Foundation</t>
        </is>
      </c>
      <c r="E430" s="20" t="n">
        <v>2023</v>
      </c>
      <c r="F430" s="20" t="inlineStr"/>
      <c r="G430" t="inlineStr">
        <is>
          <t>Brian S O'Neil</t>
        </is>
      </c>
      <c r="H430" t="inlineStr">
        <is>
          <t>CIO EMERITUS 2/28/2023</t>
        </is>
      </c>
      <c r="I430" t="inlineStr">
        <is>
          <t>CIO</t>
        </is>
      </c>
      <c r="J430" s="21" t="n"/>
      <c r="K430" s="21" t="n"/>
      <c r="L430" s="21" t="n"/>
      <c r="M430" s="21" t="n"/>
      <c r="N430" s="21" t="n"/>
      <c r="O430" s="21" t="n">
        <v>78875</v>
      </c>
      <c r="P430" s="21" t="n">
        <v>1999338</v>
      </c>
      <c r="Q430" s="21" t="n">
        <v>1999338</v>
      </c>
      <c r="R430" s="21">
        <f>IF(Q430="","",Q430*(1+in_GrowthRate)^(YEARFRAC(DATE(2023,12,31),in_AgeToDate)*IF(in_AgeToDate&lt;DATE(2023,12,31),-1,1)+1))</f>
        <v/>
      </c>
      <c r="S430" s="38" t="n"/>
      <c r="T430" s="43">
        <f>HYPERLINK("https://projects.propublica.org/nonprofits/organizations/226029397/202443129349100234/full","view filing")</f>
        <v/>
      </c>
    </row>
    <row r="431">
      <c r="A431" t="inlineStr">
        <is>
          <t>Robert Wood Johnson Foundation</t>
        </is>
      </c>
      <c r="B431" s="20" t="inlineStr">
        <is>
          <t>NJ</t>
        </is>
      </c>
      <c r="C431" s="42" t="n">
        <v>12.61</v>
      </c>
      <c r="D431" t="inlineStr">
        <is>
          <t>Foundation</t>
        </is>
      </c>
      <c r="E431" s="20" t="n">
        <v>2022</v>
      </c>
      <c r="F431" s="20" t="inlineStr"/>
      <c r="G431" t="inlineStr">
        <is>
          <t>Brian S O'Neil</t>
        </is>
      </c>
      <c r="H431" t="inlineStr">
        <is>
          <t>CHIEF INVESTMENT OFFICER</t>
        </is>
      </c>
      <c r="I431" t="inlineStr">
        <is>
          <t>CIO</t>
        </is>
      </c>
      <c r="J431" s="21" t="n"/>
      <c r="K431" s="21" t="n"/>
      <c r="L431" s="21" t="n"/>
      <c r="M431" s="21" t="n"/>
      <c r="N431" s="21" t="n"/>
      <c r="O431" s="21" t="n">
        <v>113388</v>
      </c>
      <c r="P431" s="21" t="n">
        <v>3138417</v>
      </c>
      <c r="Q431" s="21" t="n">
        <v>3138417</v>
      </c>
      <c r="R431" s="21">
        <f>IF(Q431="","",Q431*(1+in_GrowthRate)^(YEARFRAC(DATE(2022,12,31),in_AgeToDate)*IF(in_AgeToDate&lt;DATE(2022,12,31),-1,1)+1))</f>
        <v/>
      </c>
      <c r="S431" s="38" t="n"/>
      <c r="T431" s="43">
        <f>HYPERLINK("https://projects.propublica.org/nonprofits/organizations/226029397/202343139349100304/full","view filing")</f>
        <v/>
      </c>
    </row>
    <row r="432">
      <c r="A432" t="inlineStr">
        <is>
          <t>Rockefeller Foundation</t>
        </is>
      </c>
      <c r="B432" s="20" t="inlineStr">
        <is>
          <t>NY</t>
        </is>
      </c>
      <c r="C432" s="42" t="n">
        <v>5.4</v>
      </c>
      <c r="D432" t="inlineStr">
        <is>
          <t>Foundation</t>
        </is>
      </c>
      <c r="E432" s="20" t="n">
        <v>2024</v>
      </c>
      <c r="F432" s="20">
        <f>IF(AND(OR(in_Mode="All Funds",AND(C432&gt;=in_BandFloor,C432&lt;=in_BandCeiling,OR(in_Geography="National",COUNTIFS(lst_GeoPreset,in_Geography,lst_GeoState,B432)&gt;0,AND(in_Geography="Custom",ISNUMBER(SEARCH(B432,SUBSTITUTE(in_CustomStates," ",""))))),OR(AND(D432="Endowment",Inputs!$B$14="Y"),AND(D432="Foundation",Inputs!$B$15="Y"),AND(D432="Healthcare",Inputs!$B$16="Y"),AND(D432="Pension",Inputs!$B$17="Y"),AND(D432="OCIO",Inputs!$B$18="Y"),AND(D432="Other",Inputs!$B$19="Y")))),A432&lt;&gt;in_ClientOrg,NOT(AND(in_ExclHarvard="Y",ISNUMBER(SEARCH("Harvard",A432))))),"Y","")</f>
        <v/>
      </c>
      <c r="G432" t="inlineStr">
        <is>
          <t>Chun Lai</t>
        </is>
      </c>
      <c r="H432" t="inlineStr">
        <is>
          <t>CHIEF INVESTMENT OFFICER</t>
        </is>
      </c>
      <c r="I432" t="inlineStr">
        <is>
          <t>CIO</t>
        </is>
      </c>
      <c r="J432" s="21" t="n"/>
      <c r="K432" s="21" t="n"/>
      <c r="L432" s="21" t="n"/>
      <c r="M432" s="21" t="n"/>
      <c r="N432" s="21" t="n"/>
      <c r="O432" s="21" t="n">
        <v>139184</v>
      </c>
      <c r="P432" s="21" t="n">
        <v>1244679</v>
      </c>
      <c r="Q432" s="21" t="n">
        <v>1244679</v>
      </c>
      <c r="R432" s="21">
        <f>IF(Q432="","",Q432*(1+in_GrowthRate)^(YEARFRAC(DATE(2024,12,31),in_AgeToDate)*IF(in_AgeToDate&lt;DATE(2024,12,31),-1,1)+1))</f>
        <v/>
      </c>
      <c r="S432" s="38" t="n"/>
      <c r="T432" s="43">
        <f>HYPERLINK("https://projects.propublica.org/nonprofits/organizations/131659629/202533189349104643/full","view filing")</f>
        <v/>
      </c>
    </row>
    <row r="433">
      <c r="A433" t="inlineStr">
        <is>
          <t>Rockefeller Foundation</t>
        </is>
      </c>
      <c r="B433" s="20" t="inlineStr">
        <is>
          <t>NY</t>
        </is>
      </c>
      <c r="C433" s="42" t="n">
        <v>5.4</v>
      </c>
      <c r="D433" t="inlineStr">
        <is>
          <t>Foundation</t>
        </is>
      </c>
      <c r="E433" s="20" t="n">
        <v>2023</v>
      </c>
      <c r="F433" s="20" t="inlineStr"/>
      <c r="G433" t="inlineStr">
        <is>
          <t>Chun Lai</t>
        </is>
      </c>
      <c r="H433" t="inlineStr">
        <is>
          <t>CHIEF INVESTMENT OFFICER</t>
        </is>
      </c>
      <c r="I433" t="inlineStr">
        <is>
          <t>CIO</t>
        </is>
      </c>
      <c r="J433" s="21" t="n"/>
      <c r="K433" s="21" t="n"/>
      <c r="L433" s="21" t="n"/>
      <c r="M433" s="21" t="n"/>
      <c r="N433" s="21" t="n"/>
      <c r="O433" s="21" t="n">
        <v>127207</v>
      </c>
      <c r="P433" s="21" t="n">
        <v>1815007</v>
      </c>
      <c r="Q433" s="21" t="n">
        <v>1815007</v>
      </c>
      <c r="R433" s="21">
        <f>IF(Q433="","",Q433*(1+in_GrowthRate)^(YEARFRAC(DATE(2023,12,31),in_AgeToDate)*IF(in_AgeToDate&lt;DATE(2023,12,31),-1,1)+1))</f>
        <v/>
      </c>
      <c r="S433" s="38" t="n"/>
      <c r="T433" s="43">
        <f>HYPERLINK("https://projects.propublica.org/nonprofits/organizations/131659629/202403139349100635/full","view filing")</f>
        <v/>
      </c>
    </row>
    <row r="434">
      <c r="A434" t="inlineStr">
        <is>
          <t>Rockefeller Foundation</t>
        </is>
      </c>
      <c r="B434" s="20" t="inlineStr">
        <is>
          <t>NY</t>
        </is>
      </c>
      <c r="C434" s="42" t="n">
        <v>5.4</v>
      </c>
      <c r="D434" t="inlineStr">
        <is>
          <t>Foundation</t>
        </is>
      </c>
      <c r="E434" s="20" t="n">
        <v>2022</v>
      </c>
      <c r="F434" s="20" t="inlineStr"/>
      <c r="G434" t="inlineStr">
        <is>
          <t>Chun Lai</t>
        </is>
      </c>
      <c r="H434" t="inlineStr">
        <is>
          <t>CHIEF INVESTMENT OFFICER</t>
        </is>
      </c>
      <c r="I434" t="inlineStr">
        <is>
          <t>CIO</t>
        </is>
      </c>
      <c r="J434" s="21" t="n"/>
      <c r="K434" s="21" t="n"/>
      <c r="L434" s="21" t="n"/>
      <c r="M434" s="21" t="n"/>
      <c r="N434" s="21" t="n"/>
      <c r="O434" s="21" t="n">
        <v>77316</v>
      </c>
      <c r="P434" s="21" t="n">
        <v>1858370</v>
      </c>
      <c r="Q434" s="21" t="n">
        <v>1858370</v>
      </c>
      <c r="R434" s="21">
        <f>IF(Q434="","",Q434*(1+in_GrowthRate)^(YEARFRAC(DATE(2022,12,31),in_AgeToDate)*IF(in_AgeToDate&lt;DATE(2022,12,31),-1,1)+1))</f>
        <v/>
      </c>
      <c r="S434" s="38" t="n"/>
      <c r="T434" s="43">
        <f>HYPERLINK("https://projects.propublica.org/nonprofits/organizations/131659629/202313189349101641/full","view filing")</f>
        <v/>
      </c>
    </row>
    <row r="435">
      <c r="A435" t="inlineStr">
        <is>
          <t>Rockefeller University</t>
        </is>
      </c>
      <c r="B435" s="20" t="inlineStr">
        <is>
          <t>NY</t>
        </is>
      </c>
      <c r="C435" s="42" t="n">
        <v>2.61</v>
      </c>
      <c r="D435" t="inlineStr">
        <is>
          <t>Endowment</t>
        </is>
      </c>
      <c r="E435" s="20" t="n">
        <v>2025</v>
      </c>
      <c r="F435" s="20">
        <f>IF(AND(OR(in_Mode="All Funds",AND(C435&gt;=in_BandFloor,C435&lt;=in_BandCeiling,OR(in_Geography="National",COUNTIFS(lst_GeoPreset,in_Geography,lst_GeoState,B435)&gt;0,AND(in_Geography="Custom",ISNUMBER(SEARCH(B435,SUBSTITUTE(in_CustomStates," ",""))))),OR(AND(D435="Endowment",Inputs!$B$14="Y"),AND(D435="Foundation",Inputs!$B$15="Y"),AND(D435="Healthcare",Inputs!$B$16="Y"),AND(D435="Pension",Inputs!$B$17="Y"),AND(D435="OCIO",Inputs!$B$18="Y"),AND(D435="Other",Inputs!$B$19="Y")))),A435&lt;&gt;in_ClientOrg,NOT(AND(in_ExclHarvard="Y",ISNUMBER(SEARCH("Harvard",A435))))),"Y","")</f>
        <v/>
      </c>
      <c r="G435" t="inlineStr">
        <is>
          <t>Paula Volent</t>
        </is>
      </c>
      <c r="H435" t="inlineStr">
        <is>
          <t>CHIEF INVESTMENT OFFICER</t>
        </is>
      </c>
      <c r="I435" t="inlineStr">
        <is>
          <t>CIO</t>
        </is>
      </c>
      <c r="J435" s="21" t="n">
        <v>1078988</v>
      </c>
      <c r="K435" s="21" t="n">
        <v>695289</v>
      </c>
      <c r="L435" s="21" t="n">
        <v>1774277</v>
      </c>
      <c r="M435" s="21" t="n">
        <v>154278</v>
      </c>
      <c r="N435" s="21" t="n">
        <v>297134</v>
      </c>
      <c r="O435" s="21" t="n">
        <v>31769</v>
      </c>
      <c r="P435" s="21" t="n">
        <v>2257458</v>
      </c>
      <c r="Q435" s="21" t="n">
        <v>2027822</v>
      </c>
      <c r="R435" s="21">
        <f>IF(Q435="","",Q435*(1+in_GrowthRate)^(YEARFRAC(DATE(2025,6,30),in_AgeToDate)*IF(in_AgeToDate&lt;DATE(2025,6,30),-1,1)+1))</f>
        <v/>
      </c>
      <c r="S435" s="38" t="n">
        <v>0.6443899283402595</v>
      </c>
      <c r="T435" s="43">
        <f>HYPERLINK("https://projects.propublica.org/nonprofits/organizations/131624158/202630559349300433/full","view filing")</f>
        <v/>
      </c>
    </row>
    <row r="436">
      <c r="A436" t="inlineStr">
        <is>
          <t>Rockefeller University</t>
        </is>
      </c>
      <c r="B436" s="20" t="inlineStr">
        <is>
          <t>NY</t>
        </is>
      </c>
      <c r="C436" s="42" t="n">
        <v>2.61</v>
      </c>
      <c r="D436" t="inlineStr">
        <is>
          <t>Endowment</t>
        </is>
      </c>
      <c r="E436" s="20" t="n">
        <v>2024</v>
      </c>
      <c r="F436" s="20" t="inlineStr"/>
      <c r="G436" t="inlineStr">
        <is>
          <t>Paula Volent</t>
        </is>
      </c>
      <c r="H436" t="inlineStr">
        <is>
          <t>Chief Investment Officer</t>
        </is>
      </c>
      <c r="I436" t="inlineStr">
        <is>
          <t>CIO</t>
        </is>
      </c>
      <c r="J436" s="21" t="n">
        <v>1047536</v>
      </c>
      <c r="K436" s="21" t="n">
        <v>607751</v>
      </c>
      <c r="L436" s="21" t="n">
        <v>1655287</v>
      </c>
      <c r="M436" s="21" t="n">
        <v>150968</v>
      </c>
      <c r="N436" s="21" t="n">
        <v>195214</v>
      </c>
      <c r="O436" s="21" t="n">
        <v>31764</v>
      </c>
      <c r="P436" s="21" t="n">
        <v>2033233</v>
      </c>
      <c r="Q436" s="21" t="n">
        <v>1879066</v>
      </c>
      <c r="R436" s="21">
        <f>IF(Q436="","",Q436*(1+in_GrowthRate)^(YEARFRAC(DATE(2024,6,30),in_AgeToDate)*IF(in_AgeToDate&lt;DATE(2024,6,30),-1,1)+1))</f>
        <v/>
      </c>
      <c r="S436" s="38" t="n">
        <v>0.5801719463579295</v>
      </c>
      <c r="T436" s="43">
        <f>HYPERLINK("https://projects.propublica.org/nonprofits/organizations/131624158/202530449349301203/full","view filing")</f>
        <v/>
      </c>
    </row>
    <row r="437">
      <c r="A437" t="inlineStr">
        <is>
          <t>Rockefeller University</t>
        </is>
      </c>
      <c r="B437" s="20" t="inlineStr">
        <is>
          <t>NY</t>
        </is>
      </c>
      <c r="C437" s="42" t="n">
        <v>2.61</v>
      </c>
      <c r="D437" t="inlineStr">
        <is>
          <t>Endowment</t>
        </is>
      </c>
      <c r="E437" s="20" t="n">
        <v>2023</v>
      </c>
      <c r="F437" s="20" t="inlineStr"/>
      <c r="G437" t="inlineStr">
        <is>
          <t>Paula Volent</t>
        </is>
      </c>
      <c r="H437" t="inlineStr">
        <is>
          <t>Chief Investment Officer</t>
        </is>
      </c>
      <c r="I437" t="inlineStr">
        <is>
          <t>CIO</t>
        </is>
      </c>
      <c r="J437" s="21" t="n">
        <v>1014625</v>
      </c>
      <c r="K437" s="21" t="n">
        <v>462500</v>
      </c>
      <c r="L437" s="21" t="n">
        <v>1477125</v>
      </c>
      <c r="M437" s="21" t="n">
        <v>153828</v>
      </c>
      <c r="N437" s="21" t="n">
        <v>515107</v>
      </c>
      <c r="O437" s="21" t="n">
        <v>24876</v>
      </c>
      <c r="P437" s="21" t="n">
        <v>2170936</v>
      </c>
      <c r="Q437" s="21" t="n">
        <v>2170936</v>
      </c>
      <c r="R437" s="21">
        <f>IF(Q437="","",Q437*(1+in_GrowthRate)^(YEARFRAC(DATE(2023,6,30),in_AgeToDate)*IF(in_AgeToDate&lt;DATE(2023,6,30),-1,1)+1))</f>
        <v/>
      </c>
      <c r="S437" s="38" t="n">
        <v>0.4558334359985216</v>
      </c>
      <c r="T437" s="43">
        <f>HYPERLINK("https://projects.propublica.org/nonprofits/organizations/131624158/202430539349300713/full","view filing")</f>
        <v/>
      </c>
    </row>
    <row r="438">
      <c r="A438" t="inlineStr">
        <is>
          <t>Rotary International</t>
        </is>
      </c>
      <c r="B438" s="20" t="inlineStr">
        <is>
          <t>IL</t>
        </is>
      </c>
      <c r="C438" s="42" t="n">
        <v>0.11</v>
      </c>
      <c r="D438" t="inlineStr">
        <is>
          <t>Other</t>
        </is>
      </c>
      <c r="E438" s="20" t="n">
        <v>2025</v>
      </c>
      <c r="F438" s="20">
        <f>IF(AND(OR(in_Mode="All Funds",AND(C438&gt;=in_BandFloor,C438&lt;=in_BandCeiling,OR(in_Geography="National",COUNTIFS(lst_GeoPreset,in_Geography,lst_GeoState,B438)&gt;0,AND(in_Geography="Custom",ISNUMBER(SEARCH(B438,SUBSTITUTE(in_CustomStates," ",""))))),OR(AND(D438="Endowment",Inputs!$B$14="Y"),AND(D438="Foundation",Inputs!$B$15="Y"),AND(D438="Healthcare",Inputs!$B$16="Y"),AND(D438="Pension",Inputs!$B$17="Y"),AND(D438="OCIO",Inputs!$B$18="Y"),AND(D438="Other",Inputs!$B$19="Y")))),A438&lt;&gt;in_ClientOrg,NOT(AND(in_ExclHarvard="Y",ISNUMBER(SEARCH("Harvard",A438))))),"Y","")</f>
        <v/>
      </c>
      <c r="G438" t="inlineStr">
        <is>
          <t>Eric Jones</t>
        </is>
      </c>
      <c r="H438" t="inlineStr">
        <is>
          <t>CHIEF INVESTMENT OFFICER</t>
        </is>
      </c>
      <c r="I438" t="inlineStr">
        <is>
          <t>CIO</t>
        </is>
      </c>
      <c r="J438" s="21" t="n">
        <v>27423</v>
      </c>
      <c r="K438" s="21" t="n"/>
      <c r="L438" s="21" t="n">
        <v>27423</v>
      </c>
      <c r="M438" s="21" t="n">
        <v>520</v>
      </c>
      <c r="N438" s="21" t="n">
        <v>2980</v>
      </c>
      <c r="O438" s="21" t="n">
        <v>2650</v>
      </c>
      <c r="P438" s="21" t="n">
        <v>33573</v>
      </c>
      <c r="Q438" s="21" t="n">
        <v>33573</v>
      </c>
      <c r="R438" s="21">
        <f>IF(Q438="","",Q438*(1+in_GrowthRate)^(YEARFRAC(DATE(2025,6,30),in_AgeToDate)*IF(in_AgeToDate&lt;DATE(2025,6,30),-1,1)+1))</f>
        <v/>
      </c>
      <c r="S438" s="38" t="n">
        <v>0</v>
      </c>
      <c r="T438" s="43">
        <f>HYPERLINK("https://projects.propublica.org/nonprofits/organizations/361707667/202640829349300319/full","view filing")</f>
        <v/>
      </c>
    </row>
    <row r="439">
      <c r="A439" t="inlineStr">
        <is>
          <t>Rotary International</t>
        </is>
      </c>
      <c r="B439" s="20" t="inlineStr">
        <is>
          <t>IL</t>
        </is>
      </c>
      <c r="C439" s="42" t="n">
        <v>0.11</v>
      </c>
      <c r="D439" t="inlineStr">
        <is>
          <t>Other</t>
        </is>
      </c>
      <c r="E439" s="20" t="n">
        <v>2024</v>
      </c>
      <c r="F439" s="20" t="inlineStr"/>
      <c r="G439" t="inlineStr">
        <is>
          <t>Eric Jones</t>
        </is>
      </c>
      <c r="H439" t="inlineStr">
        <is>
          <t>CHIEF INVESTMENT OFFICER</t>
        </is>
      </c>
      <c r="I439" t="inlineStr">
        <is>
          <t>CIO</t>
        </is>
      </c>
      <c r="J439" s="21" t="n">
        <v>26192</v>
      </c>
      <c r="K439" s="21" t="n"/>
      <c r="L439" s="21" t="n">
        <v>26192</v>
      </c>
      <c r="M439" s="21" t="n">
        <v>495</v>
      </c>
      <c r="N439" s="21" t="n">
        <v>2909</v>
      </c>
      <c r="O439" s="21" t="n">
        <v>2386</v>
      </c>
      <c r="P439" s="21" t="n">
        <v>31982</v>
      </c>
      <c r="Q439" s="21" t="n">
        <v>31982</v>
      </c>
      <c r="R439" s="21">
        <f>IF(Q439="","",Q439*(1+in_GrowthRate)^(YEARFRAC(DATE(2024,6,30),in_AgeToDate)*IF(in_AgeToDate&lt;DATE(2024,6,30),-1,1)+1))</f>
        <v/>
      </c>
      <c r="S439" s="38" t="n">
        <v>0</v>
      </c>
      <c r="T439" s="43">
        <f>HYPERLINK("https://projects.propublica.org/nonprofits/organizations/361707667/202500919349301100/full","view filing")</f>
        <v/>
      </c>
    </row>
    <row r="440">
      <c r="A440" t="inlineStr">
        <is>
          <t>Rotary International</t>
        </is>
      </c>
      <c r="B440" s="20" t="inlineStr">
        <is>
          <t>IL</t>
        </is>
      </c>
      <c r="C440" s="42" t="n">
        <v>0.11</v>
      </c>
      <c r="D440" t="inlineStr">
        <is>
          <t>Other</t>
        </is>
      </c>
      <c r="E440" s="20" t="n">
        <v>2023</v>
      </c>
      <c r="F440" s="20" t="inlineStr"/>
      <c r="G440" t="inlineStr">
        <is>
          <t>Eric Jones</t>
        </is>
      </c>
      <c r="H440" t="inlineStr">
        <is>
          <t>CHIEF INVESTMENT OFFICER</t>
        </is>
      </c>
      <c r="I440" t="inlineStr">
        <is>
          <t>CIO</t>
        </is>
      </c>
      <c r="J440" s="21" t="n">
        <v>24163</v>
      </c>
      <c r="K440" s="21" t="n"/>
      <c r="L440" s="21" t="n">
        <v>24163</v>
      </c>
      <c r="M440" s="21" t="n">
        <v>444</v>
      </c>
      <c r="N440" s="21" t="n">
        <v>2637</v>
      </c>
      <c r="O440" s="21" t="n">
        <v>2156</v>
      </c>
      <c r="P440" s="21" t="n">
        <v>29400</v>
      </c>
      <c r="Q440" s="21" t="n">
        <v>29400</v>
      </c>
      <c r="R440" s="21">
        <f>IF(Q440="","",Q440*(1+in_GrowthRate)^(YEARFRAC(DATE(2023,6,30),in_AgeToDate)*IF(in_AgeToDate&lt;DATE(2023,6,30),-1,1)+1))</f>
        <v/>
      </c>
      <c r="S440" s="38" t="n">
        <v>0</v>
      </c>
      <c r="T440" s="43">
        <f>HYPERLINK("https://projects.propublica.org/nonprofits/organizations/361707667/202420789349300117/full","view filing")</f>
        <v/>
      </c>
    </row>
    <row r="441">
      <c r="A441" t="inlineStr">
        <is>
          <t>Rotary International</t>
        </is>
      </c>
      <c r="B441" s="20" t="inlineStr">
        <is>
          <t>IL</t>
        </is>
      </c>
      <c r="C441" s="42" t="n">
        <v>0.11</v>
      </c>
      <c r="D441" t="inlineStr">
        <is>
          <t>Other</t>
        </is>
      </c>
      <c r="E441" s="20" t="n">
        <v>2022</v>
      </c>
      <c r="F441" s="20" t="inlineStr"/>
      <c r="G441" t="inlineStr">
        <is>
          <t>Eric Jones</t>
        </is>
      </c>
      <c r="H441" t="inlineStr">
        <is>
          <t>CHIEF INVESTMENT OFFICER</t>
        </is>
      </c>
      <c r="I441" t="inlineStr">
        <is>
          <t>CIO</t>
        </is>
      </c>
      <c r="J441" s="21" t="n">
        <v>22654</v>
      </c>
      <c r="K441" s="21" t="n"/>
      <c r="L441" s="21" t="n">
        <v>22654</v>
      </c>
      <c r="M441" s="21" t="n">
        <v>86</v>
      </c>
      <c r="N441" s="21" t="n">
        <v>2531</v>
      </c>
      <c r="O441" s="21" t="n">
        <v>1997</v>
      </c>
      <c r="P441" s="21" t="n">
        <v>27268</v>
      </c>
      <c r="Q441" s="21" t="n">
        <v>27268</v>
      </c>
      <c r="R441" s="21">
        <f>IF(Q441="","",Q441*(1+in_GrowthRate)^(YEARFRAC(DATE(2022,6,30),in_AgeToDate)*IF(in_AgeToDate&lt;DATE(2022,6,30),-1,1)+1))</f>
        <v/>
      </c>
      <c r="S441" s="38" t="n">
        <v>0</v>
      </c>
      <c r="T441" s="43">
        <f>HYPERLINK("https://projects.propublica.org/nonprofits/organizations/361707667/202301119349300100/full","view filing")</f>
        <v/>
      </c>
    </row>
    <row r="442">
      <c r="A442" t="inlineStr">
        <is>
          <t>Rush University Medical Center</t>
        </is>
      </c>
      <c r="B442" s="20" t="inlineStr">
        <is>
          <t>IL</t>
        </is>
      </c>
      <c r="C442" s="42" t="n">
        <v>0.93</v>
      </c>
      <c r="D442" t="inlineStr">
        <is>
          <t>Healthcare</t>
        </is>
      </c>
      <c r="E442" s="20" t="n">
        <v>2025</v>
      </c>
      <c r="F442" s="20">
        <f>IF(AND(OR(in_Mode="All Funds",AND(C442&gt;=in_BandFloor,C442&lt;=in_BandCeiling,OR(in_Geography="National",COUNTIFS(lst_GeoPreset,in_Geography,lst_GeoState,B442)&gt;0,AND(in_Geography="Custom",ISNUMBER(SEARCH(B442,SUBSTITUTE(in_CustomStates," ",""))))),OR(AND(D442="Endowment",Inputs!$B$14="Y"),AND(D442="Foundation",Inputs!$B$15="Y"),AND(D442="Healthcare",Inputs!$B$16="Y"),AND(D442="Pension",Inputs!$B$17="Y"),AND(D442="OCIO",Inputs!$B$18="Y"),AND(D442="Other",Inputs!$B$19="Y")))),A442&lt;&gt;in_ClientOrg,NOT(AND(in_ExclHarvard="Y",ISNUMBER(SEARCH("Harvard",A442))))),"Y","")</f>
        <v/>
      </c>
      <c r="G442" t="inlineStr">
        <is>
          <t>Alex D Wiggins</t>
        </is>
      </c>
      <c r="H442" t="inlineStr">
        <is>
          <t>Chief Investment Officer, RUSH</t>
        </is>
      </c>
      <c r="I442" t="inlineStr">
        <is>
          <t>CIO</t>
        </is>
      </c>
      <c r="J442" s="21" t="n">
        <v>529446</v>
      </c>
      <c r="K442" s="21" t="n">
        <v>169180</v>
      </c>
      <c r="L442" s="21" t="n">
        <v>698626</v>
      </c>
      <c r="M442" s="21" t="n">
        <v>8528</v>
      </c>
      <c r="N442" s="21" t="n">
        <v>92023</v>
      </c>
      <c r="O442" s="21" t="n">
        <v>36547</v>
      </c>
      <c r="P442" s="21" t="n">
        <v>835724</v>
      </c>
      <c r="Q442" s="21" t="n">
        <v>835724</v>
      </c>
      <c r="R442" s="21">
        <f>IF(Q442="","",Q442*(1+in_GrowthRate)^(YEARFRAC(DATE(2025,6,30),in_AgeToDate)*IF(in_AgeToDate&lt;DATE(2025,6,30),-1,1)+1))</f>
        <v/>
      </c>
      <c r="S442" s="38" t="n">
        <v>0.3195415585347703</v>
      </c>
      <c r="T442" s="43">
        <f>HYPERLINK("https://projects.propublica.org/nonprofits/organizations/362174823/202631349349312808/full","view filing")</f>
        <v/>
      </c>
    </row>
    <row r="443">
      <c r="A443" t="inlineStr">
        <is>
          <t>Rush University Medical Center</t>
        </is>
      </c>
      <c r="B443" s="20" t="inlineStr">
        <is>
          <t>IL</t>
        </is>
      </c>
      <c r="C443" s="42" t="n">
        <v>0.93</v>
      </c>
      <c r="D443" t="inlineStr">
        <is>
          <t>Healthcare</t>
        </is>
      </c>
      <c r="E443" s="20" t="n">
        <v>2024</v>
      </c>
      <c r="F443" s="20" t="inlineStr"/>
      <c r="G443" t="inlineStr">
        <is>
          <t>Alex D Wiggins</t>
        </is>
      </c>
      <c r="H443" t="inlineStr">
        <is>
          <t>VP, Chief Investment Officer &amp; Treasurer</t>
        </is>
      </c>
      <c r="I443" t="inlineStr">
        <is>
          <t>CIO</t>
        </is>
      </c>
      <c r="J443" s="21" t="n">
        <v>544323</v>
      </c>
      <c r="K443" s="21" t="n">
        <v>104641</v>
      </c>
      <c r="L443" s="21" t="n">
        <v>648964</v>
      </c>
      <c r="M443" s="21" t="n">
        <v>1527</v>
      </c>
      <c r="N443" s="21" t="n">
        <v>92576</v>
      </c>
      <c r="O443" s="21" t="n">
        <v>35764</v>
      </c>
      <c r="P443" s="21" t="n">
        <v>778831</v>
      </c>
      <c r="Q443" s="21" t="n">
        <v>778831</v>
      </c>
      <c r="R443" s="21">
        <f>IF(Q443="","",Q443*(1+in_GrowthRate)^(YEARFRAC(DATE(2024,6,30),in_AgeToDate)*IF(in_AgeToDate&lt;DATE(2024,6,30),-1,1)+1))</f>
        <v/>
      </c>
      <c r="S443" s="38" t="n">
        <v>0.1922406365338228</v>
      </c>
      <c r="T443" s="43">
        <f>HYPERLINK("https://projects.propublica.org/nonprofits/organizations/362174823/202501349349309015/full","view filing")</f>
        <v/>
      </c>
    </row>
    <row r="444">
      <c r="A444" t="inlineStr">
        <is>
          <t>Rush University Medical Center</t>
        </is>
      </c>
      <c r="B444" s="20" t="inlineStr">
        <is>
          <t>IL</t>
        </is>
      </c>
      <c r="C444" s="42" t="n">
        <v>0.93</v>
      </c>
      <c r="D444" t="inlineStr">
        <is>
          <t>Healthcare</t>
        </is>
      </c>
      <c r="E444" s="20" t="n">
        <v>2023</v>
      </c>
      <c r="F444" s="20" t="inlineStr"/>
      <c r="G444" t="inlineStr">
        <is>
          <t>Alex D Wiggins</t>
        </is>
      </c>
      <c r="H444" t="inlineStr">
        <is>
          <t>VP, Chief Investment Officer &amp; Treasurer</t>
        </is>
      </c>
      <c r="I444" t="inlineStr">
        <is>
          <t>CIO</t>
        </is>
      </c>
      <c r="J444" s="21" t="n">
        <v>508712</v>
      </c>
      <c r="K444" s="21" t="n">
        <v>140907</v>
      </c>
      <c r="L444" s="21" t="n">
        <v>649619</v>
      </c>
      <c r="M444" s="21" t="n">
        <v>1126</v>
      </c>
      <c r="N444" s="21" t="n">
        <v>94051</v>
      </c>
      <c r="O444" s="21" t="n">
        <v>35074</v>
      </c>
      <c r="P444" s="21" t="n">
        <v>779870</v>
      </c>
      <c r="Q444" s="21" t="n">
        <v>779870</v>
      </c>
      <c r="R444" s="21">
        <f>IF(Q444="","",Q444*(1+in_GrowthRate)^(YEARFRAC(DATE(2023,6,30),in_AgeToDate)*IF(in_AgeToDate&lt;DATE(2023,6,30),-1,1)+1))</f>
        <v/>
      </c>
      <c r="S444" s="38" t="n">
        <v>0.2769877651795122</v>
      </c>
      <c r="T444" s="43">
        <f>HYPERLINK("https://projects.propublica.org/nonprofits/organizations/362174823/202441349349305684/full","view filing")</f>
        <v/>
      </c>
    </row>
    <row r="445">
      <c r="A445" t="inlineStr">
        <is>
          <t>Rush University Medical Center</t>
        </is>
      </c>
      <c r="B445" s="20" t="inlineStr">
        <is>
          <t>IL</t>
        </is>
      </c>
      <c r="C445" s="42" t="n">
        <v>0.93</v>
      </c>
      <c r="D445" t="inlineStr">
        <is>
          <t>Healthcare</t>
        </is>
      </c>
      <c r="E445" s="20" t="n">
        <v>2022</v>
      </c>
      <c r="F445" s="20" t="inlineStr"/>
      <c r="G445" t="inlineStr">
        <is>
          <t>Jeff Gautney</t>
        </is>
      </c>
      <c r="H445" t="inlineStr">
        <is>
          <t>VP and CIO</t>
        </is>
      </c>
      <c r="I445" t="inlineStr">
        <is>
          <t>CIO</t>
        </is>
      </c>
      <c r="J445" s="21" t="n">
        <v>200069</v>
      </c>
      <c r="K445" s="21" t="n">
        <v>140000</v>
      </c>
      <c r="L445" s="21" t="n">
        <v>340069</v>
      </c>
      <c r="M445" s="21" t="n"/>
      <c r="N445" s="21" t="n">
        <v>22312</v>
      </c>
      <c r="O445" s="21" t="n">
        <v>6442</v>
      </c>
      <c r="P445" s="21" t="n">
        <v>368824</v>
      </c>
      <c r="Q445" s="21" t="n">
        <v>368824</v>
      </c>
      <c r="R445" s="21">
        <f>IF(Q445="","",Q445*(1+in_GrowthRate)^(YEARFRAC(DATE(2022,6,30),in_AgeToDate)*IF(in_AgeToDate&lt;DATE(2022,6,30),-1,1)+1))</f>
        <v/>
      </c>
      <c r="S445" s="38" t="n">
        <v>0.6997585832887654</v>
      </c>
      <c r="T445" s="43">
        <f>HYPERLINK("https://projects.propublica.org/nonprofits/organizations/362174823/202301329349301600/full","view filing")</f>
        <v/>
      </c>
    </row>
    <row r="446">
      <c r="A446" t="inlineStr">
        <is>
          <t>Saint Paul &amp; Minnesota Foundation</t>
        </is>
      </c>
      <c r="B446" s="20" t="inlineStr">
        <is>
          <t>MN</t>
        </is>
      </c>
      <c r="C446" s="42" t="n">
        <v>1.65</v>
      </c>
      <c r="D446" t="inlineStr">
        <is>
          <t>Foundation</t>
        </is>
      </c>
      <c r="E446" s="20" t="n">
        <v>2025</v>
      </c>
      <c r="F446" s="20">
        <f>IF(AND(OR(in_Mode="All Funds",AND(C446&gt;=in_BandFloor,C446&lt;=in_BandCeiling,OR(in_Geography="National",COUNTIFS(lst_GeoPreset,in_Geography,lst_GeoState,B446)&gt;0,AND(in_Geography="Custom",ISNUMBER(SEARCH(B446,SUBSTITUTE(in_CustomStates," ",""))))),OR(AND(D446="Endowment",Inputs!$B$14="Y"),AND(D446="Foundation",Inputs!$B$15="Y"),AND(D446="Healthcare",Inputs!$B$16="Y"),AND(D446="Pension",Inputs!$B$17="Y"),AND(D446="OCIO",Inputs!$B$18="Y"),AND(D446="Other",Inputs!$B$19="Y")))),A446&lt;&gt;in_ClientOrg,NOT(AND(in_ExclHarvard="Y",ISNUMBER(SEARCH("Harvard",A446))))),"Y","")</f>
        <v/>
      </c>
      <c r="G446" t="inlineStr">
        <is>
          <t>Shannon Oleary</t>
        </is>
      </c>
      <c r="H446" t="inlineStr">
        <is>
          <t>CHIEF INVESTMENT OFFICER</t>
        </is>
      </c>
      <c r="I446" t="inlineStr">
        <is>
          <t>CIO</t>
        </is>
      </c>
      <c r="J446" s="21" t="n">
        <v>573806</v>
      </c>
      <c r="K446" s="21" t="n"/>
      <c r="L446" s="21" t="n">
        <v>573806</v>
      </c>
      <c r="M446" s="21" t="n"/>
      <c r="N446" s="21" t="n">
        <v>35000</v>
      </c>
      <c r="O446" s="21" t="n">
        <v>168</v>
      </c>
      <c r="P446" s="21" t="n">
        <v>608974</v>
      </c>
      <c r="Q446" s="21" t="n">
        <v>608974</v>
      </c>
      <c r="R446" s="21">
        <f>IF(Q446="","",Q446*(1+in_GrowthRate)^(YEARFRAC(DATE(2025,12,31),in_AgeToDate)*IF(in_AgeToDate&lt;DATE(2025,12,31),-1,1)+1))</f>
        <v/>
      </c>
      <c r="S446" s="38" t="n">
        <v>0</v>
      </c>
      <c r="T446" s="43">
        <f>HYPERLINK("https://projects.propublica.org/nonprofits/organizations/416031510/202602399349301030/full","view filing")</f>
        <v/>
      </c>
    </row>
    <row r="447">
      <c r="A447" t="inlineStr">
        <is>
          <t>Saint Paul &amp; Minnesota Foundation</t>
        </is>
      </c>
      <c r="B447" s="20" t="inlineStr">
        <is>
          <t>MN</t>
        </is>
      </c>
      <c r="C447" s="42" t="n">
        <v>1.65</v>
      </c>
      <c r="D447" t="inlineStr">
        <is>
          <t>Foundation</t>
        </is>
      </c>
      <c r="E447" s="20" t="n">
        <v>2024</v>
      </c>
      <c r="F447" s="20" t="inlineStr"/>
      <c r="G447" t="inlineStr">
        <is>
          <t>Shannon Oleary</t>
        </is>
      </c>
      <c r="H447" t="inlineStr">
        <is>
          <t>CHIEF INVESTMENT OFFICER</t>
        </is>
      </c>
      <c r="I447" t="inlineStr">
        <is>
          <t>CIO</t>
        </is>
      </c>
      <c r="J447" s="21" t="n">
        <v>550411</v>
      </c>
      <c r="K447" s="21" t="n"/>
      <c r="L447" s="21" t="n">
        <v>550411</v>
      </c>
      <c r="M447" s="21" t="n"/>
      <c r="N447" s="21" t="n">
        <v>34500</v>
      </c>
      <c r="O447" s="21" t="n">
        <v>168</v>
      </c>
      <c r="P447" s="21" t="n">
        <v>585079</v>
      </c>
      <c r="Q447" s="21" t="n">
        <v>585079</v>
      </c>
      <c r="R447" s="21">
        <f>IF(Q447="","",Q447*(1+in_GrowthRate)^(YEARFRAC(DATE(2024,12,31),in_AgeToDate)*IF(in_AgeToDate&lt;DATE(2024,12,31),-1,1)+1))</f>
        <v/>
      </c>
      <c r="S447" s="38" t="n">
        <v>0</v>
      </c>
      <c r="T447" s="43">
        <f>HYPERLINK("https://projects.propublica.org/nonprofits/organizations/416031510/202502379349301475/full","view filing")</f>
        <v/>
      </c>
    </row>
    <row r="448">
      <c r="A448" t="inlineStr">
        <is>
          <t>Saint Paul &amp; Minnesota Foundation</t>
        </is>
      </c>
      <c r="B448" s="20" t="inlineStr">
        <is>
          <t>MN</t>
        </is>
      </c>
      <c r="C448" s="42" t="n">
        <v>1.65</v>
      </c>
      <c r="D448" t="inlineStr">
        <is>
          <t>Foundation</t>
        </is>
      </c>
      <c r="E448" s="20" t="n">
        <v>2023</v>
      </c>
      <c r="F448" s="20" t="inlineStr"/>
      <c r="G448" t="inlineStr">
        <is>
          <t>Shannon O'Leary</t>
        </is>
      </c>
      <c r="H448" t="inlineStr">
        <is>
          <t>CHIEF INVESTMENT OFFICER</t>
        </is>
      </c>
      <c r="I448" t="inlineStr">
        <is>
          <t>CIO</t>
        </is>
      </c>
      <c r="J448" s="21" t="n">
        <v>521303</v>
      </c>
      <c r="K448" s="21" t="n"/>
      <c r="L448" s="21" t="n">
        <v>521303</v>
      </c>
      <c r="M448" s="21" t="n"/>
      <c r="N448" s="21" t="n">
        <v>33000</v>
      </c>
      <c r="O448" s="21" t="n">
        <v>1955</v>
      </c>
      <c r="P448" s="21" t="n">
        <v>556258</v>
      </c>
      <c r="Q448" s="21" t="n">
        <v>556258</v>
      </c>
      <c r="R448" s="21">
        <f>IF(Q448="","",Q448*(1+in_GrowthRate)^(YEARFRAC(DATE(2023,12,31),in_AgeToDate)*IF(in_AgeToDate&lt;DATE(2023,12,31),-1,1)+1))</f>
        <v/>
      </c>
      <c r="S448" s="38" t="n">
        <v>0</v>
      </c>
      <c r="T448" s="43">
        <f>HYPERLINK("https://projects.propublica.org/nonprofits/organizations/416031510/202442349349300824/full","view filing")</f>
        <v/>
      </c>
    </row>
    <row r="449">
      <c r="A449" t="inlineStr">
        <is>
          <t>Saint Paul &amp; Minnesota Foundation</t>
        </is>
      </c>
      <c r="B449" s="20" t="inlineStr">
        <is>
          <t>MN</t>
        </is>
      </c>
      <c r="C449" s="42" t="n">
        <v>1.65</v>
      </c>
      <c r="D449" t="inlineStr">
        <is>
          <t>Foundation</t>
        </is>
      </c>
      <c r="E449" s="20" t="n">
        <v>2022</v>
      </c>
      <c r="F449" s="20" t="inlineStr"/>
      <c r="G449" t="inlineStr">
        <is>
          <t>Shannon O'Leary</t>
        </is>
      </c>
      <c r="H449" t="inlineStr">
        <is>
          <t>CHIEF INVESTMENT OFFICER</t>
        </is>
      </c>
      <c r="I449" t="inlineStr">
        <is>
          <t>CIO</t>
        </is>
      </c>
      <c r="J449" s="21" t="n">
        <v>300626</v>
      </c>
      <c r="K449" s="21" t="n"/>
      <c r="L449" s="21" t="n">
        <v>300626</v>
      </c>
      <c r="M449" s="21" t="n"/>
      <c r="N449" s="21" t="n">
        <v>28202</v>
      </c>
      <c r="O449" s="21" t="n">
        <v>635</v>
      </c>
      <c r="P449" s="21" t="n">
        <v>329463</v>
      </c>
      <c r="Q449" s="21" t="n">
        <v>329463</v>
      </c>
      <c r="R449" s="21">
        <f>IF(Q449="","",Q449*(1+in_GrowthRate)^(YEARFRAC(DATE(2022,12,31),in_AgeToDate)*IF(in_AgeToDate&lt;DATE(2022,12,31),-1,1)+1))</f>
        <v/>
      </c>
      <c r="S449" s="38" t="n">
        <v>0</v>
      </c>
      <c r="T449" s="43">
        <f>HYPERLINK("https://projects.propublica.org/nonprofits/organizations/416031510/202312279349303531/full","view filing")</f>
        <v/>
      </c>
    </row>
    <row r="450">
      <c r="A450" t="inlineStr">
        <is>
          <t>San Francisco Foundation</t>
        </is>
      </c>
      <c r="B450" s="20" t="inlineStr">
        <is>
          <t>CA</t>
        </is>
      </c>
      <c r="C450" s="42" t="n">
        <v>1.8</v>
      </c>
      <c r="D450" t="inlineStr">
        <is>
          <t>Foundation</t>
        </is>
      </c>
      <c r="E450" s="20" t="n">
        <v>2025</v>
      </c>
      <c r="F450" s="20">
        <f>IF(AND(OR(in_Mode="All Funds",AND(C450&gt;=in_BandFloor,C450&lt;=in_BandCeiling,OR(in_Geography="National",COUNTIFS(lst_GeoPreset,in_Geography,lst_GeoState,B450)&gt;0,AND(in_Geography="Custom",ISNUMBER(SEARCH(B450,SUBSTITUTE(in_CustomStates," ",""))))),OR(AND(D450="Endowment",Inputs!$B$14="Y"),AND(D450="Foundation",Inputs!$B$15="Y"),AND(D450="Healthcare",Inputs!$B$16="Y"),AND(D450="Pension",Inputs!$B$17="Y"),AND(D450="OCIO",Inputs!$B$18="Y"),AND(D450="Other",Inputs!$B$19="Y")))),A450&lt;&gt;in_ClientOrg,NOT(AND(in_ExclHarvard="Y",ISNUMBER(SEARCH("Harvard",A450))))),"Y","")</f>
        <v/>
      </c>
      <c r="G450" t="inlineStr">
        <is>
          <t>Judith Bell</t>
        </is>
      </c>
      <c r="H450" t="inlineStr">
        <is>
          <t>CIO</t>
        </is>
      </c>
      <c r="I450" t="inlineStr">
        <is>
          <t>CIO</t>
        </is>
      </c>
      <c r="J450" s="21" t="n">
        <v>321806</v>
      </c>
      <c r="K450" s="21" t="n"/>
      <c r="L450" s="21" t="n">
        <v>321806</v>
      </c>
      <c r="M450" s="21" t="n"/>
      <c r="N450" s="21" t="n">
        <v>35608</v>
      </c>
      <c r="O450" s="21" t="n">
        <v>39731</v>
      </c>
      <c r="P450" s="21" t="n">
        <v>397145</v>
      </c>
      <c r="Q450" s="21" t="n">
        <v>397145</v>
      </c>
      <c r="R450" s="21">
        <f>IF(Q450="","",Q450*(1+in_GrowthRate)^(YEARFRAC(DATE(2025,6,30),in_AgeToDate)*IF(in_AgeToDate&lt;DATE(2025,6,30),-1,1)+1))</f>
        <v/>
      </c>
      <c r="S450" s="38" t="n">
        <v>0</v>
      </c>
      <c r="T450" s="43">
        <f>HYPERLINK("https://projects.propublica.org/nonprofits/organizations/10679337/202611329349304731/full","view filing")</f>
        <v/>
      </c>
    </row>
    <row r="451">
      <c r="A451" t="inlineStr">
        <is>
          <t>San Francisco Foundation</t>
        </is>
      </c>
      <c r="B451" s="20" t="inlineStr">
        <is>
          <t>CA</t>
        </is>
      </c>
      <c r="C451" s="42" t="n">
        <v>1.8</v>
      </c>
      <c r="D451" t="inlineStr">
        <is>
          <t>Foundation</t>
        </is>
      </c>
      <c r="E451" s="20" t="n">
        <v>2024</v>
      </c>
      <c r="F451" s="20" t="inlineStr"/>
      <c r="G451" t="inlineStr">
        <is>
          <t>Judith Bell</t>
        </is>
      </c>
      <c r="H451" t="inlineStr">
        <is>
          <t>CIO</t>
        </is>
      </c>
      <c r="I451" t="inlineStr">
        <is>
          <t>CIO</t>
        </is>
      </c>
      <c r="J451" s="21" t="n">
        <v>310417</v>
      </c>
      <c r="K451" s="21" t="n"/>
      <c r="L451" s="21" t="n">
        <v>310417</v>
      </c>
      <c r="M451" s="21" t="n"/>
      <c r="N451" s="21" t="n">
        <v>37461</v>
      </c>
      <c r="O451" s="21" t="n">
        <v>32084</v>
      </c>
      <c r="P451" s="21" t="n">
        <v>379962</v>
      </c>
      <c r="Q451" s="21" t="n">
        <v>379962</v>
      </c>
      <c r="R451" s="21">
        <f>IF(Q451="","",Q451*(1+in_GrowthRate)^(YEARFRAC(DATE(2024,6,30),in_AgeToDate)*IF(in_AgeToDate&lt;DATE(2024,6,30),-1,1)+1))</f>
        <v/>
      </c>
      <c r="S451" s="38" t="n">
        <v>0</v>
      </c>
      <c r="T451" s="43">
        <f>HYPERLINK("https://projects.propublica.org/nonprofits/organizations/10679337/202541339349302554/full","view filing")</f>
        <v/>
      </c>
    </row>
    <row r="452">
      <c r="A452" t="inlineStr">
        <is>
          <t>San Francisco Foundation</t>
        </is>
      </c>
      <c r="B452" s="20" t="inlineStr">
        <is>
          <t>CA</t>
        </is>
      </c>
      <c r="C452" s="42" t="n">
        <v>1.8</v>
      </c>
      <c r="D452" t="inlineStr">
        <is>
          <t>Foundation</t>
        </is>
      </c>
      <c r="E452" s="20" t="n">
        <v>2023</v>
      </c>
      <c r="F452" s="20" t="inlineStr"/>
      <c r="G452" t="inlineStr">
        <is>
          <t>Judith Bell</t>
        </is>
      </c>
      <c r="H452" t="inlineStr">
        <is>
          <t>CIO</t>
        </is>
      </c>
      <c r="I452" t="inlineStr">
        <is>
          <t>CIO</t>
        </is>
      </c>
      <c r="J452" s="21" t="n">
        <v>303739</v>
      </c>
      <c r="K452" s="21" t="n"/>
      <c r="L452" s="21" t="n">
        <v>303739</v>
      </c>
      <c r="M452" s="21" t="n"/>
      <c r="N452" s="21" t="n">
        <v>37005</v>
      </c>
      <c r="O452" s="21" t="n">
        <v>29225</v>
      </c>
      <c r="P452" s="21" t="n">
        <v>369969</v>
      </c>
      <c r="Q452" s="21" t="n">
        <v>369969</v>
      </c>
      <c r="R452" s="21">
        <f>IF(Q452="","",Q452*(1+in_GrowthRate)^(YEARFRAC(DATE(2023,6,30),in_AgeToDate)*IF(in_AgeToDate&lt;DATE(2023,6,30),-1,1)+1))</f>
        <v/>
      </c>
      <c r="S452" s="38" t="n">
        <v>0</v>
      </c>
      <c r="T452" s="43">
        <f>HYPERLINK("https://projects.propublica.org/nonprofits/organizations/10679337/202431359349311628/full","view filing")</f>
        <v/>
      </c>
    </row>
    <row r="453">
      <c r="A453" t="inlineStr">
        <is>
          <t>San Francisco Foundation</t>
        </is>
      </c>
      <c r="B453" s="20" t="inlineStr">
        <is>
          <t>CA</t>
        </is>
      </c>
      <c r="C453" s="42" t="n">
        <v>1.8</v>
      </c>
      <c r="D453" t="inlineStr">
        <is>
          <t>Foundation</t>
        </is>
      </c>
      <c r="E453" s="20" t="n">
        <v>2022</v>
      </c>
      <c r="F453" s="20" t="inlineStr"/>
      <c r="G453" t="inlineStr">
        <is>
          <t>Judith Bell</t>
        </is>
      </c>
      <c r="H453" t="inlineStr">
        <is>
          <t>CIO</t>
        </is>
      </c>
      <c r="I453" t="inlineStr">
        <is>
          <t>CIO</t>
        </is>
      </c>
      <c r="J453" s="21" t="n">
        <v>300219</v>
      </c>
      <c r="K453" s="21" t="n"/>
      <c r="L453" s="21" t="n">
        <v>300219</v>
      </c>
      <c r="M453" s="21" t="n"/>
      <c r="N453" s="21" t="n">
        <v>36557</v>
      </c>
      <c r="O453" s="21" t="n">
        <v>27615</v>
      </c>
      <c r="P453" s="21" t="n">
        <v>364391</v>
      </c>
      <c r="Q453" s="21" t="n">
        <v>364391</v>
      </c>
      <c r="R453" s="21">
        <f>IF(Q453="","",Q453*(1+in_GrowthRate)^(YEARFRAC(DATE(2022,6,30),in_AgeToDate)*IF(in_AgeToDate&lt;DATE(2022,6,30),-1,1)+1))</f>
        <v/>
      </c>
      <c r="S453" s="38" t="n">
        <v>0</v>
      </c>
      <c r="T453" s="43">
        <f>HYPERLINK("https://projects.propublica.org/nonprofits/organizations/10679337/202301309349301545/full","view filing")</f>
        <v/>
      </c>
    </row>
    <row r="454">
      <c r="A454" t="inlineStr">
        <is>
          <t>Seattle Childrens Healthcare System</t>
        </is>
      </c>
      <c r="B454" s="20" t="inlineStr">
        <is>
          <t>WA</t>
        </is>
      </c>
      <c r="C454" s="42" t="n">
        <v>1.16</v>
      </c>
      <c r="D454" t="inlineStr">
        <is>
          <t>Healthcare</t>
        </is>
      </c>
      <c r="E454" s="20" t="n">
        <v>2025</v>
      </c>
      <c r="F454" s="20">
        <f>IF(AND(OR(in_Mode="All Funds",AND(C454&gt;=in_BandFloor,C454&lt;=in_BandCeiling,OR(in_Geography="National",COUNTIFS(lst_GeoPreset,in_Geography,lst_GeoState,B454)&gt;0,AND(in_Geography="Custom",ISNUMBER(SEARCH(B454,SUBSTITUTE(in_CustomStates," ",""))))),OR(AND(D454="Endowment",Inputs!$B$14="Y"),AND(D454="Foundation",Inputs!$B$15="Y"),AND(D454="Healthcare",Inputs!$B$16="Y"),AND(D454="Pension",Inputs!$B$17="Y"),AND(D454="OCIO",Inputs!$B$18="Y"),AND(D454="Other",Inputs!$B$19="Y")))),A454&lt;&gt;in_ClientOrg,NOT(AND(in_ExclHarvard="Y",ISNUMBER(SEARCH("Harvard",A454))))),"Y","")</f>
        <v/>
      </c>
      <c r="G454" t="inlineStr">
        <is>
          <t>Stan Ra</t>
        </is>
      </c>
      <c r="H454" t="inlineStr">
        <is>
          <t>CHIEF INVESTMENT OFFICER</t>
        </is>
      </c>
      <c r="I454" t="inlineStr">
        <is>
          <t>CIO</t>
        </is>
      </c>
      <c r="J454" s="21" t="n">
        <v>519397</v>
      </c>
      <c r="K454" s="21" t="n">
        <v>260742</v>
      </c>
      <c r="L454" s="21" t="n">
        <v>780139</v>
      </c>
      <c r="M454" s="21" t="n"/>
      <c r="N454" s="21" t="n">
        <v>24319</v>
      </c>
      <c r="O454" s="21" t="n">
        <v>21022</v>
      </c>
      <c r="P454" s="21" t="n">
        <v>825480</v>
      </c>
      <c r="Q454" s="21" t="n">
        <v>825480</v>
      </c>
      <c r="R454" s="21">
        <f>IF(Q454="","",Q454*(1+in_GrowthRate)^(YEARFRAC(DATE(2025,9,30),in_AgeToDate)*IF(in_AgeToDate&lt;DATE(2025,9,30),-1,1)+1))</f>
        <v/>
      </c>
      <c r="S454" s="38" t="n">
        <v>0.502009060506703</v>
      </c>
      <c r="T454" s="43">
        <f>HYPERLINK("https://projects.propublica.org/nonprofits/organizations/911250116/202612269349303751/full","view filing")</f>
        <v/>
      </c>
    </row>
    <row r="455">
      <c r="A455" t="inlineStr">
        <is>
          <t>Seattle Childrens Healthcare System</t>
        </is>
      </c>
      <c r="B455" s="20" t="inlineStr">
        <is>
          <t>WA</t>
        </is>
      </c>
      <c r="C455" s="42" t="n">
        <v>1.16</v>
      </c>
      <c r="D455" t="inlineStr">
        <is>
          <t>Healthcare</t>
        </is>
      </c>
      <c r="E455" s="20" t="n">
        <v>2024</v>
      </c>
      <c r="F455" s="20" t="inlineStr"/>
      <c r="G455" t="inlineStr">
        <is>
          <t>Stanley Ra</t>
        </is>
      </c>
      <c r="H455" t="inlineStr">
        <is>
          <t>CHIEF INVESTMENT OFFICER</t>
        </is>
      </c>
      <c r="I455" t="inlineStr">
        <is>
          <t>CIO</t>
        </is>
      </c>
      <c r="J455" s="21" t="n">
        <v>494833</v>
      </c>
      <c r="K455" s="21" t="n">
        <v>248325</v>
      </c>
      <c r="L455" s="21" t="n">
        <v>743158</v>
      </c>
      <c r="M455" s="21" t="n"/>
      <c r="N455" s="21" t="n">
        <v>22742</v>
      </c>
      <c r="O455" s="21" t="n">
        <v>19782</v>
      </c>
      <c r="P455" s="21" t="n">
        <v>785682</v>
      </c>
      <c r="Q455" s="21" t="n">
        <v>785682</v>
      </c>
      <c r="R455" s="21">
        <f>IF(Q455="","",Q455*(1+in_GrowthRate)^(YEARFRAC(DATE(2024,9,30),in_AgeToDate)*IF(in_AgeToDate&lt;DATE(2024,9,30),-1,1)+1))</f>
        <v/>
      </c>
      <c r="S455" s="38" t="n">
        <v>0.5018359729444075</v>
      </c>
      <c r="T455" s="43">
        <f>HYPERLINK("https://projects.propublica.org/nonprofits/organizations/911250116/202542739349302109/full","view filing")</f>
        <v/>
      </c>
    </row>
    <row r="456">
      <c r="A456" t="inlineStr">
        <is>
          <t>Seattle Childrens Healthcare System</t>
        </is>
      </c>
      <c r="B456" s="20" t="inlineStr">
        <is>
          <t>WA</t>
        </is>
      </c>
      <c r="C456" s="42" t="n">
        <v>1.16</v>
      </c>
      <c r="D456" t="inlineStr">
        <is>
          <t>Healthcare</t>
        </is>
      </c>
      <c r="E456" s="20" t="n">
        <v>2023</v>
      </c>
      <c r="F456" s="20" t="inlineStr"/>
      <c r="G456" t="inlineStr">
        <is>
          <t>Stanley Ra</t>
        </is>
      </c>
      <c r="H456" t="inlineStr">
        <is>
          <t>CHIEF INVESTMENT OFFICER</t>
        </is>
      </c>
      <c r="I456" t="inlineStr">
        <is>
          <t>CIO</t>
        </is>
      </c>
      <c r="J456" s="21" t="n">
        <v>122664</v>
      </c>
      <c r="K456" s="21" t="n">
        <v>225750</v>
      </c>
      <c r="L456" s="21" t="n">
        <v>348414</v>
      </c>
      <c r="M456" s="21" t="n"/>
      <c r="N456" s="21" t="n"/>
      <c r="O456" s="21" t="n">
        <v>4843</v>
      </c>
      <c r="P456" s="21" t="n">
        <v>353257</v>
      </c>
      <c r="Q456" s="21" t="n">
        <v>353257</v>
      </c>
      <c r="R456" s="21">
        <f>IF(Q456="","",Q456*(1+in_GrowthRate)^(YEARFRAC(DATE(2023,9,30),in_AgeToDate)*IF(in_AgeToDate&lt;DATE(2023,9,30),-1,1)+1))</f>
        <v/>
      </c>
      <c r="S456" s="38" t="n">
        <v>1.8403932694189</v>
      </c>
      <c r="T456" s="43">
        <f>HYPERLINK("https://projects.propublica.org/nonprofits/organizations/911250116/202442279349301039/full","view filing")</f>
        <v/>
      </c>
    </row>
    <row r="457">
      <c r="A457" t="inlineStr">
        <is>
          <t>Sherman Fairchild Foundation Inc</t>
        </is>
      </c>
      <c r="B457" s="20" t="inlineStr">
        <is>
          <t>MD</t>
        </is>
      </c>
      <c r="C457" s="42" t="n">
        <v>0.95</v>
      </c>
      <c r="D457" t="inlineStr">
        <is>
          <t>Foundation</t>
        </is>
      </c>
      <c r="E457" s="20" t="n">
        <v>2024</v>
      </c>
      <c r="F457" s="20">
        <f>IF(AND(OR(in_Mode="All Funds",AND(C457&gt;=in_BandFloor,C457&lt;=in_BandCeiling,OR(in_Geography="National",COUNTIFS(lst_GeoPreset,in_Geography,lst_GeoState,B457)&gt;0,AND(in_Geography="Custom",ISNUMBER(SEARCH(B457,SUBSTITUTE(in_CustomStates," ",""))))),OR(AND(D457="Endowment",Inputs!$B$14="Y"),AND(D457="Foundation",Inputs!$B$15="Y"),AND(D457="Healthcare",Inputs!$B$16="Y"),AND(D457="Pension",Inputs!$B$17="Y"),AND(D457="OCIO",Inputs!$B$18="Y"),AND(D457="Other",Inputs!$B$19="Y")))),A457&lt;&gt;in_ClientOrg,NOT(AND(in_ExclHarvard="Y",ISNUMBER(SEARCH("Harvard",A457))))),"Y","")</f>
        <v/>
      </c>
      <c r="G457" t="inlineStr">
        <is>
          <t>Walter Burke Iii</t>
        </is>
      </c>
      <c r="H457" t="inlineStr">
        <is>
          <t>CHIEF INVEST. OFFICER/DIRECTOR</t>
        </is>
      </c>
      <c r="I457" t="inlineStr">
        <is>
          <t>CIO</t>
        </is>
      </c>
      <c r="J457" s="21" t="n"/>
      <c r="K457" s="21" t="n"/>
      <c r="L457" s="21" t="n"/>
      <c r="M457" s="21" t="n"/>
      <c r="N457" s="21" t="n"/>
      <c r="O457" s="21" t="n">
        <v>85095</v>
      </c>
      <c r="P457" s="21" t="n">
        <v>563495</v>
      </c>
      <c r="Q457" s="21" t="n">
        <v>563495</v>
      </c>
      <c r="R457" s="21">
        <f>IF(Q457="","",Q457*(1+in_GrowthRate)^(YEARFRAC(DATE(2024,12,31),in_AgeToDate)*IF(in_AgeToDate&lt;DATE(2024,12,31),-1,1)+1))</f>
        <v/>
      </c>
      <c r="S457" s="38" t="n"/>
      <c r="T457" s="43">
        <f>HYPERLINK("https://projects.propublica.org/nonprofits/organizations/131951698/202513219349108701/full","view filing")</f>
        <v/>
      </c>
    </row>
    <row r="458">
      <c r="A458" t="inlineStr">
        <is>
          <t>Sherman Fairchild Foundation Inc</t>
        </is>
      </c>
      <c r="B458" s="20" t="inlineStr">
        <is>
          <t>MD</t>
        </is>
      </c>
      <c r="C458" s="42" t="n">
        <v>0.95</v>
      </c>
      <c r="D458" t="inlineStr">
        <is>
          <t>Foundation</t>
        </is>
      </c>
      <c r="E458" s="20" t="n">
        <v>2023</v>
      </c>
      <c r="F458" s="20" t="inlineStr"/>
      <c r="G458" t="inlineStr">
        <is>
          <t>Walter F Burke Iii</t>
        </is>
      </c>
      <c r="H458" t="inlineStr">
        <is>
          <t>Chief Invest. Officer/Chairman</t>
        </is>
      </c>
      <c r="I458" t="inlineStr">
        <is>
          <t>CIO</t>
        </is>
      </c>
      <c r="J458" s="21" t="n"/>
      <c r="K458" s="21" t="n"/>
      <c r="L458" s="21" t="n"/>
      <c r="M458" s="21" t="n"/>
      <c r="N458" s="21" t="n"/>
      <c r="O458" s="21" t="n">
        <v>85026</v>
      </c>
      <c r="P458" s="21" t="n">
        <v>563426</v>
      </c>
      <c r="Q458" s="21" t="n">
        <v>563426</v>
      </c>
      <c r="R458" s="21">
        <f>IF(Q458="","",Q458*(1+in_GrowthRate)^(YEARFRAC(DATE(2023,12,31),in_AgeToDate)*IF(in_AgeToDate&lt;DATE(2023,12,31),-1,1)+1))</f>
        <v/>
      </c>
      <c r="S458" s="38" t="n"/>
      <c r="T458" s="43">
        <f>HYPERLINK("https://projects.propublica.org/nonprofits/organizations/131951698/202403209349108500/full","view filing")</f>
        <v/>
      </c>
    </row>
    <row r="459">
      <c r="A459" t="inlineStr">
        <is>
          <t>Sherman Fairchild Foundation Inc</t>
        </is>
      </c>
      <c r="B459" s="20" t="inlineStr">
        <is>
          <t>MD</t>
        </is>
      </c>
      <c r="C459" s="42" t="n">
        <v>0.95</v>
      </c>
      <c r="D459" t="inlineStr">
        <is>
          <t>Foundation</t>
        </is>
      </c>
      <c r="E459" s="20" t="n">
        <v>2022</v>
      </c>
      <c r="F459" s="20" t="inlineStr"/>
      <c r="G459" t="inlineStr">
        <is>
          <t>Walter F Burke Iii</t>
        </is>
      </c>
      <c r="H459" t="inlineStr">
        <is>
          <t>Chief Invest. Officer/Chairman</t>
        </is>
      </c>
      <c r="I459" t="inlineStr">
        <is>
          <t>CIO</t>
        </is>
      </c>
      <c r="J459" s="21" t="n"/>
      <c r="K459" s="21" t="n"/>
      <c r="L459" s="21" t="n"/>
      <c r="M459" s="21" t="n"/>
      <c r="N459" s="21" t="n"/>
      <c r="O459" s="21" t="n">
        <v>84999</v>
      </c>
      <c r="P459" s="21" t="n">
        <v>563399</v>
      </c>
      <c r="Q459" s="21" t="n">
        <v>563399</v>
      </c>
      <c r="R459" s="21">
        <f>IF(Q459="","",Q459*(1+in_GrowthRate)^(YEARFRAC(DATE(2022,12,31),in_AgeToDate)*IF(in_AgeToDate&lt;DATE(2022,12,31),-1,1)+1))</f>
        <v/>
      </c>
      <c r="S459" s="38" t="n"/>
      <c r="T459" s="43">
        <f>HYPERLINK("https://projects.propublica.org/nonprofits/organizations/131951698/202323149349101012/full","view filing")</f>
        <v/>
      </c>
    </row>
    <row r="460">
      <c r="A460" t="inlineStr">
        <is>
          <t>Smithsonian Institute</t>
        </is>
      </c>
      <c r="B460" s="20" t="inlineStr">
        <is>
          <t>DC</t>
        </is>
      </c>
      <c r="C460" s="42" t="n">
        <v>3.63</v>
      </c>
      <c r="D460" t="inlineStr">
        <is>
          <t>Other</t>
        </is>
      </c>
      <c r="E460" s="20" t="n">
        <v>2025</v>
      </c>
      <c r="F460" s="20">
        <f>IF(AND(OR(in_Mode="All Funds",AND(C460&gt;=in_BandFloor,C460&lt;=in_BandCeiling,OR(in_Geography="National",COUNTIFS(lst_GeoPreset,in_Geography,lst_GeoState,B460)&gt;0,AND(in_Geography="Custom",ISNUMBER(SEARCH(B460,SUBSTITUTE(in_CustomStates," ",""))))),OR(AND(D460="Endowment",Inputs!$B$14="Y"),AND(D460="Foundation",Inputs!$B$15="Y"),AND(D460="Healthcare",Inputs!$B$16="Y"),AND(D460="Pension",Inputs!$B$17="Y"),AND(D460="OCIO",Inputs!$B$18="Y"),AND(D460="Other",Inputs!$B$19="Y")))),A460&lt;&gt;in_ClientOrg,NOT(AND(in_ExclHarvard="Y",ISNUMBER(SEARCH("Harvard",A460))))),"Y","")</f>
        <v/>
      </c>
      <c r="G460" t="inlineStr">
        <is>
          <t>Amy Chen</t>
        </is>
      </c>
      <c r="H460" t="inlineStr">
        <is>
          <t>CHIEF INVESTMENT OFFICER</t>
        </is>
      </c>
      <c r="I460" t="inlineStr">
        <is>
          <t>CIO</t>
        </is>
      </c>
      <c r="J460" s="21" t="n">
        <v>469130</v>
      </c>
      <c r="K460" s="21" t="n">
        <v>264447</v>
      </c>
      <c r="L460" s="21" t="n">
        <v>733577</v>
      </c>
      <c r="M460" s="21" t="n">
        <v>5334</v>
      </c>
      <c r="N460" s="21" t="n">
        <v>50220</v>
      </c>
      <c r="O460" s="21" t="n">
        <v>2020</v>
      </c>
      <c r="P460" s="21" t="n">
        <v>791151</v>
      </c>
      <c r="Q460" s="21" t="n">
        <v>791151</v>
      </c>
      <c r="R460" s="21">
        <f>IF(Q460="","",Q460*(1+in_GrowthRate)^(YEARFRAC(DATE(2025,9,30),in_AgeToDate)*IF(in_AgeToDate&lt;DATE(2025,9,30),-1,1)+1))</f>
        <v/>
      </c>
      <c r="S460" s="38" t="n">
        <v>0.5636966299320018</v>
      </c>
      <c r="T460" s="43">
        <f>HYPERLINK("https://projects.propublica.org/nonprofits/organizations/530206027/202602239349300630/full","view filing")</f>
        <v/>
      </c>
    </row>
    <row r="461">
      <c r="A461" t="inlineStr">
        <is>
          <t>Smithsonian Institute</t>
        </is>
      </c>
      <c r="B461" s="20" t="inlineStr">
        <is>
          <t>DC</t>
        </is>
      </c>
      <c r="C461" s="42" t="n">
        <v>3.63</v>
      </c>
      <c r="D461" t="inlineStr">
        <is>
          <t>Other</t>
        </is>
      </c>
      <c r="E461" s="20" t="n">
        <v>2024</v>
      </c>
      <c r="F461" s="20" t="inlineStr"/>
      <c r="G461" t="inlineStr">
        <is>
          <t>Amy Chen</t>
        </is>
      </c>
      <c r="H461" t="inlineStr">
        <is>
          <t>CHIEF INVESTMENT OFFICER</t>
        </is>
      </c>
      <c r="I461" t="inlineStr">
        <is>
          <t>CIO</t>
        </is>
      </c>
      <c r="J461" s="21" t="n">
        <v>448943</v>
      </c>
      <c r="K461" s="21" t="n">
        <v>693600</v>
      </c>
      <c r="L461" s="21" t="n">
        <v>1142543</v>
      </c>
      <c r="M461" s="21" t="n">
        <v>5334</v>
      </c>
      <c r="N461" s="21" t="n">
        <v>48090</v>
      </c>
      <c r="O461" s="21" t="n">
        <v>2050</v>
      </c>
      <c r="P461" s="21" t="n">
        <v>1198017</v>
      </c>
      <c r="Q461" s="21" t="n">
        <v>1198017</v>
      </c>
      <c r="R461" s="21">
        <f>IF(Q461="","",Q461*(1+in_GrowthRate)^(YEARFRAC(DATE(2024,9,30),in_AgeToDate)*IF(in_AgeToDate&lt;DATE(2024,9,30),-1,1)+1))</f>
        <v/>
      </c>
      <c r="S461" s="38" t="n">
        <v>1.544962278062026</v>
      </c>
      <c r="T461" s="43">
        <f>HYPERLINK("https://projects.propublica.org/nonprofits/organizations/530206027/202542239349300544/full","view filing")</f>
        <v/>
      </c>
    </row>
    <row r="462">
      <c r="A462" t="inlineStr">
        <is>
          <t>Smithsonian Institute</t>
        </is>
      </c>
      <c r="B462" s="20" t="inlineStr">
        <is>
          <t>DC</t>
        </is>
      </c>
      <c r="C462" s="42" t="n">
        <v>3.63</v>
      </c>
      <c r="D462" t="inlineStr">
        <is>
          <t>Other</t>
        </is>
      </c>
      <c r="E462" s="20" t="n">
        <v>2023</v>
      </c>
      <c r="F462" s="20" t="inlineStr"/>
      <c r="G462" t="inlineStr">
        <is>
          <t>Amy Chen</t>
        </is>
      </c>
      <c r="H462" t="inlineStr">
        <is>
          <t>CHIEF INVESTMENT OFFICER</t>
        </is>
      </c>
      <c r="I462" t="inlineStr">
        <is>
          <t>CIO</t>
        </is>
      </c>
      <c r="J462" s="21" t="n">
        <v>431578</v>
      </c>
      <c r="K462" s="21" t="n">
        <v>673880</v>
      </c>
      <c r="L462" s="21" t="n">
        <v>1105458</v>
      </c>
      <c r="M462" s="21" t="n">
        <v>5334</v>
      </c>
      <c r="N462" s="21" t="n">
        <v>44500</v>
      </c>
      <c r="O462" s="21" t="n">
        <v>2020</v>
      </c>
      <c r="P462" s="21" t="n">
        <v>1157312</v>
      </c>
      <c r="Q462" s="21" t="n">
        <v>1157312</v>
      </c>
      <c r="R462" s="21">
        <f>IF(Q462="","",Q462*(1+in_GrowthRate)^(YEARFRAC(DATE(2023,9,30),in_AgeToDate)*IF(in_AgeToDate&lt;DATE(2023,9,30),-1,1)+1))</f>
        <v/>
      </c>
      <c r="S462" s="38" t="n">
        <v>1.561432695827869</v>
      </c>
      <c r="T462" s="43">
        <f>HYPERLINK("https://projects.propublica.org/nonprofits/organizations/530206027/202442289349302354/full","view filing")</f>
        <v/>
      </c>
    </row>
    <row r="463">
      <c r="A463" t="inlineStr">
        <is>
          <t>Smithsonian Institute</t>
        </is>
      </c>
      <c r="B463" s="20" t="inlineStr">
        <is>
          <t>DC</t>
        </is>
      </c>
      <c r="C463" s="42" t="n">
        <v>3.63</v>
      </c>
      <c r="D463" t="inlineStr">
        <is>
          <t>Other</t>
        </is>
      </c>
      <c r="E463" s="20" t="n">
        <v>2022</v>
      </c>
      <c r="F463" s="20" t="inlineStr"/>
      <c r="G463" t="inlineStr">
        <is>
          <t>Amy Chen</t>
        </is>
      </c>
      <c r="H463" t="inlineStr">
        <is>
          <t>CHIEF INVESTMENT OFFICER</t>
        </is>
      </c>
      <c r="I463" t="inlineStr">
        <is>
          <t>CIO</t>
        </is>
      </c>
      <c r="J463" s="21" t="n">
        <v>343907</v>
      </c>
      <c r="K463" s="21" t="n">
        <v>434855</v>
      </c>
      <c r="L463" s="21" t="n">
        <v>778762</v>
      </c>
      <c r="M463" s="21" t="n"/>
      <c r="N463" s="21" t="n">
        <v>44399</v>
      </c>
      <c r="O463" s="21" t="n">
        <v>1889</v>
      </c>
      <c r="P463" s="21" t="n">
        <v>825050</v>
      </c>
      <c r="Q463" s="21" t="n">
        <v>825050</v>
      </c>
      <c r="R463" s="21">
        <f>IF(Q463="","",Q463*(1+in_GrowthRate)^(YEARFRAC(DATE(2022,9,30),in_AgeToDate)*IF(in_AgeToDate&lt;DATE(2022,9,30),-1,1)+1))</f>
        <v/>
      </c>
      <c r="S463" s="38" t="n">
        <v>1.264455216090397</v>
      </c>
      <c r="T463" s="43">
        <f>HYPERLINK("https://projects.propublica.org/nonprofits/organizations/530206027/202302269349301205/full","view filing")</f>
        <v/>
      </c>
    </row>
    <row r="464">
      <c r="A464" t="inlineStr">
        <is>
          <t>Soka University Of America</t>
        </is>
      </c>
      <c r="B464" s="20" t="inlineStr">
        <is>
          <t>CA</t>
        </is>
      </c>
      <c r="C464" s="42" t="n">
        <v>1.61</v>
      </c>
      <c r="D464" t="inlineStr">
        <is>
          <t>Endowment</t>
        </is>
      </c>
      <c r="E464" s="20" t="n">
        <v>2025</v>
      </c>
      <c r="F464" s="20">
        <f>IF(AND(OR(in_Mode="All Funds",AND(C464&gt;=in_BandFloor,C464&lt;=in_BandCeiling,OR(in_Geography="National",COUNTIFS(lst_GeoPreset,in_Geography,lst_GeoState,B464)&gt;0,AND(in_Geography="Custom",ISNUMBER(SEARCH(B464,SUBSTITUTE(in_CustomStates," ",""))))),OR(AND(D464="Endowment",Inputs!$B$14="Y"),AND(D464="Foundation",Inputs!$B$15="Y"),AND(D464="Healthcare",Inputs!$B$16="Y"),AND(D464="Pension",Inputs!$B$17="Y"),AND(D464="OCIO",Inputs!$B$18="Y"),AND(D464="Other",Inputs!$B$19="Y")))),A464&lt;&gt;in_ClientOrg,NOT(AND(in_ExclHarvard="Y",ISNUMBER(SEARCH("Harvard",A464))))),"Y","")</f>
        <v/>
      </c>
      <c r="G464" t="inlineStr">
        <is>
          <t>Archibald E Asawa</t>
        </is>
      </c>
      <c r="H464" t="inlineStr">
        <is>
          <t>FIN &amp; ADM/CFO/CHIEF INVEST OFFCR</t>
        </is>
      </c>
      <c r="I464" t="inlineStr">
        <is>
          <t>CIO</t>
        </is>
      </c>
      <c r="J464" s="21" t="n">
        <v>367224</v>
      </c>
      <c r="K464" s="21" t="n"/>
      <c r="L464" s="21" t="n">
        <v>367224</v>
      </c>
      <c r="M464" s="21" t="n"/>
      <c r="N464" s="21" t="n">
        <v>37162</v>
      </c>
      <c r="O464" s="21" t="n">
        <v>6651</v>
      </c>
      <c r="P464" s="21" t="n">
        <v>411037</v>
      </c>
      <c r="Q464" s="21" t="n">
        <v>411037</v>
      </c>
      <c r="R464" s="21">
        <f>IF(Q464="","",Q464*(1+in_GrowthRate)^(YEARFRAC(DATE(2025,6,30),in_AgeToDate)*IF(in_AgeToDate&lt;DATE(2025,6,30),-1,1)+1))</f>
        <v/>
      </c>
      <c r="S464" s="38" t="n">
        <v>0</v>
      </c>
      <c r="T464" s="43">
        <f>HYPERLINK("https://projects.propublica.org/nonprofits/organizations/953909672/202601349349313510/full","view filing")</f>
        <v/>
      </c>
    </row>
    <row r="465">
      <c r="A465" t="inlineStr">
        <is>
          <t>Soka University Of America</t>
        </is>
      </c>
      <c r="B465" s="20" t="inlineStr">
        <is>
          <t>CA</t>
        </is>
      </c>
      <c r="C465" s="42" t="n">
        <v>1.61</v>
      </c>
      <c r="D465" t="inlineStr">
        <is>
          <t>Endowment</t>
        </is>
      </c>
      <c r="E465" s="20" t="n">
        <v>2024</v>
      </c>
      <c r="F465" s="20" t="inlineStr"/>
      <c r="G465" t="inlineStr">
        <is>
          <t>Archibald E Asawa</t>
        </is>
      </c>
      <c r="H465" t="inlineStr">
        <is>
          <t>EVP FIN &amp; ADM/CFO/CHIEF INVEST OFFCR</t>
        </is>
      </c>
      <c r="I465" t="inlineStr">
        <is>
          <t>CIO</t>
        </is>
      </c>
      <c r="J465" s="21" t="n">
        <v>357280</v>
      </c>
      <c r="K465" s="21" t="n"/>
      <c r="L465" s="21" t="n">
        <v>357280</v>
      </c>
      <c r="M465" s="21" t="n"/>
      <c r="N465" s="21" t="n">
        <v>35728</v>
      </c>
      <c r="O465" s="21" t="n">
        <v>13442</v>
      </c>
      <c r="P465" s="21" t="n">
        <v>406450</v>
      </c>
      <c r="Q465" s="21" t="n">
        <v>406450</v>
      </c>
      <c r="R465" s="21">
        <f>IF(Q465="","",Q465*(1+in_GrowthRate)^(YEARFRAC(DATE(2024,6,30),in_AgeToDate)*IF(in_AgeToDate&lt;DATE(2024,6,30),-1,1)+1))</f>
        <v/>
      </c>
      <c r="S465" s="38" t="n">
        <v>0</v>
      </c>
      <c r="T465" s="43">
        <f>HYPERLINK("https://projects.propublica.org/nonprofits/organizations/953909672/202521349349308457/full","view filing")</f>
        <v/>
      </c>
    </row>
    <row r="466">
      <c r="A466" t="inlineStr">
        <is>
          <t>Soka University Of America</t>
        </is>
      </c>
      <c r="B466" s="20" t="inlineStr">
        <is>
          <t>CA</t>
        </is>
      </c>
      <c r="C466" s="42" t="n">
        <v>1.61</v>
      </c>
      <c r="D466" t="inlineStr">
        <is>
          <t>Endowment</t>
        </is>
      </c>
      <c r="E466" s="20" t="n">
        <v>2023</v>
      </c>
      <c r="F466" s="20" t="inlineStr"/>
      <c r="G466" t="inlineStr">
        <is>
          <t>Archibald E Asawa</t>
        </is>
      </c>
      <c r="H466" t="inlineStr">
        <is>
          <t>EVP FIN &amp; ADM/CFO/CHIEF INVEST OFFCR</t>
        </is>
      </c>
      <c r="I466" t="inlineStr">
        <is>
          <t>CIO</t>
        </is>
      </c>
      <c r="J466" s="21" t="n">
        <v>332797</v>
      </c>
      <c r="K466" s="21" t="n"/>
      <c r="L466" s="21" t="n">
        <v>332797</v>
      </c>
      <c r="M466" s="21" t="n"/>
      <c r="N466" s="21" t="n">
        <v>33685</v>
      </c>
      <c r="O466" s="21" t="n">
        <v>27748</v>
      </c>
      <c r="P466" s="21" t="n">
        <v>394230</v>
      </c>
      <c r="Q466" s="21" t="n">
        <v>394230</v>
      </c>
      <c r="R466" s="21">
        <f>IF(Q466="","",Q466*(1+in_GrowthRate)^(YEARFRAC(DATE(2023,6,30),in_AgeToDate)*IF(in_AgeToDate&lt;DATE(2023,6,30),-1,1)+1))</f>
        <v/>
      </c>
      <c r="S466" s="38" t="n">
        <v>0</v>
      </c>
      <c r="T466" s="43">
        <f>HYPERLINK("https://projects.propublica.org/nonprofits/organizations/953909672/202441319349302669/full","view filing")</f>
        <v/>
      </c>
    </row>
    <row r="467">
      <c r="A467" t="inlineStr">
        <is>
          <t>Soka University Of America</t>
        </is>
      </c>
      <c r="B467" s="20" t="inlineStr">
        <is>
          <t>CA</t>
        </is>
      </c>
      <c r="C467" s="42" t="n">
        <v>1.61</v>
      </c>
      <c r="D467" t="inlineStr">
        <is>
          <t>Endowment</t>
        </is>
      </c>
      <c r="E467" s="20" t="n">
        <v>2022</v>
      </c>
      <c r="F467" s="20" t="inlineStr"/>
      <c r="G467" t="inlineStr">
        <is>
          <t>Archibald E Asawa</t>
        </is>
      </c>
      <c r="H467" t="inlineStr">
        <is>
          <t>VP FIN &amp; ADM/CFO/CHIEF INVEST OFFCR</t>
        </is>
      </c>
      <c r="I467" t="inlineStr">
        <is>
          <t>CIO</t>
        </is>
      </c>
      <c r="J467" s="21" t="n">
        <v>319317</v>
      </c>
      <c r="K467" s="21" t="n"/>
      <c r="L467" s="21" t="n">
        <v>319317</v>
      </c>
      <c r="M467" s="21" t="n"/>
      <c r="N467" s="21" t="n">
        <v>31932</v>
      </c>
      <c r="O467" s="21" t="n">
        <v>13104</v>
      </c>
      <c r="P467" s="21" t="n">
        <v>364353</v>
      </c>
      <c r="Q467" s="21" t="n">
        <v>364353</v>
      </c>
      <c r="R467" s="21">
        <f>IF(Q467="","",Q467*(1+in_GrowthRate)^(YEARFRAC(DATE(2022,6,30),in_AgeToDate)*IF(in_AgeToDate&lt;DATE(2022,6,30),-1,1)+1))</f>
        <v/>
      </c>
      <c r="S467" s="38" t="n">
        <v>0</v>
      </c>
      <c r="T467" s="43">
        <f>HYPERLINK("https://projects.propublica.org/nonprofits/organizations/953909672/202301359349307765/full","view filing")</f>
        <v/>
      </c>
    </row>
    <row r="468">
      <c r="A468" t="inlineStr">
        <is>
          <t>Southern Methodist University</t>
        </is>
      </c>
      <c r="B468" s="20" t="inlineStr">
        <is>
          <t>TX</t>
        </is>
      </c>
      <c r="C468" s="42" t="n">
        <v>2.34</v>
      </c>
      <c r="D468" t="inlineStr">
        <is>
          <t>Endowment</t>
        </is>
      </c>
      <c r="E468" s="20" t="n">
        <v>2025</v>
      </c>
      <c r="F468" s="20">
        <f>IF(AND(OR(in_Mode="All Funds",AND(C468&gt;=in_BandFloor,C468&lt;=in_BandCeiling,OR(in_Geography="National",COUNTIFS(lst_GeoPreset,in_Geography,lst_GeoState,B468)&gt;0,AND(in_Geography="Custom",ISNUMBER(SEARCH(B468,SUBSTITUTE(in_CustomStates," ",""))))),OR(AND(D468="Endowment",Inputs!$B$14="Y"),AND(D468="Foundation",Inputs!$B$15="Y"),AND(D468="Healthcare",Inputs!$B$16="Y"),AND(D468="Pension",Inputs!$B$17="Y"),AND(D468="OCIO",Inputs!$B$18="Y"),AND(D468="Other",Inputs!$B$19="Y")))),A468&lt;&gt;in_ClientOrg,NOT(AND(in_ExclHarvard="Y",ISNUMBER(SEARCH("Harvard",A468))))),"Y","")</f>
        <v/>
      </c>
      <c r="G468" t="inlineStr">
        <is>
          <t>Rakesh Dahiya</t>
        </is>
      </c>
      <c r="H468" t="inlineStr">
        <is>
          <t>Chief Investment Officer</t>
        </is>
      </c>
      <c r="I468" t="inlineStr">
        <is>
          <t>CIO</t>
        </is>
      </c>
      <c r="J468" s="21" t="n">
        <v>596286</v>
      </c>
      <c r="K468" s="21" t="n">
        <v>149990</v>
      </c>
      <c r="L468" s="21" t="n">
        <v>746276</v>
      </c>
      <c r="M468" s="21" t="n">
        <v>12680</v>
      </c>
      <c r="N468" s="21" t="n">
        <v>34500</v>
      </c>
      <c r="O468" s="21" t="n">
        <v>157343</v>
      </c>
      <c r="P468" s="21" t="n">
        <v>950799</v>
      </c>
      <c r="Q468" s="21" t="n">
        <v>950799</v>
      </c>
      <c r="R468" s="21">
        <f>IF(Q468="","",Q468*(1+in_GrowthRate)^(YEARFRAC(DATE(2025,5,31),in_AgeToDate)*IF(in_AgeToDate&lt;DATE(2025,5,31),-1,1)+1))</f>
        <v/>
      </c>
      <c r="S468" s="38" t="n">
        <v>0.2515403682125691</v>
      </c>
      <c r="T468" s="43">
        <f>HYPERLINK("https://projects.propublica.org/nonprofits/organizations/750800689/202601009349301025/full","view filing")</f>
        <v/>
      </c>
    </row>
    <row r="469">
      <c r="A469" t="inlineStr">
        <is>
          <t>Southern Methodist University</t>
        </is>
      </c>
      <c r="B469" s="20" t="inlineStr">
        <is>
          <t>TX</t>
        </is>
      </c>
      <c r="C469" s="42" t="n">
        <v>2.34</v>
      </c>
      <c r="D469" t="inlineStr">
        <is>
          <t>Endowment</t>
        </is>
      </c>
      <c r="E469" s="20" t="n">
        <v>2024</v>
      </c>
      <c r="F469" s="20" t="inlineStr"/>
      <c r="G469" t="inlineStr">
        <is>
          <t>Rakesh Dahiya</t>
        </is>
      </c>
      <c r="H469" t="inlineStr">
        <is>
          <t>Chief Investment Officer</t>
        </is>
      </c>
      <c r="I469" t="inlineStr">
        <is>
          <t>CIO</t>
        </is>
      </c>
      <c r="J469" s="21" t="n">
        <v>570973</v>
      </c>
      <c r="K469" s="21" t="n">
        <v>131790</v>
      </c>
      <c r="L469" s="21" t="n">
        <v>702763</v>
      </c>
      <c r="M469" s="21" t="n">
        <v>12654</v>
      </c>
      <c r="N469" s="21" t="n">
        <v>33000</v>
      </c>
      <c r="O469" s="21" t="n">
        <v>171590</v>
      </c>
      <c r="P469" s="21" t="n">
        <v>920007</v>
      </c>
      <c r="Q469" s="21" t="n">
        <v>920007</v>
      </c>
      <c r="R469" s="21">
        <f>IF(Q469="","",Q469*(1+in_GrowthRate)^(YEARFRAC(DATE(2024,5,31),in_AgeToDate)*IF(in_AgeToDate&lt;DATE(2024,5,31),-1,1)+1))</f>
        <v/>
      </c>
      <c r="S469" s="38" t="n">
        <v>0.2308165184693497</v>
      </c>
      <c r="T469" s="43">
        <f>HYPERLINK("https://projects.propublica.org/nonprofits/organizations/750800689/202501009349301230/full","view filing")</f>
        <v/>
      </c>
    </row>
    <row r="470">
      <c r="A470" t="inlineStr">
        <is>
          <t>Southern Methodist University</t>
        </is>
      </c>
      <c r="B470" s="20" t="inlineStr">
        <is>
          <t>TX</t>
        </is>
      </c>
      <c r="C470" s="42" t="n">
        <v>2.34</v>
      </c>
      <c r="D470" t="inlineStr">
        <is>
          <t>Endowment</t>
        </is>
      </c>
      <c r="E470" s="20" t="n">
        <v>2023</v>
      </c>
      <c r="F470" s="20" t="inlineStr"/>
      <c r="G470" t="inlineStr">
        <is>
          <t>Rakesh Dahiya</t>
        </is>
      </c>
      <c r="H470" t="inlineStr">
        <is>
          <t>Chief Investment Officer</t>
        </is>
      </c>
      <c r="I470" t="inlineStr">
        <is>
          <t>CIO</t>
        </is>
      </c>
      <c r="J470" s="21" t="n">
        <v>550633</v>
      </c>
      <c r="K470" s="21" t="n">
        <v>147622</v>
      </c>
      <c r="L470" s="21" t="n">
        <v>698255</v>
      </c>
      <c r="M470" s="21" t="n">
        <v>15766</v>
      </c>
      <c r="N470" s="21" t="n">
        <v>30500</v>
      </c>
      <c r="O470" s="21" t="n">
        <v>145452</v>
      </c>
      <c r="P470" s="21" t="n">
        <v>889973</v>
      </c>
      <c r="Q470" s="21" t="n">
        <v>889973</v>
      </c>
      <c r="R470" s="21">
        <f>IF(Q470="","",Q470*(1+in_GrowthRate)^(YEARFRAC(DATE(2023,5,31),in_AgeToDate)*IF(in_AgeToDate&lt;DATE(2023,5,31),-1,1)+1))</f>
        <v/>
      </c>
      <c r="S470" s="38" t="n">
        <v>0.2680950832950441</v>
      </c>
      <c r="T470" s="43">
        <f>HYPERLINK("https://projects.propublica.org/nonprofits/organizations/750800689/202411039349301961/full","view filing")</f>
        <v/>
      </c>
    </row>
    <row r="471">
      <c r="A471" t="inlineStr">
        <is>
          <t>Southern Methodist University</t>
        </is>
      </c>
      <c r="B471" s="20" t="inlineStr">
        <is>
          <t>TX</t>
        </is>
      </c>
      <c r="C471" s="42" t="n">
        <v>2.34</v>
      </c>
      <c r="D471" t="inlineStr">
        <is>
          <t>Endowment</t>
        </is>
      </c>
      <c r="E471" s="20" t="n">
        <v>2022</v>
      </c>
      <c r="F471" s="20" t="inlineStr"/>
      <c r="G471" t="inlineStr">
        <is>
          <t>Rakesh Dahiya</t>
        </is>
      </c>
      <c r="H471" t="inlineStr">
        <is>
          <t>Chief Investment Officer</t>
        </is>
      </c>
      <c r="I471" t="inlineStr">
        <is>
          <t>CIO</t>
        </is>
      </c>
      <c r="J471" s="21" t="n">
        <v>490620</v>
      </c>
      <c r="K471" s="21" t="n">
        <v>172458</v>
      </c>
      <c r="L471" s="21" t="n">
        <v>663078</v>
      </c>
      <c r="M471" s="21" t="n">
        <v>13060</v>
      </c>
      <c r="N471" s="21" t="n">
        <v>29000</v>
      </c>
      <c r="O471" s="21" t="n">
        <v>35486</v>
      </c>
      <c r="P471" s="21" t="n">
        <v>740624</v>
      </c>
      <c r="Q471" s="21" t="n">
        <v>740624</v>
      </c>
      <c r="R471" s="21">
        <f>IF(Q471="","",Q471*(1+in_GrowthRate)^(YEARFRAC(DATE(2022,5,31),in_AgeToDate)*IF(in_AgeToDate&lt;DATE(2022,5,31),-1,1)+1))</f>
        <v/>
      </c>
      <c r="S471" s="38" t="n">
        <v>0.351510333863275</v>
      </c>
      <c r="T471" s="43">
        <f>HYPERLINK("https://projects.propublica.org/nonprofits/organizations/750800689/202341089349301929/full","view filing")</f>
        <v/>
      </c>
    </row>
    <row r="472">
      <c r="A472" t="inlineStr">
        <is>
          <t>Spelman College</t>
        </is>
      </c>
      <c r="B472" s="20" t="inlineStr">
        <is>
          <t>GA</t>
        </is>
      </c>
      <c r="C472" s="42" t="n">
        <v>0.57</v>
      </c>
      <c r="D472" t="inlineStr">
        <is>
          <t>Endowment</t>
        </is>
      </c>
      <c r="E472" s="20" t="n">
        <v>2022</v>
      </c>
      <c r="F472" s="20" t="inlineStr"/>
      <c r="G472" t="inlineStr">
        <is>
          <t>Robert D Flanigan Jr</t>
        </is>
      </c>
      <c r="H472" t="inlineStr">
        <is>
          <t>Chief Investment Officer &amp; Treasurer</t>
        </is>
      </c>
      <c r="I472" t="inlineStr">
        <is>
          <t>CIO</t>
        </is>
      </c>
      <c r="J472" s="21" t="n">
        <v>388756</v>
      </c>
      <c r="K472" s="21" t="n"/>
      <c r="L472" s="21" t="n">
        <v>388756</v>
      </c>
      <c r="M472" s="21" t="n"/>
      <c r="N472" s="21" t="n">
        <v>18266</v>
      </c>
      <c r="O472" s="21" t="n">
        <v>4966</v>
      </c>
      <c r="P472" s="21" t="n">
        <v>411988</v>
      </c>
      <c r="Q472" s="21" t="n">
        <v>411988</v>
      </c>
      <c r="R472" s="21">
        <f>IF(Q472="","",Q472*(1+in_GrowthRate)^(YEARFRAC(DATE(2022,6,30),in_AgeToDate)*IF(in_AgeToDate&lt;DATE(2022,6,30),-1,1)+1))</f>
        <v/>
      </c>
      <c r="S472" s="38" t="n">
        <v>0</v>
      </c>
      <c r="T472" s="43">
        <f>HYPERLINK("https://projects.propublica.org/nonprofits/organizations/580566243/202311359349320406/full","view filing")</f>
        <v/>
      </c>
    </row>
    <row r="473">
      <c r="A473" t="inlineStr">
        <is>
          <t>State University Of Iowa Foundation</t>
        </is>
      </c>
      <c r="B473" s="20" t="inlineStr">
        <is>
          <t>IA</t>
        </is>
      </c>
      <c r="C473" s="42" t="n">
        <v>3.77</v>
      </c>
      <c r="D473" t="inlineStr">
        <is>
          <t>Endowment</t>
        </is>
      </c>
      <c r="E473" s="20" t="n">
        <v>2025</v>
      </c>
      <c r="F473" s="20">
        <f>IF(AND(OR(in_Mode="All Funds",AND(C473&gt;=in_BandFloor,C473&lt;=in_BandCeiling,OR(in_Geography="National",COUNTIFS(lst_GeoPreset,in_Geography,lst_GeoState,B473)&gt;0,AND(in_Geography="Custom",ISNUMBER(SEARCH(B473,SUBSTITUTE(in_CustomStates," ",""))))),OR(AND(D473="Endowment",Inputs!$B$14="Y"),AND(D473="Foundation",Inputs!$B$15="Y"),AND(D473="Healthcare",Inputs!$B$16="Y"),AND(D473="Pension",Inputs!$B$17="Y"),AND(D473="OCIO",Inputs!$B$18="Y"),AND(D473="Other",Inputs!$B$19="Y")))),A473&lt;&gt;in_ClientOrg,NOT(AND(in_ExclHarvard="Y",ISNUMBER(SEARCH("Harvard",A473))))),"Y","")</f>
        <v/>
      </c>
      <c r="G473" t="inlineStr">
        <is>
          <t>Jim Bethea</t>
        </is>
      </c>
      <c r="H473" t="inlineStr">
        <is>
          <t>CHIEF INVESTMENT OFFICER</t>
        </is>
      </c>
      <c r="I473" t="inlineStr">
        <is>
          <t>CIO</t>
        </is>
      </c>
      <c r="J473" s="21" t="n">
        <v>336505</v>
      </c>
      <c r="K473" s="21" t="n">
        <v>10757</v>
      </c>
      <c r="L473" s="21" t="n">
        <v>347262</v>
      </c>
      <c r="M473" s="21" t="n">
        <v>1146</v>
      </c>
      <c r="N473" s="21" t="n">
        <v>34500</v>
      </c>
      <c r="O473" s="21" t="n">
        <v>29889</v>
      </c>
      <c r="P473" s="21" t="n">
        <v>412797</v>
      </c>
      <c r="Q473" s="21" t="n">
        <v>412797</v>
      </c>
      <c r="R473" s="21">
        <f>IF(Q473="","",Q473*(1+in_GrowthRate)^(YEARFRAC(DATE(2025,6,30),in_AgeToDate)*IF(in_AgeToDate&lt;DATE(2025,6,30),-1,1)+1))</f>
        <v/>
      </c>
      <c r="S473" s="38" t="n">
        <v>0.03196683555964993</v>
      </c>
      <c r="T473" s="43">
        <f>HYPERLINK("https://projects.propublica.org/nonprofits/organizations/420796760/202513169349302496/full","view filing")</f>
        <v/>
      </c>
    </row>
    <row r="474">
      <c r="A474" t="inlineStr">
        <is>
          <t>State University Of Iowa Foundation</t>
        </is>
      </c>
      <c r="B474" s="20" t="inlineStr">
        <is>
          <t>IA</t>
        </is>
      </c>
      <c r="C474" s="42" t="n">
        <v>3.77</v>
      </c>
      <c r="D474" t="inlineStr">
        <is>
          <t>Endowment</t>
        </is>
      </c>
      <c r="E474" s="20" t="n">
        <v>2024</v>
      </c>
      <c r="F474" s="20" t="inlineStr"/>
      <c r="G474" t="inlineStr">
        <is>
          <t>Jim Bethea</t>
        </is>
      </c>
      <c r="H474" t="inlineStr">
        <is>
          <t>CHIEF INVESTMENT OFFICER</t>
        </is>
      </c>
      <c r="I474" t="inlineStr">
        <is>
          <t>CIO</t>
        </is>
      </c>
      <c r="J474" s="21" t="n">
        <v>311113</v>
      </c>
      <c r="K474" s="21" t="n">
        <v>13287</v>
      </c>
      <c r="L474" s="21" t="n">
        <v>324400</v>
      </c>
      <c r="M474" s="21" t="n">
        <v>1146</v>
      </c>
      <c r="N474" s="21" t="n">
        <v>32435</v>
      </c>
      <c r="O474" s="21" t="n">
        <v>29339</v>
      </c>
      <c r="P474" s="21" t="n">
        <v>387320</v>
      </c>
      <c r="Q474" s="21" t="n">
        <v>387320</v>
      </c>
      <c r="R474" s="21">
        <f>IF(Q474="","",Q474*(1+in_GrowthRate)^(YEARFRAC(DATE(2024,6,30),in_AgeToDate)*IF(in_AgeToDate&lt;DATE(2024,6,30),-1,1)+1))</f>
        <v/>
      </c>
      <c r="S474" s="38" t="n">
        <v>0.04270795498741615</v>
      </c>
      <c r="T474" s="43">
        <f>HYPERLINK("https://projects.propublica.org/nonprofits/organizations/420796760/202443199349315844/full","view filing")</f>
        <v/>
      </c>
    </row>
    <row r="475">
      <c r="A475" t="inlineStr">
        <is>
          <t>State University Of Iowa Foundation</t>
        </is>
      </c>
      <c r="B475" s="20" t="inlineStr">
        <is>
          <t>IA</t>
        </is>
      </c>
      <c r="C475" s="42" t="n">
        <v>3.77</v>
      </c>
      <c r="D475" t="inlineStr">
        <is>
          <t>Endowment</t>
        </is>
      </c>
      <c r="E475" s="20" t="n">
        <v>2023</v>
      </c>
      <c r="F475" s="20" t="inlineStr"/>
      <c r="G475" t="inlineStr">
        <is>
          <t>Jim Bethea</t>
        </is>
      </c>
      <c r="H475" t="inlineStr">
        <is>
          <t>CHIEF INVESTMENT OFFICER</t>
        </is>
      </c>
      <c r="I475" t="inlineStr">
        <is>
          <t>CIO</t>
        </is>
      </c>
      <c r="J475" s="21" t="n">
        <v>295007</v>
      </c>
      <c r="K475" s="21" t="n">
        <v>16071</v>
      </c>
      <c r="L475" s="21" t="n">
        <v>311078</v>
      </c>
      <c r="M475" s="21" t="n">
        <v>748</v>
      </c>
      <c r="N475" s="21" t="n">
        <v>29000</v>
      </c>
      <c r="O475" s="21" t="n">
        <v>26608</v>
      </c>
      <c r="P475" s="21" t="n">
        <v>367434</v>
      </c>
      <c r="Q475" s="21" t="n">
        <v>367434</v>
      </c>
      <c r="R475" s="21">
        <f>IF(Q475="","",Q475*(1+in_GrowthRate)^(YEARFRAC(DATE(2023,6,30),in_AgeToDate)*IF(in_AgeToDate&lt;DATE(2023,6,30),-1,1)+1))</f>
        <v/>
      </c>
      <c r="S475" s="38" t="n">
        <v>0.05447667343486765</v>
      </c>
      <c r="T475" s="43">
        <f>HYPERLINK("https://projects.propublica.org/nonprofits/organizations/420796760/202400469349300935/full","view filing")</f>
        <v/>
      </c>
    </row>
    <row r="476">
      <c r="A476" t="inlineStr">
        <is>
          <t>State University Of Iowa Foundation</t>
        </is>
      </c>
      <c r="B476" s="20" t="inlineStr">
        <is>
          <t>IA</t>
        </is>
      </c>
      <c r="C476" s="42" t="n">
        <v>3.77</v>
      </c>
      <c r="D476" t="inlineStr">
        <is>
          <t>Endowment</t>
        </is>
      </c>
      <c r="E476" s="20" t="n">
        <v>2022</v>
      </c>
      <c r="F476" s="20" t="inlineStr"/>
      <c r="G476" t="inlineStr">
        <is>
          <t>Jim Bethea</t>
        </is>
      </c>
      <c r="H476" t="inlineStr">
        <is>
          <t>CHIEF INVESTMENT OFFICER</t>
        </is>
      </c>
      <c r="I476" t="inlineStr">
        <is>
          <t>CIO</t>
        </is>
      </c>
      <c r="J476" s="21" t="n">
        <v>285965</v>
      </c>
      <c r="K476" s="21" t="n">
        <v>13491</v>
      </c>
      <c r="L476" s="21" t="n">
        <v>299456</v>
      </c>
      <c r="M476" s="21" t="n">
        <v>748</v>
      </c>
      <c r="N476" s="21" t="n">
        <v>29000</v>
      </c>
      <c r="O476" s="21" t="n">
        <v>20910</v>
      </c>
      <c r="P476" s="21" t="n">
        <v>350114</v>
      </c>
      <c r="Q476" s="21" t="n">
        <v>350114</v>
      </c>
      <c r="R476" s="21">
        <f>IF(Q476="","",Q476*(1+in_GrowthRate)^(YEARFRAC(DATE(2022,6,30),in_AgeToDate)*IF(in_AgeToDate&lt;DATE(2022,6,30),-1,1)+1))</f>
        <v/>
      </c>
      <c r="S476" s="38" t="n">
        <v>0.04717710209291347</v>
      </c>
      <c r="T476" s="43">
        <f>HYPERLINK("https://projects.propublica.org/nonprofits/organizations/420796760/202331229349301813/full","view filing")</f>
        <v/>
      </c>
    </row>
    <row r="477">
      <c r="A477" t="inlineStr">
        <is>
          <t>Swarthmore College</t>
        </is>
      </c>
      <c r="B477" s="20" t="inlineStr">
        <is>
          <t>PA</t>
        </is>
      </c>
      <c r="C477" s="42" t="n">
        <v>2.84</v>
      </c>
      <c r="D477" t="inlineStr">
        <is>
          <t>Endowment</t>
        </is>
      </c>
      <c r="E477" s="20" t="n">
        <v>2025</v>
      </c>
      <c r="F477" s="20">
        <f>IF(AND(OR(in_Mode="All Funds",AND(C477&gt;=in_BandFloor,C477&lt;=in_BandCeiling,OR(in_Geography="National",COUNTIFS(lst_GeoPreset,in_Geography,lst_GeoState,B477)&gt;0,AND(in_Geography="Custom",ISNUMBER(SEARCH(B477,SUBSTITUTE(in_CustomStates," ",""))))),OR(AND(D477="Endowment",Inputs!$B$14="Y"),AND(D477="Foundation",Inputs!$B$15="Y"),AND(D477="Healthcare",Inputs!$B$16="Y"),AND(D477="Pension",Inputs!$B$17="Y"),AND(D477="OCIO",Inputs!$B$18="Y"),AND(D477="Other",Inputs!$B$19="Y")))),A477&lt;&gt;in_ClientOrg,NOT(AND(in_ExclHarvard="Y",ISNUMBER(SEARCH("Harvard",A477))))),"Y","")</f>
        <v/>
      </c>
      <c r="G477" t="inlineStr">
        <is>
          <t>Frank C Grunseich</t>
        </is>
      </c>
      <c r="H477" t="inlineStr">
        <is>
          <t>CHIEF INVESTMENT OFFICER</t>
        </is>
      </c>
      <c r="I477" t="inlineStr">
        <is>
          <t>CIO</t>
        </is>
      </c>
      <c r="J477" s="21" t="n">
        <v>551123</v>
      </c>
      <c r="K477" s="21" t="n"/>
      <c r="L477" s="21" t="n">
        <v>551123</v>
      </c>
      <c r="M477" s="21" t="n"/>
      <c r="N477" s="21" t="n">
        <v>34500</v>
      </c>
      <c r="O477" s="21" t="n">
        <v>46946</v>
      </c>
      <c r="P477" s="21" t="n">
        <v>632569</v>
      </c>
      <c r="Q477" s="21" t="n">
        <v>632569</v>
      </c>
      <c r="R477" s="21">
        <f>IF(Q477="","",Q477*(1+in_GrowthRate)^(YEARFRAC(DATE(2025,6,30),in_AgeToDate)*IF(in_AgeToDate&lt;DATE(2025,6,30),-1,1)+1))</f>
        <v/>
      </c>
      <c r="S477" s="38" t="n">
        <v>0</v>
      </c>
      <c r="T477" s="43">
        <f>HYPERLINK("https://projects.propublica.org/nonprofits/organizations/231352683/202621319349304407/full","view filing")</f>
        <v/>
      </c>
    </row>
    <row r="478">
      <c r="A478" t="inlineStr">
        <is>
          <t>Swarthmore College</t>
        </is>
      </c>
      <c r="B478" s="20" t="inlineStr">
        <is>
          <t>PA</t>
        </is>
      </c>
      <c r="C478" s="42" t="n">
        <v>2.84</v>
      </c>
      <c r="D478" t="inlineStr">
        <is>
          <t>Endowment</t>
        </is>
      </c>
      <c r="E478" s="20" t="n">
        <v>2023</v>
      </c>
      <c r="F478" s="20" t="inlineStr"/>
      <c r="G478" t="inlineStr">
        <is>
          <t>Mark C Amstutz</t>
        </is>
      </c>
      <c r="H478" t="inlineStr">
        <is>
          <t>CHIEF INVESTMENT OFFICER</t>
        </is>
      </c>
      <c r="I478" t="inlineStr">
        <is>
          <t>CIO</t>
        </is>
      </c>
      <c r="J478" s="21" t="n">
        <v>445115</v>
      </c>
      <c r="K478" s="21" t="n"/>
      <c r="L478" s="21" t="n">
        <v>445115</v>
      </c>
      <c r="M478" s="21" t="n"/>
      <c r="N478" s="21" t="n">
        <v>30500</v>
      </c>
      <c r="O478" s="21" t="n">
        <v>22390</v>
      </c>
      <c r="P478" s="21" t="n">
        <v>498005</v>
      </c>
      <c r="Q478" s="21" t="n">
        <v>498005</v>
      </c>
      <c r="R478" s="21">
        <f>IF(Q478="","",Q478*(1+in_GrowthRate)^(YEARFRAC(DATE(2023,6,30),in_AgeToDate)*IF(in_AgeToDate&lt;DATE(2023,6,30),-1,1)+1))</f>
        <v/>
      </c>
      <c r="S478" s="38" t="n">
        <v>0</v>
      </c>
      <c r="T478" s="43">
        <f>HYPERLINK("https://projects.propublica.org/nonprofits/organizations/231352683/202401299349304150/full","view filing")</f>
        <v/>
      </c>
    </row>
    <row r="479">
      <c r="A479" t="inlineStr">
        <is>
          <t>Swarthmore College</t>
        </is>
      </c>
      <c r="B479" s="20" t="inlineStr">
        <is>
          <t>PA</t>
        </is>
      </c>
      <c r="C479" s="42" t="n">
        <v>2.84</v>
      </c>
      <c r="D479" t="inlineStr">
        <is>
          <t>Endowment</t>
        </is>
      </c>
      <c r="E479" s="20" t="n">
        <v>2022</v>
      </c>
      <c r="F479" s="20" t="inlineStr"/>
      <c r="G479" t="inlineStr">
        <is>
          <t>Mark C Amstutz</t>
        </is>
      </c>
      <c r="H479" t="inlineStr">
        <is>
          <t>CHIEF INVESTMENT OFFICER</t>
        </is>
      </c>
      <c r="I479" t="inlineStr">
        <is>
          <t>CIO</t>
        </is>
      </c>
      <c r="J479" s="21" t="n">
        <v>357262</v>
      </c>
      <c r="K479" s="21" t="n"/>
      <c r="L479" s="21" t="n">
        <v>357262</v>
      </c>
      <c r="M479" s="21" t="n"/>
      <c r="N479" s="21" t="n">
        <v>29000</v>
      </c>
      <c r="O479" s="21" t="n">
        <v>21829</v>
      </c>
      <c r="P479" s="21" t="n">
        <v>408091</v>
      </c>
      <c r="Q479" s="21" t="n">
        <v>408091</v>
      </c>
      <c r="R479" s="21">
        <f>IF(Q479="","",Q479*(1+in_GrowthRate)^(YEARFRAC(DATE(2022,6,30),in_AgeToDate)*IF(in_AgeToDate&lt;DATE(2022,6,30),-1,1)+1))</f>
        <v/>
      </c>
      <c r="S479" s="38" t="n">
        <v>0</v>
      </c>
      <c r="T479" s="43">
        <f>HYPERLINK("https://projects.propublica.org/nonprofits/organizations/231352683/202301319349301635/full","view filing")</f>
        <v/>
      </c>
    </row>
    <row r="480">
      <c r="A480" t="inlineStr">
        <is>
          <t>Texas A&amp;M Foundation</t>
        </is>
      </c>
      <c r="B480" s="20" t="inlineStr">
        <is>
          <t>TX</t>
        </is>
      </c>
      <c r="C480" s="42" t="n">
        <v>3.43</v>
      </c>
      <c r="D480" t="inlineStr">
        <is>
          <t>Foundation</t>
        </is>
      </c>
      <c r="E480" s="20" t="n">
        <v>2025</v>
      </c>
      <c r="F480" s="20">
        <f>IF(AND(OR(in_Mode="All Funds",AND(C480&gt;=in_BandFloor,C480&lt;=in_BandCeiling,OR(in_Geography="National",COUNTIFS(lst_GeoPreset,in_Geography,lst_GeoState,B480)&gt;0,AND(in_Geography="Custom",ISNUMBER(SEARCH(B480,SUBSTITUTE(in_CustomStates," ",""))))),OR(AND(D480="Endowment",Inputs!$B$14="Y"),AND(D480="Foundation",Inputs!$B$15="Y"),AND(D480="Healthcare",Inputs!$B$16="Y"),AND(D480="Pension",Inputs!$B$17="Y"),AND(D480="OCIO",Inputs!$B$18="Y"),AND(D480="Other",Inputs!$B$19="Y")))),A480&lt;&gt;in_ClientOrg,NOT(AND(in_ExclHarvard="Y",ISNUMBER(SEARCH("Harvard",A480))))),"Y","")</f>
        <v/>
      </c>
      <c r="G480" t="inlineStr">
        <is>
          <t>Michael D Pia</t>
        </is>
      </c>
      <c r="H480" t="inlineStr">
        <is>
          <t>CHIEF INVESTMENT OFFICER</t>
        </is>
      </c>
      <c r="I480" t="inlineStr">
        <is>
          <t>CIO</t>
        </is>
      </c>
      <c r="J480" s="21" t="n">
        <v>546759</v>
      </c>
      <c r="K480" s="21" t="n">
        <v>689063</v>
      </c>
      <c r="L480" s="21" t="n">
        <v>1235822</v>
      </c>
      <c r="M480" s="21" t="n">
        <v>5141</v>
      </c>
      <c r="N480" s="21" t="n">
        <v>58260</v>
      </c>
      <c r="O480" s="21" t="n">
        <v>23902</v>
      </c>
      <c r="P480" s="21" t="n">
        <v>1323125</v>
      </c>
      <c r="Q480" s="21" t="n">
        <v>1323125</v>
      </c>
      <c r="R480" s="21">
        <f>IF(Q480="","",Q480*(1+in_GrowthRate)^(YEARFRAC(DATE(2025,6,30),in_AgeToDate)*IF(in_AgeToDate&lt;DATE(2025,6,30),-1,1)+1))</f>
        <v/>
      </c>
      <c r="S480" s="38" t="n">
        <v>1.260268235182228</v>
      </c>
      <c r="T480" s="43">
        <f>HYPERLINK("https://projects.propublica.org/nonprofits/organizations/742245072/202601319349304565/full","view filing")</f>
        <v/>
      </c>
    </row>
    <row r="481">
      <c r="A481" t="inlineStr">
        <is>
          <t>Texas A&amp;M Foundation</t>
        </is>
      </c>
      <c r="B481" s="20" t="inlineStr">
        <is>
          <t>TX</t>
        </is>
      </c>
      <c r="C481" s="42" t="n">
        <v>3.43</v>
      </c>
      <c r="D481" t="inlineStr">
        <is>
          <t>Foundation</t>
        </is>
      </c>
      <c r="E481" s="20" t="n">
        <v>2024</v>
      </c>
      <c r="F481" s="20" t="inlineStr"/>
      <c r="G481" t="inlineStr">
        <is>
          <t>Michael D Pia</t>
        </is>
      </c>
      <c r="H481" t="inlineStr">
        <is>
          <t>CIO</t>
        </is>
      </c>
      <c r="I481" t="inlineStr">
        <is>
          <t>CIO</t>
        </is>
      </c>
      <c r="J481" s="21" t="n">
        <v>519048</v>
      </c>
      <c r="K481" s="21" t="n">
        <v>656250</v>
      </c>
      <c r="L481" s="21" t="n">
        <v>1175298</v>
      </c>
      <c r="M481" s="21" t="n">
        <v>4662</v>
      </c>
      <c r="N481" s="21" t="n">
        <v>57693</v>
      </c>
      <c r="O481" s="21" t="n">
        <v>22054</v>
      </c>
      <c r="P481" s="21" t="n">
        <v>1259707</v>
      </c>
      <c r="Q481" s="21" t="n">
        <v>1259707</v>
      </c>
      <c r="R481" s="21">
        <f>IF(Q481="","",Q481*(1+in_GrowthRate)^(YEARFRAC(DATE(2024,6,30),in_AgeToDate)*IF(in_AgeToDate&lt;DATE(2024,6,30),-1,1)+1))</f>
        <v/>
      </c>
      <c r="S481" s="38" t="n">
        <v>1.26433393443381</v>
      </c>
      <c r="T481" s="43">
        <f>HYPERLINK("https://projects.propublica.org/nonprofits/organizations/742245072/202521219349302817/full","view filing")</f>
        <v/>
      </c>
    </row>
    <row r="482">
      <c r="A482" t="inlineStr">
        <is>
          <t>Texas A&amp;M Foundation</t>
        </is>
      </c>
      <c r="B482" s="20" t="inlineStr">
        <is>
          <t>TX</t>
        </is>
      </c>
      <c r="C482" s="42" t="n">
        <v>3.43</v>
      </c>
      <c r="D482" t="inlineStr">
        <is>
          <t>Foundation</t>
        </is>
      </c>
      <c r="E482" s="20" t="n">
        <v>2023</v>
      </c>
      <c r="F482" s="20" t="inlineStr"/>
      <c r="G482" t="inlineStr">
        <is>
          <t>Michael D Pia</t>
        </is>
      </c>
      <c r="H482" t="inlineStr">
        <is>
          <t>CIO</t>
        </is>
      </c>
      <c r="I482" t="inlineStr">
        <is>
          <t>CIO</t>
        </is>
      </c>
      <c r="J482" s="21" t="n">
        <v>411447</v>
      </c>
      <c r="K482" s="21" t="n">
        <v>489460</v>
      </c>
      <c r="L482" s="21" t="n">
        <v>900907</v>
      </c>
      <c r="M482" s="21" t="n">
        <v>3312</v>
      </c>
      <c r="N482" s="21" t="n">
        <v>58415</v>
      </c>
      <c r="O482" s="21" t="n">
        <v>22455</v>
      </c>
      <c r="P482" s="21" t="n">
        <v>985089</v>
      </c>
      <c r="Q482" s="21" t="n">
        <v>985089</v>
      </c>
      <c r="R482" s="21">
        <f>IF(Q482="","",Q482*(1+in_GrowthRate)^(YEARFRAC(DATE(2023,6,30),in_AgeToDate)*IF(in_AgeToDate&lt;DATE(2023,6,30),-1,1)+1))</f>
        <v/>
      </c>
      <c r="S482" s="38" t="n">
        <v>1.189606437767197</v>
      </c>
      <c r="T482" s="43">
        <f>HYPERLINK("https://projects.propublica.org/nonprofits/organizations/742245072/202431219349302578/full","view filing")</f>
        <v/>
      </c>
    </row>
    <row r="483">
      <c r="A483" t="inlineStr">
        <is>
          <t>Texas A&amp;M Foundation</t>
        </is>
      </c>
      <c r="B483" s="20" t="inlineStr">
        <is>
          <t>TX</t>
        </is>
      </c>
      <c r="C483" s="42" t="n">
        <v>3.43</v>
      </c>
      <c r="D483" t="inlineStr">
        <is>
          <t>Foundation</t>
        </is>
      </c>
      <c r="E483" s="20" t="n">
        <v>2022</v>
      </c>
      <c r="F483" s="20" t="inlineStr"/>
      <c r="G483" t="inlineStr">
        <is>
          <t>Michael D Pia</t>
        </is>
      </c>
      <c r="H483" t="inlineStr">
        <is>
          <t>CIO</t>
        </is>
      </c>
      <c r="I483" t="inlineStr">
        <is>
          <t>CIO</t>
        </is>
      </c>
      <c r="J483" s="21" t="n">
        <v>350435</v>
      </c>
      <c r="K483" s="21" t="n">
        <v>165133</v>
      </c>
      <c r="L483" s="21" t="n">
        <v>515568</v>
      </c>
      <c r="M483" s="21" t="n">
        <v>2467</v>
      </c>
      <c r="N483" s="21" t="n">
        <v>50704</v>
      </c>
      <c r="O483" s="21" t="n">
        <v>22708</v>
      </c>
      <c r="P483" s="21" t="n">
        <v>591447</v>
      </c>
      <c r="Q483" s="21" t="n">
        <v>591447</v>
      </c>
      <c r="R483" s="21">
        <f>IF(Q483="","",Q483*(1+in_GrowthRate)^(YEARFRAC(DATE(2022,6,30),in_AgeToDate)*IF(in_AgeToDate&lt;DATE(2022,6,30),-1,1)+1))</f>
        <v/>
      </c>
      <c r="S483" s="38" t="n">
        <v>0.4712229086706522</v>
      </c>
      <c r="T483" s="43">
        <f>HYPERLINK("https://projects.propublica.org/nonprofits/organizations/742245072/202301299349302895/full","view filing")</f>
        <v/>
      </c>
    </row>
    <row r="484">
      <c r="A484" t="inlineStr">
        <is>
          <t>Texas Christian University</t>
        </is>
      </c>
      <c r="B484" s="20" t="inlineStr">
        <is>
          <t>TX</t>
        </is>
      </c>
      <c r="C484" s="42" t="n">
        <v>2.85</v>
      </c>
      <c r="D484" t="inlineStr">
        <is>
          <t>Endowment</t>
        </is>
      </c>
      <c r="E484" s="20" t="n">
        <v>2025</v>
      </c>
      <c r="F484" s="20">
        <f>IF(AND(OR(in_Mode="All Funds",AND(C484&gt;=in_BandFloor,C484&lt;=in_BandCeiling,OR(in_Geography="National",COUNTIFS(lst_GeoPreset,in_Geography,lst_GeoState,B484)&gt;0,AND(in_Geography="Custom",ISNUMBER(SEARCH(B484,SUBSTITUTE(in_CustomStates," ",""))))),OR(AND(D484="Endowment",Inputs!$B$14="Y"),AND(D484="Foundation",Inputs!$B$15="Y"),AND(D484="Healthcare",Inputs!$B$16="Y"),AND(D484="Pension",Inputs!$B$17="Y"),AND(D484="OCIO",Inputs!$B$18="Y"),AND(D484="Other",Inputs!$B$19="Y")))),A484&lt;&gt;in_ClientOrg,NOT(AND(in_ExclHarvard="Y",ISNUMBER(SEARCH("Harvard",A484))))),"Y","")</f>
        <v/>
      </c>
      <c r="G484" t="inlineStr">
        <is>
          <t>Jason R Safran</t>
        </is>
      </c>
      <c r="H484" t="inlineStr">
        <is>
          <t>Chief Investment Officer</t>
        </is>
      </c>
      <c r="I484" t="inlineStr">
        <is>
          <t>CIO</t>
        </is>
      </c>
      <c r="J484" s="21" t="n">
        <v>625600</v>
      </c>
      <c r="K484" s="21" t="n">
        <v>457034</v>
      </c>
      <c r="L484" s="21" t="n">
        <v>1082634</v>
      </c>
      <c r="M484" s="21" t="n">
        <v>254116</v>
      </c>
      <c r="N484" s="21" t="n">
        <v>285561</v>
      </c>
      <c r="O484" s="21" t="n">
        <v>38038</v>
      </c>
      <c r="P484" s="21" t="n">
        <v>1660349</v>
      </c>
      <c r="Q484" s="21" t="n">
        <v>1103964</v>
      </c>
      <c r="R484" s="21">
        <f>IF(Q484="","",Q484*(1+in_GrowthRate)^(YEARFRAC(DATE(2025,5,31),in_AgeToDate)*IF(in_AgeToDate&lt;DATE(2025,5,31),-1,1)+1))</f>
        <v/>
      </c>
      <c r="S484" s="38" t="n">
        <v>0.7305530690537084</v>
      </c>
      <c r="T484" s="43">
        <f>HYPERLINK("https://projects.propublica.org/nonprofits/organizations/750827465/202611039349301646/full","view filing")</f>
        <v/>
      </c>
    </row>
    <row r="485">
      <c r="A485" t="inlineStr">
        <is>
          <t>Texas Christian University</t>
        </is>
      </c>
      <c r="B485" s="20" t="inlineStr">
        <is>
          <t>TX</t>
        </is>
      </c>
      <c r="C485" s="42" t="n">
        <v>2.85</v>
      </c>
      <c r="D485" t="inlineStr">
        <is>
          <t>Endowment</t>
        </is>
      </c>
      <c r="E485" s="20" t="n">
        <v>2024</v>
      </c>
      <c r="F485" s="20" t="inlineStr"/>
      <c r="G485" t="inlineStr">
        <is>
          <t>Jason R Safran</t>
        </is>
      </c>
      <c r="H485" t="inlineStr">
        <is>
          <t>Chief Investment Officer</t>
        </is>
      </c>
      <c r="I485" t="inlineStr">
        <is>
          <t>CIO</t>
        </is>
      </c>
      <c r="J485" s="21" t="n">
        <v>555851</v>
      </c>
      <c r="K485" s="21" t="n">
        <v>233750</v>
      </c>
      <c r="L485" s="21" t="n">
        <v>789601</v>
      </c>
      <c r="M485" s="21" t="n">
        <v>154839</v>
      </c>
      <c r="N485" s="21" t="n">
        <v>564204</v>
      </c>
      <c r="O485" s="21" t="n">
        <v>37458</v>
      </c>
      <c r="P485" s="21" t="n">
        <v>1546102</v>
      </c>
      <c r="Q485" s="21" t="n">
        <v>1201561</v>
      </c>
      <c r="R485" s="21">
        <f>IF(Q485="","",Q485*(1+in_GrowthRate)^(YEARFRAC(DATE(2024,5,31),in_AgeToDate)*IF(in_AgeToDate&lt;DATE(2024,5,31),-1,1)+1))</f>
        <v/>
      </c>
      <c r="S485" s="38" t="n">
        <v>0.4205263640795825</v>
      </c>
      <c r="T485" s="43">
        <f>HYPERLINK("https://projects.propublica.org/nonprofits/organizations/750827465/202541019349300244/full","view filing")</f>
        <v/>
      </c>
    </row>
    <row r="486">
      <c r="A486" t="inlineStr">
        <is>
          <t>Texas Christian University</t>
        </is>
      </c>
      <c r="B486" s="20" t="inlineStr">
        <is>
          <t>TX</t>
        </is>
      </c>
      <c r="C486" s="42" t="n">
        <v>2.85</v>
      </c>
      <c r="D486" t="inlineStr">
        <is>
          <t>Endowment</t>
        </is>
      </c>
      <c r="E486" s="20" t="n">
        <v>2023</v>
      </c>
      <c r="F486" s="20" t="inlineStr"/>
      <c r="G486" t="inlineStr">
        <is>
          <t>Jason R Safran</t>
        </is>
      </c>
      <c r="H486" t="inlineStr">
        <is>
          <t>Chief Investment Officer</t>
        </is>
      </c>
      <c r="I486" t="inlineStr">
        <is>
          <t>CIO</t>
        </is>
      </c>
      <c r="J486" s="21" t="n">
        <v>539774</v>
      </c>
      <c r="K486" s="21" t="n">
        <v>265323</v>
      </c>
      <c r="L486" s="21" t="n">
        <v>805097</v>
      </c>
      <c r="M486" s="21" t="n">
        <v>69126</v>
      </c>
      <c r="N486" s="21" t="n">
        <v>338459</v>
      </c>
      <c r="O486" s="21" t="n">
        <v>35449</v>
      </c>
      <c r="P486" s="21" t="n">
        <v>1248131</v>
      </c>
      <c r="Q486" s="21" t="n">
        <v>1248131</v>
      </c>
      <c r="R486" s="21">
        <f>IF(Q486="","",Q486*(1+in_GrowthRate)^(YEARFRAC(DATE(2023,5,31),in_AgeToDate)*IF(in_AgeToDate&lt;DATE(2023,5,31),-1,1)+1))</f>
        <v/>
      </c>
      <c r="S486" s="38" t="n">
        <v>0.4915446094106052</v>
      </c>
      <c r="T486" s="43">
        <f>HYPERLINK("https://projects.propublica.org/nonprofits/organizations/750827465/202411039349301426/full","view filing")</f>
        <v/>
      </c>
    </row>
    <row r="487">
      <c r="A487" t="inlineStr">
        <is>
          <t>Texas Christian University</t>
        </is>
      </c>
      <c r="B487" s="20" t="inlineStr">
        <is>
          <t>TX</t>
        </is>
      </c>
      <c r="C487" s="42" t="n">
        <v>2.85</v>
      </c>
      <c r="D487" t="inlineStr">
        <is>
          <t>Endowment</t>
        </is>
      </c>
      <c r="E487" s="20" t="n">
        <v>2022</v>
      </c>
      <c r="F487" s="20" t="inlineStr"/>
      <c r="G487" t="inlineStr">
        <is>
          <t>James R Hille</t>
        </is>
      </c>
      <c r="H487" t="inlineStr">
        <is>
          <t>Chief Investment Officer</t>
        </is>
      </c>
      <c r="I487" t="inlineStr">
        <is>
          <t>CIO</t>
        </is>
      </c>
      <c r="J487" s="21" t="n">
        <v>385300</v>
      </c>
      <c r="K487" s="21" t="n">
        <v>336924</v>
      </c>
      <c r="L487" s="21" t="n">
        <v>722224</v>
      </c>
      <c r="M487" s="21" t="n">
        <v>272412</v>
      </c>
      <c r="N487" s="21" t="n">
        <v>34575</v>
      </c>
      <c r="O487" s="21" t="n">
        <v>20878</v>
      </c>
      <c r="P487" s="21" t="n">
        <v>1050089</v>
      </c>
      <c r="Q487" s="21" t="n">
        <v>876336</v>
      </c>
      <c r="R487" s="21">
        <f>IF(Q487="","",Q487*(1+in_GrowthRate)^(YEARFRAC(DATE(2022,5,31),in_AgeToDate)*IF(in_AgeToDate&lt;DATE(2022,5,31),-1,1)+1))</f>
        <v/>
      </c>
      <c r="S487" s="38" t="n">
        <v>0.8744458863223462</v>
      </c>
      <c r="T487" s="43">
        <f>HYPERLINK("https://projects.propublica.org/nonprofits/organizations/750827465/202341019349301504/full","view filing")</f>
        <v/>
      </c>
    </row>
    <row r="488">
      <c r="A488" t="inlineStr">
        <is>
          <t>Texas Health Resources</t>
        </is>
      </c>
      <c r="B488" s="20" t="inlineStr">
        <is>
          <t>TX</t>
        </is>
      </c>
      <c r="C488" s="42" t="n">
        <v>7.87</v>
      </c>
      <c r="D488" t="inlineStr">
        <is>
          <t>Healthcare</t>
        </is>
      </c>
      <c r="E488" s="20" t="n">
        <v>2024</v>
      </c>
      <c r="F488" s="20">
        <f>IF(AND(OR(in_Mode="All Funds",AND(C488&gt;=in_BandFloor,C488&lt;=in_BandCeiling,OR(in_Geography="National",COUNTIFS(lst_GeoPreset,in_Geography,lst_GeoState,B488)&gt;0,AND(in_Geography="Custom",ISNUMBER(SEARCH(B488,SUBSTITUTE(in_CustomStates," ",""))))),OR(AND(D488="Endowment",Inputs!$B$14="Y"),AND(D488="Foundation",Inputs!$B$15="Y"),AND(D488="Healthcare",Inputs!$B$16="Y"),AND(D488="Pension",Inputs!$B$17="Y"),AND(D488="OCIO",Inputs!$B$18="Y"),AND(D488="Other",Inputs!$B$19="Y")))),A488&lt;&gt;in_ClientOrg,NOT(AND(in_ExclHarvard="Y",ISNUMBER(SEARCH("Harvard",A488))))),"Y","")</f>
        <v/>
      </c>
      <c r="G488" t="inlineStr">
        <is>
          <t>Jonesrobert Douglas</t>
        </is>
      </c>
      <c r="H488" t="inlineStr">
        <is>
          <t>SVP &amp; Chief Investment Officer</t>
        </is>
      </c>
      <c r="I488" t="inlineStr">
        <is>
          <t>CIO</t>
        </is>
      </c>
      <c r="J488" s="21" t="n">
        <v>715704</v>
      </c>
      <c r="K488" s="21" t="n">
        <v>339076</v>
      </c>
      <c r="L488" s="21" t="n">
        <v>1054780</v>
      </c>
      <c r="M488" s="21" t="n">
        <v>85348</v>
      </c>
      <c r="N488" s="21" t="n">
        <v>139163</v>
      </c>
      <c r="O488" s="21" t="n">
        <v>52316</v>
      </c>
      <c r="P488" s="21" t="n">
        <v>1331607</v>
      </c>
      <c r="Q488" s="21" t="n">
        <v>1252481</v>
      </c>
      <c r="R488" s="21">
        <f>IF(Q488="","",Q488*(1+in_GrowthRate)^(YEARFRAC(DATE(2024,12,31),in_AgeToDate)*IF(in_AgeToDate&lt;DATE(2024,12,31),-1,1)+1))</f>
        <v/>
      </c>
      <c r="S488" s="38" t="n">
        <v>0.4737656908442596</v>
      </c>
      <c r="T488" s="43">
        <f>HYPERLINK("https://projects.propublica.org/nonprofits/organizations/752702388/202543149349306069/full","view filing")</f>
        <v/>
      </c>
    </row>
    <row r="489">
      <c r="A489" t="inlineStr">
        <is>
          <t>Texas Health Resources</t>
        </is>
      </c>
      <c r="B489" s="20" t="inlineStr">
        <is>
          <t>TX</t>
        </is>
      </c>
      <c r="C489" s="42" t="n">
        <v>7.87</v>
      </c>
      <c r="D489" t="inlineStr">
        <is>
          <t>Healthcare</t>
        </is>
      </c>
      <c r="E489" s="20" t="n">
        <v>2023</v>
      </c>
      <c r="F489" s="20" t="inlineStr"/>
      <c r="G489" t="inlineStr">
        <is>
          <t>Jonesrobert Douglas</t>
        </is>
      </c>
      <c r="H489" t="inlineStr">
        <is>
          <t>SVP &amp; Chief Investment Officer</t>
        </is>
      </c>
      <c r="I489" t="inlineStr">
        <is>
          <t>CIO</t>
        </is>
      </c>
      <c r="J489" s="21" t="n">
        <v>676170</v>
      </c>
      <c r="K489" s="21" t="n">
        <v>254523</v>
      </c>
      <c r="L489" s="21" t="n">
        <v>930693</v>
      </c>
      <c r="M489" s="21" t="n">
        <v>81351</v>
      </c>
      <c r="N489" s="21" t="n">
        <v>119379</v>
      </c>
      <c r="O489" s="21" t="n">
        <v>50777</v>
      </c>
      <c r="P489" s="21" t="n">
        <v>1182200</v>
      </c>
      <c r="Q489" s="21" t="n">
        <v>1076135</v>
      </c>
      <c r="R489" s="21">
        <f>IF(Q489="","",Q489*(1+in_GrowthRate)^(YEARFRAC(DATE(2023,12,31),in_AgeToDate)*IF(in_AgeToDate&lt;DATE(2023,12,31),-1,1)+1))</f>
        <v/>
      </c>
      <c r="S489" s="38" t="n">
        <v>0.3764186521141133</v>
      </c>
      <c r="T489" s="43">
        <f>HYPERLINK("https://projects.propublica.org/nonprofits/organizations/752702388/202403179349300125/full","view filing")</f>
        <v/>
      </c>
    </row>
    <row r="490">
      <c r="A490" t="inlineStr">
        <is>
          <t>Texas Health Resources</t>
        </is>
      </c>
      <c r="B490" s="20" t="inlineStr">
        <is>
          <t>TX</t>
        </is>
      </c>
      <c r="C490" s="42" t="n">
        <v>7.87</v>
      </c>
      <c r="D490" t="inlineStr">
        <is>
          <t>Healthcare</t>
        </is>
      </c>
      <c r="E490" s="20" t="n">
        <v>2022</v>
      </c>
      <c r="F490" s="20" t="inlineStr"/>
      <c r="G490" t="inlineStr">
        <is>
          <t>Jonesrobert Douglas</t>
        </is>
      </c>
      <c r="H490" t="inlineStr">
        <is>
          <t>SVP &amp; Chief Investment Officer</t>
        </is>
      </c>
      <c r="I490" t="inlineStr">
        <is>
          <t>CIO</t>
        </is>
      </c>
      <c r="J490" s="21" t="n">
        <v>643467</v>
      </c>
      <c r="K490" s="21" t="n">
        <v>296518</v>
      </c>
      <c r="L490" s="21" t="n">
        <v>939985</v>
      </c>
      <c r="M490" s="21" t="n">
        <v>77923</v>
      </c>
      <c r="N490" s="21" t="n">
        <v>71597</v>
      </c>
      <c r="O490" s="21" t="n">
        <v>48231</v>
      </c>
      <c r="P490" s="21" t="n">
        <v>1137736</v>
      </c>
      <c r="Q490" s="21" t="n">
        <v>1110797</v>
      </c>
      <c r="R490" s="21">
        <f>IF(Q490="","",Q490*(1+in_GrowthRate)^(YEARFRAC(DATE(2022,12,31),in_AgeToDate)*IF(in_AgeToDate&lt;DATE(2022,12,31),-1,1)+1))</f>
        <v/>
      </c>
      <c r="S490" s="38" t="n">
        <v>0.460813064228624</v>
      </c>
      <c r="T490" s="43">
        <f>HYPERLINK("https://projects.propublica.org/nonprofits/organizations/752702388/202313129349301911/full","view filing")</f>
        <v/>
      </c>
    </row>
    <row r="491">
      <c r="A491" t="inlineStr">
        <is>
          <t>Texas Scottish Rite Hospital For Children</t>
        </is>
      </c>
      <c r="B491" s="20" t="inlineStr">
        <is>
          <t>TX</t>
        </is>
      </c>
      <c r="C491" s="42" t="n">
        <v>4.31</v>
      </c>
      <c r="D491" t="inlineStr">
        <is>
          <t>Healthcare</t>
        </is>
      </c>
      <c r="E491" s="20" t="n">
        <v>2024</v>
      </c>
      <c r="F491" s="20" t="inlineStr"/>
      <c r="G491" t="inlineStr">
        <is>
          <t>Fredric D Richmond</t>
        </is>
      </c>
      <c r="H491" t="inlineStr">
        <is>
          <t>SR VP, CHIEF INVESTMENT OFFICER</t>
        </is>
      </c>
      <c r="I491" t="inlineStr">
        <is>
          <t>CIO</t>
        </is>
      </c>
      <c r="J491" s="21" t="n">
        <v>540590</v>
      </c>
      <c r="K491" s="21" t="n"/>
      <c r="L491" s="21" t="n">
        <v>540590</v>
      </c>
      <c r="M491" s="21" t="n">
        <v>54937</v>
      </c>
      <c r="N491" s="21" t="n">
        <v>19800</v>
      </c>
      <c r="O491" s="21" t="n">
        <v>26021</v>
      </c>
      <c r="P491" s="21" t="n">
        <v>641348</v>
      </c>
      <c r="Q491" s="21" t="n">
        <v>641348</v>
      </c>
      <c r="R491" s="21">
        <f>IF(Q491="","",Q491*(1+in_GrowthRate)^(YEARFRAC(DATE(2024,9,30),in_AgeToDate)*IF(in_AgeToDate&lt;DATE(2024,9,30),-1,1)+1))</f>
        <v/>
      </c>
      <c r="S491" s="38" t="n">
        <v>0</v>
      </c>
      <c r="T491" s="43">
        <f>HYPERLINK("https://projects.propublica.org/nonprofits/organizations/750818178/202542279349301519/full","view filing")</f>
        <v/>
      </c>
    </row>
    <row r="492">
      <c r="A492" t="inlineStr">
        <is>
          <t>Texas Scottish Rite Hospital For Children</t>
        </is>
      </c>
      <c r="B492" s="20" t="inlineStr">
        <is>
          <t>TX</t>
        </is>
      </c>
      <c r="C492" s="42" t="n">
        <v>4.31</v>
      </c>
      <c r="D492" t="inlineStr">
        <is>
          <t>Healthcare</t>
        </is>
      </c>
      <c r="E492" s="20" t="n">
        <v>2023</v>
      </c>
      <c r="F492" s="20" t="inlineStr"/>
      <c r="G492" t="inlineStr">
        <is>
          <t>Fredric D Richmond</t>
        </is>
      </c>
      <c r="H492" t="inlineStr">
        <is>
          <t>SR VP, CHIEF INVESTMENT OFFICER</t>
        </is>
      </c>
      <c r="I492" t="inlineStr">
        <is>
          <t>CIO</t>
        </is>
      </c>
      <c r="J492" s="21" t="n">
        <v>516269</v>
      </c>
      <c r="K492" s="21" t="n"/>
      <c r="L492" s="21" t="n">
        <v>516269</v>
      </c>
      <c r="M492" s="21" t="n">
        <v>53698</v>
      </c>
      <c r="N492" s="21" t="n">
        <v>18300</v>
      </c>
      <c r="O492" s="21" t="n">
        <v>28917</v>
      </c>
      <c r="P492" s="21" t="n">
        <v>617184</v>
      </c>
      <c r="Q492" s="21" t="n">
        <v>617184</v>
      </c>
      <c r="R492" s="21">
        <f>IF(Q492="","",Q492*(1+in_GrowthRate)^(YEARFRAC(DATE(2023,9,30),in_AgeToDate)*IF(in_AgeToDate&lt;DATE(2023,9,30),-1,1)+1))</f>
        <v/>
      </c>
      <c r="S492" s="38" t="n">
        <v>0</v>
      </c>
      <c r="T492" s="43">
        <f>HYPERLINK("https://projects.propublica.org/nonprofits/organizations/750818178/202402289349303555/full","view filing")</f>
        <v/>
      </c>
    </row>
    <row r="493">
      <c r="A493" t="inlineStr">
        <is>
          <t>Texas Scottish Rite Hospital For Children</t>
        </is>
      </c>
      <c r="B493" s="20" t="inlineStr">
        <is>
          <t>TX</t>
        </is>
      </c>
      <c r="C493" s="42" t="n">
        <v>4.31</v>
      </c>
      <c r="D493" t="inlineStr">
        <is>
          <t>Healthcare</t>
        </is>
      </c>
      <c r="E493" s="20" t="n">
        <v>2022</v>
      </c>
      <c r="F493" s="20" t="inlineStr"/>
      <c r="G493" t="inlineStr">
        <is>
          <t>Fredric D Richmond</t>
        </is>
      </c>
      <c r="H493" t="inlineStr">
        <is>
          <t>SR VP, CHIEF INVESTMENT OFFICER</t>
        </is>
      </c>
      <c r="I493" t="inlineStr">
        <is>
          <t>CIO</t>
        </is>
      </c>
      <c r="J493" s="21" t="n">
        <v>484282</v>
      </c>
      <c r="K493" s="21" t="n"/>
      <c r="L493" s="21" t="n">
        <v>484282</v>
      </c>
      <c r="M493" s="21" t="n">
        <v>51447</v>
      </c>
      <c r="N493" s="21" t="n">
        <v>17400</v>
      </c>
      <c r="O493" s="21" t="n">
        <v>36781</v>
      </c>
      <c r="P493" s="21" t="n">
        <v>589910</v>
      </c>
      <c r="Q493" s="21" t="n">
        <v>589910</v>
      </c>
      <c r="R493" s="21">
        <f>IF(Q493="","",Q493*(1+in_GrowthRate)^(YEARFRAC(DATE(2022,9,30),in_AgeToDate)*IF(in_AgeToDate&lt;DATE(2022,9,30),-1,1)+1))</f>
        <v/>
      </c>
      <c r="S493" s="38" t="n">
        <v>0</v>
      </c>
      <c r="T493" s="43">
        <f>HYPERLINK("https://projects.propublica.org/nonprofits/organizations/750818178/202302269349303260/full","view filing")</f>
        <v/>
      </c>
    </row>
    <row r="494">
      <c r="A494" t="inlineStr">
        <is>
          <t>The Administrators Of The Tulane Educational Fund</t>
        </is>
      </c>
      <c r="B494" s="20" t="inlineStr">
        <is>
          <t>LA</t>
        </is>
      </c>
      <c r="C494" s="42" t="n">
        <v>2.46</v>
      </c>
      <c r="D494" t="inlineStr">
        <is>
          <t>Endowment</t>
        </is>
      </c>
      <c r="E494" s="20" t="n">
        <v>2025</v>
      </c>
      <c r="F494" s="20">
        <f>IF(AND(OR(in_Mode="All Funds",AND(C494&gt;=in_BandFloor,C494&lt;=in_BandCeiling,OR(in_Geography="National",COUNTIFS(lst_GeoPreset,in_Geography,lst_GeoState,B494)&gt;0,AND(in_Geography="Custom",ISNUMBER(SEARCH(B494,SUBSTITUTE(in_CustomStates," ",""))))),OR(AND(D494="Endowment",Inputs!$B$14="Y"),AND(D494="Foundation",Inputs!$B$15="Y"),AND(D494="Healthcare",Inputs!$B$16="Y"),AND(D494="Pension",Inputs!$B$17="Y"),AND(D494="OCIO",Inputs!$B$18="Y"),AND(D494="Other",Inputs!$B$19="Y")))),A494&lt;&gt;in_ClientOrg,NOT(AND(in_ExclHarvard="Y",ISNUMBER(SEARCH("Harvard",A494))))),"Y","")</f>
        <v/>
      </c>
      <c r="G494" t="inlineStr">
        <is>
          <t>Richard Chau</t>
        </is>
      </c>
      <c r="H494" t="inlineStr">
        <is>
          <t>Chief Investment Officer</t>
        </is>
      </c>
      <c r="I494" t="inlineStr">
        <is>
          <t>CIO</t>
        </is>
      </c>
      <c r="J494" s="21" t="n">
        <v>647000</v>
      </c>
      <c r="K494" s="21" t="n">
        <v>1017000</v>
      </c>
      <c r="L494" s="21" t="n">
        <v>1664000</v>
      </c>
      <c r="M494" s="21" t="n">
        <v>53000</v>
      </c>
      <c r="N494" s="21" t="n">
        <v>288000</v>
      </c>
      <c r="O494" s="21" t="n"/>
      <c r="P494" s="21" t="n">
        <v>2005000</v>
      </c>
      <c r="Q494" s="21" t="n">
        <v>1769000</v>
      </c>
      <c r="R494" s="21">
        <f>IF(Q494="","",Q494*(1+in_GrowthRate)^(YEARFRAC(DATE(2025,6,30),in_AgeToDate)*IF(in_AgeToDate&lt;DATE(2025,6,30),-1,1)+1))</f>
        <v/>
      </c>
      <c r="S494" s="38" t="n">
        <v>1.571870170015456</v>
      </c>
      <c r="T494" s="43">
        <f>HYPERLINK("https://projects.propublica.org/nonprofits/organizations/720423889/202601359349303230/full","view filing")</f>
        <v/>
      </c>
    </row>
    <row r="495">
      <c r="A495" t="inlineStr">
        <is>
          <t>The Administrators Of The Tulane Educational Fund</t>
        </is>
      </c>
      <c r="B495" s="20" t="inlineStr">
        <is>
          <t>LA</t>
        </is>
      </c>
      <c r="C495" s="42" t="n">
        <v>2.46</v>
      </c>
      <c r="D495" t="inlineStr">
        <is>
          <t>Endowment</t>
        </is>
      </c>
      <c r="E495" s="20" t="n">
        <v>2024</v>
      </c>
      <c r="F495" s="20" t="inlineStr"/>
      <c r="G495" t="inlineStr">
        <is>
          <t>Richard Chau</t>
        </is>
      </c>
      <c r="H495" t="inlineStr">
        <is>
          <t>Chief Investment Officer</t>
        </is>
      </c>
      <c r="I495" t="inlineStr">
        <is>
          <t>CIO</t>
        </is>
      </c>
      <c r="J495" s="21" t="n">
        <v>601000</v>
      </c>
      <c r="K495" s="21" t="n">
        <v>943000</v>
      </c>
      <c r="L495" s="21" t="n">
        <v>1544000</v>
      </c>
      <c r="M495" s="21" t="n">
        <v>52000</v>
      </c>
      <c r="N495" s="21" t="n">
        <v>269000</v>
      </c>
      <c r="O495" s="21" t="n"/>
      <c r="P495" s="21" t="n">
        <v>1865000</v>
      </c>
      <c r="Q495" s="21" t="n">
        <v>1640000</v>
      </c>
      <c r="R495" s="21">
        <f>IF(Q495="","",Q495*(1+in_GrowthRate)^(YEARFRAC(DATE(2024,6,30),in_AgeToDate)*IF(in_AgeToDate&lt;DATE(2024,6,30),-1,1)+1))</f>
        <v/>
      </c>
      <c r="S495" s="38" t="n">
        <v>1.569051580698835</v>
      </c>
      <c r="T495" s="43">
        <f>HYPERLINK("https://projects.propublica.org/nonprofits/organizations/720423889/202521359349304292/full","view filing")</f>
        <v/>
      </c>
    </row>
    <row r="496">
      <c r="A496" t="inlineStr">
        <is>
          <t>The Administrators Of The Tulane Educational Fund</t>
        </is>
      </c>
      <c r="B496" s="20" t="inlineStr">
        <is>
          <t>LA</t>
        </is>
      </c>
      <c r="C496" s="42" t="n">
        <v>2.46</v>
      </c>
      <c r="D496" t="inlineStr">
        <is>
          <t>Endowment</t>
        </is>
      </c>
      <c r="E496" s="20" t="n">
        <v>2023</v>
      </c>
      <c r="F496" s="20" t="inlineStr"/>
      <c r="G496" t="inlineStr">
        <is>
          <t>Richard Chau</t>
        </is>
      </c>
      <c r="H496" t="inlineStr">
        <is>
          <t>Chief Investment Officer</t>
        </is>
      </c>
      <c r="I496" t="inlineStr">
        <is>
          <t>CIO</t>
        </is>
      </c>
      <c r="J496" s="21" t="n">
        <v>568000</v>
      </c>
      <c r="K496" s="21" t="n">
        <v>910000</v>
      </c>
      <c r="L496" s="21" t="n">
        <v>1478000</v>
      </c>
      <c r="M496" s="21" t="n">
        <v>47000</v>
      </c>
      <c r="N496" s="21" t="n">
        <v>265000</v>
      </c>
      <c r="O496" s="21" t="n"/>
      <c r="P496" s="21" t="n">
        <v>1790000</v>
      </c>
      <c r="Q496" s="21" t="n">
        <v>1565000</v>
      </c>
      <c r="R496" s="21">
        <f>IF(Q496="","",Q496*(1+in_GrowthRate)^(YEARFRAC(DATE(2023,6,30),in_AgeToDate)*IF(in_AgeToDate&lt;DATE(2023,6,30),-1,1)+1))</f>
        <v/>
      </c>
      <c r="S496" s="38" t="n">
        <v>1.602112676056338</v>
      </c>
      <c r="T496" s="43">
        <f>HYPERLINK("https://projects.propublica.org/nonprofits/organizations/720423889/202401369349309925/full","view filing")</f>
        <v/>
      </c>
    </row>
    <row r="497">
      <c r="A497" t="inlineStr">
        <is>
          <t>The Administrators Of The Tulane Educational Fund</t>
        </is>
      </c>
      <c r="B497" s="20" t="inlineStr">
        <is>
          <t>LA</t>
        </is>
      </c>
      <c r="C497" s="42" t="n">
        <v>2.46</v>
      </c>
      <c r="D497" t="inlineStr">
        <is>
          <t>Endowment</t>
        </is>
      </c>
      <c r="E497" s="20" t="n">
        <v>2022</v>
      </c>
      <c r="F497" s="20" t="inlineStr"/>
      <c r="G497" t="inlineStr">
        <is>
          <t>Richard Chau</t>
        </is>
      </c>
      <c r="H497" t="inlineStr">
        <is>
          <t>Chief Investment Officer</t>
        </is>
      </c>
      <c r="I497" t="inlineStr">
        <is>
          <t>CIO</t>
        </is>
      </c>
      <c r="J497" s="21" t="n">
        <v>552000</v>
      </c>
      <c r="K497" s="21" t="n">
        <v>747000</v>
      </c>
      <c r="L497" s="21" t="n">
        <v>1299000</v>
      </c>
      <c r="M497" s="21" t="n">
        <v>41000</v>
      </c>
      <c r="N497" s="21" t="n">
        <v>254000</v>
      </c>
      <c r="O497" s="21" t="n">
        <v>7000</v>
      </c>
      <c r="P497" s="21" t="n">
        <v>1601000</v>
      </c>
      <c r="Q497" s="21" t="n">
        <v>1601000</v>
      </c>
      <c r="R497" s="21">
        <f>IF(Q497="","",Q497*(1+in_GrowthRate)^(YEARFRAC(DATE(2022,6,30),in_AgeToDate)*IF(in_AgeToDate&lt;DATE(2022,6,30),-1,1)+1))</f>
        <v/>
      </c>
      <c r="S497" s="38" t="n">
        <v>1.353260869565217</v>
      </c>
      <c r="T497" s="43">
        <f>HYPERLINK("https://projects.propublica.org/nonprofits/organizations/720423889/202311359349304011/full","view filing")</f>
        <v/>
      </c>
    </row>
    <row r="498">
      <c r="A498" t="inlineStr">
        <is>
          <t>The Board Of Trustees Of The Leland Stanford Junior University</t>
        </is>
      </c>
      <c r="B498" s="20" t="inlineStr">
        <is>
          <t>CA</t>
        </is>
      </c>
      <c r="C498" s="42" t="n">
        <v>40.79</v>
      </c>
      <c r="D498" t="inlineStr">
        <is>
          <t>Endowment</t>
        </is>
      </c>
      <c r="E498" s="20" t="n">
        <v>2025</v>
      </c>
      <c r="F498" s="20">
        <f>IF(AND(OR(in_Mode="All Funds",AND(C498&gt;=in_BandFloor,C498&lt;=in_BandCeiling,OR(in_Geography="National",COUNTIFS(lst_GeoPreset,in_Geography,lst_GeoState,B498)&gt;0,AND(in_Geography="Custom",ISNUMBER(SEARCH(B498,SUBSTITUTE(in_CustomStates," ",""))))),OR(AND(D498="Endowment",Inputs!$B$14="Y"),AND(D498="Foundation",Inputs!$B$15="Y"),AND(D498="Healthcare",Inputs!$B$16="Y"),AND(D498="Pension",Inputs!$B$17="Y"),AND(D498="OCIO",Inputs!$B$18="Y"),AND(D498="Other",Inputs!$B$19="Y")))),A498&lt;&gt;in_ClientOrg,NOT(AND(in_ExclHarvard="Y",ISNUMBER(SEARCH("Harvard",A498))))),"Y","")</f>
        <v/>
      </c>
      <c r="G498" t="inlineStr">
        <is>
          <t>Robert F Wallace</t>
        </is>
      </c>
      <c r="H498" t="inlineStr">
        <is>
          <t>CHIEF EXECUTIVE OFFICER, SMC</t>
        </is>
      </c>
      <c r="I498" t="inlineStr">
        <is>
          <t>CEO (Inv Entity)</t>
        </is>
      </c>
      <c r="J498" s="21" t="n">
        <v>1201351</v>
      </c>
      <c r="K498" s="21" t="n">
        <v>2325000</v>
      </c>
      <c r="L498" s="21" t="n">
        <v>3526351</v>
      </c>
      <c r="M498" s="21" t="n">
        <v>1881300</v>
      </c>
      <c r="N498" s="21" t="n">
        <v>827800</v>
      </c>
      <c r="O498" s="21" t="n">
        <v>76051</v>
      </c>
      <c r="P498" s="21" t="n">
        <v>6311502</v>
      </c>
      <c r="Q498" s="21" t="n">
        <v>5384116</v>
      </c>
      <c r="R498" s="21">
        <f>IF(Q498="","",Q498*(1+in_GrowthRate)^(YEARFRAC(DATE(2025,8,31),in_AgeToDate)*IF(in_AgeToDate&lt;DATE(2025,8,31),-1,1)+1))</f>
        <v/>
      </c>
      <c r="S498" s="38" t="n">
        <v>1.935321150937569</v>
      </c>
      <c r="T498" s="43">
        <f>HYPERLINK("https://projects.propublica.org/nonprofits/organizations/941156365/202621979349300242/full","view filing")</f>
        <v/>
      </c>
    </row>
    <row r="499">
      <c r="A499" t="inlineStr">
        <is>
          <t>The Board Of Trustees Of The Leland Stanford Junior University</t>
        </is>
      </c>
      <c r="B499" s="20" t="inlineStr">
        <is>
          <t>CA</t>
        </is>
      </c>
      <c r="C499" s="42" t="n">
        <v>40.79</v>
      </c>
      <c r="D499" t="inlineStr">
        <is>
          <t>Endowment</t>
        </is>
      </c>
      <c r="E499" s="20" t="n">
        <v>2024</v>
      </c>
      <c r="F499" s="20" t="inlineStr"/>
      <c r="G499" t="inlineStr">
        <is>
          <t>Robert F Wallace</t>
        </is>
      </c>
      <c r="H499" t="inlineStr">
        <is>
          <t>CHIEF EXECUTIVE OFFICER, SMC</t>
        </is>
      </c>
      <c r="I499" t="inlineStr">
        <is>
          <t>CEO (Inv Entity)</t>
        </is>
      </c>
      <c r="J499" s="21" t="n">
        <v>1155915</v>
      </c>
      <c r="K499" s="21" t="n">
        <v>2483333</v>
      </c>
      <c r="L499" s="21" t="n">
        <v>3639248</v>
      </c>
      <c r="M499" s="21" t="n">
        <v>1668340</v>
      </c>
      <c r="N499" s="21" t="n">
        <v>935181</v>
      </c>
      <c r="O499" s="21" t="n">
        <v>86979</v>
      </c>
      <c r="P499" s="21" t="n">
        <v>6329748</v>
      </c>
      <c r="Q499" s="21" t="n">
        <v>5539291</v>
      </c>
      <c r="R499" s="21">
        <f>IF(Q499="","",Q499*(1+in_GrowthRate)^(YEARFRAC(DATE(2024,8,31),in_AgeToDate)*IF(in_AgeToDate&lt;DATE(2024,8,31),-1,1)+1))</f>
        <v/>
      </c>
      <c r="S499" s="38" t="n">
        <v>2.148369906091711</v>
      </c>
      <c r="T499" s="43">
        <f>HYPERLINK("https://projects.propublica.org/nonprofits/organizations/941156365/202501969349302135/full","view filing")</f>
        <v/>
      </c>
    </row>
    <row r="500">
      <c r="A500" t="inlineStr">
        <is>
          <t>The Board Of Trustees Of The Leland Stanford Junior University</t>
        </is>
      </c>
      <c r="B500" s="20" t="inlineStr">
        <is>
          <t>CA</t>
        </is>
      </c>
      <c r="C500" s="42" t="n">
        <v>40.79</v>
      </c>
      <c r="D500" t="inlineStr">
        <is>
          <t>Endowment</t>
        </is>
      </c>
      <c r="E500" s="20" t="n">
        <v>2023</v>
      </c>
      <c r="F500" s="20" t="inlineStr"/>
      <c r="G500" t="inlineStr">
        <is>
          <t>Robert F Wallace</t>
        </is>
      </c>
      <c r="H500" t="inlineStr">
        <is>
          <t>CHIEF EXECUTIVE OFFICER, SMC</t>
        </is>
      </c>
      <c r="I500" t="inlineStr">
        <is>
          <t>CEO (Inv Entity)</t>
        </is>
      </c>
      <c r="J500" s="21" t="n">
        <v>1104931</v>
      </c>
      <c r="K500" s="21" t="n">
        <v>2369666</v>
      </c>
      <c r="L500" s="21" t="n">
        <v>3474597</v>
      </c>
      <c r="M500" s="21" t="n">
        <v>1571327</v>
      </c>
      <c r="N500" s="21" t="n">
        <v>907491</v>
      </c>
      <c r="O500" s="21" t="n">
        <v>520828</v>
      </c>
      <c r="P500" s="21" t="n">
        <v>6474243</v>
      </c>
      <c r="Q500" s="21" t="n">
        <v>5865359</v>
      </c>
      <c r="R500" s="21">
        <f>IF(Q500="","",Q500*(1+in_GrowthRate)^(YEARFRAC(DATE(2023,8,31),in_AgeToDate)*IF(in_AgeToDate&lt;DATE(2023,8,31),-1,1)+1))</f>
        <v/>
      </c>
      <c r="S500" s="38" t="n">
        <v>2.144628035596793</v>
      </c>
      <c r="T500" s="43">
        <f>HYPERLINK("https://projects.propublica.org/nonprofits/organizations/941156365/202431949349300033/full","view filing")</f>
        <v/>
      </c>
    </row>
    <row r="501">
      <c r="A501" t="inlineStr">
        <is>
          <t>The Board Of Trustees Of The Leland Stanford Junior University</t>
        </is>
      </c>
      <c r="B501" s="20" t="inlineStr">
        <is>
          <t>CA</t>
        </is>
      </c>
      <c r="C501" s="42" t="n">
        <v>40.79</v>
      </c>
      <c r="D501" t="inlineStr">
        <is>
          <t>Endowment</t>
        </is>
      </c>
      <c r="E501" s="20" t="n">
        <v>2022</v>
      </c>
      <c r="F501" s="20" t="inlineStr"/>
      <c r="G501" t="inlineStr">
        <is>
          <t>Robert F Wallace</t>
        </is>
      </c>
      <c r="H501" t="inlineStr">
        <is>
          <t>CHIEF EXECUTIVE OFFICER, SMC</t>
        </is>
      </c>
      <c r="I501" t="inlineStr">
        <is>
          <t>CEO (Inv Entity)</t>
        </is>
      </c>
      <c r="J501" s="21" t="n">
        <v>1019345</v>
      </c>
      <c r="K501" s="21" t="n">
        <v>2546666</v>
      </c>
      <c r="L501" s="21" t="n">
        <v>3566011</v>
      </c>
      <c r="M501" s="21" t="n">
        <v>1536395</v>
      </c>
      <c r="N501" s="21" t="n">
        <v>673534</v>
      </c>
      <c r="O501" s="21" t="n">
        <v>119796</v>
      </c>
      <c r="P501" s="21" t="n">
        <v>5895736</v>
      </c>
      <c r="Q501" s="21" t="n">
        <v>5363205</v>
      </c>
      <c r="R501" s="21">
        <f>IF(Q501="","",Q501*(1+in_GrowthRate)^(YEARFRAC(DATE(2022,8,31),in_AgeToDate)*IF(in_AgeToDate&lt;DATE(2022,8,31),-1,1)+1))</f>
        <v/>
      </c>
      <c r="S501" s="38" t="n">
        <v>2.498335695961623</v>
      </c>
      <c r="T501" s="43">
        <f>HYPERLINK("https://projects.propublica.org/nonprofits/organizations/941156365/202331959349301318/full","view filing")</f>
        <v/>
      </c>
    </row>
    <row r="502">
      <c r="A502" t="inlineStr">
        <is>
          <t>The Colorado Health Foundation</t>
        </is>
      </c>
      <c r="B502" s="20" t="inlineStr">
        <is>
          <t>CO</t>
        </is>
      </c>
      <c r="C502" s="42" t="n">
        <v>2.69</v>
      </c>
      <c r="D502" t="inlineStr">
        <is>
          <t>Healthcare</t>
        </is>
      </c>
      <c r="E502" s="20" t="n">
        <v>2024</v>
      </c>
      <c r="F502" s="20">
        <f>IF(AND(OR(in_Mode="All Funds",AND(C502&gt;=in_BandFloor,C502&lt;=in_BandCeiling,OR(in_Geography="National",COUNTIFS(lst_GeoPreset,in_Geography,lst_GeoState,B502)&gt;0,AND(in_Geography="Custom",ISNUMBER(SEARCH(B502,SUBSTITUTE(in_CustomStates," ",""))))),OR(AND(D502="Endowment",Inputs!$B$14="Y"),AND(D502="Foundation",Inputs!$B$15="Y"),AND(D502="Healthcare",Inputs!$B$16="Y"),AND(D502="Pension",Inputs!$B$17="Y"),AND(D502="OCIO",Inputs!$B$18="Y"),AND(D502="Other",Inputs!$B$19="Y")))),A502&lt;&gt;in_ClientOrg,NOT(AND(in_ExclHarvard="Y",ISNUMBER(SEARCH("Harvard",A502))))),"Y","")</f>
        <v/>
      </c>
      <c r="G502" t="inlineStr">
        <is>
          <t>Aron Grodinsky</t>
        </is>
      </c>
      <c r="H502" t="inlineStr">
        <is>
          <t>CHIEF INVESTMENT OFFICER</t>
        </is>
      </c>
      <c r="I502" t="inlineStr">
        <is>
          <t>CIO</t>
        </is>
      </c>
      <c r="J502" s="21" t="n"/>
      <c r="K502" s="21" t="n"/>
      <c r="L502" s="21" t="n"/>
      <c r="M502" s="21" t="n"/>
      <c r="N502" s="21" t="n"/>
      <c r="O502" s="21" t="n">
        <v>90365</v>
      </c>
      <c r="P502" s="21" t="n">
        <v>578997</v>
      </c>
      <c r="Q502" s="21" t="n">
        <v>578997</v>
      </c>
      <c r="R502" s="21">
        <f>IF(Q502="","",Q502*(1+in_GrowthRate)^(YEARFRAC(DATE(2024,12,31),in_AgeToDate)*IF(in_AgeToDate&lt;DATE(2024,12,31),-1,1)+1))</f>
        <v/>
      </c>
      <c r="S502" s="38" t="n"/>
      <c r="T502" s="43">
        <f>HYPERLINK("https://projects.propublica.org/nonprofits/organizations/742568941/202533219349107083/full","view filing")</f>
        <v/>
      </c>
    </row>
    <row r="503">
      <c r="A503" t="inlineStr">
        <is>
          <t>The Colorado Health Foundation</t>
        </is>
      </c>
      <c r="B503" s="20" t="inlineStr">
        <is>
          <t>CO</t>
        </is>
      </c>
      <c r="C503" s="42" t="n">
        <v>2.69</v>
      </c>
      <c r="D503" t="inlineStr">
        <is>
          <t>Healthcare</t>
        </is>
      </c>
      <c r="E503" s="20" t="n">
        <v>2023</v>
      </c>
      <c r="F503" s="20" t="inlineStr"/>
      <c r="G503" t="inlineStr">
        <is>
          <t>Aron Grodinsky</t>
        </is>
      </c>
      <c r="H503" t="inlineStr">
        <is>
          <t>CHIEF INVESTMENT OFFICER</t>
        </is>
      </c>
      <c r="I503" t="inlineStr">
        <is>
          <t>CIO</t>
        </is>
      </c>
      <c r="J503" s="21" t="n"/>
      <c r="K503" s="21" t="n"/>
      <c r="L503" s="21" t="n"/>
      <c r="M503" s="21" t="n"/>
      <c r="N503" s="21" t="n"/>
      <c r="O503" s="21" t="n">
        <v>82649</v>
      </c>
      <c r="P503" s="21" t="n">
        <v>549590</v>
      </c>
      <c r="Q503" s="21" t="n">
        <v>549590</v>
      </c>
      <c r="R503" s="21">
        <f>IF(Q503="","",Q503*(1+in_GrowthRate)^(YEARFRAC(DATE(2023,12,31),in_AgeToDate)*IF(in_AgeToDate&lt;DATE(2023,12,31),-1,1)+1))</f>
        <v/>
      </c>
      <c r="S503" s="38" t="n"/>
      <c r="T503" s="43">
        <f>HYPERLINK("https://projects.propublica.org/nonprofits/organizations/742568941/202403209349103545/full","view filing")</f>
        <v/>
      </c>
    </row>
    <row r="504">
      <c r="A504" t="inlineStr">
        <is>
          <t>The Colorado Health Foundation</t>
        </is>
      </c>
      <c r="B504" s="20" t="inlineStr">
        <is>
          <t>CO</t>
        </is>
      </c>
      <c r="C504" s="42" t="n">
        <v>2.69</v>
      </c>
      <c r="D504" t="inlineStr">
        <is>
          <t>Healthcare</t>
        </is>
      </c>
      <c r="E504" s="20" t="n">
        <v>2022</v>
      </c>
      <c r="F504" s="20" t="inlineStr"/>
      <c r="G504" t="inlineStr">
        <is>
          <t>Aron Grodinsky</t>
        </is>
      </c>
      <c r="H504" t="inlineStr">
        <is>
          <t>CHIEF INVESTMENT OFFICER</t>
        </is>
      </c>
      <c r="I504" t="inlineStr">
        <is>
          <t>CIO</t>
        </is>
      </c>
      <c r="J504" s="21" t="n"/>
      <c r="K504" s="21" t="n"/>
      <c r="L504" s="21" t="n"/>
      <c r="M504" s="21" t="n"/>
      <c r="N504" s="21" t="n"/>
      <c r="O504" s="21" t="n">
        <v>28078</v>
      </c>
      <c r="P504" s="21" t="n">
        <v>386250</v>
      </c>
      <c r="Q504" s="21" t="n">
        <v>386250</v>
      </c>
      <c r="R504" s="21">
        <f>IF(Q504="","",Q504*(1+in_GrowthRate)^(YEARFRAC(DATE(2022,12,31),in_AgeToDate)*IF(in_AgeToDate&lt;DATE(2022,12,31),-1,1)+1))</f>
        <v/>
      </c>
      <c r="S504" s="38" t="n"/>
      <c r="T504" s="43">
        <f>HYPERLINK("https://projects.propublica.org/nonprofits/organizations/742568941/202303199349105775/full","view filing")</f>
        <v/>
      </c>
    </row>
    <row r="505">
      <c r="A505" t="inlineStr">
        <is>
          <t>The Heinz Endowments</t>
        </is>
      </c>
      <c r="B505" s="20" t="inlineStr">
        <is>
          <t>PA</t>
        </is>
      </c>
      <c r="C505" s="42" t="n">
        <v>0.8</v>
      </c>
      <c r="D505" t="inlineStr">
        <is>
          <t>Foundation</t>
        </is>
      </c>
      <c r="E505" s="20" t="n">
        <v>2024</v>
      </c>
      <c r="F505" s="20">
        <f>IF(AND(OR(in_Mode="All Funds",AND(C505&gt;=in_BandFloor,C505&lt;=in_BandCeiling,OR(in_Geography="National",COUNTIFS(lst_GeoPreset,in_Geography,lst_GeoState,B505)&gt;0,AND(in_Geography="Custom",ISNUMBER(SEARCH(B505,SUBSTITUTE(in_CustomStates," ",""))))),OR(AND(D505="Endowment",Inputs!$B$14="Y"),AND(D505="Foundation",Inputs!$B$15="Y"),AND(D505="Healthcare",Inputs!$B$16="Y"),AND(D505="Pension",Inputs!$B$17="Y"),AND(D505="OCIO",Inputs!$B$18="Y"),AND(D505="Other",Inputs!$B$19="Y")))),A505&lt;&gt;in_ClientOrg,NOT(AND(in_ExclHarvard="Y",ISNUMBER(SEARCH("Harvard",A505))))),"Y","")</f>
        <v/>
      </c>
      <c r="G505" t="inlineStr">
        <is>
          <t>Edward F Kolano</t>
        </is>
      </c>
      <c r="H505" t="inlineStr">
        <is>
          <t>VICE PRESIDENT</t>
        </is>
      </c>
      <c r="I505" t="inlineStr">
        <is>
          <t>CIO</t>
        </is>
      </c>
      <c r="J505" s="21" t="n"/>
      <c r="K505" s="21" t="n"/>
      <c r="L505" s="21" t="n"/>
      <c r="M505" s="21" t="n"/>
      <c r="N505" s="21" t="n"/>
      <c r="O505" s="21" t="n">
        <v>111790</v>
      </c>
      <c r="P505" s="21" t="n">
        <v>671048</v>
      </c>
      <c r="Q505" s="21" t="n">
        <v>671048</v>
      </c>
      <c r="R505" s="21">
        <f>IF(Q505="","",Q505*(1+in_GrowthRate)^(YEARFRAC(DATE(2024,12,31),in_AgeToDate)*IF(in_AgeToDate&lt;DATE(2024,12,31),-1,1)+1))</f>
        <v/>
      </c>
      <c r="S505" s="38" t="n"/>
      <c r="T505" s="43">
        <f>HYPERLINK("https://projects.propublica.org/nonprofits/organizations/251721100/202543169349102224/full","view filing")</f>
        <v/>
      </c>
    </row>
    <row r="506">
      <c r="A506" t="inlineStr">
        <is>
          <t>The Heinz Endowments</t>
        </is>
      </c>
      <c r="B506" s="20" t="inlineStr">
        <is>
          <t>PA</t>
        </is>
      </c>
      <c r="C506" s="42" t="n">
        <v>0.8</v>
      </c>
      <c r="D506" t="inlineStr">
        <is>
          <t>Foundation</t>
        </is>
      </c>
      <c r="E506" s="20" t="n">
        <v>2023</v>
      </c>
      <c r="F506" s="20" t="inlineStr"/>
      <c r="G506" t="inlineStr">
        <is>
          <t>Edward Kolano</t>
        </is>
      </c>
      <c r="H506" t="inlineStr">
        <is>
          <t>VICE PRESIDENT</t>
        </is>
      </c>
      <c r="I506" t="inlineStr">
        <is>
          <t>CIO</t>
        </is>
      </c>
      <c r="J506" s="21" t="n"/>
      <c r="K506" s="21" t="n"/>
      <c r="L506" s="21" t="n"/>
      <c r="M506" s="21" t="n"/>
      <c r="N506" s="21" t="n"/>
      <c r="O506" s="21" t="n">
        <v>106064</v>
      </c>
      <c r="P506" s="21" t="n">
        <v>658611</v>
      </c>
      <c r="Q506" s="21" t="n">
        <v>658611</v>
      </c>
      <c r="R506" s="21">
        <f>IF(Q506="","",Q506*(1+in_GrowthRate)^(YEARFRAC(DATE(2023,12,31),in_AgeToDate)*IF(in_AgeToDate&lt;DATE(2023,12,31),-1,1)+1))</f>
        <v/>
      </c>
      <c r="S506" s="38" t="n"/>
      <c r="T506" s="43">
        <f>HYPERLINK("https://projects.propublica.org/nonprofits/organizations/251721100/202433199349103253/full","view filing")</f>
        <v/>
      </c>
    </row>
    <row r="507">
      <c r="A507" t="inlineStr">
        <is>
          <t>The Heinz Endowments</t>
        </is>
      </c>
      <c r="B507" s="20" t="inlineStr">
        <is>
          <t>PA</t>
        </is>
      </c>
      <c r="C507" s="42" t="n">
        <v>0.8</v>
      </c>
      <c r="D507" t="inlineStr">
        <is>
          <t>Foundation</t>
        </is>
      </c>
      <c r="E507" s="20" t="n">
        <v>2022</v>
      </c>
      <c r="F507" s="20" t="inlineStr"/>
      <c r="G507" t="inlineStr">
        <is>
          <t>Edward Kolano</t>
        </is>
      </c>
      <c r="H507" t="inlineStr">
        <is>
          <t>VICE PRESIDENT</t>
        </is>
      </c>
      <c r="I507" t="inlineStr">
        <is>
          <t>CIO</t>
        </is>
      </c>
      <c r="J507" s="21" t="n"/>
      <c r="K507" s="21" t="n"/>
      <c r="L507" s="21" t="n"/>
      <c r="M507" s="21" t="n"/>
      <c r="N507" s="21" t="n"/>
      <c r="O507" s="21" t="n">
        <v>98366</v>
      </c>
      <c r="P507" s="21" t="n">
        <v>603102</v>
      </c>
      <c r="Q507" s="21" t="n">
        <v>603102</v>
      </c>
      <c r="R507" s="21">
        <f>IF(Q507="","",Q507*(1+in_GrowthRate)^(YEARFRAC(DATE(2022,12,31),in_AgeToDate)*IF(in_AgeToDate&lt;DATE(2022,12,31),-1,1)+1))</f>
        <v/>
      </c>
      <c r="S507" s="38" t="n"/>
      <c r="T507" s="43">
        <f>HYPERLINK("https://projects.propublica.org/nonprofits/organizations/251721100/202343199349102629/full","view filing")</f>
        <v/>
      </c>
    </row>
    <row r="508">
      <c r="A508" t="inlineStr">
        <is>
          <t>The Metropolitan Museum Of Art</t>
        </is>
      </c>
      <c r="B508" s="20" t="inlineStr">
        <is>
          <t>NY</t>
        </is>
      </c>
      <c r="C508" s="42" t="n">
        <v>5.63</v>
      </c>
      <c r="D508" t="inlineStr">
        <is>
          <t>Other</t>
        </is>
      </c>
      <c r="E508" s="20" t="n">
        <v>2025</v>
      </c>
      <c r="F508" s="20">
        <f>IF(AND(OR(in_Mode="All Funds",AND(C508&gt;=in_BandFloor,C508&lt;=in_BandCeiling,OR(in_Geography="National",COUNTIFS(lst_GeoPreset,in_Geography,lst_GeoState,B508)&gt;0,AND(in_Geography="Custom",ISNUMBER(SEARCH(B508,SUBSTITUTE(in_CustomStates," ",""))))),OR(AND(D508="Endowment",Inputs!$B$14="Y"),AND(D508="Foundation",Inputs!$B$15="Y"),AND(D508="Healthcare",Inputs!$B$16="Y"),AND(D508="Pension",Inputs!$B$17="Y"),AND(D508="OCIO",Inputs!$B$18="Y"),AND(D508="Other",Inputs!$B$19="Y")))),A508&lt;&gt;in_ClientOrg,NOT(AND(in_ExclHarvard="Y",ISNUMBER(SEARCH("Harvard",A508))))),"Y","")</f>
        <v/>
      </c>
      <c r="G508" t="inlineStr">
        <is>
          <t>Lauren A Meserve</t>
        </is>
      </c>
      <c r="H508" t="inlineStr">
        <is>
          <t>SVP &amp; CHIEF INVESTMENT OFFICER</t>
        </is>
      </c>
      <c r="I508" t="inlineStr">
        <is>
          <t>CIO</t>
        </is>
      </c>
      <c r="J508" s="21" t="n">
        <v>735037</v>
      </c>
      <c r="K508" s="21" t="n">
        <v>908770</v>
      </c>
      <c r="L508" s="21" t="n">
        <v>1643807</v>
      </c>
      <c r="M508" s="21" t="n">
        <v>2622</v>
      </c>
      <c r="N508" s="21" t="n">
        <v>521543</v>
      </c>
      <c r="O508" s="21" t="n">
        <v>12331</v>
      </c>
      <c r="P508" s="21" t="n">
        <v>2180303</v>
      </c>
      <c r="Q508" s="21" t="n">
        <v>1745071</v>
      </c>
      <c r="R508" s="21">
        <f>IF(Q508="","",Q508*(1+in_GrowthRate)^(YEARFRAC(DATE(2025,6,30),in_AgeToDate)*IF(in_AgeToDate&lt;DATE(2025,6,30),-1,1)+1))</f>
        <v/>
      </c>
      <c r="S508" s="38" t="n">
        <v>1.236359530200521</v>
      </c>
      <c r="T508" s="43">
        <f>HYPERLINK("https://projects.propublica.org/nonprofits/organizations/131624086/202600449349301510/full","view filing")</f>
        <v/>
      </c>
    </row>
    <row r="509">
      <c r="A509" t="inlineStr">
        <is>
          <t>The Metropolitan Museum Of Art</t>
        </is>
      </c>
      <c r="B509" s="20" t="inlineStr">
        <is>
          <t>NY</t>
        </is>
      </c>
      <c r="C509" s="42" t="n">
        <v>5.63</v>
      </c>
      <c r="D509" t="inlineStr">
        <is>
          <t>Other</t>
        </is>
      </c>
      <c r="E509" s="20" t="n">
        <v>2024</v>
      </c>
      <c r="F509" s="20" t="inlineStr"/>
      <c r="G509" t="inlineStr">
        <is>
          <t>Lauren A Meserve</t>
        </is>
      </c>
      <c r="H509" t="inlineStr">
        <is>
          <t>SVP &amp; CHIEF INVESTMENT OFFICER</t>
        </is>
      </c>
      <c r="I509" t="inlineStr">
        <is>
          <t>CIO</t>
        </is>
      </c>
      <c r="J509" s="21" t="n">
        <v>710204</v>
      </c>
      <c r="K509" s="21" t="n">
        <v>788769</v>
      </c>
      <c r="L509" s="21" t="n">
        <v>1498973</v>
      </c>
      <c r="M509" s="21" t="n">
        <v>2622</v>
      </c>
      <c r="N509" s="21" t="n">
        <v>483882</v>
      </c>
      <c r="O509" s="21" t="n">
        <v>11079</v>
      </c>
      <c r="P509" s="21" t="n">
        <v>1996556</v>
      </c>
      <c r="Q509" s="21" t="n">
        <v>1645600</v>
      </c>
      <c r="R509" s="21">
        <f>IF(Q509="","",Q509*(1+in_GrowthRate)^(YEARFRAC(DATE(2024,6,30),in_AgeToDate)*IF(in_AgeToDate&lt;DATE(2024,6,30),-1,1)+1))</f>
        <v/>
      </c>
      <c r="S509" s="38" t="n">
        <v>1.110623144899212</v>
      </c>
      <c r="T509" s="43">
        <f>HYPERLINK("https://projects.propublica.org/nonprofits/organizations/131624086/202510499349301586/full","view filing")</f>
        <v/>
      </c>
    </row>
    <row r="510">
      <c r="A510" t="inlineStr">
        <is>
          <t>The Metropolitan Museum Of Art</t>
        </is>
      </c>
      <c r="B510" s="20" t="inlineStr">
        <is>
          <t>NY</t>
        </is>
      </c>
      <c r="C510" s="42" t="n">
        <v>5.63</v>
      </c>
      <c r="D510" t="inlineStr">
        <is>
          <t>Other</t>
        </is>
      </c>
      <c r="E510" s="20" t="n">
        <v>2023</v>
      </c>
      <c r="F510" s="20" t="inlineStr"/>
      <c r="G510" t="inlineStr">
        <is>
          <t>Lauren A Meserve</t>
        </is>
      </c>
      <c r="H510" t="inlineStr">
        <is>
          <t>SVP &amp; CHIEF INVESTMENT OFFICER</t>
        </is>
      </c>
      <c r="I510" t="inlineStr">
        <is>
          <t>CIO</t>
        </is>
      </c>
      <c r="J510" s="21" t="n">
        <v>686314</v>
      </c>
      <c r="K510" s="21" t="n">
        <v>718674</v>
      </c>
      <c r="L510" s="21" t="n">
        <v>1404988</v>
      </c>
      <c r="M510" s="21" t="n">
        <v>2622</v>
      </c>
      <c r="N510" s="21" t="n">
        <v>382495</v>
      </c>
      <c r="O510" s="21" t="n">
        <v>10164</v>
      </c>
      <c r="P510" s="21" t="n">
        <v>1800269</v>
      </c>
      <c r="Q510" s="21" t="n">
        <v>1421534</v>
      </c>
      <c r="R510" s="21">
        <f>IF(Q510="","",Q510*(1+in_GrowthRate)^(YEARFRAC(DATE(2023,6,30),in_AgeToDate)*IF(in_AgeToDate&lt;DATE(2023,6,30),-1,1)+1))</f>
        <v/>
      </c>
      <c r="S510" s="38" t="n">
        <v>1.047150429686703</v>
      </c>
      <c r="T510" s="43">
        <f>HYPERLINK("https://projects.propublica.org/nonprofits/organizations/131624086/202410469349300531/full","view filing")</f>
        <v/>
      </c>
    </row>
    <row r="511">
      <c r="A511" t="inlineStr">
        <is>
          <t>The Metropolitan Museum Of Art</t>
        </is>
      </c>
      <c r="B511" s="20" t="inlineStr">
        <is>
          <t>NY</t>
        </is>
      </c>
      <c r="C511" s="42" t="n">
        <v>5.63</v>
      </c>
      <c r="D511" t="inlineStr">
        <is>
          <t>Other</t>
        </is>
      </c>
      <c r="E511" s="20" t="n">
        <v>2022</v>
      </c>
      <c r="F511" s="20" t="inlineStr"/>
      <c r="G511" t="inlineStr">
        <is>
          <t>Lauren A Meserve</t>
        </is>
      </c>
      <c r="H511" t="inlineStr">
        <is>
          <t>SVP &amp; Chief Investment Officer</t>
        </is>
      </c>
      <c r="I511" t="inlineStr">
        <is>
          <t>CIO</t>
        </is>
      </c>
      <c r="J511" s="21" t="n">
        <v>695109</v>
      </c>
      <c r="K511" s="21" t="n">
        <v>793206</v>
      </c>
      <c r="L511" s="21" t="n">
        <v>1488315</v>
      </c>
      <c r="M511" s="21" t="n">
        <v>2723</v>
      </c>
      <c r="N511" s="21" t="n">
        <v>376864</v>
      </c>
      <c r="O511" s="21" t="n">
        <v>10691</v>
      </c>
      <c r="P511" s="21" t="n">
        <v>1878593</v>
      </c>
      <c r="Q511" s="21" t="n">
        <v>1533947</v>
      </c>
      <c r="R511" s="21">
        <f>IF(Q511="","",Q511*(1+in_GrowthRate)^(YEARFRAC(DATE(2022,6,30),in_AgeToDate)*IF(in_AgeToDate&lt;DATE(2022,6,30),-1,1)+1))</f>
        <v/>
      </c>
      <c r="S511" s="38" t="n">
        <v>1.141124629374674</v>
      </c>
      <c r="T511" s="43">
        <f>HYPERLINK("https://projects.propublica.org/nonprofits/organizations/131624086/202330469349301348/full","view filing")</f>
        <v/>
      </c>
    </row>
    <row r="512">
      <c r="A512" t="inlineStr">
        <is>
          <t>The New York And Presbyterian Hospital</t>
        </is>
      </c>
      <c r="B512" s="20" t="inlineStr">
        <is>
          <t>NY</t>
        </is>
      </c>
      <c r="C512" s="42" t="n">
        <v>1.14</v>
      </c>
      <c r="D512" t="inlineStr">
        <is>
          <t>Healthcare</t>
        </is>
      </c>
      <c r="E512" s="20" t="n">
        <v>2024</v>
      </c>
      <c r="F512" s="20">
        <f>IF(AND(OR(in_Mode="All Funds",AND(C512&gt;=in_BandFloor,C512&lt;=in_BandCeiling,OR(in_Geography="National",COUNTIFS(lst_GeoPreset,in_Geography,lst_GeoState,B512)&gt;0,AND(in_Geography="Custom",ISNUMBER(SEARCH(B512,SUBSTITUTE(in_CustomStates," ",""))))),OR(AND(D512="Endowment",Inputs!$B$14="Y"),AND(D512="Foundation",Inputs!$B$15="Y"),AND(D512="Healthcare",Inputs!$B$16="Y"),AND(D512="Pension",Inputs!$B$17="Y"),AND(D512="OCIO",Inputs!$B$18="Y"),AND(D512="Other",Inputs!$B$19="Y")))),A512&lt;&gt;in_ClientOrg,NOT(AND(in_ExclHarvard="Y",ISNUMBER(SEARCH("Harvard",A512))))),"Y","")</f>
        <v/>
      </c>
      <c r="G512" t="inlineStr">
        <is>
          <t>Anne Dinneen</t>
        </is>
      </c>
      <c r="H512" t="inlineStr">
        <is>
          <t>SVP - CHIEF INVEST OFFICER</t>
        </is>
      </c>
      <c r="I512" t="inlineStr">
        <is>
          <t>CIO</t>
        </is>
      </c>
      <c r="J512" s="21" t="n">
        <v>1465399</v>
      </c>
      <c r="K512" s="21" t="n">
        <v>1000000</v>
      </c>
      <c r="L512" s="21" t="n">
        <v>2465399</v>
      </c>
      <c r="M512" s="21" t="n">
        <v>311060</v>
      </c>
      <c r="N512" s="21" t="n">
        <v>17723</v>
      </c>
      <c r="O512" s="21" t="n">
        <v>60468</v>
      </c>
      <c r="P512" s="21" t="n">
        <v>2854650</v>
      </c>
      <c r="Q512" s="21" t="n">
        <v>2854650</v>
      </c>
      <c r="R512" s="21">
        <f>IF(Q512="","",Q512*(1+in_GrowthRate)^(YEARFRAC(DATE(2024,12,31),in_AgeToDate)*IF(in_AgeToDate&lt;DATE(2024,12,31),-1,1)+1))</f>
        <v/>
      </c>
      <c r="S512" s="38" t="n">
        <v>0.6824079994595329</v>
      </c>
      <c r="T512" s="43">
        <f>HYPERLINK("https://projects.propublica.org/nonprofits/organizations/133957095/202543189349306204/full","view filing")</f>
        <v/>
      </c>
    </row>
    <row r="513">
      <c r="A513" t="inlineStr">
        <is>
          <t>The New York And Presbyterian Hospital</t>
        </is>
      </c>
      <c r="B513" s="20" t="inlineStr">
        <is>
          <t>NY</t>
        </is>
      </c>
      <c r="C513" s="42" t="n">
        <v>1.14</v>
      </c>
      <c r="D513" t="inlineStr">
        <is>
          <t>Healthcare</t>
        </is>
      </c>
      <c r="E513" s="20" t="n">
        <v>2023</v>
      </c>
      <c r="F513" s="20" t="inlineStr"/>
      <c r="G513" t="inlineStr">
        <is>
          <t>Anne Dinneen</t>
        </is>
      </c>
      <c r="H513" t="inlineStr">
        <is>
          <t>SVP - CHIEF INVEST OFFICER</t>
        </is>
      </c>
      <c r="I513" t="inlineStr">
        <is>
          <t>CIO</t>
        </is>
      </c>
      <c r="J513" s="21" t="n">
        <v>1488805</v>
      </c>
      <c r="K513" s="21" t="n">
        <v>750000</v>
      </c>
      <c r="L513" s="21" t="n">
        <v>2238805</v>
      </c>
      <c r="M513" s="21" t="n">
        <v>226310</v>
      </c>
      <c r="N513" s="21" t="n">
        <v>11006</v>
      </c>
      <c r="O513" s="21" t="n">
        <v>57608</v>
      </c>
      <c r="P513" s="21" t="n">
        <v>2533729</v>
      </c>
      <c r="Q513" s="21" t="n">
        <v>2533729</v>
      </c>
      <c r="R513" s="21">
        <f>IF(Q513="","",Q513*(1+in_GrowthRate)^(YEARFRAC(DATE(2023,12,31),in_AgeToDate)*IF(in_AgeToDate&lt;DATE(2023,12,31),-1,1)+1))</f>
        <v/>
      </c>
      <c r="S513" s="38" t="n">
        <v>0.5037597267607242</v>
      </c>
      <c r="T513" s="43">
        <f>HYPERLINK("https://projects.propublica.org/nonprofits/organizations/133957095/202413189349304986/full","view filing")</f>
        <v/>
      </c>
    </row>
    <row r="514">
      <c r="A514" t="inlineStr">
        <is>
          <t>The New York And Presbyterian Hospital</t>
        </is>
      </c>
      <c r="B514" s="20" t="inlineStr">
        <is>
          <t>NY</t>
        </is>
      </c>
      <c r="C514" s="42" t="n">
        <v>1.14</v>
      </c>
      <c r="D514" t="inlineStr">
        <is>
          <t>Healthcare</t>
        </is>
      </c>
      <c r="E514" s="20" t="n">
        <v>2022</v>
      </c>
      <c r="F514" s="20" t="inlineStr"/>
      <c r="G514" t="inlineStr">
        <is>
          <t>Anne Dinneen</t>
        </is>
      </c>
      <c r="H514" t="inlineStr">
        <is>
          <t>SVP - CHIEF INVEST OFFICER</t>
        </is>
      </c>
      <c r="I514" t="inlineStr">
        <is>
          <t>CIO</t>
        </is>
      </c>
      <c r="J514" s="21" t="n">
        <v>944603</v>
      </c>
      <c r="K514" s="21" t="n">
        <v>1033066</v>
      </c>
      <c r="L514" s="21" t="n">
        <v>1977669</v>
      </c>
      <c r="M514" s="21" t="n">
        <v>3472</v>
      </c>
      <c r="N514" s="21" t="n"/>
      <c r="O514" s="21" t="n">
        <v>36245</v>
      </c>
      <c r="P514" s="21" t="n">
        <v>2017386</v>
      </c>
      <c r="Q514" s="21" t="n">
        <v>2017386</v>
      </c>
      <c r="R514" s="21">
        <f>IF(Q514="","",Q514*(1+in_GrowthRate)^(YEARFRAC(DATE(2022,12,31),in_AgeToDate)*IF(in_AgeToDate&lt;DATE(2022,12,31),-1,1)+1))</f>
        <v/>
      </c>
      <c r="S514" s="38" t="n">
        <v>1.093650983534882</v>
      </c>
      <c r="T514" s="43">
        <f>HYPERLINK("https://projects.propublica.org/nonprofits/organizations/133957095/202303189349314485/full","view filing")</f>
        <v/>
      </c>
    </row>
    <row r="515">
      <c r="A515" t="inlineStr">
        <is>
          <t>The New York Community Trust</t>
        </is>
      </c>
      <c r="B515" s="20" t="inlineStr">
        <is>
          <t>NY</t>
        </is>
      </c>
      <c r="C515" s="42" t="n">
        <v>3.49</v>
      </c>
      <c r="D515" t="inlineStr">
        <is>
          <t>Foundation</t>
        </is>
      </c>
      <c r="E515" s="20" t="n">
        <v>2024</v>
      </c>
      <c r="F515" s="20">
        <f>IF(AND(OR(in_Mode="All Funds",AND(C515&gt;=in_BandFloor,C515&lt;=in_BandCeiling,OR(in_Geography="National",COUNTIFS(lst_GeoPreset,in_Geography,lst_GeoState,B515)&gt;0,AND(in_Geography="Custom",ISNUMBER(SEARCH(B515,SUBSTITUTE(in_CustomStates," ",""))))),OR(AND(D515="Endowment",Inputs!$B$14="Y"),AND(D515="Foundation",Inputs!$B$15="Y"),AND(D515="Healthcare",Inputs!$B$16="Y"),AND(D515="Pension",Inputs!$B$17="Y"),AND(D515="OCIO",Inputs!$B$18="Y"),AND(D515="Other",Inputs!$B$19="Y")))),A515&lt;&gt;in_ClientOrg,NOT(AND(in_ExclHarvard="Y",ISNUMBER(SEARCH("Harvard",A515))))),"Y","")</f>
        <v/>
      </c>
      <c r="G515" t="inlineStr">
        <is>
          <t>Tatiana Pohotsky</t>
        </is>
      </c>
      <c r="H515" t="inlineStr">
        <is>
          <t>CIO &amp; ASSISTANT TREASURER</t>
        </is>
      </c>
      <c r="I515" t="inlineStr">
        <is>
          <t>CIO</t>
        </is>
      </c>
      <c r="J515" s="21" t="n">
        <v>312714</v>
      </c>
      <c r="K515" s="21" t="n"/>
      <c r="L515" s="21" t="n">
        <v>312714</v>
      </c>
      <c r="M515" s="21" t="n"/>
      <c r="N515" s="21" t="n">
        <v>50022</v>
      </c>
      <c r="O515" s="21" t="n">
        <v>15156</v>
      </c>
      <c r="P515" s="21" t="n">
        <v>377892</v>
      </c>
      <c r="Q515" s="21" t="n">
        <v>377892</v>
      </c>
      <c r="R515" s="21">
        <f>IF(Q515="","",Q515*(1+in_GrowthRate)^(YEARFRAC(DATE(2024,12,31),in_AgeToDate)*IF(in_AgeToDate&lt;DATE(2024,12,31),-1,1)+1))</f>
        <v/>
      </c>
      <c r="S515" s="38" t="n">
        <v>0</v>
      </c>
      <c r="T515" s="43">
        <f>HYPERLINK("https://projects.propublica.org/nonprofits/organizations/133062214/202523149349305672/full","view filing")</f>
        <v/>
      </c>
    </row>
    <row r="516">
      <c r="A516" t="inlineStr">
        <is>
          <t>The New York Community Trust</t>
        </is>
      </c>
      <c r="B516" s="20" t="inlineStr">
        <is>
          <t>NY</t>
        </is>
      </c>
      <c r="C516" s="42" t="n">
        <v>3.49</v>
      </c>
      <c r="D516" t="inlineStr">
        <is>
          <t>Foundation</t>
        </is>
      </c>
      <c r="E516" s="20" t="n">
        <v>2023</v>
      </c>
      <c r="F516" s="20" t="inlineStr"/>
      <c r="G516" t="inlineStr">
        <is>
          <t>Tatiana Pohotsky</t>
        </is>
      </c>
      <c r="H516" t="inlineStr">
        <is>
          <t>CIO &amp; ASSISTANT TREASURER</t>
        </is>
      </c>
      <c r="I516" t="inlineStr">
        <is>
          <t>CIO</t>
        </is>
      </c>
      <c r="J516" s="21" t="n">
        <v>296433</v>
      </c>
      <c r="K516" s="21" t="n"/>
      <c r="L516" s="21" t="n">
        <v>296433</v>
      </c>
      <c r="M516" s="21" t="n">
        <v>1106</v>
      </c>
      <c r="N516" s="21" t="n">
        <v>45877</v>
      </c>
      <c r="O516" s="21" t="n">
        <v>19757</v>
      </c>
      <c r="P516" s="21" t="n">
        <v>363173</v>
      </c>
      <c r="Q516" s="21" t="n">
        <v>363173</v>
      </c>
      <c r="R516" s="21">
        <f>IF(Q516="","",Q516*(1+in_GrowthRate)^(YEARFRAC(DATE(2023,12,31),in_AgeToDate)*IF(in_AgeToDate&lt;DATE(2023,12,31),-1,1)+1))</f>
        <v/>
      </c>
      <c r="S516" s="38" t="n">
        <v>0</v>
      </c>
      <c r="T516" s="43">
        <f>HYPERLINK("https://projects.propublica.org/nonprofits/organizations/133062214/202443179349309079/full","view filing")</f>
        <v/>
      </c>
    </row>
    <row r="517">
      <c r="A517" t="inlineStr">
        <is>
          <t>The New York Community Trust</t>
        </is>
      </c>
      <c r="B517" s="20" t="inlineStr">
        <is>
          <t>NY</t>
        </is>
      </c>
      <c r="C517" s="42" t="n">
        <v>3.49</v>
      </c>
      <c r="D517" t="inlineStr">
        <is>
          <t>Foundation</t>
        </is>
      </c>
      <c r="E517" s="20" t="n">
        <v>2022</v>
      </c>
      <c r="F517" s="20" t="inlineStr"/>
      <c r="G517" t="inlineStr">
        <is>
          <t>Tatiana Pohotsky</t>
        </is>
      </c>
      <c r="H517" t="inlineStr">
        <is>
          <t>CIO &amp; Asst. Treasurer</t>
        </is>
      </c>
      <c r="I517" t="inlineStr">
        <is>
          <t>CIO</t>
        </is>
      </c>
      <c r="J517" s="21" t="n">
        <v>282313</v>
      </c>
      <c r="K517" s="21" t="n"/>
      <c r="L517" s="21" t="n">
        <v>282313</v>
      </c>
      <c r="M517" s="21" t="n">
        <v>648</v>
      </c>
      <c r="N517" s="21" t="n">
        <v>43400</v>
      </c>
      <c r="O517" s="21" t="n">
        <v>22253</v>
      </c>
      <c r="P517" s="21" t="n">
        <v>348614</v>
      </c>
      <c r="Q517" s="21" t="n">
        <v>348614</v>
      </c>
      <c r="R517" s="21">
        <f>IF(Q517="","",Q517*(1+in_GrowthRate)^(YEARFRAC(DATE(2022,12,31),in_AgeToDate)*IF(in_AgeToDate&lt;DATE(2022,12,31),-1,1)+1))</f>
        <v/>
      </c>
      <c r="S517" s="38" t="n">
        <v>0</v>
      </c>
      <c r="T517" s="43">
        <f>HYPERLINK("https://projects.propublica.org/nonprofits/organizations/133062214/202323179349302337/full","view filing")</f>
        <v/>
      </c>
    </row>
    <row r="518">
      <c r="A518" t="inlineStr">
        <is>
          <t>The New York Public Library Astor Lenox And Tilden Foundations</t>
        </is>
      </c>
      <c r="B518" s="20" t="inlineStr">
        <is>
          <t>NY</t>
        </is>
      </c>
      <c r="C518" s="42" t="n">
        <v>2.01</v>
      </c>
      <c r="D518" t="inlineStr">
        <is>
          <t>Other</t>
        </is>
      </c>
      <c r="E518" s="20" t="n">
        <v>2025</v>
      </c>
      <c r="F518" s="20">
        <f>IF(AND(OR(in_Mode="All Funds",AND(C518&gt;=in_BandFloor,C518&lt;=in_BandCeiling,OR(in_Geography="National",COUNTIFS(lst_GeoPreset,in_Geography,lst_GeoState,B518)&gt;0,AND(in_Geography="Custom",ISNUMBER(SEARCH(B518,SUBSTITUTE(in_CustomStates," ",""))))),OR(AND(D518="Endowment",Inputs!$B$14="Y"),AND(D518="Foundation",Inputs!$B$15="Y"),AND(D518="Healthcare",Inputs!$B$16="Y"),AND(D518="Pension",Inputs!$B$17="Y"),AND(D518="OCIO",Inputs!$B$18="Y"),AND(D518="Other",Inputs!$B$19="Y")))),A518&lt;&gt;in_ClientOrg,NOT(AND(in_ExclHarvard="Y",ISNUMBER(SEARCH("Harvard",A518))))),"Y","")</f>
        <v/>
      </c>
      <c r="G518" t="inlineStr">
        <is>
          <t>Geetanjali Gupta</t>
        </is>
      </c>
      <c r="H518" t="inlineStr">
        <is>
          <t>CHIEF INVESTMENT OFFICER</t>
        </is>
      </c>
      <c r="I518" t="inlineStr">
        <is>
          <t>CIO</t>
        </is>
      </c>
      <c r="J518" s="21" t="n">
        <v>709323</v>
      </c>
      <c r="K518" s="21" t="n">
        <v>804265</v>
      </c>
      <c r="L518" s="21" t="n">
        <v>1513588</v>
      </c>
      <c r="M518" s="21" t="n">
        <v>702</v>
      </c>
      <c r="N518" s="21" t="n">
        <v>27600</v>
      </c>
      <c r="O518" s="21" t="n">
        <v>53847</v>
      </c>
      <c r="P518" s="21" t="n">
        <v>1595737</v>
      </c>
      <c r="Q518" s="21" t="n">
        <v>1595737</v>
      </c>
      <c r="R518" s="21">
        <f>IF(Q518="","",Q518*(1+in_GrowthRate)^(YEARFRAC(DATE(2025,6,30),in_AgeToDate)*IF(in_AgeToDate&lt;DATE(2025,6,30),-1,1)+1))</f>
        <v/>
      </c>
      <c r="S518" s="38" t="n">
        <v>1.133848754375651</v>
      </c>
      <c r="T518" s="43">
        <f>HYPERLINK("https://projects.propublica.org/nonprofits/organizations/131887440/202611339349309571/full","view filing")</f>
        <v/>
      </c>
    </row>
    <row r="519">
      <c r="A519" t="inlineStr">
        <is>
          <t>The New York Public Library Astor Lenox And Tilden Foundations</t>
        </is>
      </c>
      <c r="B519" s="20" t="inlineStr">
        <is>
          <t>NY</t>
        </is>
      </c>
      <c r="C519" s="42" t="n">
        <v>2.01</v>
      </c>
      <c r="D519" t="inlineStr">
        <is>
          <t>Other</t>
        </is>
      </c>
      <c r="E519" s="20" t="n">
        <v>2024</v>
      </c>
      <c r="F519" s="20" t="inlineStr"/>
      <c r="G519" t="inlineStr">
        <is>
          <t>Geetanjali Gupta</t>
        </is>
      </c>
      <c r="H519" t="inlineStr">
        <is>
          <t>CHIEF INVESTMENT OFFICER</t>
        </is>
      </c>
      <c r="I519" t="inlineStr">
        <is>
          <t>CIO</t>
        </is>
      </c>
      <c r="J519" s="21" t="n">
        <v>686388</v>
      </c>
      <c r="K519" s="21" t="n">
        <v>673900</v>
      </c>
      <c r="L519" s="21" t="n">
        <v>1360288</v>
      </c>
      <c r="M519" s="21" t="n">
        <v>681</v>
      </c>
      <c r="N519" s="21" t="n">
        <v>26400</v>
      </c>
      <c r="O519" s="21" t="n">
        <v>48803</v>
      </c>
      <c r="P519" s="21" t="n">
        <v>1436172</v>
      </c>
      <c r="Q519" s="21" t="n">
        <v>1436172</v>
      </c>
      <c r="R519" s="21">
        <f>IF(Q519="","",Q519*(1+in_GrowthRate)^(YEARFRAC(DATE(2024,6,30),in_AgeToDate)*IF(in_AgeToDate&lt;DATE(2024,6,30),-1,1)+1))</f>
        <v/>
      </c>
      <c r="S519" s="38" t="n">
        <v>0.9818062087332529</v>
      </c>
      <c r="T519" s="43">
        <f>HYPERLINK("https://projects.propublica.org/nonprofits/organizations/131887440/202521339349310157/full","view filing")</f>
        <v/>
      </c>
    </row>
    <row r="520">
      <c r="A520" t="inlineStr">
        <is>
          <t>The New York Public Library Astor Lenox And Tilden Foundations</t>
        </is>
      </c>
      <c r="B520" s="20" t="inlineStr">
        <is>
          <t>NY</t>
        </is>
      </c>
      <c r="C520" s="42" t="n">
        <v>2.01</v>
      </c>
      <c r="D520" t="inlineStr">
        <is>
          <t>Other</t>
        </is>
      </c>
      <c r="E520" s="20" t="n">
        <v>2023</v>
      </c>
      <c r="F520" s="20" t="inlineStr"/>
      <c r="G520" t="inlineStr">
        <is>
          <t>Geetanjali Gupta</t>
        </is>
      </c>
      <c r="H520" t="inlineStr">
        <is>
          <t>CHIEF INVESTMENT OFFICER</t>
        </is>
      </c>
      <c r="I520" t="inlineStr">
        <is>
          <t>CIO</t>
        </is>
      </c>
      <c r="J520" s="21" t="n">
        <v>658865</v>
      </c>
      <c r="K520" s="21" t="n">
        <v>526200</v>
      </c>
      <c r="L520" s="21" t="n">
        <v>1185065</v>
      </c>
      <c r="M520" s="21" t="n">
        <v>436</v>
      </c>
      <c r="N520" s="21" t="n">
        <v>24400</v>
      </c>
      <c r="O520" s="21" t="n">
        <v>42243</v>
      </c>
      <c r="P520" s="21" t="n">
        <v>1252144</v>
      </c>
      <c r="Q520" s="21" t="n">
        <v>1252144</v>
      </c>
      <c r="R520" s="21">
        <f>IF(Q520="","",Q520*(1+in_GrowthRate)^(YEARFRAC(DATE(2023,6,30),in_AgeToDate)*IF(in_AgeToDate&lt;DATE(2023,6,30),-1,1)+1))</f>
        <v/>
      </c>
      <c r="S520" s="38" t="n">
        <v>0.7986461566481753</v>
      </c>
      <c r="T520" s="43">
        <f>HYPERLINK("https://projects.propublica.org/nonprofits/organizations/131887440/202431359349308113/full","view filing")</f>
        <v/>
      </c>
    </row>
    <row r="521">
      <c r="A521" t="inlineStr">
        <is>
          <t>The New York Public Library Astor Lenox And Tilden Foundations</t>
        </is>
      </c>
      <c r="B521" s="20" t="inlineStr">
        <is>
          <t>NY</t>
        </is>
      </c>
      <c r="C521" s="42" t="n">
        <v>2.01</v>
      </c>
      <c r="D521" t="inlineStr">
        <is>
          <t>Other</t>
        </is>
      </c>
      <c r="E521" s="20" t="n">
        <v>2022</v>
      </c>
      <c r="F521" s="20" t="inlineStr"/>
      <c r="G521" t="inlineStr">
        <is>
          <t>Geetanjali Gupta</t>
        </is>
      </c>
      <c r="H521" t="inlineStr">
        <is>
          <t>CHIEF INVESTMENT OFFICER</t>
        </is>
      </c>
      <c r="I521" t="inlineStr">
        <is>
          <t>CIO</t>
        </is>
      </c>
      <c r="J521" s="21" t="n">
        <v>651406</v>
      </c>
      <c r="K521" s="21" t="n">
        <v>600000</v>
      </c>
      <c r="L521" s="21" t="n">
        <v>1251406</v>
      </c>
      <c r="M521" s="21" t="n">
        <v>435</v>
      </c>
      <c r="N521" s="21" t="n">
        <v>23200</v>
      </c>
      <c r="O521" s="21" t="n">
        <v>65364</v>
      </c>
      <c r="P521" s="21" t="n">
        <v>1340405</v>
      </c>
      <c r="Q521" s="21" t="n">
        <v>1340405</v>
      </c>
      <c r="R521" s="21">
        <f>IF(Q521="","",Q521*(1+in_GrowthRate)^(YEARFRAC(DATE(2022,6,30),in_AgeToDate)*IF(in_AgeToDate&lt;DATE(2022,6,30),-1,1)+1))</f>
        <v/>
      </c>
      <c r="S521" s="38" t="n">
        <v>0.9210845463505095</v>
      </c>
      <c r="T521" s="43">
        <f>HYPERLINK("https://projects.propublica.org/nonprofits/organizations/131887440/202311319349302326/full","view filing")</f>
        <v/>
      </c>
    </row>
    <row r="522">
      <c r="A522" t="inlineStr">
        <is>
          <t>The Pittsburgh Foundation</t>
        </is>
      </c>
      <c r="B522" s="20" t="inlineStr">
        <is>
          <t>PA</t>
        </is>
      </c>
      <c r="C522" s="42" t="n">
        <v>1.32</v>
      </c>
      <c r="D522" t="inlineStr">
        <is>
          <t>Foundation</t>
        </is>
      </c>
      <c r="E522" s="20" t="n">
        <v>2024</v>
      </c>
      <c r="F522" s="20">
        <f>IF(AND(OR(in_Mode="All Funds",AND(C522&gt;=in_BandFloor,C522&lt;=in_BandCeiling,OR(in_Geography="National",COUNTIFS(lst_GeoPreset,in_Geography,lst_GeoState,B522)&gt;0,AND(in_Geography="Custom",ISNUMBER(SEARCH(B522,SUBSTITUTE(in_CustomStates," ",""))))),OR(AND(D522="Endowment",Inputs!$B$14="Y"),AND(D522="Foundation",Inputs!$B$15="Y"),AND(D522="Healthcare",Inputs!$B$16="Y"),AND(D522="Pension",Inputs!$B$17="Y"),AND(D522="OCIO",Inputs!$B$18="Y"),AND(D522="Other",Inputs!$B$19="Y")))),A522&lt;&gt;in_ClientOrg,NOT(AND(in_ExclHarvard="Y",ISNUMBER(SEARCH("Harvard",A522))))),"Y","")</f>
        <v/>
      </c>
      <c r="G522" t="inlineStr">
        <is>
          <t>Jonathan Brelsford</t>
        </is>
      </c>
      <c r="H522" t="inlineStr">
        <is>
          <t>CIO &amp; SVP OPERATIONS</t>
        </is>
      </c>
      <c r="I522" t="inlineStr">
        <is>
          <t>CIO</t>
        </is>
      </c>
      <c r="J522" s="21" t="n">
        <v>304833</v>
      </c>
      <c r="K522" s="21" t="n"/>
      <c r="L522" s="21" t="n">
        <v>304833</v>
      </c>
      <c r="M522" s="21" t="n">
        <v>2449</v>
      </c>
      <c r="N522" s="21" t="n">
        <v>31255</v>
      </c>
      <c r="O522" s="21" t="n">
        <v>40968</v>
      </c>
      <c r="P522" s="21" t="n">
        <v>379505</v>
      </c>
      <c r="Q522" s="21" t="n">
        <v>379505</v>
      </c>
      <c r="R522" s="21">
        <f>IF(Q522="","",Q522*(1+in_GrowthRate)^(YEARFRAC(DATE(2024,12,31),in_AgeToDate)*IF(in_AgeToDate&lt;DATE(2024,12,31),-1,1)+1))</f>
        <v/>
      </c>
      <c r="S522" s="38" t="n">
        <v>0</v>
      </c>
      <c r="T522" s="43">
        <f>HYPERLINK("https://projects.propublica.org/nonprofits/organizations/250965466/202523189349308222/full","view filing")</f>
        <v/>
      </c>
    </row>
    <row r="523">
      <c r="A523" t="inlineStr">
        <is>
          <t>The Pittsburgh Foundation</t>
        </is>
      </c>
      <c r="B523" s="20" t="inlineStr">
        <is>
          <t>PA</t>
        </is>
      </c>
      <c r="C523" s="42" t="n">
        <v>1.32</v>
      </c>
      <c r="D523" t="inlineStr">
        <is>
          <t>Foundation</t>
        </is>
      </c>
      <c r="E523" s="20" t="n">
        <v>2023</v>
      </c>
      <c r="F523" s="20" t="inlineStr"/>
      <c r="G523" t="inlineStr">
        <is>
          <t>Jonathan Brelsford</t>
        </is>
      </c>
      <c r="H523" t="inlineStr">
        <is>
          <t>CIO &amp; SVP OPERATIONS</t>
        </is>
      </c>
      <c r="I523" t="inlineStr">
        <is>
          <t>CIO</t>
        </is>
      </c>
      <c r="J523" s="21" t="n">
        <v>290865</v>
      </c>
      <c r="K523" s="21" t="n"/>
      <c r="L523" s="21" t="n">
        <v>290865</v>
      </c>
      <c r="M523" s="21" t="n">
        <v>2322</v>
      </c>
      <c r="N523" s="21" t="n">
        <v>29767</v>
      </c>
      <c r="O523" s="21" t="n">
        <v>38498</v>
      </c>
      <c r="P523" s="21" t="n">
        <v>361452</v>
      </c>
      <c r="Q523" s="21" t="n">
        <v>361452</v>
      </c>
      <c r="R523" s="21">
        <f>IF(Q523="","",Q523*(1+in_GrowthRate)^(YEARFRAC(DATE(2023,12,31),in_AgeToDate)*IF(in_AgeToDate&lt;DATE(2023,12,31),-1,1)+1))</f>
        <v/>
      </c>
      <c r="S523" s="38" t="n">
        <v>0</v>
      </c>
      <c r="T523" s="43">
        <f>HYPERLINK("https://projects.propublica.org/nonprofits/organizations/250965466/202443199349313144/full","view filing")</f>
        <v/>
      </c>
    </row>
    <row r="524">
      <c r="A524" t="inlineStr">
        <is>
          <t>The Trustees Of Grinnell College</t>
        </is>
      </c>
      <c r="B524" s="20" t="inlineStr">
        <is>
          <t>IA</t>
        </is>
      </c>
      <c r="C524" s="42" t="n">
        <v>2.85</v>
      </c>
      <c r="D524" t="inlineStr">
        <is>
          <t>Endowment</t>
        </is>
      </c>
      <c r="E524" s="20" t="n">
        <v>2025</v>
      </c>
      <c r="F524" s="20">
        <f>IF(AND(OR(in_Mode="All Funds",AND(C524&gt;=in_BandFloor,C524&lt;=in_BandCeiling,OR(in_Geography="National",COUNTIFS(lst_GeoPreset,in_Geography,lst_GeoState,B524)&gt;0,AND(in_Geography="Custom",ISNUMBER(SEARCH(B524,SUBSTITUTE(in_CustomStates," ",""))))),OR(AND(D524="Endowment",Inputs!$B$14="Y"),AND(D524="Foundation",Inputs!$B$15="Y"),AND(D524="Healthcare",Inputs!$B$16="Y"),AND(D524="Pension",Inputs!$B$17="Y"),AND(D524="OCIO",Inputs!$B$18="Y"),AND(D524="Other",Inputs!$B$19="Y")))),A524&lt;&gt;in_ClientOrg,NOT(AND(in_ExclHarvard="Y",ISNUMBER(SEARCH("Harvard",A524))))),"Y","")</f>
        <v/>
      </c>
      <c r="G524" t="inlineStr">
        <is>
          <t>Jainen Thayer</t>
        </is>
      </c>
      <c r="H524" t="inlineStr">
        <is>
          <t>CHIEF INVESTMENT OFFICER</t>
        </is>
      </c>
      <c r="I524" t="inlineStr">
        <is>
          <t>CIO</t>
        </is>
      </c>
      <c r="J524" s="21" t="n">
        <v>631676</v>
      </c>
      <c r="K524" s="21" t="n">
        <v>370288</v>
      </c>
      <c r="L524" s="21" t="n">
        <v>1001964</v>
      </c>
      <c r="M524" s="21" t="n">
        <v>966</v>
      </c>
      <c r="N524" s="21" t="n">
        <v>34500</v>
      </c>
      <c r="O524" s="21" t="n">
        <v>35670</v>
      </c>
      <c r="P524" s="21" t="n">
        <v>1073100</v>
      </c>
      <c r="Q524" s="21" t="n">
        <v>1073100</v>
      </c>
      <c r="R524" s="21">
        <f>IF(Q524="","",Q524*(1+in_GrowthRate)^(YEARFRAC(DATE(2025,6,30),in_AgeToDate)*IF(in_AgeToDate&lt;DATE(2025,6,30),-1,1)+1))</f>
        <v/>
      </c>
      <c r="S524" s="38" t="n">
        <v>0.5861992540479612</v>
      </c>
      <c r="T524" s="43">
        <f>HYPERLINK("https://projects.propublica.org/nonprofits/organizations/420680387/202631269349301868/full","view filing")</f>
        <v/>
      </c>
    </row>
    <row r="525">
      <c r="A525" t="inlineStr">
        <is>
          <t>The Trustees Of Grinnell College</t>
        </is>
      </c>
      <c r="B525" s="20" t="inlineStr">
        <is>
          <t>IA</t>
        </is>
      </c>
      <c r="C525" s="42" t="n">
        <v>2.85</v>
      </c>
      <c r="D525" t="inlineStr">
        <is>
          <t>Endowment</t>
        </is>
      </c>
      <c r="E525" s="20" t="n">
        <v>2024</v>
      </c>
      <c r="F525" s="20" t="inlineStr"/>
      <c r="G525" t="inlineStr">
        <is>
          <t>Jainen Thayer</t>
        </is>
      </c>
      <c r="H525" t="inlineStr">
        <is>
          <t>CHIEF INVESTMENT OFFICER</t>
        </is>
      </c>
      <c r="I525" t="inlineStr">
        <is>
          <t>CIO</t>
        </is>
      </c>
      <c r="J525" s="21" t="n">
        <v>586253</v>
      </c>
      <c r="K525" s="21" t="n">
        <v>445939</v>
      </c>
      <c r="L525" s="21" t="n">
        <v>1032192</v>
      </c>
      <c r="M525" s="21" t="n">
        <v>1016</v>
      </c>
      <c r="N525" s="21" t="n">
        <v>33000</v>
      </c>
      <c r="O525" s="21" t="n">
        <v>39831</v>
      </c>
      <c r="P525" s="21" t="n">
        <v>1106039</v>
      </c>
      <c r="Q525" s="21" t="n">
        <v>1106039</v>
      </c>
      <c r="R525" s="21">
        <f>IF(Q525="","",Q525*(1+in_GrowthRate)^(YEARFRAC(DATE(2024,6,30),in_AgeToDate)*IF(in_AgeToDate&lt;DATE(2024,6,30),-1,1)+1))</f>
        <v/>
      </c>
      <c r="S525" s="38" t="n">
        <v>0.7606596469442374</v>
      </c>
      <c r="T525" s="43">
        <f>HYPERLINK("https://projects.propublica.org/nonprofits/organizations/420680387/202511289349300406/full","view filing")</f>
        <v/>
      </c>
    </row>
    <row r="526">
      <c r="A526" t="inlineStr">
        <is>
          <t>The Trustees Of Grinnell College</t>
        </is>
      </c>
      <c r="B526" s="20" t="inlineStr">
        <is>
          <t>IA</t>
        </is>
      </c>
      <c r="C526" s="42" t="n">
        <v>2.85</v>
      </c>
      <c r="D526" t="inlineStr">
        <is>
          <t>Endowment</t>
        </is>
      </c>
      <c r="E526" s="20" t="n">
        <v>2023</v>
      </c>
      <c r="F526" s="20" t="inlineStr"/>
      <c r="G526" t="inlineStr">
        <is>
          <t>Jainen Thayer</t>
        </is>
      </c>
      <c r="H526" t="inlineStr">
        <is>
          <t>CHIEF INVESTMENT OFFICER</t>
        </is>
      </c>
      <c r="I526" t="inlineStr">
        <is>
          <t>CIO</t>
        </is>
      </c>
      <c r="J526" s="21" t="n">
        <v>540970</v>
      </c>
      <c r="K526" s="21" t="n">
        <v>541433</v>
      </c>
      <c r="L526" s="21" t="n">
        <v>1082403</v>
      </c>
      <c r="M526" s="21" t="n">
        <v>966</v>
      </c>
      <c r="N526" s="21" t="n">
        <v>30500</v>
      </c>
      <c r="O526" s="21" t="n">
        <v>41195</v>
      </c>
      <c r="P526" s="21" t="n">
        <v>1155064</v>
      </c>
      <c r="Q526" s="21" t="n">
        <v>1155064</v>
      </c>
      <c r="R526" s="21">
        <f>IF(Q526="","",Q526*(1+in_GrowthRate)^(YEARFRAC(DATE(2023,6,30),in_AgeToDate)*IF(in_AgeToDate&lt;DATE(2023,6,30),-1,1)+1))</f>
        <v/>
      </c>
      <c r="S526" s="38" t="n">
        <v>1.000855870011276</v>
      </c>
      <c r="T526" s="43">
        <f>HYPERLINK("https://projects.propublica.org/nonprofits/organizations/420680387/202441309349301774/full","view filing")</f>
        <v/>
      </c>
    </row>
    <row r="527">
      <c r="A527" t="inlineStr">
        <is>
          <t>The Trustees Of Grinnell College</t>
        </is>
      </c>
      <c r="B527" s="20" t="inlineStr">
        <is>
          <t>IA</t>
        </is>
      </c>
      <c r="C527" s="42" t="n">
        <v>2.85</v>
      </c>
      <c r="D527" t="inlineStr">
        <is>
          <t>Endowment</t>
        </is>
      </c>
      <c r="E527" s="20" t="n">
        <v>2022</v>
      </c>
      <c r="F527" s="20" t="inlineStr"/>
      <c r="G527" t="inlineStr">
        <is>
          <t>Jainen Thayer</t>
        </is>
      </c>
      <c r="H527" t="inlineStr">
        <is>
          <t>CHIEF INVESTMENT OFFICER</t>
        </is>
      </c>
      <c r="I527" t="inlineStr">
        <is>
          <t>CIO</t>
        </is>
      </c>
      <c r="J527" s="21" t="n">
        <v>523454</v>
      </c>
      <c r="K527" s="21" t="n">
        <v>565602</v>
      </c>
      <c r="L527" s="21" t="n">
        <v>1089056</v>
      </c>
      <c r="M527" s="21" t="n">
        <v>686</v>
      </c>
      <c r="N527" s="21" t="n">
        <v>29000</v>
      </c>
      <c r="O527" s="21" t="n">
        <v>32658</v>
      </c>
      <c r="P527" s="21" t="n">
        <v>1151400</v>
      </c>
      <c r="Q527" s="21" t="n">
        <v>1151400</v>
      </c>
      <c r="R527" s="21">
        <f>IF(Q527="","",Q527*(1+in_GrowthRate)^(YEARFRAC(DATE(2022,6,30),in_AgeToDate)*IF(in_AgeToDate&lt;DATE(2022,6,30),-1,1)+1))</f>
        <v/>
      </c>
      <c r="S527" s="38" t="n">
        <v>1.080519014087198</v>
      </c>
      <c r="T527" s="43">
        <f>HYPERLINK("https://projects.propublica.org/nonprofits/organizations/420680387/202311329349303386/full","view filing")</f>
        <v/>
      </c>
    </row>
    <row r="528">
      <c r="A528" t="inlineStr">
        <is>
          <t>The Ucla Foundation</t>
        </is>
      </c>
      <c r="B528" s="20" t="inlineStr">
        <is>
          <t>CA</t>
        </is>
      </c>
      <c r="C528" s="42" t="n">
        <v>4.77</v>
      </c>
      <c r="D528" t="inlineStr">
        <is>
          <t>Foundation</t>
        </is>
      </c>
      <c r="E528" s="20" t="n">
        <v>2025</v>
      </c>
      <c r="F528" s="20">
        <f>IF(AND(OR(in_Mode="All Funds",AND(C528&gt;=in_BandFloor,C528&lt;=in_BandCeiling,OR(in_Geography="National",COUNTIFS(lst_GeoPreset,in_Geography,lst_GeoState,B528)&gt;0,AND(in_Geography="Custom",ISNUMBER(SEARCH(B528,SUBSTITUTE(in_CustomStates," ",""))))),OR(AND(D528="Endowment",Inputs!$B$14="Y"),AND(D528="Foundation",Inputs!$B$15="Y"),AND(D528="Healthcare",Inputs!$B$16="Y"),AND(D528="Pension",Inputs!$B$17="Y"),AND(D528="OCIO",Inputs!$B$18="Y"),AND(D528="Other",Inputs!$B$19="Y")))),A528&lt;&gt;in_ClientOrg,NOT(AND(in_ExclHarvard="Y",ISNUMBER(SEARCH("Harvard",A528))))),"Y","")</f>
        <v/>
      </c>
      <c r="G528" t="inlineStr">
        <is>
          <t>Justin E Barton</t>
        </is>
      </c>
      <c r="H528" t="inlineStr">
        <is>
          <t>PRESIDENT/CIO</t>
        </is>
      </c>
      <c r="I528" t="inlineStr">
        <is>
          <t>CIO</t>
        </is>
      </c>
      <c r="J528" s="21" t="n"/>
      <c r="K528" s="21" t="n"/>
      <c r="L528" s="21" t="n"/>
      <c r="M528" s="21" t="n"/>
      <c r="N528" s="21" t="n"/>
      <c r="O528" s="21" t="n"/>
      <c r="P528" s="21" t="n">
        <v>1198187</v>
      </c>
      <c r="Q528" s="21" t="n">
        <v>1198187</v>
      </c>
      <c r="R528" s="21">
        <f>IF(Q528="","",Q528*(1+in_GrowthRate)^(YEARFRAC(DATE(2025,6,30),in_AgeToDate)*IF(in_AgeToDate&lt;DATE(2025,6,30),-1,1)+1))</f>
        <v/>
      </c>
      <c r="S528" s="38" t="n"/>
      <c r="T528" s="43">
        <f>HYPERLINK("https://projects.propublica.org/nonprofits/organizations/952250801/202621339349305882/full","view filing")</f>
        <v/>
      </c>
    </row>
    <row r="529">
      <c r="A529" t="inlineStr">
        <is>
          <t>The Ucla Foundation</t>
        </is>
      </c>
      <c r="B529" s="20" t="inlineStr">
        <is>
          <t>CA</t>
        </is>
      </c>
      <c r="C529" s="42" t="n">
        <v>4.77</v>
      </c>
      <c r="D529" t="inlineStr">
        <is>
          <t>Foundation</t>
        </is>
      </c>
      <c r="E529" s="20" t="n">
        <v>2024</v>
      </c>
      <c r="F529" s="20" t="inlineStr"/>
      <c r="G529" t="inlineStr">
        <is>
          <t>Justin E Barton</t>
        </is>
      </c>
      <c r="H529" t="inlineStr">
        <is>
          <t>PRESIDENT/CIO</t>
        </is>
      </c>
      <c r="I529" t="inlineStr">
        <is>
          <t>CIO</t>
        </is>
      </c>
      <c r="J529" s="21" t="n"/>
      <c r="K529" s="21" t="n"/>
      <c r="L529" s="21" t="n"/>
      <c r="M529" s="21" t="n"/>
      <c r="N529" s="21" t="n"/>
      <c r="O529" s="21" t="n"/>
      <c r="P529" s="21" t="n">
        <v>1036041</v>
      </c>
      <c r="Q529" s="21" t="n">
        <v>1036041</v>
      </c>
      <c r="R529" s="21">
        <f>IF(Q529="","",Q529*(1+in_GrowthRate)^(YEARFRAC(DATE(2024,6,30),in_AgeToDate)*IF(in_AgeToDate&lt;DATE(2024,6,30),-1,1)+1))</f>
        <v/>
      </c>
      <c r="S529" s="38" t="n"/>
      <c r="T529" s="43">
        <f>HYPERLINK("https://projects.propublica.org/nonprofits/organizations/952250801/202521349349311822/full","view filing")</f>
        <v/>
      </c>
    </row>
    <row r="530">
      <c r="A530" t="inlineStr">
        <is>
          <t>The Ucla Foundation</t>
        </is>
      </c>
      <c r="B530" s="20" t="inlineStr">
        <is>
          <t>CA</t>
        </is>
      </c>
      <c r="C530" s="42" t="n">
        <v>4.77</v>
      </c>
      <c r="D530" t="inlineStr">
        <is>
          <t>Foundation</t>
        </is>
      </c>
      <c r="E530" s="20" t="n">
        <v>2023</v>
      </c>
      <c r="F530" s="20" t="inlineStr"/>
      <c r="G530" t="inlineStr">
        <is>
          <t>Justin E Barton</t>
        </is>
      </c>
      <c r="H530" t="inlineStr">
        <is>
          <t>CHIEF INVESTMENT OFFICER</t>
        </is>
      </c>
      <c r="I530" t="inlineStr">
        <is>
          <t>CIO</t>
        </is>
      </c>
      <c r="J530" s="21" t="n"/>
      <c r="K530" s="21" t="n"/>
      <c r="L530" s="21" t="n"/>
      <c r="M530" s="21" t="n"/>
      <c r="N530" s="21" t="n"/>
      <c r="O530" s="21" t="n"/>
      <c r="P530" s="21" t="n">
        <v>1058008</v>
      </c>
      <c r="Q530" s="21" t="n">
        <v>1058008</v>
      </c>
      <c r="R530" s="21">
        <f>IF(Q530="","",Q530*(1+in_GrowthRate)^(YEARFRAC(DATE(2023,6,30),in_AgeToDate)*IF(in_AgeToDate&lt;DATE(2023,6,30),-1,1)+1))</f>
        <v/>
      </c>
      <c r="S530" s="38" t="n"/>
      <c r="T530" s="43">
        <f>HYPERLINK("https://projects.propublica.org/nonprofits/organizations/952250801/202411309349304501/full","view filing")</f>
        <v/>
      </c>
    </row>
    <row r="531">
      <c r="A531" t="inlineStr">
        <is>
          <t>The Ucla Foundation</t>
        </is>
      </c>
      <c r="B531" s="20" t="inlineStr">
        <is>
          <t>CA</t>
        </is>
      </c>
      <c r="C531" s="42" t="n">
        <v>4.77</v>
      </c>
      <c r="D531" t="inlineStr">
        <is>
          <t>Foundation</t>
        </is>
      </c>
      <c r="E531" s="20" t="n">
        <v>2022</v>
      </c>
      <c r="F531" s="20" t="inlineStr"/>
      <c r="G531" t="inlineStr">
        <is>
          <t>Justin E Barton</t>
        </is>
      </c>
      <c r="H531" t="inlineStr">
        <is>
          <t>CHIEF INVESTMENT OFFICER</t>
        </is>
      </c>
      <c r="I531" t="inlineStr">
        <is>
          <t>CIO</t>
        </is>
      </c>
      <c r="J531" s="21" t="n"/>
      <c r="K531" s="21" t="n"/>
      <c r="L531" s="21" t="n"/>
      <c r="M531" s="21" t="n"/>
      <c r="N531" s="21" t="n"/>
      <c r="O531" s="21" t="n"/>
      <c r="P531" s="21" t="n">
        <v>806804</v>
      </c>
      <c r="Q531" s="21" t="n">
        <v>806804</v>
      </c>
      <c r="R531" s="21">
        <f>IF(Q531="","",Q531*(1+in_GrowthRate)^(YEARFRAC(DATE(2022,6,30),in_AgeToDate)*IF(in_AgeToDate&lt;DATE(2022,6,30),-1,1)+1))</f>
        <v/>
      </c>
      <c r="S531" s="38" t="n"/>
      <c r="T531" s="43">
        <f>HYPERLINK("https://projects.propublica.org/nonprofits/organizations/952250801/202341329349308234/full","view filing")</f>
        <v/>
      </c>
    </row>
    <row r="532">
      <c r="A532" t="inlineStr">
        <is>
          <t>The University Of Texas Texas A M Investment Management Company</t>
        </is>
      </c>
      <c r="B532" s="20" t="inlineStr">
        <is>
          <t>TX</t>
        </is>
      </c>
      <c r="C532" s="42" t="n">
        <v>67.84</v>
      </c>
      <c r="D532" t="inlineStr">
        <is>
          <t>Endowment</t>
        </is>
      </c>
      <c r="E532" s="20" t="n">
        <v>2025</v>
      </c>
      <c r="F532" s="20">
        <f>IF(AND(OR(in_Mode="All Funds",AND(C532&gt;=in_BandFloor,C532&lt;=in_BandCeiling,OR(in_Geography="National",COUNTIFS(lst_GeoPreset,in_Geography,lst_GeoState,B532)&gt;0,AND(in_Geography="Custom",ISNUMBER(SEARCH(B532,SUBSTITUTE(in_CustomStates," ",""))))),OR(AND(D532="Endowment",Inputs!$B$14="Y"),AND(D532="Foundation",Inputs!$B$15="Y"),AND(D532="Healthcare",Inputs!$B$16="Y"),AND(D532="Pension",Inputs!$B$17="Y"),AND(D532="OCIO",Inputs!$B$18="Y"),AND(D532="Other",Inputs!$B$19="Y")))),A532&lt;&gt;in_ClientOrg,NOT(AND(in_ExclHarvard="Y",ISNUMBER(SEARCH("Harvard",A532))))),"Y","")</f>
        <v/>
      </c>
      <c r="G532" t="inlineStr">
        <is>
          <t>Richard L Hall</t>
        </is>
      </c>
      <c r="H532" t="inlineStr">
        <is>
          <t>PRESIDENT, CHIEF EXECUTIVE OFFICER AND CHIEF INVESTMENT OFFICER</t>
        </is>
      </c>
      <c r="I532" t="inlineStr">
        <is>
          <t>CIO</t>
        </is>
      </c>
      <c r="J532" s="21" t="n">
        <v>877333</v>
      </c>
      <c r="K532" s="21" t="n">
        <v>1751908</v>
      </c>
      <c r="L532" s="21" t="n">
        <v>2629241</v>
      </c>
      <c r="M532" s="21" t="n">
        <v>4293</v>
      </c>
      <c r="N532" s="21" t="n">
        <v>2519247</v>
      </c>
      <c r="O532" s="21" t="n">
        <v>10130</v>
      </c>
      <c r="P532" s="21" t="n">
        <v>5162911</v>
      </c>
      <c r="Q532" s="21" t="n">
        <v>3519784</v>
      </c>
      <c r="R532" s="21">
        <f>IF(Q532="","",Q532*(1+in_GrowthRate)^(YEARFRAC(DATE(2025,8,31),in_AgeToDate)*IF(in_AgeToDate&lt;DATE(2025,8,31),-1,1)+1))</f>
        <v/>
      </c>
      <c r="S532" s="38" t="n">
        <v>1.99685638178434</v>
      </c>
      <c r="T532" s="43">
        <f>HYPERLINK("https://projects.propublica.org/nonprofits/organizations/742765082/202641829349300024/full","view filing")</f>
        <v/>
      </c>
    </row>
    <row r="533">
      <c r="A533" t="inlineStr">
        <is>
          <t>The University Of Texas Texas A M Investment Management Company</t>
        </is>
      </c>
      <c r="B533" s="20" t="inlineStr">
        <is>
          <t>TX</t>
        </is>
      </c>
      <c r="C533" s="42" t="n">
        <v>67.84</v>
      </c>
      <c r="D533" t="inlineStr">
        <is>
          <t>Endowment</t>
        </is>
      </c>
      <c r="E533" s="20" t="n">
        <v>2024</v>
      </c>
      <c r="F533" s="20" t="inlineStr"/>
      <c r="G533" t="inlineStr">
        <is>
          <t>Richard L Hall</t>
        </is>
      </c>
      <c r="H533" t="inlineStr">
        <is>
          <t>PRESIDENT, CHIEF EXECUTIVE OFFICER AND CHIEF INVESTMENT OFFICER</t>
        </is>
      </c>
      <c r="I533" t="inlineStr">
        <is>
          <t>CIO</t>
        </is>
      </c>
      <c r="J533" s="21" t="n">
        <v>793250</v>
      </c>
      <c r="K533" s="21" t="n">
        <v>3255172</v>
      </c>
      <c r="L533" s="21" t="n">
        <v>4048422</v>
      </c>
      <c r="M533" s="21" t="n">
        <v>2555</v>
      </c>
      <c r="N533" s="21" t="n">
        <v>1280473</v>
      </c>
      <c r="O533" s="21" t="n">
        <v>9063</v>
      </c>
      <c r="P533" s="21" t="n">
        <v>5340513</v>
      </c>
      <c r="Q533" s="21" t="n">
        <v>2134780</v>
      </c>
      <c r="R533" s="21">
        <f>IF(Q533="","",Q533*(1+in_GrowthRate)^(YEARFRAC(DATE(2024,8,31),in_AgeToDate)*IF(in_AgeToDate&lt;DATE(2024,8,31),-1,1)+1))</f>
        <v/>
      </c>
      <c r="S533" s="38" t="n">
        <v>4.103589032461393</v>
      </c>
      <c r="T533" s="43">
        <f>HYPERLINK("https://projects.propublica.org/nonprofits/organizations/742765082/202541899349300034/full","view filing")</f>
        <v/>
      </c>
    </row>
    <row r="534">
      <c r="A534" t="inlineStr">
        <is>
          <t>The University Of Texas Texas A M Investment Management Company</t>
        </is>
      </c>
      <c r="B534" s="20" t="inlineStr">
        <is>
          <t>TX</t>
        </is>
      </c>
      <c r="C534" s="42" t="n">
        <v>67.84</v>
      </c>
      <c r="D534" t="inlineStr">
        <is>
          <t>Endowment</t>
        </is>
      </c>
      <c r="E534" s="20" t="n">
        <v>2023</v>
      </c>
      <c r="F534" s="20" t="inlineStr"/>
      <c r="G534" t="inlineStr">
        <is>
          <t>Thomas Britton Harris Iv</t>
        </is>
      </c>
      <c r="H534" t="inlineStr">
        <is>
          <t>PRESIDENT AND CHIEF EXECUTIVE OFFICER</t>
        </is>
      </c>
      <c r="I534" t="inlineStr">
        <is>
          <t>CEO (Inv Entity)</t>
        </is>
      </c>
      <c r="J534" s="21" t="n">
        <v>874373</v>
      </c>
      <c r="K534" s="21" t="n">
        <v>3105226</v>
      </c>
      <c r="L534" s="21" t="n">
        <v>3979599</v>
      </c>
      <c r="M534" s="21" t="n">
        <v>2839</v>
      </c>
      <c r="N534" s="21" t="n">
        <v>2193284</v>
      </c>
      <c r="O534" s="21" t="n">
        <v>23840</v>
      </c>
      <c r="P534" s="21" t="n">
        <v>6199562</v>
      </c>
      <c r="Q534" s="21" t="n">
        <v>3094336</v>
      </c>
      <c r="R534" s="21">
        <f>IF(Q534="","",Q534*(1+in_GrowthRate)^(YEARFRAC(DATE(2023,8,31),in_AgeToDate)*IF(in_AgeToDate&lt;DATE(2023,8,31),-1,1)+1))</f>
        <v/>
      </c>
      <c r="S534" s="38" t="n">
        <v>3.551374527804495</v>
      </c>
      <c r="T534" s="43">
        <f>HYPERLINK("https://projects.propublica.org/nonprofits/organizations/742765082/202421919349300237/full","view filing")</f>
        <v/>
      </c>
    </row>
    <row r="535">
      <c r="A535" t="inlineStr">
        <is>
          <t>The University Of Texas Texas A M Investment Management Company</t>
        </is>
      </c>
      <c r="B535" s="20" t="inlineStr">
        <is>
          <t>TX</t>
        </is>
      </c>
      <c r="C535" s="42" t="n">
        <v>67.84</v>
      </c>
      <c r="D535" t="inlineStr">
        <is>
          <t>Endowment</t>
        </is>
      </c>
      <c r="E535" s="20" t="n">
        <v>2022</v>
      </c>
      <c r="F535" s="20" t="inlineStr"/>
      <c r="G535" t="inlineStr">
        <is>
          <t>Thomas Britton Harris Iv</t>
        </is>
      </c>
      <c r="H535" t="inlineStr">
        <is>
          <t>PRESIDENT AND CHIEF EXECUTIVE OFFICER</t>
        </is>
      </c>
      <c r="I535" t="inlineStr">
        <is>
          <t>CEO (Inv Entity)</t>
        </is>
      </c>
      <c r="J535" s="21" t="n">
        <v>834205</v>
      </c>
      <c r="K535" s="21" t="n">
        <v>3062772</v>
      </c>
      <c r="L535" s="21" t="n">
        <v>3896977</v>
      </c>
      <c r="M535" s="21" t="n">
        <v>3114</v>
      </c>
      <c r="N535" s="21" t="n">
        <v>3129876</v>
      </c>
      <c r="O535" s="21" t="n">
        <v>25807</v>
      </c>
      <c r="P535" s="21" t="n">
        <v>7055774</v>
      </c>
      <c r="Q535" s="21" t="n">
        <v>3993002</v>
      </c>
      <c r="R535" s="21">
        <f>IF(Q535="","",Q535*(1+in_GrowthRate)^(YEARFRAC(DATE(2022,8,31),in_AgeToDate)*IF(in_AgeToDate&lt;DATE(2022,8,31),-1,1)+1))</f>
        <v/>
      </c>
      <c r="S535" s="38" t="n">
        <v>3.671486025617205</v>
      </c>
      <c r="T535" s="43">
        <f>HYPERLINK("https://projects.propublica.org/nonprofits/organizations/742765082/202331879349300948/full","view filing")</f>
        <v/>
      </c>
    </row>
    <row r="536">
      <c r="A536" t="inlineStr">
        <is>
          <t>The Wallace Foundation</t>
        </is>
      </c>
      <c r="B536" s="20" t="inlineStr">
        <is>
          <t>NY</t>
        </is>
      </c>
      <c r="C536" s="42" t="n">
        <v>1.64</v>
      </c>
      <c r="D536" t="inlineStr">
        <is>
          <t>Foundation</t>
        </is>
      </c>
      <c r="E536" s="20" t="n">
        <v>2024</v>
      </c>
      <c r="F536" s="20">
        <f>IF(AND(OR(in_Mode="All Funds",AND(C536&gt;=in_BandFloor,C536&lt;=in_BandCeiling,OR(in_Geography="National",COUNTIFS(lst_GeoPreset,in_Geography,lst_GeoState,B536)&gt;0,AND(in_Geography="Custom",ISNUMBER(SEARCH(B536,SUBSTITUTE(in_CustomStates," ",""))))),OR(AND(D536="Endowment",Inputs!$B$14="Y"),AND(D536="Foundation",Inputs!$B$15="Y"),AND(D536="Healthcare",Inputs!$B$16="Y"),AND(D536="Pension",Inputs!$B$17="Y"),AND(D536="OCIO",Inputs!$B$18="Y"),AND(D536="Other",Inputs!$B$19="Y")))),A536&lt;&gt;in_ClientOrg,NOT(AND(in_ExclHarvard="Y",ISNUMBER(SEARCH("Harvard",A536))))),"Y","")</f>
        <v/>
      </c>
      <c r="G536" t="inlineStr">
        <is>
          <t>Thomas Lenehan</t>
        </is>
      </c>
      <c r="H536" t="inlineStr">
        <is>
          <t>CIO &amp; Assistant Treasurer</t>
        </is>
      </c>
      <c r="I536" t="inlineStr">
        <is>
          <t>CIO</t>
        </is>
      </c>
      <c r="J536" s="21" t="n"/>
      <c r="K536" s="21" t="n"/>
      <c r="L536" s="21" t="n"/>
      <c r="M536" s="21" t="n"/>
      <c r="N536" s="21" t="n"/>
      <c r="O536" s="21" t="n">
        <v>170109</v>
      </c>
      <c r="P536" s="21" t="n">
        <v>1462399</v>
      </c>
      <c r="Q536" s="21" t="n">
        <v>1462399</v>
      </c>
      <c r="R536" s="21">
        <f>IF(Q536="","",Q536*(1+in_GrowthRate)^(YEARFRAC(DATE(2024,12,31),in_AgeToDate)*IF(in_AgeToDate&lt;DATE(2024,12,31),-1,1)+1))</f>
        <v/>
      </c>
      <c r="S536" s="38" t="n"/>
      <c r="T536" s="43">
        <f>HYPERLINK("https://projects.propublica.org/nonprofits/organizations/136183757/202503219349107905/full","view filing")</f>
        <v/>
      </c>
    </row>
    <row r="537">
      <c r="A537" t="inlineStr">
        <is>
          <t>The Wallace Foundation</t>
        </is>
      </c>
      <c r="B537" s="20" t="inlineStr">
        <is>
          <t>NY</t>
        </is>
      </c>
      <c r="C537" s="42" t="n">
        <v>1.64</v>
      </c>
      <c r="D537" t="inlineStr">
        <is>
          <t>Foundation</t>
        </is>
      </c>
      <c r="E537" s="20" t="n">
        <v>2023</v>
      </c>
      <c r="F537" s="20" t="inlineStr"/>
      <c r="G537" t="inlineStr">
        <is>
          <t>Thomas Lenehan</t>
        </is>
      </c>
      <c r="H537" t="inlineStr">
        <is>
          <t>CIO &amp; Asst Treasurer</t>
        </is>
      </c>
      <c r="I537" t="inlineStr">
        <is>
          <t>CIO</t>
        </is>
      </c>
      <c r="J537" s="21" t="n"/>
      <c r="K537" s="21" t="n"/>
      <c r="L537" s="21" t="n"/>
      <c r="M537" s="21" t="n"/>
      <c r="N537" s="21" t="n"/>
      <c r="O537" s="21" t="n">
        <v>134498</v>
      </c>
      <c r="P537" s="21" t="n">
        <v>967917</v>
      </c>
      <c r="Q537" s="21" t="n">
        <v>967917</v>
      </c>
      <c r="R537" s="21">
        <f>IF(Q537="","",Q537*(1+in_GrowthRate)^(YEARFRAC(DATE(2023,12,31),in_AgeToDate)*IF(in_AgeToDate&lt;DATE(2023,12,31),-1,1)+1))</f>
        <v/>
      </c>
      <c r="S537" s="38" t="n"/>
      <c r="T537" s="43">
        <f>HYPERLINK("https://projects.propublica.org/nonprofits/organizations/136183757/202423199349105912/full","view filing")</f>
        <v/>
      </c>
    </row>
    <row r="538">
      <c r="A538" t="inlineStr">
        <is>
          <t>The Wallace Foundation</t>
        </is>
      </c>
      <c r="B538" s="20" t="inlineStr">
        <is>
          <t>NY</t>
        </is>
      </c>
      <c r="C538" s="42" t="n">
        <v>1.64</v>
      </c>
      <c r="D538" t="inlineStr">
        <is>
          <t>Foundation</t>
        </is>
      </c>
      <c r="E538" s="20" t="n">
        <v>2022</v>
      </c>
      <c r="F538" s="20" t="inlineStr"/>
      <c r="G538" t="inlineStr">
        <is>
          <t>Thomas Lenehan</t>
        </is>
      </c>
      <c r="H538" t="inlineStr">
        <is>
          <t>CIO &amp; Asst Treasurer</t>
        </is>
      </c>
      <c r="I538" t="inlineStr">
        <is>
          <t>CIO</t>
        </is>
      </c>
      <c r="J538" s="21" t="n"/>
      <c r="K538" s="21" t="n"/>
      <c r="L538" s="21" t="n"/>
      <c r="M538" s="21" t="n"/>
      <c r="N538" s="21" t="n"/>
      <c r="O538" s="21" t="n">
        <v>142847</v>
      </c>
      <c r="P538" s="21" t="n">
        <v>1464347</v>
      </c>
      <c r="Q538" s="21" t="n">
        <v>1464347</v>
      </c>
      <c r="R538" s="21">
        <f>IF(Q538="","",Q538*(1+in_GrowthRate)^(YEARFRAC(DATE(2022,12,31),in_AgeToDate)*IF(in_AgeToDate&lt;DATE(2022,12,31),-1,1)+1))</f>
        <v/>
      </c>
      <c r="S538" s="38" t="n"/>
      <c r="T538" s="43">
        <f>HYPERLINK("https://projects.propublica.org/nonprofits/organizations/136183757/202303179349101665/full","view filing")</f>
        <v/>
      </c>
    </row>
    <row r="539">
      <c r="A539" t="inlineStr">
        <is>
          <t>Trinity University</t>
        </is>
      </c>
      <c r="B539" s="20" t="inlineStr">
        <is>
          <t>TX</t>
        </is>
      </c>
      <c r="C539" s="42" t="n">
        <v>1.94</v>
      </c>
      <c r="D539" t="inlineStr">
        <is>
          <t>Endowment</t>
        </is>
      </c>
      <c r="E539" s="20" t="n">
        <v>2025</v>
      </c>
      <c r="F539" s="20">
        <f>IF(AND(OR(in_Mode="All Funds",AND(C539&gt;=in_BandFloor,C539&lt;=in_BandCeiling,OR(in_Geography="National",COUNTIFS(lst_GeoPreset,in_Geography,lst_GeoState,B539)&gt;0,AND(in_Geography="Custom",ISNUMBER(SEARCH(B539,SUBSTITUTE(in_CustomStates," ",""))))),OR(AND(D539="Endowment",Inputs!$B$14="Y"),AND(D539="Foundation",Inputs!$B$15="Y"),AND(D539="Healthcare",Inputs!$B$16="Y"),AND(D539="Pension",Inputs!$B$17="Y"),AND(D539="OCIO",Inputs!$B$18="Y"),AND(D539="Other",Inputs!$B$19="Y")))),A539&lt;&gt;in_ClientOrg,NOT(AND(in_ExclHarvard="Y",ISNUMBER(SEARCH("Harvard",A539))))),"Y","")</f>
        <v/>
      </c>
      <c r="G539" t="inlineStr">
        <is>
          <t>Craig Crow</t>
        </is>
      </c>
      <c r="H539" t="inlineStr">
        <is>
          <t>Chief Investment Officer</t>
        </is>
      </c>
      <c r="I539" t="inlineStr">
        <is>
          <t>CIO</t>
        </is>
      </c>
      <c r="J539" s="21" t="n">
        <v>516084</v>
      </c>
      <c r="K539" s="21" t="n">
        <v>350000</v>
      </c>
      <c r="L539" s="21" t="n">
        <v>866084</v>
      </c>
      <c r="M539" s="21" t="n">
        <v>187588</v>
      </c>
      <c r="N539" s="21" t="n">
        <v>84500</v>
      </c>
      <c r="O539" s="21" t="n">
        <v>27507</v>
      </c>
      <c r="P539" s="21" t="n">
        <v>1165679</v>
      </c>
      <c r="Q539" s="21" t="n">
        <v>1001331</v>
      </c>
      <c r="R539" s="21">
        <f>IF(Q539="","",Q539*(1+in_GrowthRate)^(YEARFRAC(DATE(2025,5,31),in_AgeToDate)*IF(in_AgeToDate&lt;DATE(2025,5,31),-1,1)+1))</f>
        <v/>
      </c>
      <c r="S539" s="38" t="n">
        <v>0.6781841715689694</v>
      </c>
      <c r="T539" s="43">
        <f>HYPERLINK("https://projects.propublica.org/nonprofits/organizations/741109633/202601049349300000/full","view filing")</f>
        <v/>
      </c>
    </row>
    <row r="540">
      <c r="A540" t="inlineStr">
        <is>
          <t>Trinity University</t>
        </is>
      </c>
      <c r="B540" s="20" t="inlineStr">
        <is>
          <t>TX</t>
        </is>
      </c>
      <c r="C540" s="42" t="n">
        <v>1.94</v>
      </c>
      <c r="D540" t="inlineStr">
        <is>
          <t>Endowment</t>
        </is>
      </c>
      <c r="E540" s="20" t="n">
        <v>2024</v>
      </c>
      <c r="F540" s="20" t="inlineStr"/>
      <c r="G540" t="inlineStr">
        <is>
          <t>Craig Crow</t>
        </is>
      </c>
      <c r="H540" t="inlineStr">
        <is>
          <t>Chief Investment Officer</t>
        </is>
      </c>
      <c r="I540" t="inlineStr">
        <is>
          <t>CIO</t>
        </is>
      </c>
      <c r="J540" s="21" t="n">
        <v>504929</v>
      </c>
      <c r="K540" s="21" t="n">
        <v>380000</v>
      </c>
      <c r="L540" s="21" t="n">
        <v>884929</v>
      </c>
      <c r="M540" s="21" t="n">
        <v>22668</v>
      </c>
      <c r="N540" s="21" t="n">
        <v>83000</v>
      </c>
      <c r="O540" s="21" t="n">
        <v>26957</v>
      </c>
      <c r="P540" s="21" t="n">
        <v>1017554</v>
      </c>
      <c r="Q540" s="21" t="n">
        <v>1017554</v>
      </c>
      <c r="R540" s="21">
        <f>IF(Q540="","",Q540*(1+in_GrowthRate)^(YEARFRAC(DATE(2024,5,31),in_AgeToDate)*IF(in_AgeToDate&lt;DATE(2024,5,31),-1,1)+1))</f>
        <v/>
      </c>
      <c r="S540" s="38" t="n">
        <v>0.7525810559504406</v>
      </c>
      <c r="T540" s="43">
        <f>HYPERLINK("https://projects.propublica.org/nonprofits/organizations/741109633/202540989349302104/full","view filing")</f>
        <v/>
      </c>
    </row>
    <row r="541">
      <c r="A541" t="inlineStr">
        <is>
          <t>Trinity University</t>
        </is>
      </c>
      <c r="B541" s="20" t="inlineStr">
        <is>
          <t>TX</t>
        </is>
      </c>
      <c r="C541" s="42" t="n">
        <v>1.94</v>
      </c>
      <c r="D541" t="inlineStr">
        <is>
          <t>Endowment</t>
        </is>
      </c>
      <c r="E541" s="20" t="n">
        <v>2023</v>
      </c>
      <c r="F541" s="20" t="inlineStr"/>
      <c r="G541" t="inlineStr">
        <is>
          <t>Craig Crow</t>
        </is>
      </c>
      <c r="H541" t="inlineStr">
        <is>
          <t>Chief Investment Officer</t>
        </is>
      </c>
      <c r="I541" t="inlineStr">
        <is>
          <t>CIO</t>
        </is>
      </c>
      <c r="J541" s="21" t="n">
        <v>412745</v>
      </c>
      <c r="K541" s="21" t="n"/>
      <c r="L541" s="21" t="n">
        <v>412745</v>
      </c>
      <c r="M541" s="21" t="n"/>
      <c r="N541" s="21" t="n">
        <v>84375</v>
      </c>
      <c r="O541" s="21" t="n">
        <v>26507</v>
      </c>
      <c r="P541" s="21" t="n">
        <v>523627</v>
      </c>
      <c r="Q541" s="21" t="n">
        <v>523627</v>
      </c>
      <c r="R541" s="21">
        <f>IF(Q541="","",Q541*(1+in_GrowthRate)^(YEARFRAC(DATE(2023,5,31),in_AgeToDate)*IF(in_AgeToDate&lt;DATE(2023,5,31),-1,1)+1))</f>
        <v/>
      </c>
      <c r="S541" s="38" t="n">
        <v>0</v>
      </c>
      <c r="T541" s="43">
        <f>HYPERLINK("https://projects.propublica.org/nonprofits/organizations/741109633/202421069349301222/full","view filing")</f>
        <v/>
      </c>
    </row>
    <row r="542">
      <c r="A542" t="inlineStr">
        <is>
          <t>Trinity University</t>
        </is>
      </c>
      <c r="B542" s="20" t="inlineStr">
        <is>
          <t>TX</t>
        </is>
      </c>
      <c r="C542" s="42" t="n">
        <v>1.94</v>
      </c>
      <c r="D542" t="inlineStr">
        <is>
          <t>Endowment</t>
        </is>
      </c>
      <c r="E542" s="20" t="n">
        <v>2022</v>
      </c>
      <c r="F542" s="20" t="inlineStr"/>
      <c r="G542" t="inlineStr">
        <is>
          <t>Craig D Crow</t>
        </is>
      </c>
      <c r="H542" t="inlineStr">
        <is>
          <t>CHIEF INVESTMENT OFFICER</t>
        </is>
      </c>
      <c r="I542" t="inlineStr">
        <is>
          <t>CIO</t>
        </is>
      </c>
      <c r="J542" s="21" t="n">
        <v>313085</v>
      </c>
      <c r="K542" s="21" t="n"/>
      <c r="L542" s="21" t="n">
        <v>313085</v>
      </c>
      <c r="M542" s="21" t="n">
        <v>41</v>
      </c>
      <c r="N542" s="21" t="n">
        <v>14500</v>
      </c>
      <c r="O542" s="21" t="n">
        <v>24976</v>
      </c>
      <c r="P542" s="21" t="n">
        <v>352602</v>
      </c>
      <c r="Q542" s="21" t="n">
        <v>352602</v>
      </c>
      <c r="R542" s="21">
        <f>IF(Q542="","",Q542*(1+in_GrowthRate)^(YEARFRAC(DATE(2022,5,31),in_AgeToDate)*IF(in_AgeToDate&lt;DATE(2022,5,31),-1,1)+1))</f>
        <v/>
      </c>
      <c r="S542" s="38" t="n">
        <v>0</v>
      </c>
      <c r="T542" s="43">
        <f>HYPERLINK("https://projects.propublica.org/nonprofits/organizations/741109633/202331079349300443/full","view filing")</f>
        <v/>
      </c>
    </row>
    <row r="543">
      <c r="A543" t="inlineStr">
        <is>
          <t>Trustees Of Amherst College</t>
        </is>
      </c>
      <c r="B543" s="20" t="inlineStr">
        <is>
          <t>MA</t>
        </is>
      </c>
      <c r="C543" s="42" t="n">
        <v>3.9</v>
      </c>
      <c r="D543" t="inlineStr">
        <is>
          <t>Endowment</t>
        </is>
      </c>
      <c r="E543" s="20" t="n">
        <v>2025</v>
      </c>
      <c r="F543" s="20">
        <f>IF(AND(OR(in_Mode="All Funds",AND(C543&gt;=in_BandFloor,C543&lt;=in_BandCeiling,OR(in_Geography="National",COUNTIFS(lst_GeoPreset,in_Geography,lst_GeoState,B543)&gt;0,AND(in_Geography="Custom",ISNUMBER(SEARCH(B543,SUBSTITUTE(in_CustomStates," ",""))))),OR(AND(D543="Endowment",Inputs!$B$14="Y"),AND(D543="Foundation",Inputs!$B$15="Y"),AND(D543="Healthcare",Inputs!$B$16="Y"),AND(D543="Pension",Inputs!$B$17="Y"),AND(D543="OCIO",Inputs!$B$18="Y"),AND(D543="Other",Inputs!$B$19="Y")))),A543&lt;&gt;in_ClientOrg,NOT(AND(in_ExclHarvard="Y",ISNUMBER(SEARCH("Harvard",A543))))),"Y","")</f>
        <v/>
      </c>
      <c r="G543" t="inlineStr">
        <is>
          <t>Letitia Johnson</t>
        </is>
      </c>
      <c r="H543" t="inlineStr">
        <is>
          <t>CHIEF INVESTMENT OFFICER</t>
        </is>
      </c>
      <c r="I543" t="inlineStr">
        <is>
          <t>CIO</t>
        </is>
      </c>
      <c r="J543" s="21" t="n">
        <v>600000</v>
      </c>
      <c r="K543" s="21" t="n">
        <v>1080000</v>
      </c>
      <c r="L543" s="21" t="n">
        <v>1680000</v>
      </c>
      <c r="M543" s="21" t="n">
        <v>803</v>
      </c>
      <c r="N543" s="21" t="n">
        <v>28145</v>
      </c>
      <c r="O543" s="21" t="n">
        <v>2886</v>
      </c>
      <c r="P543" s="21" t="n">
        <v>1711834</v>
      </c>
      <c r="Q543" s="21" t="n">
        <v>1711834</v>
      </c>
      <c r="R543" s="21">
        <f>IF(Q543="","",Q543*(1+in_GrowthRate)^(YEARFRAC(DATE(2025,6,30),in_AgeToDate)*IF(in_AgeToDate&lt;DATE(2025,6,30),-1,1)+1))</f>
        <v/>
      </c>
      <c r="S543" s="38" t="n">
        <v>1.8</v>
      </c>
      <c r="T543" s="43">
        <f>HYPERLINK("https://projects.propublica.org/nonprofits/organizations/42103542/202631329349302793/full","view filing")</f>
        <v/>
      </c>
    </row>
    <row r="544">
      <c r="A544" t="inlineStr">
        <is>
          <t>Trustees Of Amherst College</t>
        </is>
      </c>
      <c r="B544" s="20" t="inlineStr">
        <is>
          <t>MA</t>
        </is>
      </c>
      <c r="C544" s="42" t="n">
        <v>3.9</v>
      </c>
      <c r="D544" t="inlineStr">
        <is>
          <t>Endowment</t>
        </is>
      </c>
      <c r="E544" s="20" t="n">
        <v>2024</v>
      </c>
      <c r="F544" s="20" t="inlineStr"/>
      <c r="G544" t="inlineStr">
        <is>
          <t>Letitia Johnson</t>
        </is>
      </c>
      <c r="H544" t="inlineStr">
        <is>
          <t>CHIEF INVESTMENT OFFICER</t>
        </is>
      </c>
      <c r="I544" t="inlineStr">
        <is>
          <t>CIO</t>
        </is>
      </c>
      <c r="J544" s="21" t="n">
        <v>600000</v>
      </c>
      <c r="K544" s="21" t="n">
        <v>908000</v>
      </c>
      <c r="L544" s="21" t="n">
        <v>1508000</v>
      </c>
      <c r="M544" s="21" t="n">
        <v>991</v>
      </c>
      <c r="N544" s="21" t="n">
        <v>34238</v>
      </c>
      <c r="O544" s="21" t="n">
        <v>2635</v>
      </c>
      <c r="P544" s="21" t="n">
        <v>1545864</v>
      </c>
      <c r="Q544" s="21" t="n">
        <v>1545864</v>
      </c>
      <c r="R544" s="21">
        <f>IF(Q544="","",Q544*(1+in_GrowthRate)^(YEARFRAC(DATE(2024,6,30),in_AgeToDate)*IF(in_AgeToDate&lt;DATE(2024,6,30),-1,1)+1))</f>
        <v/>
      </c>
      <c r="S544" s="38" t="n">
        <v>1.513333333333333</v>
      </c>
      <c r="T544" s="43">
        <f>HYPERLINK("https://projects.propublica.org/nonprofits/organizations/42103542/202521359349303002/full","view filing")</f>
        <v/>
      </c>
    </row>
    <row r="545">
      <c r="A545" t="inlineStr">
        <is>
          <t>Trustees Of Amherst College</t>
        </is>
      </c>
      <c r="B545" s="20" t="inlineStr">
        <is>
          <t>MA</t>
        </is>
      </c>
      <c r="C545" s="42" t="n">
        <v>3.9</v>
      </c>
      <c r="D545" t="inlineStr">
        <is>
          <t>Endowment</t>
        </is>
      </c>
      <c r="E545" s="20" t="n">
        <v>2023</v>
      </c>
      <c r="F545" s="20" t="inlineStr"/>
      <c r="G545" t="inlineStr">
        <is>
          <t>Letitia Johnson</t>
        </is>
      </c>
      <c r="H545" t="inlineStr">
        <is>
          <t>CHIEF INVESTMENT OFFICER</t>
        </is>
      </c>
      <c r="I545" t="inlineStr">
        <is>
          <t>CIO</t>
        </is>
      </c>
      <c r="J545" s="21" t="n">
        <v>600000</v>
      </c>
      <c r="K545" s="21" t="n">
        <v>867000</v>
      </c>
      <c r="L545" s="21" t="n">
        <v>1467000</v>
      </c>
      <c r="M545" s="21" t="n">
        <v>882</v>
      </c>
      <c r="N545" s="21" t="n">
        <v>34900</v>
      </c>
      <c r="O545" s="21" t="n">
        <v>2384</v>
      </c>
      <c r="P545" s="21" t="n">
        <v>1505166</v>
      </c>
      <c r="Q545" s="21" t="n">
        <v>1505166</v>
      </c>
      <c r="R545" s="21">
        <f>IF(Q545="","",Q545*(1+in_GrowthRate)^(YEARFRAC(DATE(2023,6,30),in_AgeToDate)*IF(in_AgeToDate&lt;DATE(2023,6,30),-1,1)+1))</f>
        <v/>
      </c>
      <c r="S545" s="38" t="n">
        <v>1.445</v>
      </c>
      <c r="T545" s="43">
        <f>HYPERLINK("https://projects.propublica.org/nonprofits/organizations/42103542/202401369349308800/full","view filing")</f>
        <v/>
      </c>
    </row>
    <row r="546">
      <c r="A546" t="inlineStr">
        <is>
          <t>Trustees Of Amherst College</t>
        </is>
      </c>
      <c r="B546" s="20" t="inlineStr">
        <is>
          <t>MA</t>
        </is>
      </c>
      <c r="C546" s="42" t="n">
        <v>3.9</v>
      </c>
      <c r="D546" t="inlineStr">
        <is>
          <t>Endowment</t>
        </is>
      </c>
      <c r="E546" s="20" t="n">
        <v>2022</v>
      </c>
      <c r="F546" s="20" t="inlineStr"/>
      <c r="G546" t="inlineStr">
        <is>
          <t>Letitia Johnson</t>
        </is>
      </c>
      <c r="H546" t="inlineStr">
        <is>
          <t>CHIEF INVESTMENT OFFICER</t>
        </is>
      </c>
      <c r="I546" t="inlineStr">
        <is>
          <t>CIO</t>
        </is>
      </c>
      <c r="J546" s="21" t="n">
        <v>550000</v>
      </c>
      <c r="K546" s="21" t="n">
        <v>451000</v>
      </c>
      <c r="L546" s="21" t="n">
        <v>1001000</v>
      </c>
      <c r="M546" s="21" t="n">
        <v>1745</v>
      </c>
      <c r="N546" s="21" t="n">
        <v>26934</v>
      </c>
      <c r="O546" s="21" t="n">
        <v>2183</v>
      </c>
      <c r="P546" s="21" t="n">
        <v>1031862</v>
      </c>
      <c r="Q546" s="21" t="n">
        <v>1031862</v>
      </c>
      <c r="R546" s="21">
        <f>IF(Q546="","",Q546*(1+in_GrowthRate)^(YEARFRAC(DATE(2022,6,30),in_AgeToDate)*IF(in_AgeToDate&lt;DATE(2022,6,30),-1,1)+1))</f>
        <v/>
      </c>
      <c r="S546" s="38" t="n">
        <v>0.82</v>
      </c>
      <c r="T546" s="43">
        <f>HYPERLINK("https://projects.propublica.org/nonprofits/organizations/42103542/202321359349317787/full","view filing")</f>
        <v/>
      </c>
    </row>
    <row r="547">
      <c r="A547" t="inlineStr">
        <is>
          <t>Trustees Of Boston University</t>
        </is>
      </c>
      <c r="B547" s="20" t="inlineStr">
        <is>
          <t>MA</t>
        </is>
      </c>
      <c r="C547" s="42" t="n">
        <v>4.02</v>
      </c>
      <c r="D547" t="inlineStr">
        <is>
          <t>Endowment</t>
        </is>
      </c>
      <c r="E547" s="20" t="n">
        <v>2025</v>
      </c>
      <c r="F547" s="20">
        <f>IF(AND(OR(in_Mode="All Funds",AND(C547&gt;=in_BandFloor,C547&lt;=in_BandCeiling,OR(in_Geography="National",COUNTIFS(lst_GeoPreset,in_Geography,lst_GeoState,B547)&gt;0,AND(in_Geography="Custom",ISNUMBER(SEARCH(B547,SUBSTITUTE(in_CustomStates," ",""))))),OR(AND(D547="Endowment",Inputs!$B$14="Y"),AND(D547="Foundation",Inputs!$B$15="Y"),AND(D547="Healthcare",Inputs!$B$16="Y"),AND(D547="Pension",Inputs!$B$17="Y"),AND(D547="OCIO",Inputs!$B$18="Y"),AND(D547="Other",Inputs!$B$19="Y")))),A547&lt;&gt;in_ClientOrg,NOT(AND(in_ExclHarvard="Y",ISNUMBER(SEARCH("Harvard",A547))))),"Y","")</f>
        <v/>
      </c>
      <c r="G547" t="inlineStr">
        <is>
          <t>Clarissa C Hunnewell</t>
        </is>
      </c>
      <c r="H547" t="inlineStr">
        <is>
          <t>CHIEF INVESTMENT OFFICER</t>
        </is>
      </c>
      <c r="I547" t="inlineStr">
        <is>
          <t>CIO</t>
        </is>
      </c>
      <c r="J547" s="21" t="n">
        <v>902169</v>
      </c>
      <c r="K547" s="21" t="n">
        <v>612358</v>
      </c>
      <c r="L547" s="21" t="n">
        <v>1514527</v>
      </c>
      <c r="M547" s="21" t="n">
        <v>6799</v>
      </c>
      <c r="N547" s="21" t="n">
        <v>40022</v>
      </c>
      <c r="O547" s="21" t="n">
        <v>22991</v>
      </c>
      <c r="P547" s="21" t="n">
        <v>1584339</v>
      </c>
      <c r="Q547" s="21" t="n">
        <v>1584339</v>
      </c>
      <c r="R547" s="21">
        <f>IF(Q547="","",Q547*(1+in_GrowthRate)^(YEARFRAC(DATE(2025,6,30),in_AgeToDate)*IF(in_AgeToDate&lt;DATE(2025,6,30),-1,1)+1))</f>
        <v/>
      </c>
      <c r="S547" s="38" t="n">
        <v>0.6787619614506817</v>
      </c>
      <c r="T547" s="43">
        <f>HYPERLINK("https://projects.propublica.org/nonprofits/organizations/42103547/202611339349301666/full","view filing")</f>
        <v/>
      </c>
    </row>
    <row r="548">
      <c r="A548" t="inlineStr">
        <is>
          <t>Trustees Of Boston University</t>
        </is>
      </c>
      <c r="B548" s="20" t="inlineStr">
        <is>
          <t>MA</t>
        </is>
      </c>
      <c r="C548" s="42" t="n">
        <v>4.02</v>
      </c>
      <c r="D548" t="inlineStr">
        <is>
          <t>Endowment</t>
        </is>
      </c>
      <c r="E548" s="20" t="n">
        <v>2024</v>
      </c>
      <c r="F548" s="20" t="inlineStr"/>
      <c r="G548" t="inlineStr">
        <is>
          <t>Clarissa C Hunnewell</t>
        </is>
      </c>
      <c r="H548" t="inlineStr">
        <is>
          <t>CHIEF INVESTMENT OFFICER</t>
        </is>
      </c>
      <c r="I548" t="inlineStr">
        <is>
          <t>CIO</t>
        </is>
      </c>
      <c r="J548" s="21" t="n">
        <v>867540</v>
      </c>
      <c r="K548" s="21" t="n">
        <v>538584</v>
      </c>
      <c r="L548" s="21" t="n">
        <v>1406124</v>
      </c>
      <c r="M548" s="21" t="n">
        <v>6522</v>
      </c>
      <c r="N548" s="21" t="n">
        <v>38268</v>
      </c>
      <c r="O548" s="21" t="n">
        <v>21854</v>
      </c>
      <c r="P548" s="21" t="n">
        <v>1472768</v>
      </c>
      <c r="Q548" s="21" t="n">
        <v>1472768</v>
      </c>
      <c r="R548" s="21">
        <f>IF(Q548="","",Q548*(1+in_GrowthRate)^(YEARFRAC(DATE(2024,6,30),in_AgeToDate)*IF(in_AgeToDate&lt;DATE(2024,6,30),-1,1)+1))</f>
        <v/>
      </c>
      <c r="S548" s="38" t="n">
        <v>0.6208174839200498</v>
      </c>
      <c r="T548" s="43">
        <f>HYPERLINK("https://projects.propublica.org/nonprofits/organizations/42103547/202511349349311621/full","view filing")</f>
        <v/>
      </c>
    </row>
    <row r="549">
      <c r="A549" t="inlineStr">
        <is>
          <t>Trustees Of Boston University</t>
        </is>
      </c>
      <c r="B549" s="20" t="inlineStr">
        <is>
          <t>MA</t>
        </is>
      </c>
      <c r="C549" s="42" t="n">
        <v>4.02</v>
      </c>
      <c r="D549" t="inlineStr">
        <is>
          <t>Endowment</t>
        </is>
      </c>
      <c r="E549" s="20" t="n">
        <v>2023</v>
      </c>
      <c r="F549" s="20" t="inlineStr"/>
      <c r="G549" t="inlineStr">
        <is>
          <t>Clarissa C Hunnewell</t>
        </is>
      </c>
      <c r="H549" t="inlineStr">
        <is>
          <t>CIO, ASSISTANT TREASURER</t>
        </is>
      </c>
      <c r="I549" t="inlineStr">
        <is>
          <t>CIO</t>
        </is>
      </c>
      <c r="J549" s="21" t="n">
        <v>797870</v>
      </c>
      <c r="K549" s="21" t="n">
        <v>492161</v>
      </c>
      <c r="L549" s="21" t="n">
        <v>1290031</v>
      </c>
      <c r="M549" s="21" t="n">
        <v>5944</v>
      </c>
      <c r="N549" s="21" t="n">
        <v>35306</v>
      </c>
      <c r="O549" s="21" t="n">
        <v>9182</v>
      </c>
      <c r="P549" s="21" t="n">
        <v>1340463</v>
      </c>
      <c r="Q549" s="21" t="n">
        <v>1340463</v>
      </c>
      <c r="R549" s="21">
        <f>IF(Q549="","",Q549*(1+in_GrowthRate)^(YEARFRAC(DATE(2023,6,30),in_AgeToDate)*IF(in_AgeToDate&lt;DATE(2023,6,30),-1,1)+1))</f>
        <v/>
      </c>
      <c r="S549" s="38" t="n">
        <v>0.6168435960745485</v>
      </c>
      <c r="T549" s="43">
        <f>HYPERLINK("https://projects.propublica.org/nonprofits/organizations/42103547/202431369349307023/full","view filing")</f>
        <v/>
      </c>
    </row>
    <row r="550">
      <c r="A550" t="inlineStr">
        <is>
          <t>Trustees Of Boston University</t>
        </is>
      </c>
      <c r="B550" s="20" t="inlineStr">
        <is>
          <t>MA</t>
        </is>
      </c>
      <c r="C550" s="42" t="n">
        <v>4.02</v>
      </c>
      <c r="D550" t="inlineStr">
        <is>
          <t>Endowment</t>
        </is>
      </c>
      <c r="E550" s="20" t="n">
        <v>2022</v>
      </c>
      <c r="F550" s="20" t="inlineStr"/>
      <c r="G550" t="inlineStr">
        <is>
          <t>Clarissa Hunnewell</t>
        </is>
      </c>
      <c r="H550" t="inlineStr">
        <is>
          <t>CHIEF INVESTMENT OFFICER</t>
        </is>
      </c>
      <c r="I550" t="inlineStr">
        <is>
          <t>CIO</t>
        </is>
      </c>
      <c r="J550" s="21" t="n">
        <v>688050</v>
      </c>
      <c r="K550" s="21" t="n">
        <v>529732</v>
      </c>
      <c r="L550" s="21" t="n">
        <v>1217782</v>
      </c>
      <c r="M550" s="21" t="n">
        <v>5057</v>
      </c>
      <c r="N550" s="21" t="n">
        <v>600</v>
      </c>
      <c r="O550" s="21" t="n">
        <v>819</v>
      </c>
      <c r="P550" s="21" t="n">
        <v>1224258</v>
      </c>
      <c r="Q550" s="21" t="n">
        <v>1224258</v>
      </c>
      <c r="R550" s="21">
        <f>IF(Q550="","",Q550*(1+in_GrowthRate)^(YEARFRAC(DATE(2022,6,30),in_AgeToDate)*IF(in_AgeToDate&lt;DATE(2022,6,30),-1,1)+1))</f>
        <v/>
      </c>
      <c r="S550" s="38" t="n">
        <v>0.769903350047235</v>
      </c>
      <c r="T550" s="43">
        <f>HYPERLINK("https://projects.propublica.org/nonprofits/organizations/42103547/202311359349304581/full","view filing")</f>
        <v/>
      </c>
    </row>
    <row r="551">
      <c r="A551" t="inlineStr">
        <is>
          <t>Trustees Of Columbia University</t>
        </is>
      </c>
      <c r="B551" s="20" t="inlineStr">
        <is>
          <t>NY</t>
        </is>
      </c>
      <c r="C551" s="42" t="n">
        <v>15.92</v>
      </c>
      <c r="D551" t="inlineStr">
        <is>
          <t>Endowment</t>
        </is>
      </c>
      <c r="E551" s="20" t="n">
        <v>2025</v>
      </c>
      <c r="F551" s="20">
        <f>IF(AND(OR(in_Mode="All Funds",AND(C551&gt;=in_BandFloor,C551&lt;=in_BandCeiling,OR(in_Geography="National",COUNTIFS(lst_GeoPreset,in_Geography,lst_GeoState,B551)&gt;0,AND(in_Geography="Custom",ISNUMBER(SEARCH(B551,SUBSTITUTE(in_CustomStates," ",""))))),OR(AND(D551="Endowment",Inputs!$B$14="Y"),AND(D551="Foundation",Inputs!$B$15="Y"),AND(D551="Healthcare",Inputs!$B$16="Y"),AND(D551="Pension",Inputs!$B$17="Y"),AND(D551="OCIO",Inputs!$B$18="Y"),AND(D551="Other",Inputs!$B$19="Y")))),A551&lt;&gt;in_ClientOrg,NOT(AND(in_ExclHarvard="Y",ISNUMBER(SEARCH("Harvard",A551))))),"Y","")</f>
        <v/>
      </c>
      <c r="G551" t="inlineStr">
        <is>
          <t>Kim Lew</t>
        </is>
      </c>
      <c r="H551" t="inlineStr">
        <is>
          <t>CEO OF IMC</t>
        </is>
      </c>
      <c r="I551" t="inlineStr">
        <is>
          <t>CEO (Inv Entity)</t>
        </is>
      </c>
      <c r="J551" s="21" t="n">
        <v>1089729</v>
      </c>
      <c r="K551" s="21" t="n">
        <v>2089083</v>
      </c>
      <c r="L551" s="21" t="n">
        <v>3178812</v>
      </c>
      <c r="M551" s="21" t="n"/>
      <c r="N551" s="21" t="n">
        <v>2167989</v>
      </c>
      <c r="O551" s="21" t="n">
        <v>35752</v>
      </c>
      <c r="P551" s="21" t="n">
        <v>5382553</v>
      </c>
      <c r="Q551" s="21" t="n">
        <v>4465886</v>
      </c>
      <c r="R551" s="21">
        <f>IF(Q551="","",Q551*(1+in_GrowthRate)^(YEARFRAC(DATE(2025,6,30),in_AgeToDate)*IF(in_AgeToDate&lt;DATE(2025,6,30),-1,1)+1))</f>
        <v/>
      </c>
      <c r="S551" s="38" t="n">
        <v>1.917066536726103</v>
      </c>
      <c r="T551" s="43">
        <f>HYPERLINK("https://projects.propublica.org/nonprofits/organizations/135598093/202631359349301618/full","view filing")</f>
        <v/>
      </c>
    </row>
    <row r="552">
      <c r="A552" t="inlineStr">
        <is>
          <t>Trustees Of Columbia University</t>
        </is>
      </c>
      <c r="B552" s="20" t="inlineStr">
        <is>
          <t>NY</t>
        </is>
      </c>
      <c r="C552" s="42" t="n">
        <v>15.92</v>
      </c>
      <c r="D552" t="inlineStr">
        <is>
          <t>Endowment</t>
        </is>
      </c>
      <c r="E552" s="20" t="n">
        <v>2024</v>
      </c>
      <c r="F552" s="20" t="inlineStr"/>
      <c r="G552" t="inlineStr">
        <is>
          <t>Kim Lew</t>
        </is>
      </c>
      <c r="H552" t="inlineStr">
        <is>
          <t>CEO OF IMC</t>
        </is>
      </c>
      <c r="I552" t="inlineStr">
        <is>
          <t>CEO (Inv Entity)</t>
        </is>
      </c>
      <c r="J552" s="21" t="n">
        <v>1059596</v>
      </c>
      <c r="K552" s="21" t="n">
        <v>916667</v>
      </c>
      <c r="L552" s="21" t="n">
        <v>1976263</v>
      </c>
      <c r="M552" s="21" t="n"/>
      <c r="N552" s="21" t="n">
        <v>1866525</v>
      </c>
      <c r="O552" s="21" t="n">
        <v>30324</v>
      </c>
      <c r="P552" s="21" t="n">
        <v>3873112</v>
      </c>
      <c r="Q552" s="21" t="n">
        <v>3873112</v>
      </c>
      <c r="R552" s="21">
        <f>IF(Q552="","",Q552*(1+in_GrowthRate)^(YEARFRAC(DATE(2024,6,30),in_AgeToDate)*IF(in_AgeToDate&lt;DATE(2024,6,30),-1,1)+1))</f>
        <v/>
      </c>
      <c r="S552" s="38" t="n">
        <v>0.8651099098146841</v>
      </c>
      <c r="T552" s="43">
        <f>HYPERLINK("https://projects.propublica.org/nonprofits/organizations/135598093/202521359349302987/full","view filing")</f>
        <v/>
      </c>
    </row>
    <row r="553">
      <c r="A553" t="inlineStr">
        <is>
          <t>Trustees Of Columbia University</t>
        </is>
      </c>
      <c r="B553" s="20" t="inlineStr">
        <is>
          <t>NY</t>
        </is>
      </c>
      <c r="C553" s="42" t="n">
        <v>15.92</v>
      </c>
      <c r="D553" t="inlineStr">
        <is>
          <t>Endowment</t>
        </is>
      </c>
      <c r="E553" s="20" t="n">
        <v>2023</v>
      </c>
      <c r="F553" s="20" t="inlineStr"/>
      <c r="G553" t="inlineStr">
        <is>
          <t>Kim Lew</t>
        </is>
      </c>
      <c r="H553" t="inlineStr">
        <is>
          <t>CEO OF IMC</t>
        </is>
      </c>
      <c r="I553" t="inlineStr">
        <is>
          <t>CEO (Inv Entity)</t>
        </is>
      </c>
      <c r="J553" s="21" t="n">
        <v>1024686</v>
      </c>
      <c r="K553" s="21" t="n">
        <v>1900000</v>
      </c>
      <c r="L553" s="21" t="n">
        <v>2924686</v>
      </c>
      <c r="M553" s="21" t="n"/>
      <c r="N553" s="21" t="n">
        <v>30720</v>
      </c>
      <c r="O553" s="21" t="n">
        <v>27933</v>
      </c>
      <c r="P553" s="21" t="n">
        <v>2983339</v>
      </c>
      <c r="Q553" s="21" t="n">
        <v>2983339</v>
      </c>
      <c r="R553" s="21">
        <f>IF(Q553="","",Q553*(1+in_GrowthRate)^(YEARFRAC(DATE(2023,6,30),in_AgeToDate)*IF(in_AgeToDate&lt;DATE(2023,6,30),-1,1)+1))</f>
        <v/>
      </c>
      <c r="S553" s="38" t="n">
        <v>1.854226563064197</v>
      </c>
      <c r="T553" s="43">
        <f>HYPERLINK("https://projects.propublica.org/nonprofits/organizations/135598093/202401369349302495/full","view filing")</f>
        <v/>
      </c>
    </row>
    <row r="554">
      <c r="A554" t="inlineStr">
        <is>
          <t>Trustees Of Columbia University</t>
        </is>
      </c>
      <c r="B554" s="20" t="inlineStr">
        <is>
          <t>NY</t>
        </is>
      </c>
      <c r="C554" s="42" t="n">
        <v>15.92</v>
      </c>
      <c r="D554" t="inlineStr">
        <is>
          <t>Endowment</t>
        </is>
      </c>
      <c r="E554" s="20" t="n">
        <v>2022</v>
      </c>
      <c r="F554" s="20" t="inlineStr"/>
      <c r="G554" t="inlineStr">
        <is>
          <t>Kim Lew</t>
        </is>
      </c>
      <c r="H554" t="inlineStr">
        <is>
          <t>CEO of IMC</t>
        </is>
      </c>
      <c r="I554" t="inlineStr">
        <is>
          <t>CEO (Inv Entity)</t>
        </is>
      </c>
      <c r="J554" s="21" t="n">
        <v>997798</v>
      </c>
      <c r="K554" s="21" t="n">
        <v>1500000</v>
      </c>
      <c r="L554" s="21" t="n">
        <v>2497798</v>
      </c>
      <c r="M554" s="21" t="n">
        <v>50000</v>
      </c>
      <c r="N554" s="21" t="n">
        <v>14500</v>
      </c>
      <c r="O554" s="21" t="n">
        <v>26168</v>
      </c>
      <c r="P554" s="21" t="n">
        <v>2588466</v>
      </c>
      <c r="Q554" s="21" t="n">
        <v>2588466</v>
      </c>
      <c r="R554" s="21">
        <f>IF(Q554="","",Q554*(1+in_GrowthRate)^(YEARFRAC(DATE(2022,6,30),in_AgeToDate)*IF(in_AgeToDate&lt;DATE(2022,6,30),-1,1)+1))</f>
        <v/>
      </c>
      <c r="S554" s="38" t="n">
        <v>1.503310289256944</v>
      </c>
      <c r="T554" s="43">
        <f>HYPERLINK("https://projects.propublica.org/nonprofits/organizations/135598093/202321359349304707/full","view filing")</f>
        <v/>
      </c>
    </row>
    <row r="555">
      <c r="A555" t="inlineStr">
        <is>
          <t>Trustees Of Dartmouth College</t>
        </is>
      </c>
      <c r="B555" s="20" t="inlineStr">
        <is>
          <t>NH</t>
        </is>
      </c>
      <c r="C555" s="42" t="n">
        <v>8.960000000000001</v>
      </c>
      <c r="D555" t="inlineStr">
        <is>
          <t>Endowment</t>
        </is>
      </c>
      <c r="E555" s="20" t="n">
        <v>2025</v>
      </c>
      <c r="F555" s="20">
        <f>IF(AND(OR(in_Mode="All Funds",AND(C555&gt;=in_BandFloor,C555&lt;=in_BandCeiling,OR(in_Geography="National",COUNTIFS(lst_GeoPreset,in_Geography,lst_GeoState,B555)&gt;0,AND(in_Geography="Custom",ISNUMBER(SEARCH(B555,SUBSTITUTE(in_CustomStates," ",""))))),OR(AND(D555="Endowment",Inputs!$B$14="Y"),AND(D555="Foundation",Inputs!$B$15="Y"),AND(D555="Healthcare",Inputs!$B$16="Y"),AND(D555="Pension",Inputs!$B$17="Y"),AND(D555="OCIO",Inputs!$B$18="Y"),AND(D555="Other",Inputs!$B$19="Y")))),A555&lt;&gt;in_ClientOrg,NOT(AND(in_ExclHarvard="Y",ISNUMBER(SEARCH("Harvard",A555))))),"Y","")</f>
        <v/>
      </c>
      <c r="G555" t="inlineStr">
        <is>
          <t>Alice Ruth</t>
        </is>
      </c>
      <c r="H555" t="inlineStr">
        <is>
          <t>Chief Executive Officer - Investment Office</t>
        </is>
      </c>
      <c r="I555" t="inlineStr">
        <is>
          <t>CEO (Inv Entity)</t>
        </is>
      </c>
      <c r="J555" s="21" t="n">
        <v>1210340</v>
      </c>
      <c r="K555" s="21" t="n">
        <v>3853146</v>
      </c>
      <c r="L555" s="21" t="n">
        <v>5063486</v>
      </c>
      <c r="M555" s="21" t="n">
        <v>1159</v>
      </c>
      <c r="N555" s="21" t="n">
        <v>31050</v>
      </c>
      <c r="O555" s="21" t="n">
        <v>17656</v>
      </c>
      <c r="P555" s="21" t="n">
        <v>5113351</v>
      </c>
      <c r="Q555" s="21" t="n">
        <v>5113351</v>
      </c>
      <c r="R555" s="21">
        <f>IF(Q555="","",Q555*(1+in_GrowthRate)^(YEARFRAC(DATE(2025,6,30),in_AgeToDate)*IF(in_AgeToDate&lt;DATE(2025,6,30),-1,1)+1))</f>
        <v/>
      </c>
      <c r="S555" s="38" t="n">
        <v>3.183523637986021</v>
      </c>
      <c r="T555" s="43">
        <f>HYPERLINK("https://projects.propublica.org/nonprofits/organizations/20222111/202631339349300048/full","view filing")</f>
        <v/>
      </c>
    </row>
    <row r="556">
      <c r="A556" t="inlineStr">
        <is>
          <t>Trustees Of Dartmouth College</t>
        </is>
      </c>
      <c r="B556" s="20" t="inlineStr">
        <is>
          <t>NH</t>
        </is>
      </c>
      <c r="C556" s="42" t="n">
        <v>8.960000000000001</v>
      </c>
      <c r="D556" t="inlineStr">
        <is>
          <t>Endowment</t>
        </is>
      </c>
      <c r="E556" s="20" t="n">
        <v>2024</v>
      </c>
      <c r="F556" s="20" t="inlineStr"/>
      <c r="G556" t="inlineStr">
        <is>
          <t>Alice Ruth</t>
        </is>
      </c>
      <c r="H556" t="inlineStr">
        <is>
          <t>Chief Executive Officer - Investment Office</t>
        </is>
      </c>
      <c r="I556" t="inlineStr">
        <is>
          <t>CEO (Inv Entity)</t>
        </is>
      </c>
      <c r="J556" s="21" t="n">
        <v>1196396</v>
      </c>
      <c r="K556" s="21" t="n">
        <v>3853146</v>
      </c>
      <c r="L556" s="21" t="n">
        <v>5049542</v>
      </c>
      <c r="M556" s="21" t="n">
        <v>1159</v>
      </c>
      <c r="N556" s="21" t="n">
        <v>29700</v>
      </c>
      <c r="O556" s="21" t="n">
        <v>17407</v>
      </c>
      <c r="P556" s="21" t="n">
        <v>5097808</v>
      </c>
      <c r="Q556" s="21" t="n">
        <v>5097808</v>
      </c>
      <c r="R556" s="21">
        <f>IF(Q556="","",Q556*(1+in_GrowthRate)^(YEARFRAC(DATE(2024,6,30),in_AgeToDate)*IF(in_AgeToDate&lt;DATE(2024,6,30),-1,1)+1))</f>
        <v/>
      </c>
      <c r="S556" s="38" t="n">
        <v>3.220627618280235</v>
      </c>
      <c r="T556" s="43">
        <f>HYPERLINK("https://projects.propublica.org/nonprofits/organizations/20222111/202501339349306270/full","view filing")</f>
        <v/>
      </c>
    </row>
    <row r="557">
      <c r="A557" t="inlineStr">
        <is>
          <t>Trustees Of Dartmouth College</t>
        </is>
      </c>
      <c r="B557" s="20" t="inlineStr">
        <is>
          <t>NH</t>
        </is>
      </c>
      <c r="C557" s="42" t="n">
        <v>8.960000000000001</v>
      </c>
      <c r="D557" t="inlineStr">
        <is>
          <t>Endowment</t>
        </is>
      </c>
      <c r="E557" s="20" t="n">
        <v>2023</v>
      </c>
      <c r="F557" s="20" t="inlineStr"/>
      <c r="G557" t="inlineStr">
        <is>
          <t>Alice Ruth</t>
        </is>
      </c>
      <c r="H557" t="inlineStr">
        <is>
          <t>Chief Executive Officer - Investment Office</t>
        </is>
      </c>
      <c r="I557" t="inlineStr">
        <is>
          <t>CEO (Inv Entity)</t>
        </is>
      </c>
      <c r="J557" s="21" t="n">
        <v>1155311</v>
      </c>
      <c r="K557" s="21" t="n">
        <v>3749200</v>
      </c>
      <c r="L557" s="21" t="n">
        <v>4904511</v>
      </c>
      <c r="M557" s="21" t="n">
        <v>1159</v>
      </c>
      <c r="N557" s="21" t="n">
        <v>27450</v>
      </c>
      <c r="O557" s="21" t="n">
        <v>16470</v>
      </c>
      <c r="P557" s="21" t="n">
        <v>4949590</v>
      </c>
      <c r="Q557" s="21" t="n">
        <v>4949590</v>
      </c>
      <c r="R557" s="21">
        <f>IF(Q557="","",Q557*(1+in_GrowthRate)^(YEARFRAC(DATE(2023,6,30),in_AgeToDate)*IF(in_AgeToDate&lt;DATE(2023,6,30),-1,1)+1))</f>
        <v/>
      </c>
      <c r="S557" s="38" t="n">
        <v>3.24518679385897</v>
      </c>
      <c r="T557" s="43">
        <f>HYPERLINK("https://projects.propublica.org/nonprofits/organizations/20222111/202441359349306269/full","view filing")</f>
        <v/>
      </c>
    </row>
    <row r="558">
      <c r="A558" t="inlineStr">
        <is>
          <t>Trustees Of Dartmouth College</t>
        </is>
      </c>
      <c r="B558" s="20" t="inlineStr">
        <is>
          <t>NH</t>
        </is>
      </c>
      <c r="C558" s="42" t="n">
        <v>8.960000000000001</v>
      </c>
      <c r="D558" t="inlineStr">
        <is>
          <t>Endowment</t>
        </is>
      </c>
      <c r="E558" s="20" t="n">
        <v>2022</v>
      </c>
      <c r="F558" s="20" t="inlineStr"/>
      <c r="G558" t="inlineStr">
        <is>
          <t>Alice Ruth</t>
        </is>
      </c>
      <c r="H558" t="inlineStr">
        <is>
          <t>Chief Executive Officer - Investment Office</t>
        </is>
      </c>
      <c r="I558" t="inlineStr">
        <is>
          <t>CEO (Inv Entity)</t>
        </is>
      </c>
      <c r="J558" s="21" t="n">
        <v>1098842</v>
      </c>
      <c r="K558" s="21" t="n">
        <v>3100900</v>
      </c>
      <c r="L558" s="21" t="n">
        <v>4199742</v>
      </c>
      <c r="M558" s="21" t="n">
        <v>1159</v>
      </c>
      <c r="N558" s="21" t="n">
        <v>29100</v>
      </c>
      <c r="O558" s="21" t="n">
        <v>16470</v>
      </c>
      <c r="P558" s="21" t="n">
        <v>4246471</v>
      </c>
      <c r="Q558" s="21" t="n">
        <v>4246471</v>
      </c>
      <c r="R558" s="21">
        <f>IF(Q558="","",Q558*(1+in_GrowthRate)^(YEARFRAC(DATE(2022,6,30),in_AgeToDate)*IF(in_AgeToDate&lt;DATE(2022,6,30),-1,1)+1))</f>
        <v/>
      </c>
      <c r="S558" s="38" t="n">
        <v>2.821970765587773</v>
      </c>
      <c r="T558" s="43">
        <f>HYPERLINK("https://projects.propublica.org/nonprofits/organizations/20222111/202311329349301631/full","view filing")</f>
        <v/>
      </c>
    </row>
    <row r="559">
      <c r="A559" t="inlineStr">
        <is>
          <t>Trustees Of Hamilton College</t>
        </is>
      </c>
      <c r="B559" s="20" t="inlineStr">
        <is>
          <t>NY</t>
        </is>
      </c>
      <c r="C559" s="42" t="n">
        <v>1.5</v>
      </c>
      <c r="D559" t="inlineStr">
        <is>
          <t>Endowment</t>
        </is>
      </c>
      <c r="E559" s="20" t="n">
        <v>2025</v>
      </c>
      <c r="F559" s="20">
        <f>IF(AND(OR(in_Mode="All Funds",AND(C559&gt;=in_BandFloor,C559&lt;=in_BandCeiling,OR(in_Geography="National",COUNTIFS(lst_GeoPreset,in_Geography,lst_GeoState,B559)&gt;0,AND(in_Geography="Custom",ISNUMBER(SEARCH(B559,SUBSTITUTE(in_CustomStates," ",""))))),OR(AND(D559="Endowment",Inputs!$B$14="Y"),AND(D559="Foundation",Inputs!$B$15="Y"),AND(D559="Healthcare",Inputs!$B$16="Y"),AND(D559="Pension",Inputs!$B$17="Y"),AND(D559="OCIO",Inputs!$B$18="Y"),AND(D559="Other",Inputs!$B$19="Y")))),A559&lt;&gt;in_ClientOrg,NOT(AND(in_ExclHarvard="Y",ISNUMBER(SEARCH("Harvard",A559))))),"Y","")</f>
        <v/>
      </c>
      <c r="G559" t="inlineStr">
        <is>
          <t>Lauren K Jacobson</t>
        </is>
      </c>
      <c r="H559" t="inlineStr">
        <is>
          <t>Chief Investment Officer</t>
        </is>
      </c>
      <c r="I559" t="inlineStr">
        <is>
          <t>CIO</t>
        </is>
      </c>
      <c r="J559" s="21" t="n">
        <v>645000</v>
      </c>
      <c r="K559" s="21" t="n">
        <v>1062500</v>
      </c>
      <c r="L559" s="21" t="n">
        <v>1707500</v>
      </c>
      <c r="M559" s="21" t="n">
        <v>1486</v>
      </c>
      <c r="N559" s="21" t="n">
        <v>1044483</v>
      </c>
      <c r="O559" s="21" t="n">
        <v>10254</v>
      </c>
      <c r="P559" s="21" t="n">
        <v>2763723</v>
      </c>
      <c r="Q559" s="21" t="n">
        <v>2101223</v>
      </c>
      <c r="R559" s="21">
        <f>IF(Q559="","",Q559*(1+in_GrowthRate)^(YEARFRAC(DATE(2025,6,30),in_AgeToDate)*IF(in_AgeToDate&lt;DATE(2025,6,30),-1,1)+1))</f>
        <v/>
      </c>
      <c r="S559" s="38" t="n">
        <v>1.647286821705426</v>
      </c>
      <c r="T559" s="43">
        <f>HYPERLINK("https://projects.propublica.org/nonprofits/organizations/150532200/202641339349306889/full","view filing")</f>
        <v/>
      </c>
    </row>
    <row r="560">
      <c r="A560" t="inlineStr">
        <is>
          <t>Trustees Of Hamilton College</t>
        </is>
      </c>
      <c r="B560" s="20" t="inlineStr">
        <is>
          <t>NY</t>
        </is>
      </c>
      <c r="C560" s="42" t="n">
        <v>1.5</v>
      </c>
      <c r="D560" t="inlineStr">
        <is>
          <t>Endowment</t>
        </is>
      </c>
      <c r="E560" s="20" t="n">
        <v>2024</v>
      </c>
      <c r="F560" s="20" t="inlineStr"/>
      <c r="G560" t="inlineStr">
        <is>
          <t>Lauren K Jacobson</t>
        </is>
      </c>
      <c r="H560" t="inlineStr">
        <is>
          <t>Chief Investment Officer</t>
        </is>
      </c>
      <c r="I560" t="inlineStr">
        <is>
          <t>CIO</t>
        </is>
      </c>
      <c r="J560" s="21" t="n">
        <v>650000</v>
      </c>
      <c r="K560" s="21" t="n">
        <v>825000</v>
      </c>
      <c r="L560" s="21" t="n">
        <v>1475000</v>
      </c>
      <c r="M560" s="21" t="n">
        <v>1486</v>
      </c>
      <c r="N560" s="21" t="n">
        <v>1215345</v>
      </c>
      <c r="O560" s="21" t="n">
        <v>5513</v>
      </c>
      <c r="P560" s="21" t="n">
        <v>2697344</v>
      </c>
      <c r="Q560" s="21" t="n">
        <v>2048953</v>
      </c>
      <c r="R560" s="21">
        <f>IF(Q560="","",Q560*(1+in_GrowthRate)^(YEARFRAC(DATE(2024,6,30),in_AgeToDate)*IF(in_AgeToDate&lt;DATE(2024,6,30),-1,1)+1))</f>
        <v/>
      </c>
      <c r="S560" s="38" t="n">
        <v>1.269230769230769</v>
      </c>
      <c r="T560" s="43">
        <f>HYPERLINK("https://projects.propublica.org/nonprofits/organizations/150532200/202521359349308707/full","view filing")</f>
        <v/>
      </c>
    </row>
    <row r="561">
      <c r="A561" t="inlineStr">
        <is>
          <t>Trustees Of Hamilton College</t>
        </is>
      </c>
      <c r="B561" s="20" t="inlineStr">
        <is>
          <t>NY</t>
        </is>
      </c>
      <c r="C561" s="42" t="n">
        <v>1.5</v>
      </c>
      <c r="D561" t="inlineStr">
        <is>
          <t>Endowment</t>
        </is>
      </c>
      <c r="E561" s="20" t="n">
        <v>2023</v>
      </c>
      <c r="F561" s="20" t="inlineStr"/>
      <c r="G561" t="inlineStr">
        <is>
          <t>Lauren K Jacobson</t>
        </is>
      </c>
      <c r="H561" t="inlineStr">
        <is>
          <t>Chief Investment Officer</t>
        </is>
      </c>
      <c r="I561" t="inlineStr">
        <is>
          <t>CIO</t>
        </is>
      </c>
      <c r="J561" s="21" t="n">
        <v>98486</v>
      </c>
      <c r="K561" s="21" t="n">
        <v>417423</v>
      </c>
      <c r="L561" s="21" t="n">
        <v>515909</v>
      </c>
      <c r="M561" s="21" t="n">
        <v>230</v>
      </c>
      <c r="N561" s="21" t="n">
        <v>648391</v>
      </c>
      <c r="O561" s="21" t="n">
        <v>1569</v>
      </c>
      <c r="P561" s="21" t="n">
        <v>1166099</v>
      </c>
      <c r="Q561" s="21" t="n">
        <v>1166099</v>
      </c>
      <c r="R561" s="21">
        <f>IF(Q561="","",Q561*(1+in_GrowthRate)^(YEARFRAC(DATE(2023,6,30),in_AgeToDate)*IF(in_AgeToDate&lt;DATE(2023,6,30),-1,1)+1))</f>
        <v/>
      </c>
      <c r="S561" s="38" t="n">
        <v>4.238399366407408</v>
      </c>
      <c r="T561" s="43">
        <f>HYPERLINK("https://projects.propublica.org/nonprofits/organizations/150532200/202441369349304059/full","view filing")</f>
        <v/>
      </c>
    </row>
    <row r="562">
      <c r="A562" t="inlineStr">
        <is>
          <t>Trustees Of Hamilton College</t>
        </is>
      </c>
      <c r="B562" s="20" t="inlineStr">
        <is>
          <t>NY</t>
        </is>
      </c>
      <c r="C562" s="42" t="n">
        <v>1.5</v>
      </c>
      <c r="D562" t="inlineStr">
        <is>
          <t>Endowment</t>
        </is>
      </c>
      <c r="E562" s="20" t="n">
        <v>2022</v>
      </c>
      <c r="F562" s="20" t="inlineStr"/>
      <c r="G562" t="inlineStr">
        <is>
          <t>Anne Dinneen</t>
        </is>
      </c>
      <c r="H562" t="inlineStr">
        <is>
          <t>Chief Investment Officer</t>
        </is>
      </c>
      <c r="I562" t="inlineStr">
        <is>
          <t>CIO</t>
        </is>
      </c>
      <c r="J562" s="21" t="n">
        <v>466834</v>
      </c>
      <c r="K562" s="21" t="n">
        <v>562500</v>
      </c>
      <c r="L562" s="21" t="n">
        <v>1029334</v>
      </c>
      <c r="M562" s="21" t="n">
        <v>203792</v>
      </c>
      <c r="N562" s="21" t="n">
        <v>29000</v>
      </c>
      <c r="O562" s="21" t="n">
        <v>25116</v>
      </c>
      <c r="P562" s="21" t="n">
        <v>1287242</v>
      </c>
      <c r="Q562" s="21" t="n">
        <v>1083960</v>
      </c>
      <c r="R562" s="21">
        <f>IF(Q562="","",Q562*(1+in_GrowthRate)^(YEARFRAC(DATE(2022,6,30),in_AgeToDate)*IF(in_AgeToDate&lt;DATE(2022,6,30),-1,1)+1))</f>
        <v/>
      </c>
      <c r="S562" s="38" t="n">
        <v>1.204925091145889</v>
      </c>
      <c r="T562" s="43">
        <f>HYPERLINK("https://projects.propublica.org/nonprofits/organizations/150532200/202301319349305870/full","view filing")</f>
        <v/>
      </c>
    </row>
    <row r="563">
      <c r="A563" t="inlineStr">
        <is>
          <t>Trustees Of Mount Holyoke College</t>
        </is>
      </c>
      <c r="B563" s="20" t="inlineStr">
        <is>
          <t>MA</t>
        </is>
      </c>
      <c r="C563" s="42" t="n">
        <v>1.18</v>
      </c>
      <c r="D563" t="inlineStr">
        <is>
          <t>Endowment</t>
        </is>
      </c>
      <c r="E563" s="20" t="n">
        <v>2025</v>
      </c>
      <c r="F563" s="20">
        <f>IF(AND(OR(in_Mode="All Funds",AND(C563&gt;=in_BandFloor,C563&lt;=in_BandCeiling,OR(in_Geography="National",COUNTIFS(lst_GeoPreset,in_Geography,lst_GeoState,B563)&gt;0,AND(in_Geography="Custom",ISNUMBER(SEARCH(B563,SUBSTITUTE(in_CustomStates," ",""))))),OR(AND(D563="Endowment",Inputs!$B$14="Y"),AND(D563="Foundation",Inputs!$B$15="Y"),AND(D563="Healthcare",Inputs!$B$16="Y"),AND(D563="Pension",Inputs!$B$17="Y"),AND(D563="OCIO",Inputs!$B$18="Y"),AND(D563="Other",Inputs!$B$19="Y")))),A563&lt;&gt;in_ClientOrg,NOT(AND(in_ExclHarvard="Y",ISNUMBER(SEARCH("Harvard",A563))))),"Y","")</f>
        <v/>
      </c>
      <c r="G563" t="inlineStr">
        <is>
          <t>Ana Yankova</t>
        </is>
      </c>
      <c r="H563" t="inlineStr">
        <is>
          <t>CHIEF INVESTMENT OFFICER</t>
        </is>
      </c>
      <c r="I563" t="inlineStr">
        <is>
          <t>CIO</t>
        </is>
      </c>
      <c r="J563" s="21" t="n">
        <v>509453</v>
      </c>
      <c r="K563" s="21" t="n">
        <v>531690</v>
      </c>
      <c r="L563" s="21" t="n">
        <v>1041143</v>
      </c>
      <c r="M563" s="21" t="n"/>
      <c r="N563" s="21" t="n">
        <v>10010</v>
      </c>
      <c r="O563" s="21" t="n">
        <v>3841</v>
      </c>
      <c r="P563" s="21" t="n">
        <v>1054994</v>
      </c>
      <c r="Q563" s="21" t="n">
        <v>1054994</v>
      </c>
      <c r="R563" s="21">
        <f>IF(Q563="","",Q563*(1+in_GrowthRate)^(YEARFRAC(DATE(2025,6,30),in_AgeToDate)*IF(in_AgeToDate&lt;DATE(2025,6,30),-1,1)+1))</f>
        <v/>
      </c>
      <c r="S563" s="38" t="n">
        <v>1.043648776236473</v>
      </c>
      <c r="T563" s="43">
        <f>HYPERLINK("https://projects.propublica.org/nonprofits/organizations/42103578/202611359349306066/full","view filing")</f>
        <v/>
      </c>
    </row>
    <row r="564">
      <c r="A564" t="inlineStr">
        <is>
          <t>Trustees Of Mount Holyoke College</t>
        </is>
      </c>
      <c r="B564" s="20" t="inlineStr">
        <is>
          <t>MA</t>
        </is>
      </c>
      <c r="C564" s="42" t="n">
        <v>1.18</v>
      </c>
      <c r="D564" t="inlineStr">
        <is>
          <t>Endowment</t>
        </is>
      </c>
      <c r="E564" s="20" t="n">
        <v>2024</v>
      </c>
      <c r="F564" s="20" t="inlineStr"/>
      <c r="G564" t="inlineStr">
        <is>
          <t>Ana Yankova</t>
        </is>
      </c>
      <c r="H564" t="inlineStr">
        <is>
          <t>CHIEF INVESTMENT OFFICER</t>
        </is>
      </c>
      <c r="I564" t="inlineStr">
        <is>
          <t>CIO</t>
        </is>
      </c>
      <c r="J564" s="21" t="n">
        <v>462449</v>
      </c>
      <c r="K564" s="21" t="n">
        <v>513100</v>
      </c>
      <c r="L564" s="21" t="n">
        <v>975549</v>
      </c>
      <c r="M564" s="21" t="n"/>
      <c r="N564" s="21" t="n">
        <v>82850</v>
      </c>
      <c r="O564" s="21" t="n">
        <v>29812</v>
      </c>
      <c r="P564" s="21" t="n">
        <v>1088211</v>
      </c>
      <c r="Q564" s="21" t="n">
        <v>1088211</v>
      </c>
      <c r="R564" s="21">
        <f>IF(Q564="","",Q564*(1+in_GrowthRate)^(YEARFRAC(DATE(2024,6,30),in_AgeToDate)*IF(in_AgeToDate&lt;DATE(2024,6,30),-1,1)+1))</f>
        <v/>
      </c>
      <c r="S564" s="38" t="n">
        <v>1.109527753330638</v>
      </c>
      <c r="T564" s="43">
        <f>HYPERLINK("https://projects.propublica.org/nonprofits/organizations/42103578/202541339349306969/full","view filing")</f>
        <v/>
      </c>
    </row>
    <row r="565">
      <c r="A565" t="inlineStr">
        <is>
          <t>Trustees Of Mount Holyoke College</t>
        </is>
      </c>
      <c r="B565" s="20" t="inlineStr">
        <is>
          <t>MA</t>
        </is>
      </c>
      <c r="C565" s="42" t="n">
        <v>1.18</v>
      </c>
      <c r="D565" t="inlineStr">
        <is>
          <t>Endowment</t>
        </is>
      </c>
      <c r="E565" s="20" t="n">
        <v>2023</v>
      </c>
      <c r="F565" s="20" t="inlineStr"/>
      <c r="G565" t="inlineStr">
        <is>
          <t>Ana Yankova</t>
        </is>
      </c>
      <c r="H565" t="inlineStr">
        <is>
          <t>CHIEF INVESTMENT OFFICER</t>
        </is>
      </c>
      <c r="I565" t="inlineStr">
        <is>
          <t>CIO</t>
        </is>
      </c>
      <c r="J565" s="21" t="n">
        <v>461341</v>
      </c>
      <c r="K565" s="21" t="n"/>
      <c r="L565" s="21" t="n">
        <v>461341</v>
      </c>
      <c r="M565" s="21" t="n">
        <v>37508</v>
      </c>
      <c r="N565" s="21" t="n">
        <v>32025</v>
      </c>
      <c r="O565" s="21" t="n">
        <v>26972</v>
      </c>
      <c r="P565" s="21" t="n">
        <v>557846</v>
      </c>
      <c r="Q565" s="21" t="n">
        <v>557846</v>
      </c>
      <c r="R565" s="21">
        <f>IF(Q565="","",Q565*(1+in_GrowthRate)^(YEARFRAC(DATE(2023,6,30),in_AgeToDate)*IF(in_AgeToDate&lt;DATE(2023,6,30),-1,1)+1))</f>
        <v/>
      </c>
      <c r="S565" s="38" t="n">
        <v>0</v>
      </c>
      <c r="T565" s="43">
        <f>HYPERLINK("https://projects.propublica.org/nonprofits/organizations/42103578/202441369349302149/full","view filing")</f>
        <v/>
      </c>
    </row>
    <row r="566">
      <c r="A566" t="inlineStr">
        <is>
          <t>Trustees Of Mount Holyoke College</t>
        </is>
      </c>
      <c r="B566" s="20" t="inlineStr">
        <is>
          <t>MA</t>
        </is>
      </c>
      <c r="C566" s="42" t="n">
        <v>1.18</v>
      </c>
      <c r="D566" t="inlineStr">
        <is>
          <t>Endowment</t>
        </is>
      </c>
      <c r="E566" s="20" t="n">
        <v>2022</v>
      </c>
      <c r="F566" s="20" t="inlineStr"/>
      <c r="G566" t="inlineStr">
        <is>
          <t>Ana Yankova</t>
        </is>
      </c>
      <c r="H566" t="inlineStr">
        <is>
          <t>CHIEF INVESTMENT OFFICER</t>
        </is>
      </c>
      <c r="I566" t="inlineStr">
        <is>
          <t>CIO</t>
        </is>
      </c>
      <c r="J566" s="21" t="n">
        <v>447173</v>
      </c>
      <c r="K566" s="21" t="n">
        <v>125000</v>
      </c>
      <c r="L566" s="21" t="n">
        <v>572173</v>
      </c>
      <c r="M566" s="21" t="n">
        <v>1000</v>
      </c>
      <c r="N566" s="21" t="n">
        <v>24263</v>
      </c>
      <c r="O566" s="21" t="n">
        <v>24477</v>
      </c>
      <c r="P566" s="21" t="n">
        <v>621913</v>
      </c>
      <c r="Q566" s="21" t="n">
        <v>621913</v>
      </c>
      <c r="R566" s="21">
        <f>IF(Q566="","",Q566*(1+in_GrowthRate)^(YEARFRAC(DATE(2022,6,30),in_AgeToDate)*IF(in_AgeToDate&lt;DATE(2022,6,30),-1,1)+1))</f>
        <v/>
      </c>
      <c r="S566" s="38" t="n">
        <v>0.279533871678299</v>
      </c>
      <c r="T566" s="43">
        <f>HYPERLINK("https://projects.propublica.org/nonprofits/organizations/42103578/202331329349308003/full","view filing")</f>
        <v/>
      </c>
    </row>
    <row r="567">
      <c r="A567" t="inlineStr">
        <is>
          <t>Trustees Of Phillips Academy</t>
        </is>
      </c>
      <c r="B567" s="20" t="inlineStr">
        <is>
          <t>MA</t>
        </is>
      </c>
      <c r="C567" s="42" t="n">
        <v>1.51</v>
      </c>
      <c r="D567" t="inlineStr">
        <is>
          <t>Endowment</t>
        </is>
      </c>
      <c r="E567" s="20" t="n">
        <v>2025</v>
      </c>
      <c r="F567" s="20">
        <f>IF(AND(OR(in_Mode="All Funds",AND(C567&gt;=in_BandFloor,C567&lt;=in_BandCeiling,OR(in_Geography="National",COUNTIFS(lst_GeoPreset,in_Geography,lst_GeoState,B567)&gt;0,AND(in_Geography="Custom",ISNUMBER(SEARCH(B567,SUBSTITUTE(in_CustomStates," ",""))))),OR(AND(D567="Endowment",Inputs!$B$14="Y"),AND(D567="Foundation",Inputs!$B$15="Y"),AND(D567="Healthcare",Inputs!$B$16="Y"),AND(D567="Pension",Inputs!$B$17="Y"),AND(D567="OCIO",Inputs!$B$18="Y"),AND(D567="Other",Inputs!$B$19="Y")))),A567&lt;&gt;in_ClientOrg,NOT(AND(in_ExclHarvard="Y",ISNUMBER(SEARCH("Harvard",A567))))),"Y","")</f>
        <v/>
      </c>
      <c r="G567" t="inlineStr">
        <is>
          <t>Kirsten A Glantz</t>
        </is>
      </c>
      <c r="H567" t="inlineStr">
        <is>
          <t>CHIEF INVESTMENT OFFICER</t>
        </is>
      </c>
      <c r="I567" t="inlineStr">
        <is>
          <t>CIO</t>
        </is>
      </c>
      <c r="J567" s="21" t="n">
        <v>497123</v>
      </c>
      <c r="K567" s="21" t="n">
        <v>621039</v>
      </c>
      <c r="L567" s="21" t="n">
        <v>1118162</v>
      </c>
      <c r="M567" s="21" t="n"/>
      <c r="N567" s="21" t="n">
        <v>39792</v>
      </c>
      <c r="O567" s="21" t="n">
        <v>47135</v>
      </c>
      <c r="P567" s="21" t="n">
        <v>1205089</v>
      </c>
      <c r="Q567" s="21" t="n">
        <v>1205089</v>
      </c>
      <c r="R567" s="21">
        <f>IF(Q567="","",Q567*(1+in_GrowthRate)^(YEARFRAC(DATE(2025,6,30),in_AgeToDate)*IF(in_AgeToDate&lt;DATE(2025,6,30),-1,1)+1))</f>
        <v/>
      </c>
      <c r="S567" s="38" t="n">
        <v>1.249266278164559</v>
      </c>
      <c r="T567" s="43">
        <f>HYPERLINK("https://projects.propublica.org/nonprofits/organizations/42103579/202641329349305314/full","view filing")</f>
        <v/>
      </c>
    </row>
    <row r="568">
      <c r="A568" t="inlineStr">
        <is>
          <t>Trustees Of Phillips Academy</t>
        </is>
      </c>
      <c r="B568" s="20" t="inlineStr">
        <is>
          <t>MA</t>
        </is>
      </c>
      <c r="C568" s="42" t="n">
        <v>1.51</v>
      </c>
      <c r="D568" t="inlineStr">
        <is>
          <t>Endowment</t>
        </is>
      </c>
      <c r="E568" s="20" t="n">
        <v>2024</v>
      </c>
      <c r="F568" s="20" t="inlineStr"/>
      <c r="G568" t="inlineStr">
        <is>
          <t>Kirsten A Glantz</t>
        </is>
      </c>
      <c r="H568" t="inlineStr">
        <is>
          <t>CHIEF INVESTMENT OFFICER</t>
        </is>
      </c>
      <c r="I568" t="inlineStr">
        <is>
          <t>CIO</t>
        </is>
      </c>
      <c r="J568" s="21" t="n">
        <v>464267</v>
      </c>
      <c r="K568" s="21" t="n">
        <v>548403</v>
      </c>
      <c r="L568" s="21" t="n">
        <v>1012670</v>
      </c>
      <c r="M568" s="21" t="n"/>
      <c r="N568" s="21" t="n">
        <v>38094</v>
      </c>
      <c r="O568" s="21" t="n">
        <v>47938</v>
      </c>
      <c r="P568" s="21" t="n">
        <v>1098702</v>
      </c>
      <c r="Q568" s="21" t="n">
        <v>1098702</v>
      </c>
      <c r="R568" s="21">
        <f>IF(Q568="","",Q568*(1+in_GrowthRate)^(YEARFRAC(DATE(2024,6,30),in_AgeToDate)*IF(in_AgeToDate&lt;DATE(2024,6,30),-1,1)+1))</f>
        <v/>
      </c>
      <c r="S568" s="38" t="n">
        <v>1.181223304693205</v>
      </c>
      <c r="T568" s="43">
        <f>HYPERLINK("https://projects.propublica.org/nonprofits/organizations/42103579/202521299349300637/full","view filing")</f>
        <v/>
      </c>
    </row>
    <row r="569">
      <c r="A569" t="inlineStr">
        <is>
          <t>Trustees Of Phillips Academy</t>
        </is>
      </c>
      <c r="B569" s="20" t="inlineStr">
        <is>
          <t>MA</t>
        </is>
      </c>
      <c r="C569" s="42" t="n">
        <v>1.51</v>
      </c>
      <c r="D569" t="inlineStr">
        <is>
          <t>Endowment</t>
        </is>
      </c>
      <c r="E569" s="20" t="n">
        <v>2023</v>
      </c>
      <c r="F569" s="20" t="inlineStr"/>
      <c r="G569" t="inlineStr">
        <is>
          <t>Kirsten A Glantz</t>
        </is>
      </c>
      <c r="H569" t="inlineStr">
        <is>
          <t>CHIEF INVESTMENT OFFICER</t>
        </is>
      </c>
      <c r="I569" t="inlineStr">
        <is>
          <t>CIO</t>
        </is>
      </c>
      <c r="J569" s="21" t="n">
        <v>432709</v>
      </c>
      <c r="K569" s="21" t="n">
        <v>533805</v>
      </c>
      <c r="L569" s="21" t="n">
        <v>966514</v>
      </c>
      <c r="M569" s="21" t="n"/>
      <c r="N569" s="21" t="n">
        <v>35240</v>
      </c>
      <c r="O569" s="21" t="n">
        <v>46802</v>
      </c>
      <c r="P569" s="21" t="n">
        <v>1048556</v>
      </c>
      <c r="Q569" s="21" t="n">
        <v>1048556</v>
      </c>
      <c r="R569" s="21">
        <f>IF(Q569="","",Q569*(1+in_GrowthRate)^(YEARFRAC(DATE(2023,6,30),in_AgeToDate)*IF(in_AgeToDate&lt;DATE(2023,6,30),-1,1)+1))</f>
        <v/>
      </c>
      <c r="S569" s="38" t="n">
        <v>1.233635075766855</v>
      </c>
      <c r="T569" s="43">
        <f>HYPERLINK("https://projects.propublica.org/nonprofits/organizations/42103579/202421319349302902/full","view filing")</f>
        <v/>
      </c>
    </row>
    <row r="570">
      <c r="A570" t="inlineStr">
        <is>
          <t>Trustees Of Phillips Academy</t>
        </is>
      </c>
      <c r="B570" s="20" t="inlineStr">
        <is>
          <t>MA</t>
        </is>
      </c>
      <c r="C570" s="42" t="n">
        <v>1.51</v>
      </c>
      <c r="D570" t="inlineStr">
        <is>
          <t>Endowment</t>
        </is>
      </c>
      <c r="E570" s="20" t="n">
        <v>2022</v>
      </c>
      <c r="F570" s="20" t="inlineStr"/>
      <c r="G570" t="inlineStr">
        <is>
          <t>Kirsten A Glantz</t>
        </is>
      </c>
      <c r="H570" t="inlineStr">
        <is>
          <t>CHIEF INVESTMENT OFFICER</t>
        </is>
      </c>
      <c r="I570" t="inlineStr">
        <is>
          <t>CIO</t>
        </is>
      </c>
      <c r="J570" s="21" t="n">
        <v>411674</v>
      </c>
      <c r="K570" s="21" t="n">
        <v>560769</v>
      </c>
      <c r="L570" s="21" t="n">
        <v>972443</v>
      </c>
      <c r="M570" s="21" t="n"/>
      <c r="N570" s="21" t="n">
        <v>33416</v>
      </c>
      <c r="O570" s="21" t="n">
        <v>46810</v>
      </c>
      <c r="P570" s="21" t="n">
        <v>1052669</v>
      </c>
      <c r="Q570" s="21" t="n">
        <v>1052669</v>
      </c>
      <c r="R570" s="21">
        <f>IF(Q570="","",Q570*(1+in_GrowthRate)^(YEARFRAC(DATE(2022,6,30),in_AgeToDate)*IF(in_AgeToDate&lt;DATE(2022,6,30),-1,1)+1))</f>
        <v/>
      </c>
      <c r="S570" s="38" t="n">
        <v>1.362167637499575</v>
      </c>
      <c r="T570" s="43">
        <f>HYPERLINK("https://projects.propublica.org/nonprofits/organizations/42103579/202331319349307333/full","view filing")</f>
        <v/>
      </c>
    </row>
    <row r="571">
      <c r="A571" t="inlineStr">
        <is>
          <t>Trustees Of The Estate Of Bernice Pauahi Bishop</t>
        </is>
      </c>
      <c r="B571" s="20" t="inlineStr">
        <is>
          <t>HI</t>
        </is>
      </c>
      <c r="C571" s="42" t="n">
        <v>11.66</v>
      </c>
      <c r="D571" t="inlineStr">
        <is>
          <t>Endowment</t>
        </is>
      </c>
      <c r="E571" s="20" t="n">
        <v>2025</v>
      </c>
      <c r="F571" s="20">
        <f>IF(AND(OR(in_Mode="All Funds",AND(C571&gt;=in_BandFloor,C571&lt;=in_BandCeiling,OR(in_Geography="National",COUNTIFS(lst_GeoPreset,in_Geography,lst_GeoState,B571)&gt;0,AND(in_Geography="Custom",ISNUMBER(SEARCH(B571,SUBSTITUTE(in_CustomStates," ",""))))),OR(AND(D571="Endowment",Inputs!$B$14="Y"),AND(D571="Foundation",Inputs!$B$15="Y"),AND(D571="Healthcare",Inputs!$B$16="Y"),AND(D571="Pension",Inputs!$B$17="Y"),AND(D571="OCIO",Inputs!$B$18="Y"),AND(D571="Other",Inputs!$B$19="Y")))),A571&lt;&gt;in_ClientOrg,NOT(AND(in_ExclHarvard="Y",ISNUMBER(SEARCH("Harvard",A571))))),"Y","")</f>
        <v/>
      </c>
      <c r="G571" t="inlineStr">
        <is>
          <t>Timothy Donohue</t>
        </is>
      </c>
      <c r="H571" t="inlineStr">
        <is>
          <t>CIO</t>
        </is>
      </c>
      <c r="I571" t="inlineStr">
        <is>
          <t>CIO</t>
        </is>
      </c>
      <c r="J571" s="21" t="n">
        <v>1090405</v>
      </c>
      <c r="K571" s="21" t="n">
        <v>1295959</v>
      </c>
      <c r="L571" s="21" t="n">
        <v>2386364</v>
      </c>
      <c r="M571" s="21" t="n">
        <v>2862</v>
      </c>
      <c r="N571" s="21" t="n">
        <v>55950</v>
      </c>
      <c r="O571" s="21" t="n">
        <v>22118</v>
      </c>
      <c r="P571" s="21" t="n">
        <v>2467294</v>
      </c>
      <c r="Q571" s="21" t="n">
        <v>2467294</v>
      </c>
      <c r="R571" s="21">
        <f>IF(Q571="","",Q571*(1+in_GrowthRate)^(YEARFRAC(DATE(2025,6,30),in_AgeToDate)*IF(in_AgeToDate&lt;DATE(2025,6,30),-1,1)+1))</f>
        <v/>
      </c>
      <c r="S571" s="38" t="n">
        <v>1.18851160807223</v>
      </c>
      <c r="T571" s="43">
        <f>HYPERLINK("https://projects.propublica.org/nonprofits/organizations/990073480/202601359349302395/full","view filing")</f>
        <v/>
      </c>
    </row>
    <row r="572">
      <c r="A572" t="inlineStr">
        <is>
          <t>Trustees Of The Estate Of Bernice Pauahi Bishop</t>
        </is>
      </c>
      <c r="B572" s="20" t="inlineStr">
        <is>
          <t>HI</t>
        </is>
      </c>
      <c r="C572" s="42" t="n">
        <v>11.66</v>
      </c>
      <c r="D572" t="inlineStr">
        <is>
          <t>Endowment</t>
        </is>
      </c>
      <c r="E572" s="20" t="n">
        <v>2024</v>
      </c>
      <c r="F572" s="20" t="inlineStr"/>
      <c r="G572" t="inlineStr">
        <is>
          <t>Timothy Donohue</t>
        </is>
      </c>
      <c r="H572" t="inlineStr">
        <is>
          <t>CIO</t>
        </is>
      </c>
      <c r="I572" t="inlineStr">
        <is>
          <t>CIO</t>
        </is>
      </c>
      <c r="J572" s="21" t="n">
        <v>1041819</v>
      </c>
      <c r="K572" s="21" t="n">
        <v>1411011</v>
      </c>
      <c r="L572" s="21" t="n">
        <v>2452830</v>
      </c>
      <c r="M572" s="21" t="n">
        <v>2862</v>
      </c>
      <c r="N572" s="21" t="n">
        <v>51750</v>
      </c>
      <c r="O572" s="21" t="n">
        <v>21107</v>
      </c>
      <c r="P572" s="21" t="n">
        <v>2528549</v>
      </c>
      <c r="Q572" s="21" t="n">
        <v>2528549</v>
      </c>
      <c r="R572" s="21">
        <f>IF(Q572="","",Q572*(1+in_GrowthRate)^(YEARFRAC(DATE(2024,6,30),in_AgeToDate)*IF(in_AgeToDate&lt;DATE(2024,6,30),-1,1)+1))</f>
        <v/>
      </c>
      <c r="S572" s="38" t="n">
        <v>1.354372496566102</v>
      </c>
      <c r="T572" s="43">
        <f>HYPERLINK("https://projects.propublica.org/nonprofits/organizations/990073480/202521359349307492/full","view filing")</f>
        <v/>
      </c>
    </row>
    <row r="573">
      <c r="A573" t="inlineStr">
        <is>
          <t>Trustees Of The Estate Of Bernice Pauahi Bishop</t>
        </is>
      </c>
      <c r="B573" s="20" t="inlineStr">
        <is>
          <t>HI</t>
        </is>
      </c>
      <c r="C573" s="42" t="n">
        <v>11.66</v>
      </c>
      <c r="D573" t="inlineStr">
        <is>
          <t>Endowment</t>
        </is>
      </c>
      <c r="E573" s="20" t="n">
        <v>2023</v>
      </c>
      <c r="F573" s="20" t="inlineStr"/>
      <c r="G573" t="inlineStr">
        <is>
          <t>Timothy Donohue</t>
        </is>
      </c>
      <c r="H573" t="inlineStr">
        <is>
          <t>CIO</t>
        </is>
      </c>
      <c r="I573" t="inlineStr">
        <is>
          <t>CIO</t>
        </is>
      </c>
      <c r="J573" s="21" t="n">
        <v>1005757</v>
      </c>
      <c r="K573" s="21" t="n">
        <v>2134657</v>
      </c>
      <c r="L573" s="21" t="n">
        <v>3140414</v>
      </c>
      <c r="M573" s="21" t="n">
        <v>2862</v>
      </c>
      <c r="N573" s="21" t="n">
        <v>48950</v>
      </c>
      <c r="O573" s="21" t="n">
        <v>19962</v>
      </c>
      <c r="P573" s="21" t="n">
        <v>3212188</v>
      </c>
      <c r="Q573" s="21" t="n">
        <v>3212188</v>
      </c>
      <c r="R573" s="21">
        <f>IF(Q573="","",Q573*(1+in_GrowthRate)^(YEARFRAC(DATE(2023,6,30),in_AgeToDate)*IF(in_AgeToDate&lt;DATE(2023,6,30),-1,1)+1))</f>
        <v/>
      </c>
      <c r="S573" s="38" t="n">
        <v>2.122438123721734</v>
      </c>
      <c r="T573" s="43">
        <f>HYPERLINK("https://projects.propublica.org/nonprofits/organizations/990073480/202421369349309122/full","view filing")</f>
        <v/>
      </c>
    </row>
    <row r="574">
      <c r="A574" t="inlineStr">
        <is>
          <t>Trustees Of The Estate Of Bernice Pauahi Bishop</t>
        </is>
      </c>
      <c r="B574" s="20" t="inlineStr">
        <is>
          <t>HI</t>
        </is>
      </c>
      <c r="C574" s="42" t="n">
        <v>11.66</v>
      </c>
      <c r="D574" t="inlineStr">
        <is>
          <t>Endowment</t>
        </is>
      </c>
      <c r="E574" s="20" t="n">
        <v>2022</v>
      </c>
      <c r="F574" s="20" t="inlineStr"/>
      <c r="G574" t="inlineStr">
        <is>
          <t>Timothy Donohue</t>
        </is>
      </c>
      <c r="H574" t="inlineStr">
        <is>
          <t>CIO</t>
        </is>
      </c>
      <c r="I574" t="inlineStr">
        <is>
          <t>CIO</t>
        </is>
      </c>
      <c r="J574" s="21" t="n">
        <v>975034</v>
      </c>
      <c r="K574" s="21" t="n">
        <v>1674500</v>
      </c>
      <c r="L574" s="21" t="n">
        <v>2649534</v>
      </c>
      <c r="M574" s="21" t="n">
        <v>2862</v>
      </c>
      <c r="N574" s="21" t="n">
        <v>48150</v>
      </c>
      <c r="O574" s="21" t="n">
        <v>23050</v>
      </c>
      <c r="P574" s="21" t="n">
        <v>2723596</v>
      </c>
      <c r="Q574" s="21" t="n">
        <v>1766739</v>
      </c>
      <c r="R574" s="21">
        <f>IF(Q574="","",Q574*(1+in_GrowthRate)^(YEARFRAC(DATE(2022,6,30),in_AgeToDate)*IF(in_AgeToDate&lt;DATE(2022,6,30),-1,1)+1))</f>
        <v/>
      </c>
      <c r="S574" s="38" t="n">
        <v>1.717376009451978</v>
      </c>
      <c r="T574" s="43">
        <f>HYPERLINK("https://projects.propublica.org/nonprofits/organizations/990073480/202321359349304577/full","view filing")</f>
        <v/>
      </c>
    </row>
    <row r="575">
      <c r="A575" t="inlineStr">
        <is>
          <t>Trustees Of The Smith College</t>
        </is>
      </c>
      <c r="B575" s="20" t="inlineStr">
        <is>
          <t>MA</t>
        </is>
      </c>
      <c r="C575" s="42" t="n">
        <v>2.71</v>
      </c>
      <c r="D575" t="inlineStr">
        <is>
          <t>Endowment</t>
        </is>
      </c>
      <c r="E575" s="20" t="n">
        <v>2025</v>
      </c>
      <c r="F575" s="20">
        <f>IF(AND(OR(in_Mode="All Funds",AND(C575&gt;=in_BandFloor,C575&lt;=in_BandCeiling,OR(in_Geography="National",COUNTIFS(lst_GeoPreset,in_Geography,lst_GeoState,B575)&gt;0,AND(in_Geography="Custom",ISNUMBER(SEARCH(B575,SUBSTITUTE(in_CustomStates," ",""))))),OR(AND(D575="Endowment",Inputs!$B$14="Y"),AND(D575="Foundation",Inputs!$B$15="Y"),AND(D575="Healthcare",Inputs!$B$16="Y"),AND(D575="Pension",Inputs!$B$17="Y"),AND(D575="OCIO",Inputs!$B$18="Y"),AND(D575="Other",Inputs!$B$19="Y")))),A575&lt;&gt;in_ClientOrg,NOT(AND(in_ExclHarvard="Y",ISNUMBER(SEARCH("Harvard",A575))))),"Y","")</f>
        <v/>
      </c>
      <c r="G575" t="inlineStr">
        <is>
          <t>Lisa Marie Howie</t>
        </is>
      </c>
      <c r="H575" t="inlineStr">
        <is>
          <t>CHIEF INVESTMENT OFFICER</t>
        </is>
      </c>
      <c r="I575" t="inlineStr">
        <is>
          <t>CIO</t>
        </is>
      </c>
      <c r="J575" s="21" t="n">
        <v>685246</v>
      </c>
      <c r="K575" s="21" t="n">
        <v>882000</v>
      </c>
      <c r="L575" s="21" t="n">
        <v>1567246</v>
      </c>
      <c r="M575" s="21" t="n">
        <v>63727</v>
      </c>
      <c r="N575" s="21" t="n">
        <v>42500</v>
      </c>
      <c r="O575" s="21" t="n">
        <v>10429</v>
      </c>
      <c r="P575" s="21" t="n">
        <v>1683902</v>
      </c>
      <c r="Q575" s="21" t="n">
        <v>1683902</v>
      </c>
      <c r="R575" s="21">
        <f>IF(Q575="","",Q575*(1+in_GrowthRate)^(YEARFRAC(DATE(2025,6,30),in_AgeToDate)*IF(in_AgeToDate&lt;DATE(2025,6,30),-1,1)+1))</f>
        <v/>
      </c>
      <c r="S575" s="38" t="n">
        <v>1.287129001847512</v>
      </c>
      <c r="T575" s="43">
        <f>HYPERLINK("https://projects.propublica.org/nonprofits/organizations/41843040/202641359349306484/full","view filing")</f>
        <v/>
      </c>
    </row>
    <row r="576">
      <c r="A576" t="inlineStr">
        <is>
          <t>Trustees Of The Smith College</t>
        </is>
      </c>
      <c r="B576" s="20" t="inlineStr">
        <is>
          <t>MA</t>
        </is>
      </c>
      <c r="C576" s="42" t="n">
        <v>2.71</v>
      </c>
      <c r="D576" t="inlineStr">
        <is>
          <t>Endowment</t>
        </is>
      </c>
      <c r="E576" s="20" t="n">
        <v>2024</v>
      </c>
      <c r="F576" s="20" t="inlineStr"/>
      <c r="G576" t="inlineStr">
        <is>
          <t>Lisa Marie Howie</t>
        </is>
      </c>
      <c r="H576" t="inlineStr">
        <is>
          <t>CHIEF INVESTMENT OFFICER</t>
        </is>
      </c>
      <c r="I576" t="inlineStr">
        <is>
          <t>CIO</t>
        </is>
      </c>
      <c r="J576" s="21" t="n">
        <v>663789</v>
      </c>
      <c r="K576" s="21" t="n">
        <v>765000</v>
      </c>
      <c r="L576" s="21" t="n">
        <v>1428789</v>
      </c>
      <c r="M576" s="21" t="n">
        <v>52806</v>
      </c>
      <c r="N576" s="21" t="n">
        <v>37140</v>
      </c>
      <c r="O576" s="21" t="n">
        <v>9905</v>
      </c>
      <c r="P576" s="21" t="n">
        <v>1528640</v>
      </c>
      <c r="Q576" s="21" t="n">
        <v>1528640</v>
      </c>
      <c r="R576" s="21">
        <f>IF(Q576="","",Q576*(1+in_GrowthRate)^(YEARFRAC(DATE(2024,6,30),in_AgeToDate)*IF(in_AgeToDate&lt;DATE(2024,6,30),-1,1)+1))</f>
        <v/>
      </c>
      <c r="S576" s="38" t="n">
        <v>1.15247465685632</v>
      </c>
      <c r="T576" s="43">
        <f>HYPERLINK("https://projects.propublica.org/nonprofits/organizations/41843040/202541349349305654/full","view filing")</f>
        <v/>
      </c>
    </row>
    <row r="577">
      <c r="A577" t="inlineStr">
        <is>
          <t>Trustees Of The Smith College</t>
        </is>
      </c>
      <c r="B577" s="20" t="inlineStr">
        <is>
          <t>MA</t>
        </is>
      </c>
      <c r="C577" s="42" t="n">
        <v>2.71</v>
      </c>
      <c r="D577" t="inlineStr">
        <is>
          <t>Endowment</t>
        </is>
      </c>
      <c r="E577" s="20" t="n">
        <v>2023</v>
      </c>
      <c r="F577" s="20" t="inlineStr"/>
      <c r="G577" t="inlineStr">
        <is>
          <t>Lisa Marie Howie</t>
        </is>
      </c>
      <c r="H577" t="inlineStr">
        <is>
          <t>CHIEF INVESTMENT OFFICER</t>
        </is>
      </c>
      <c r="I577" t="inlineStr">
        <is>
          <t>CIO</t>
        </is>
      </c>
      <c r="J577" s="21" t="n">
        <v>691923</v>
      </c>
      <c r="K577" s="21" t="n">
        <v>801434</v>
      </c>
      <c r="L577" s="21" t="n">
        <v>1493357</v>
      </c>
      <c r="M577" s="21" t="n">
        <v>8290</v>
      </c>
      <c r="N577" s="21" t="n">
        <v>37490</v>
      </c>
      <c r="O577" s="21" t="n">
        <v>9125</v>
      </c>
      <c r="P577" s="21" t="n">
        <v>1548262</v>
      </c>
      <c r="Q577" s="21" t="n">
        <v>1548262</v>
      </c>
      <c r="R577" s="21">
        <f>IF(Q577="","",Q577*(1+in_GrowthRate)^(YEARFRAC(DATE(2023,6,30),in_AgeToDate)*IF(in_AgeToDate&lt;DATE(2023,6,30),-1,1)+1))</f>
        <v/>
      </c>
      <c r="S577" s="38" t="n">
        <v>1.158270501197388</v>
      </c>
      <c r="T577" s="43">
        <f>HYPERLINK("https://projects.propublica.org/nonprofits/organizations/41843040/202441369349306089/full","view filing")</f>
        <v/>
      </c>
    </row>
    <row r="578">
      <c r="A578" t="inlineStr">
        <is>
          <t>Trustees Of The Smith College</t>
        </is>
      </c>
      <c r="B578" s="20" t="inlineStr">
        <is>
          <t>MA</t>
        </is>
      </c>
      <c r="C578" s="42" t="n">
        <v>2.71</v>
      </c>
      <c r="D578" t="inlineStr">
        <is>
          <t>Endowment</t>
        </is>
      </c>
      <c r="E578" s="20" t="n">
        <v>2022</v>
      </c>
      <c r="F578" s="20" t="inlineStr"/>
      <c r="G578" t="inlineStr">
        <is>
          <t>Lisa M Howie</t>
        </is>
      </c>
      <c r="H578" t="inlineStr">
        <is>
          <t>CHIEF INVESTMENT OFFICER</t>
        </is>
      </c>
      <c r="I578" t="inlineStr">
        <is>
          <t>CIO</t>
        </is>
      </c>
      <c r="J578" s="21" t="n">
        <v>345365</v>
      </c>
      <c r="K578" s="21" t="n">
        <v>712</v>
      </c>
      <c r="L578" s="21" t="n">
        <v>346077</v>
      </c>
      <c r="M578" s="21" t="n">
        <v>607</v>
      </c>
      <c r="N578" s="21" t="n">
        <v>39174</v>
      </c>
      <c r="O578" s="21" t="n">
        <v>4889</v>
      </c>
      <c r="P578" s="21" t="n">
        <v>390747</v>
      </c>
      <c r="Q578" s="21" t="n">
        <v>390747</v>
      </c>
      <c r="R578" s="21">
        <f>IF(Q578="","",Q578*(1+in_GrowthRate)^(YEARFRAC(DATE(2022,6,30),in_AgeToDate)*IF(in_AgeToDate&lt;DATE(2022,6,30),-1,1)+1))</f>
        <v/>
      </c>
      <c r="S578" s="38" t="n">
        <v>0.002061587016634575</v>
      </c>
      <c r="T578" s="43">
        <f>HYPERLINK("https://projects.propublica.org/nonprofits/organizations/41843040/202311359349305991/full","view filing")</f>
        <v/>
      </c>
    </row>
    <row r="579">
      <c r="A579" t="inlineStr">
        <is>
          <t>Trustees Of The University Of Pennsylvania</t>
        </is>
      </c>
      <c r="B579" s="20" t="inlineStr">
        <is>
          <t>PA</t>
        </is>
      </c>
      <c r="C579" s="42" t="n">
        <v>24.81</v>
      </c>
      <c r="D579" t="inlineStr">
        <is>
          <t>Endowment</t>
        </is>
      </c>
      <c r="E579" s="20" t="n">
        <v>2025</v>
      </c>
      <c r="F579" s="20">
        <f>IF(AND(OR(in_Mode="All Funds",AND(C579&gt;=in_BandFloor,C579&lt;=in_BandCeiling,OR(in_Geography="National",COUNTIFS(lst_GeoPreset,in_Geography,lst_GeoState,B579)&gt;0,AND(in_Geography="Custom",ISNUMBER(SEARCH(B579,SUBSTITUTE(in_CustomStates," ",""))))),OR(AND(D579="Endowment",Inputs!$B$14="Y"),AND(D579="Foundation",Inputs!$B$15="Y"),AND(D579="Healthcare",Inputs!$B$16="Y"),AND(D579="Pension",Inputs!$B$17="Y"),AND(D579="OCIO",Inputs!$B$18="Y"),AND(D579="Other",Inputs!$B$19="Y")))),A579&lt;&gt;in_ClientOrg,NOT(AND(in_ExclHarvard="Y",ISNUMBER(SEARCH("Harvard",A579))))),"Y","")</f>
        <v/>
      </c>
      <c r="G579" t="inlineStr">
        <is>
          <t>Ammon Peter</t>
        </is>
      </c>
      <c r="H579" t="inlineStr">
        <is>
          <t>CHIEF INVESTMENT OFFICER</t>
        </is>
      </c>
      <c r="I579" t="inlineStr">
        <is>
          <t>CIO</t>
        </is>
      </c>
      <c r="J579" s="21" t="n">
        <v>1219480</v>
      </c>
      <c r="K579" s="21" t="n">
        <v>3902529</v>
      </c>
      <c r="L579" s="21" t="n">
        <v>5122009</v>
      </c>
      <c r="M579" s="21" t="n">
        <v>450</v>
      </c>
      <c r="N579" s="21" t="n">
        <v>2008670</v>
      </c>
      <c r="O579" s="21" t="n">
        <v>15267</v>
      </c>
      <c r="P579" s="21" t="n">
        <v>7146396</v>
      </c>
      <c r="Q579" s="21" t="n">
        <v>4764773</v>
      </c>
      <c r="R579" s="21">
        <f>IF(Q579="","",Q579*(1+in_GrowthRate)^(YEARFRAC(DATE(2025,6,30),in_AgeToDate)*IF(in_AgeToDate&lt;DATE(2025,6,30),-1,1)+1))</f>
        <v/>
      </c>
      <c r="S579" s="38" t="n">
        <v>3.200158264178175</v>
      </c>
      <c r="T579" s="43">
        <f>HYPERLINK("https://projects.propublica.org/nonprofits/organizations/231352685/202611349349308646/full","view filing")</f>
        <v/>
      </c>
    </row>
    <row r="580">
      <c r="A580" t="inlineStr">
        <is>
          <t>Trustees Of The University Of Pennsylvania</t>
        </is>
      </c>
      <c r="B580" s="20" t="inlineStr">
        <is>
          <t>PA</t>
        </is>
      </c>
      <c r="C580" s="42" t="n">
        <v>24.81</v>
      </c>
      <c r="D580" t="inlineStr">
        <is>
          <t>Endowment</t>
        </is>
      </c>
      <c r="E580" s="20" t="n">
        <v>2024</v>
      </c>
      <c r="F580" s="20" t="inlineStr"/>
      <c r="G580" t="inlineStr">
        <is>
          <t>Ammon Peter</t>
        </is>
      </c>
      <c r="H580" t="inlineStr">
        <is>
          <t>CHIEF INVESTMENT OFFICER</t>
        </is>
      </c>
      <c r="I580" t="inlineStr">
        <is>
          <t>CIO</t>
        </is>
      </c>
      <c r="J580" s="21" t="n">
        <v>1173717</v>
      </c>
      <c r="K580" s="21" t="n">
        <v>4173986</v>
      </c>
      <c r="L580" s="21" t="n">
        <v>5347703</v>
      </c>
      <c r="M580" s="21" t="n">
        <v>450</v>
      </c>
      <c r="N580" s="21" t="n">
        <v>2407159</v>
      </c>
      <c r="O580" s="21" t="n">
        <v>14397</v>
      </c>
      <c r="P580" s="21" t="n">
        <v>7769709</v>
      </c>
      <c r="Q580" s="21" t="n">
        <v>5393298</v>
      </c>
      <c r="R580" s="21">
        <f>IF(Q580="","",Q580*(1+in_GrowthRate)^(YEARFRAC(DATE(2024,6,30),in_AgeToDate)*IF(in_AgeToDate&lt;DATE(2024,6,30),-1,1)+1))</f>
        <v/>
      </c>
      <c r="S580" s="38" t="n">
        <v>3.556211591039407</v>
      </c>
      <c r="T580" s="43">
        <f>HYPERLINK("https://projects.propublica.org/nonprofits/organizations/231352685/202541349349311824/full","view filing")</f>
        <v/>
      </c>
    </row>
    <row r="581">
      <c r="A581" t="inlineStr">
        <is>
          <t>Trustees Of The University Of Pennsylvania</t>
        </is>
      </c>
      <c r="B581" s="20" t="inlineStr">
        <is>
          <t>PA</t>
        </is>
      </c>
      <c r="C581" s="42" t="n">
        <v>24.81</v>
      </c>
      <c r="D581" t="inlineStr">
        <is>
          <t>Endowment</t>
        </is>
      </c>
      <c r="E581" s="20" t="n">
        <v>2023</v>
      </c>
      <c r="F581" s="20" t="inlineStr"/>
      <c r="G581" t="inlineStr">
        <is>
          <t>Ammon Peter</t>
        </is>
      </c>
      <c r="H581" t="inlineStr">
        <is>
          <t>CHIEF INVESTMENT OFFICER</t>
        </is>
      </c>
      <c r="I581" t="inlineStr">
        <is>
          <t>CIO</t>
        </is>
      </c>
      <c r="J581" s="21" t="n">
        <v>1123244</v>
      </c>
      <c r="K581" s="21" t="n">
        <v>4266553</v>
      </c>
      <c r="L581" s="21" t="n">
        <v>5389797</v>
      </c>
      <c r="M581" s="21" t="n">
        <v>256397</v>
      </c>
      <c r="N581" s="21" t="n">
        <v>2740238</v>
      </c>
      <c r="O581" s="21" t="n">
        <v>13877</v>
      </c>
      <c r="P581" s="21" t="n">
        <v>8400309</v>
      </c>
      <c r="Q581" s="21" t="n">
        <v>6688131</v>
      </c>
      <c r="R581" s="21">
        <f>IF(Q581="","",Q581*(1+in_GrowthRate)^(YEARFRAC(DATE(2023,6,30),in_AgeToDate)*IF(in_AgeToDate&lt;DATE(2023,6,30),-1,1)+1))</f>
        <v/>
      </c>
      <c r="S581" s="38" t="n">
        <v>3.798420467859165</v>
      </c>
      <c r="T581" s="43">
        <f>HYPERLINK("https://projects.propublica.org/nonprofits/organizations/231352685/202441349349304879/full","view filing")</f>
        <v/>
      </c>
    </row>
    <row r="582">
      <c r="A582" t="inlineStr">
        <is>
          <t>Trustees Of The University Of Pennsylvania</t>
        </is>
      </c>
      <c r="B582" s="20" t="inlineStr">
        <is>
          <t>PA</t>
        </is>
      </c>
      <c r="C582" s="42" t="n">
        <v>24.81</v>
      </c>
      <c r="D582" t="inlineStr">
        <is>
          <t>Endowment</t>
        </is>
      </c>
      <c r="E582" s="20" t="n">
        <v>2022</v>
      </c>
      <c r="F582" s="20" t="inlineStr"/>
      <c r="G582" t="inlineStr">
        <is>
          <t>Peter Ammon</t>
        </is>
      </c>
      <c r="H582" t="inlineStr">
        <is>
          <t>CHIEF INVESTMENT OFFICER</t>
        </is>
      </c>
      <c r="I582" t="inlineStr">
        <is>
          <t>CIO</t>
        </is>
      </c>
      <c r="J582" s="21" t="n">
        <v>1037258</v>
      </c>
      <c r="K582" s="21" t="n">
        <v>4088745</v>
      </c>
      <c r="L582" s="21" t="n">
        <v>5126003</v>
      </c>
      <c r="M582" s="21" t="n">
        <v>300</v>
      </c>
      <c r="N582" s="21" t="n">
        <v>2240466</v>
      </c>
      <c r="O582" s="21" t="n">
        <v>13496</v>
      </c>
      <c r="P582" s="21" t="n">
        <v>7380265</v>
      </c>
      <c r="Q582" s="21" t="n">
        <v>5534098</v>
      </c>
      <c r="R582" s="21">
        <f>IF(Q582="","",Q582*(1+in_GrowthRate)^(YEARFRAC(DATE(2022,6,30),in_AgeToDate)*IF(in_AgeToDate&lt;DATE(2022,6,30),-1,1)+1))</f>
        <v/>
      </c>
      <c r="S582" s="38" t="n">
        <v>3.941878491175773</v>
      </c>
      <c r="T582" s="43">
        <f>HYPERLINK("https://projects.propublica.org/nonprofits/organizations/231352685/202321459349300747/full","view filing")</f>
        <v/>
      </c>
    </row>
    <row r="583">
      <c r="A583" t="inlineStr">
        <is>
          <t>Trustees Of Tufts College</t>
        </is>
      </c>
      <c r="B583" s="20" t="inlineStr">
        <is>
          <t>MA</t>
        </is>
      </c>
      <c r="C583" s="42" t="n">
        <v>2.71</v>
      </c>
      <c r="D583" t="inlineStr">
        <is>
          <t>Endowment</t>
        </is>
      </c>
      <c r="E583" s="20" t="n">
        <v>2025</v>
      </c>
      <c r="F583" s="20">
        <f>IF(AND(OR(in_Mode="All Funds",AND(C583&gt;=in_BandFloor,C583&lt;=in_BandCeiling,OR(in_Geography="National",COUNTIFS(lst_GeoPreset,in_Geography,lst_GeoState,B583)&gt;0,AND(in_Geography="Custom",ISNUMBER(SEARCH(B583,SUBSTITUTE(in_CustomStates," ",""))))),OR(AND(D583="Endowment",Inputs!$B$14="Y"),AND(D583="Foundation",Inputs!$B$15="Y"),AND(D583="Healthcare",Inputs!$B$16="Y"),AND(D583="Pension",Inputs!$B$17="Y"),AND(D583="OCIO",Inputs!$B$18="Y"),AND(D583="Other",Inputs!$B$19="Y")))),A583&lt;&gt;in_ClientOrg,NOT(AND(in_ExclHarvard="Y",ISNUMBER(SEARCH("Harvard",A583))))),"Y","")</f>
        <v/>
      </c>
      <c r="G583" t="inlineStr">
        <is>
          <t>Craig W Smith</t>
        </is>
      </c>
      <c r="H583" t="inlineStr">
        <is>
          <t>Chief Investment Officer</t>
        </is>
      </c>
      <c r="I583" t="inlineStr">
        <is>
          <t>CIO</t>
        </is>
      </c>
      <c r="J583" s="21" t="n">
        <v>520706</v>
      </c>
      <c r="K583" s="21" t="n"/>
      <c r="L583" s="21" t="n">
        <v>520706</v>
      </c>
      <c r="M583" s="21" t="n">
        <v>874</v>
      </c>
      <c r="N583" s="21" t="n">
        <v>43320</v>
      </c>
      <c r="O583" s="21" t="n">
        <v>36062</v>
      </c>
      <c r="P583" s="21" t="n">
        <v>600962</v>
      </c>
      <c r="Q583" s="21" t="n">
        <v>600962</v>
      </c>
      <c r="R583" s="21">
        <f>IF(Q583="","",Q583*(1+in_GrowthRate)^(YEARFRAC(DATE(2025,6,30),in_AgeToDate)*IF(in_AgeToDate&lt;DATE(2025,6,30),-1,1)+1))</f>
        <v/>
      </c>
      <c r="S583" s="38" t="n">
        <v>0</v>
      </c>
      <c r="T583" s="43">
        <f>HYPERLINK("https://projects.propublica.org/nonprofits/organizations/42103634/202621329349300047/full","view filing")</f>
        <v/>
      </c>
    </row>
    <row r="584">
      <c r="A584" t="inlineStr">
        <is>
          <t>Trustees Of Tufts College</t>
        </is>
      </c>
      <c r="B584" s="20" t="inlineStr">
        <is>
          <t>MA</t>
        </is>
      </c>
      <c r="C584" s="42" t="n">
        <v>2.71</v>
      </c>
      <c r="D584" t="inlineStr">
        <is>
          <t>Endowment</t>
        </is>
      </c>
      <c r="E584" s="20" t="n">
        <v>2024</v>
      </c>
      <c r="F584" s="20" t="inlineStr"/>
      <c r="G584" t="inlineStr">
        <is>
          <t>Craig W Smith</t>
        </is>
      </c>
      <c r="H584" t="inlineStr">
        <is>
          <t>Chief Investment Officer</t>
        </is>
      </c>
      <c r="I584" t="inlineStr">
        <is>
          <t>CIO</t>
        </is>
      </c>
      <c r="J584" s="21" t="n">
        <v>504052</v>
      </c>
      <c r="K584" s="21" t="n">
        <v>44762</v>
      </c>
      <c r="L584" s="21" t="n">
        <v>548814</v>
      </c>
      <c r="M584" s="21" t="n">
        <v>842</v>
      </c>
      <c r="N584" s="21" t="n">
        <v>41490</v>
      </c>
      <c r="O584" s="21" t="n">
        <v>31820</v>
      </c>
      <c r="P584" s="21" t="n">
        <v>622966</v>
      </c>
      <c r="Q584" s="21" t="n">
        <v>575218</v>
      </c>
      <c r="R584" s="21">
        <f>IF(Q584="","",Q584*(1+in_GrowthRate)^(YEARFRAC(DATE(2024,6,30),in_AgeToDate)*IF(in_AgeToDate&lt;DATE(2024,6,30),-1,1)+1))</f>
        <v/>
      </c>
      <c r="S584" s="38" t="n">
        <v>0.08880432971201384</v>
      </c>
      <c r="T584" s="43">
        <f>HYPERLINK("https://projects.propublica.org/nonprofits/organizations/42103634/202531329349305298/full","view filing")</f>
        <v/>
      </c>
    </row>
    <row r="585">
      <c r="A585" t="inlineStr">
        <is>
          <t>Trustees Of Tufts College</t>
        </is>
      </c>
      <c r="B585" s="20" t="inlineStr">
        <is>
          <t>MA</t>
        </is>
      </c>
      <c r="C585" s="42" t="n">
        <v>2.71</v>
      </c>
      <c r="D585" t="inlineStr">
        <is>
          <t>Endowment</t>
        </is>
      </c>
      <c r="E585" s="20" t="n">
        <v>2023</v>
      </c>
      <c r="F585" s="20" t="inlineStr"/>
      <c r="G585" t="inlineStr">
        <is>
          <t>Craig W Smith</t>
        </is>
      </c>
      <c r="H585" t="inlineStr">
        <is>
          <t>Chief Investment Officer</t>
        </is>
      </c>
      <c r="I585" t="inlineStr">
        <is>
          <t>CIO</t>
        </is>
      </c>
      <c r="J585" s="21" t="n">
        <v>483563</v>
      </c>
      <c r="K585" s="21" t="n">
        <v>58909</v>
      </c>
      <c r="L585" s="21" t="n">
        <v>542472</v>
      </c>
      <c r="M585" s="21" t="n">
        <v>804</v>
      </c>
      <c r="N585" s="21" t="n">
        <v>41819</v>
      </c>
      <c r="O585" s="21" t="n">
        <v>29897</v>
      </c>
      <c r="P585" s="21" t="n">
        <v>614992</v>
      </c>
      <c r="Q585" s="21" t="n">
        <v>570664</v>
      </c>
      <c r="R585" s="21">
        <f>IF(Q585="","",Q585*(1+in_GrowthRate)^(YEARFRAC(DATE(2023,6,30),in_AgeToDate)*IF(in_AgeToDate&lt;DATE(2023,6,30),-1,1)+1))</f>
        <v/>
      </c>
      <c r="S585" s="38" t="n">
        <v>0.1218228028199014</v>
      </c>
      <c r="T585" s="43">
        <f>HYPERLINK("https://projects.propublica.org/nonprofits/organizations/42103634/202401359349304325/full","view filing")</f>
        <v/>
      </c>
    </row>
    <row r="586">
      <c r="A586" t="inlineStr">
        <is>
          <t>Trustees Of Tufts College</t>
        </is>
      </c>
      <c r="B586" s="20" t="inlineStr">
        <is>
          <t>MA</t>
        </is>
      </c>
      <c r="C586" s="42" t="n">
        <v>2.71</v>
      </c>
      <c r="D586" t="inlineStr">
        <is>
          <t>Endowment</t>
        </is>
      </c>
      <c r="E586" s="20" t="n">
        <v>2022</v>
      </c>
      <c r="F586" s="20" t="inlineStr"/>
      <c r="G586" t="inlineStr">
        <is>
          <t>Craig W Smith</t>
        </is>
      </c>
      <c r="H586" t="inlineStr">
        <is>
          <t>Chief Investment Officer</t>
        </is>
      </c>
      <c r="I586" t="inlineStr">
        <is>
          <t>CIO</t>
        </is>
      </c>
      <c r="J586" s="21" t="n">
        <v>420281</v>
      </c>
      <c r="K586" s="21" t="n">
        <v>141102</v>
      </c>
      <c r="L586" s="21" t="n">
        <v>561383</v>
      </c>
      <c r="M586" s="21" t="n">
        <v>685</v>
      </c>
      <c r="N586" s="21" t="n">
        <v>125017</v>
      </c>
      <c r="O586" s="21" t="n">
        <v>31294</v>
      </c>
      <c r="P586" s="21" t="n">
        <v>718379</v>
      </c>
      <c r="Q586" s="21" t="n">
        <v>718379</v>
      </c>
      <c r="R586" s="21">
        <f>IF(Q586="","",Q586*(1+in_GrowthRate)^(YEARFRAC(DATE(2022,6,30),in_AgeToDate)*IF(in_AgeToDate&lt;DATE(2022,6,30),-1,1)+1))</f>
        <v/>
      </c>
      <c r="S586" s="38" t="n">
        <v>0.3357325218127872</v>
      </c>
      <c r="T586" s="43">
        <f>HYPERLINK("https://projects.propublica.org/nonprofits/organizations/42103634/202331319349302683/full","view filing")</f>
        <v/>
      </c>
    </row>
    <row r="587">
      <c r="A587" t="inlineStr">
        <is>
          <t>Uaw Retiree Medical Benefits Tr</t>
        </is>
      </c>
      <c r="B587" s="20" t="inlineStr">
        <is>
          <t>MI</t>
        </is>
      </c>
      <c r="C587" s="42" t="n">
        <v>61.42</v>
      </c>
      <c r="D587" t="inlineStr">
        <is>
          <t>Pension</t>
        </is>
      </c>
      <c r="E587" s="20" t="n">
        <v>2024</v>
      </c>
      <c r="F587" s="20">
        <f>IF(AND(OR(in_Mode="All Funds",AND(C587&gt;=in_BandFloor,C587&lt;=in_BandCeiling,OR(in_Geography="National",COUNTIFS(lst_GeoPreset,in_Geography,lst_GeoState,B587)&gt;0,AND(in_Geography="Custom",ISNUMBER(SEARCH(B587,SUBSTITUTE(in_CustomStates," ",""))))),OR(AND(D587="Endowment",Inputs!$B$14="Y"),AND(D587="Foundation",Inputs!$B$15="Y"),AND(D587="Healthcare",Inputs!$B$16="Y"),AND(D587="Pension",Inputs!$B$17="Y"),AND(D587="OCIO",Inputs!$B$18="Y"),AND(D587="Other",Inputs!$B$19="Y")))),A587&lt;&gt;in_ClientOrg,NOT(AND(in_ExclHarvard="Y",ISNUMBER(SEARCH("Harvard",A587))))),"Y","")</f>
        <v/>
      </c>
      <c r="G587" t="inlineStr">
        <is>
          <t>Hershel Harper</t>
        </is>
      </c>
      <c r="H587" t="inlineStr">
        <is>
          <t>CHIEF INVESTMENT OFFICER</t>
        </is>
      </c>
      <c r="I587" t="inlineStr">
        <is>
          <t>CIO</t>
        </is>
      </c>
      <c r="J587" s="21" t="n">
        <v>741158</v>
      </c>
      <c r="K587" s="21" t="n">
        <v>959440</v>
      </c>
      <c r="L587" s="21" t="n">
        <v>1700598</v>
      </c>
      <c r="M587" s="21" t="n">
        <v>2838</v>
      </c>
      <c r="N587" s="21" t="n">
        <v>30500</v>
      </c>
      <c r="O587" s="21" t="n">
        <v>28947</v>
      </c>
      <c r="P587" s="21" t="n">
        <v>1762883</v>
      </c>
      <c r="Q587" s="21" t="n">
        <v>1762883</v>
      </c>
      <c r="R587" s="21">
        <f>IF(Q587="","",Q587*(1+in_GrowthRate)^(YEARFRAC(DATE(2024,12,31),in_AgeToDate)*IF(in_AgeToDate&lt;DATE(2024,12,31),-1,1)+1))</f>
        <v/>
      </c>
      <c r="S587" s="38" t="n">
        <v>1.294514799813265</v>
      </c>
      <c r="T587" s="43">
        <f>HYPERLINK("https://projects.propublica.org/nonprofits/organizations/900424876/202503189349310215/full","view filing")</f>
        <v/>
      </c>
    </row>
    <row r="588">
      <c r="A588" t="inlineStr">
        <is>
          <t>Uaw Retiree Medical Benefits Tr</t>
        </is>
      </c>
      <c r="B588" s="20" t="inlineStr">
        <is>
          <t>MI</t>
        </is>
      </c>
      <c r="C588" s="42" t="n">
        <v>61.42</v>
      </c>
      <c r="D588" t="inlineStr">
        <is>
          <t>Pension</t>
        </is>
      </c>
      <c r="E588" s="20" t="n">
        <v>2023</v>
      </c>
      <c r="F588" s="20" t="inlineStr"/>
      <c r="G588" t="inlineStr">
        <is>
          <t>Hershel Harper</t>
        </is>
      </c>
      <c r="H588" t="inlineStr">
        <is>
          <t>CHIEF INVESTMENT OFFICER</t>
        </is>
      </c>
      <c r="I588" t="inlineStr">
        <is>
          <t>CIO</t>
        </is>
      </c>
      <c r="J588" s="21" t="n">
        <v>645439</v>
      </c>
      <c r="K588" s="21" t="n">
        <v>893931</v>
      </c>
      <c r="L588" s="21" t="n">
        <v>1539370</v>
      </c>
      <c r="M588" s="21" t="n">
        <v>1518</v>
      </c>
      <c r="N588" s="21" t="n">
        <v>27000</v>
      </c>
      <c r="O588" s="21" t="n">
        <v>27433</v>
      </c>
      <c r="P588" s="21" t="n">
        <v>1595321</v>
      </c>
      <c r="Q588" s="21" t="n">
        <v>1595321</v>
      </c>
      <c r="R588" s="21">
        <f>IF(Q588="","",Q588*(1+in_GrowthRate)^(YEARFRAC(DATE(2023,12,31),in_AgeToDate)*IF(in_AgeToDate&lt;DATE(2023,12,31),-1,1)+1))</f>
        <v/>
      </c>
      <c r="S588" s="38" t="n">
        <v>1.384996878093824</v>
      </c>
      <c r="T588" s="43">
        <f>HYPERLINK("https://projects.propublica.org/nonprofits/organizations/900424876/202403199349306100/full","view filing")</f>
        <v/>
      </c>
    </row>
    <row r="589">
      <c r="A589" t="inlineStr">
        <is>
          <t>Uaw Retiree Medical Benefits Tr</t>
        </is>
      </c>
      <c r="B589" s="20" t="inlineStr">
        <is>
          <t>MI</t>
        </is>
      </c>
      <c r="C589" s="42" t="n">
        <v>61.42</v>
      </c>
      <c r="D589" t="inlineStr">
        <is>
          <t>Pension</t>
        </is>
      </c>
      <c r="E589" s="20" t="n">
        <v>2022</v>
      </c>
      <c r="F589" s="20" t="inlineStr"/>
      <c r="G589" t="inlineStr">
        <is>
          <t>Hershel Harper</t>
        </is>
      </c>
      <c r="H589" t="inlineStr">
        <is>
          <t>CHIEF INVESTMENT OFFICER</t>
        </is>
      </c>
      <c r="I589" t="inlineStr">
        <is>
          <t>CIO</t>
        </is>
      </c>
      <c r="J589" s="21" t="n">
        <v>599867</v>
      </c>
      <c r="K589" s="21" t="n">
        <v>1005991</v>
      </c>
      <c r="L589" s="21" t="n">
        <v>1605858</v>
      </c>
      <c r="M589" s="21" t="n">
        <v>1518</v>
      </c>
      <c r="N589" s="21" t="n">
        <v>27000</v>
      </c>
      <c r="O589" s="21" t="n">
        <v>23788</v>
      </c>
      <c r="P589" s="21" t="n">
        <v>1658164</v>
      </c>
      <c r="Q589" s="21" t="n">
        <v>796896</v>
      </c>
      <c r="R589" s="21">
        <f>IF(Q589="","",Q589*(1+in_GrowthRate)^(YEARFRAC(DATE(2022,12,31),in_AgeToDate)*IF(in_AgeToDate&lt;DATE(2022,12,31),-1,1)+1))</f>
        <v/>
      </c>
      <c r="S589" s="38" t="n">
        <v>1.677023406855186</v>
      </c>
      <c r="T589" s="43">
        <f>HYPERLINK("https://projects.propublica.org/nonprofits/organizations/900424876/202303189349312525/full","view filing")</f>
        <v/>
      </c>
    </row>
    <row r="590">
      <c r="A590" t="inlineStr">
        <is>
          <t>Uc Berkeley Management Company</t>
        </is>
      </c>
      <c r="B590" s="20" t="inlineStr">
        <is>
          <t>CA</t>
        </is>
      </c>
      <c r="C590" s="42" t="n">
        <v>3.39</v>
      </c>
      <c r="D590" t="inlineStr">
        <is>
          <t>Endowment</t>
        </is>
      </c>
      <c r="E590" s="20" t="n">
        <v>2025</v>
      </c>
      <c r="F590" s="20">
        <f>IF(AND(OR(in_Mode="All Funds",AND(C590&gt;=in_BandFloor,C590&lt;=in_BandCeiling,OR(in_Geography="National",COUNTIFS(lst_GeoPreset,in_Geography,lst_GeoState,B590)&gt;0,AND(in_Geography="Custom",ISNUMBER(SEARCH(B590,SUBSTITUTE(in_CustomStates," ",""))))),OR(AND(D590="Endowment",Inputs!$B$14="Y"),AND(D590="Foundation",Inputs!$B$15="Y"),AND(D590="Healthcare",Inputs!$B$16="Y"),AND(D590="Pension",Inputs!$B$17="Y"),AND(D590="OCIO",Inputs!$B$18="Y"),AND(D590="Other",Inputs!$B$19="Y")))),A590&lt;&gt;in_ClientOrg,NOT(AND(in_ExclHarvard="Y",ISNUMBER(SEARCH("Harvard",A590))))),"Y","")</f>
        <v/>
      </c>
      <c r="G590" t="inlineStr">
        <is>
          <t>David Mcauliffe</t>
        </is>
      </c>
      <c r="H590" t="inlineStr">
        <is>
          <t>President &amp; Chief Investment Officer</t>
        </is>
      </c>
      <c r="I590" t="inlineStr">
        <is>
          <t>CIO</t>
        </is>
      </c>
      <c r="J590" s="21" t="n">
        <v>841597</v>
      </c>
      <c r="K590" s="21" t="n">
        <v>105625</v>
      </c>
      <c r="L590" s="21" t="n">
        <v>947222</v>
      </c>
      <c r="M590" s="21" t="n"/>
      <c r="N590" s="21" t="n">
        <v>44850</v>
      </c>
      <c r="O590" s="21" t="n">
        <v>49843</v>
      </c>
      <c r="P590" s="21" t="n">
        <v>1041915</v>
      </c>
      <c r="Q590" s="21" t="n">
        <v>1041915</v>
      </c>
      <c r="R590" s="21">
        <f>IF(Q590="","",Q590*(1+in_GrowthRate)^(YEARFRAC(DATE(2025,6,30),in_AgeToDate)*IF(in_AgeToDate&lt;DATE(2025,6,30),-1,1)+1))</f>
        <v/>
      </c>
      <c r="S590" s="38" t="n">
        <v>0.1255054378758479</v>
      </c>
      <c r="T590" s="43">
        <f>HYPERLINK("https://projects.propublica.org/nonprofits/organizations/270652636/202601359349316565/full","view filing")</f>
        <v/>
      </c>
    </row>
    <row r="591">
      <c r="A591" t="inlineStr">
        <is>
          <t>Uc Berkeley Management Company</t>
        </is>
      </c>
      <c r="B591" s="20" t="inlineStr">
        <is>
          <t>CA</t>
        </is>
      </c>
      <c r="C591" s="42" t="n">
        <v>3.39</v>
      </c>
      <c r="D591" t="inlineStr">
        <is>
          <t>Endowment</t>
        </is>
      </c>
      <c r="E591" s="20" t="n">
        <v>2024</v>
      </c>
      <c r="F591" s="20" t="inlineStr"/>
      <c r="G591" t="inlineStr">
        <is>
          <t>David Mcauliffe</t>
        </is>
      </c>
      <c r="H591" t="inlineStr">
        <is>
          <t>PRESIDENT &amp; CHIEF INVESTMENT OFFICER</t>
        </is>
      </c>
      <c r="I591" t="inlineStr">
        <is>
          <t>CIO</t>
        </is>
      </c>
      <c r="J591" s="21" t="n">
        <v>815158</v>
      </c>
      <c r="K591" s="21" t="n">
        <v>407344</v>
      </c>
      <c r="L591" s="21" t="n">
        <v>1222502</v>
      </c>
      <c r="M591" s="21" t="n">
        <v>180</v>
      </c>
      <c r="N591" s="21" t="n">
        <v>42900</v>
      </c>
      <c r="O591" s="21" t="n">
        <v>54911</v>
      </c>
      <c r="P591" s="21" t="n">
        <v>1320493</v>
      </c>
      <c r="Q591" s="21" t="n">
        <v>1320493</v>
      </c>
      <c r="R591" s="21">
        <f>IF(Q591="","",Q591*(1+in_GrowthRate)^(YEARFRAC(DATE(2024,6,30),in_AgeToDate)*IF(in_AgeToDate&lt;DATE(2024,6,30),-1,1)+1))</f>
        <v/>
      </c>
      <c r="S591" s="38" t="n">
        <v>0.4997117123306157</v>
      </c>
      <c r="T591" s="43">
        <f>HYPERLINK("https://projects.propublica.org/nonprofits/organizations/270652636/202511229349302776/full","view filing")</f>
        <v/>
      </c>
    </row>
    <row r="592">
      <c r="A592" t="inlineStr">
        <is>
          <t>Uc Berkeley Management Company</t>
        </is>
      </c>
      <c r="B592" s="20" t="inlineStr">
        <is>
          <t>CA</t>
        </is>
      </c>
      <c r="C592" s="42" t="n">
        <v>3.39</v>
      </c>
      <c r="D592" t="inlineStr">
        <is>
          <t>Endowment</t>
        </is>
      </c>
      <c r="E592" s="20" t="n">
        <v>2023</v>
      </c>
      <c r="F592" s="20" t="inlineStr"/>
      <c r="G592" t="inlineStr">
        <is>
          <t>David Mcauliffe</t>
        </is>
      </c>
      <c r="H592" t="inlineStr">
        <is>
          <t>PRESIDENT AND CIO</t>
        </is>
      </c>
      <c r="I592" t="inlineStr">
        <is>
          <t>CIO</t>
        </is>
      </c>
      <c r="J592" s="21" t="n">
        <v>778724</v>
      </c>
      <c r="K592" s="21" t="n">
        <v>530000</v>
      </c>
      <c r="L592" s="21" t="n">
        <v>1308724</v>
      </c>
      <c r="M592" s="21" t="n">
        <v>5820</v>
      </c>
      <c r="N592" s="21" t="n">
        <v>39650</v>
      </c>
      <c r="O592" s="21" t="n">
        <v>55431</v>
      </c>
      <c r="P592" s="21" t="n">
        <v>1409625</v>
      </c>
      <c r="Q592" s="21" t="n">
        <v>1409625</v>
      </c>
      <c r="R592" s="21">
        <f>IF(Q592="","",Q592*(1+in_GrowthRate)^(YEARFRAC(DATE(2023,6,30),in_AgeToDate)*IF(in_AgeToDate&lt;DATE(2023,6,30),-1,1)+1))</f>
        <v/>
      </c>
      <c r="S592" s="38" t="n">
        <v>0.6806005722181415</v>
      </c>
      <c r="T592" s="43">
        <f>HYPERLINK("https://projects.propublica.org/nonprofits/organizations/270652636/202401349349302270/full","view filing")</f>
        <v/>
      </c>
    </row>
    <row r="593">
      <c r="A593" t="inlineStr">
        <is>
          <t>Uc Berkeley Management Company</t>
        </is>
      </c>
      <c r="B593" s="20" t="inlineStr">
        <is>
          <t>CA</t>
        </is>
      </c>
      <c r="C593" s="42" t="n">
        <v>3.39</v>
      </c>
      <c r="D593" t="inlineStr">
        <is>
          <t>Endowment</t>
        </is>
      </c>
      <c r="E593" s="20" t="n">
        <v>2022</v>
      </c>
      <c r="F593" s="20" t="inlineStr"/>
      <c r="G593" t="inlineStr">
        <is>
          <t>David Mcauliffe</t>
        </is>
      </c>
      <c r="H593" t="inlineStr">
        <is>
          <t>PRESIDENT AND CIO</t>
        </is>
      </c>
      <c r="I593" t="inlineStr">
        <is>
          <t>CIO</t>
        </is>
      </c>
      <c r="J593" s="21" t="n">
        <v>738911</v>
      </c>
      <c r="K593" s="21" t="n">
        <v>1125000</v>
      </c>
      <c r="L593" s="21" t="n">
        <v>1863911</v>
      </c>
      <c r="M593" s="21" t="n">
        <v>4940</v>
      </c>
      <c r="N593" s="21" t="n">
        <v>37700</v>
      </c>
      <c r="O593" s="21" t="n">
        <v>47979</v>
      </c>
      <c r="P593" s="21" t="n">
        <v>1954530</v>
      </c>
      <c r="Q593" s="21" t="n">
        <v>1954530</v>
      </c>
      <c r="R593" s="21">
        <f>IF(Q593="","",Q593*(1+in_GrowthRate)^(YEARFRAC(DATE(2022,6,30),in_AgeToDate)*IF(in_AgeToDate&lt;DATE(2022,6,30),-1,1)+1))</f>
        <v/>
      </c>
      <c r="S593" s="38" t="n">
        <v>1.522510830127038</v>
      </c>
      <c r="T593" s="43">
        <f>HYPERLINK("https://projects.propublica.org/nonprofits/organizations/270652636/202321319349305012/full","view filing")</f>
        <v/>
      </c>
    </row>
    <row r="594">
      <c r="A594" t="inlineStr">
        <is>
          <t>Ucsf Foundation Investment Company</t>
        </is>
      </c>
      <c r="B594" s="20" t="inlineStr">
        <is>
          <t>CA</t>
        </is>
      </c>
      <c r="C594" s="42" t="n">
        <v>2.95</v>
      </c>
      <c r="D594" t="inlineStr">
        <is>
          <t>Endowment</t>
        </is>
      </c>
      <c r="E594" s="20" t="n">
        <v>2025</v>
      </c>
      <c r="F594" s="20">
        <f>IF(AND(OR(in_Mode="All Funds",AND(C594&gt;=in_BandFloor,C594&lt;=in_BandCeiling,OR(in_Geography="National",COUNTIFS(lst_GeoPreset,in_Geography,lst_GeoState,B594)&gt;0,AND(in_Geography="Custom",ISNUMBER(SEARCH(B594,SUBSTITUTE(in_CustomStates," ",""))))),OR(AND(D594="Endowment",Inputs!$B$14="Y"),AND(D594="Foundation",Inputs!$B$15="Y"),AND(D594="Healthcare",Inputs!$B$16="Y"),AND(D594="Pension",Inputs!$B$17="Y"),AND(D594="OCIO",Inputs!$B$18="Y"),AND(D594="Other",Inputs!$B$19="Y")))),A594&lt;&gt;in_ClientOrg,NOT(AND(in_ExclHarvard="Y",ISNUMBER(SEARCH("Harvard",A594))))),"Y","")</f>
        <v/>
      </c>
      <c r="G594" t="inlineStr">
        <is>
          <t>David Harkins</t>
        </is>
      </c>
      <c r="H594" t="inlineStr">
        <is>
          <t>PRESIDENT &amp; CIO</t>
        </is>
      </c>
      <c r="I594" t="inlineStr">
        <is>
          <t>CIO</t>
        </is>
      </c>
      <c r="J594" s="21" t="n">
        <v>714671</v>
      </c>
      <c r="K594" s="21" t="n">
        <v>571000</v>
      </c>
      <c r="L594" s="21" t="n">
        <v>1285671</v>
      </c>
      <c r="M594" s="21" t="n">
        <v>8052</v>
      </c>
      <c r="N594" s="21" t="n">
        <v>69000</v>
      </c>
      <c r="O594" s="21" t="n">
        <v>46554</v>
      </c>
      <c r="P594" s="21" t="n">
        <v>1409277</v>
      </c>
      <c r="Q594" s="21" t="n">
        <v>1409277</v>
      </c>
      <c r="R594" s="21">
        <f>IF(Q594="","",Q594*(1+in_GrowthRate)^(YEARFRAC(DATE(2025,6,30),in_AgeToDate)*IF(in_AgeToDate&lt;DATE(2025,6,30),-1,1)+1))</f>
        <v/>
      </c>
      <c r="S594" s="38" t="n">
        <v>0.7989690361019266</v>
      </c>
      <c r="T594" s="43">
        <f>HYPERLINK("https://projects.propublica.org/nonprofits/organizations/473599471/202631259349303618/full","view filing")</f>
        <v/>
      </c>
    </row>
    <row r="595">
      <c r="A595" t="inlineStr">
        <is>
          <t>Ucsf Foundation Investment Company</t>
        </is>
      </c>
      <c r="B595" s="20" t="inlineStr">
        <is>
          <t>CA</t>
        </is>
      </c>
      <c r="C595" s="42" t="n">
        <v>2.95</v>
      </c>
      <c r="D595" t="inlineStr">
        <is>
          <t>Endowment</t>
        </is>
      </c>
      <c r="E595" s="20" t="n">
        <v>2024</v>
      </c>
      <c r="F595" s="20" t="inlineStr"/>
      <c r="G595" t="inlineStr">
        <is>
          <t>David Harkins</t>
        </is>
      </c>
      <c r="H595" t="inlineStr">
        <is>
          <t>PRESIDENT &amp; CIO</t>
        </is>
      </c>
      <c r="I595" t="inlineStr">
        <is>
          <t>CIO</t>
        </is>
      </c>
      <c r="J595" s="21" t="n">
        <v>652732</v>
      </c>
      <c r="K595" s="21" t="n">
        <v>479000</v>
      </c>
      <c r="L595" s="21" t="n">
        <v>1131732</v>
      </c>
      <c r="M595" s="21" t="n">
        <v>8052</v>
      </c>
      <c r="N595" s="21" t="n">
        <v>66000</v>
      </c>
      <c r="O595" s="21" t="n">
        <v>43050</v>
      </c>
      <c r="P595" s="21" t="n">
        <v>1248834</v>
      </c>
      <c r="Q595" s="21" t="n">
        <v>1248834</v>
      </c>
      <c r="R595" s="21">
        <f>IF(Q595="","",Q595*(1+in_GrowthRate)^(YEARFRAC(DATE(2024,6,30),in_AgeToDate)*IF(in_AgeToDate&lt;DATE(2024,6,30),-1,1)+1))</f>
        <v/>
      </c>
      <c r="S595" s="38" t="n">
        <v>0.7338386964328392</v>
      </c>
      <c r="T595" s="43">
        <f>HYPERLINK("https://projects.propublica.org/nonprofits/organizations/473599471/202531329349306253/full","view filing")</f>
        <v/>
      </c>
    </row>
    <row r="596">
      <c r="A596" t="inlineStr">
        <is>
          <t>Ucsf Foundation Investment Company</t>
        </is>
      </c>
      <c r="B596" s="20" t="inlineStr">
        <is>
          <t>CA</t>
        </is>
      </c>
      <c r="C596" s="42" t="n">
        <v>2.95</v>
      </c>
      <c r="D596" t="inlineStr">
        <is>
          <t>Endowment</t>
        </is>
      </c>
      <c r="E596" s="20" t="n">
        <v>2023</v>
      </c>
      <c r="F596" s="20" t="inlineStr"/>
      <c r="G596" t="inlineStr">
        <is>
          <t>David Harkins</t>
        </is>
      </c>
      <c r="H596" t="inlineStr">
        <is>
          <t>PRESIDENT &amp; CIO</t>
        </is>
      </c>
      <c r="I596" t="inlineStr">
        <is>
          <t>CIO</t>
        </is>
      </c>
      <c r="J596" s="21" t="n">
        <v>553692</v>
      </c>
      <c r="K596" s="21" t="n">
        <v>400500</v>
      </c>
      <c r="L596" s="21" t="n">
        <v>954192</v>
      </c>
      <c r="M596" s="21" t="n">
        <v>4572</v>
      </c>
      <c r="N596" s="21" t="n">
        <v>61000</v>
      </c>
      <c r="O596" s="21" t="n">
        <v>39891</v>
      </c>
      <c r="P596" s="21" t="n">
        <v>1059655</v>
      </c>
      <c r="Q596" s="21" t="n">
        <v>1059655</v>
      </c>
      <c r="R596" s="21">
        <f>IF(Q596="","",Q596*(1+in_GrowthRate)^(YEARFRAC(DATE(2023,6,30),in_AgeToDate)*IF(in_AgeToDate&lt;DATE(2023,6,30),-1,1)+1))</f>
        <v/>
      </c>
      <c r="S596" s="38" t="n">
        <v>0.7233263258273552</v>
      </c>
      <c r="T596" s="43">
        <f>HYPERLINK("https://projects.propublica.org/nonprofits/organizations/473599471/202411359349313316/full","view filing")</f>
        <v/>
      </c>
    </row>
    <row r="597">
      <c r="A597" t="inlineStr">
        <is>
          <t>Ucsf Foundation Investment Company</t>
        </is>
      </c>
      <c r="B597" s="20" t="inlineStr">
        <is>
          <t>CA</t>
        </is>
      </c>
      <c r="C597" s="42" t="n">
        <v>2.95</v>
      </c>
      <c r="D597" t="inlineStr">
        <is>
          <t>Endowment</t>
        </is>
      </c>
      <c r="E597" s="20" t="n">
        <v>2022</v>
      </c>
      <c r="F597" s="20" t="inlineStr"/>
      <c r="G597" t="inlineStr">
        <is>
          <t>David Harkins</t>
        </is>
      </c>
      <c r="H597" t="inlineStr">
        <is>
          <t>PRESIDENT &amp; CIO</t>
        </is>
      </c>
      <c r="I597" t="inlineStr">
        <is>
          <t>CIO</t>
        </is>
      </c>
      <c r="J597" s="21" t="n">
        <v>467947</v>
      </c>
      <c r="K597" s="21" t="n">
        <v>495000</v>
      </c>
      <c r="L597" s="21" t="n">
        <v>962947</v>
      </c>
      <c r="M597" s="21" t="n">
        <v>4772</v>
      </c>
      <c r="N597" s="21" t="n">
        <v>58000</v>
      </c>
      <c r="O597" s="21" t="n">
        <v>36396</v>
      </c>
      <c r="P597" s="21" t="n">
        <v>1062115</v>
      </c>
      <c r="Q597" s="21" t="n">
        <v>1062115</v>
      </c>
      <c r="R597" s="21">
        <f>IF(Q597="","",Q597*(1+in_GrowthRate)^(YEARFRAC(DATE(2022,6,30),in_AgeToDate)*IF(in_AgeToDate&lt;DATE(2022,6,30),-1,1)+1))</f>
        <v/>
      </c>
      <c r="S597" s="38" t="n">
        <v>1.057812102652651</v>
      </c>
      <c r="T597" s="43">
        <f>HYPERLINK("https://projects.propublica.org/nonprofits/organizations/473599471/202331249349301898/full","view filing")</f>
        <v/>
      </c>
    </row>
    <row r="598">
      <c r="A598" t="inlineStr">
        <is>
          <t>Unc Management Company Inc</t>
        </is>
      </c>
      <c r="B598" s="20" t="inlineStr">
        <is>
          <t>NC</t>
        </is>
      </c>
      <c r="C598" s="42" t="n">
        <v>6.22</v>
      </c>
      <c r="D598" t="inlineStr">
        <is>
          <t>Endowment</t>
        </is>
      </c>
      <c r="E598" s="20" t="n">
        <v>2025</v>
      </c>
      <c r="F598" s="20">
        <f>IF(AND(OR(in_Mode="All Funds",AND(C598&gt;=in_BandFloor,C598&lt;=in_BandCeiling,OR(in_Geography="National",COUNTIFS(lst_GeoPreset,in_Geography,lst_GeoState,B598)&gt;0,AND(in_Geography="Custom",ISNUMBER(SEARCH(B598,SUBSTITUTE(in_CustomStates," ",""))))),OR(AND(D598="Endowment",Inputs!$B$14="Y"),AND(D598="Foundation",Inputs!$B$15="Y"),AND(D598="Healthcare",Inputs!$B$16="Y"),AND(D598="Pension",Inputs!$B$17="Y"),AND(D598="OCIO",Inputs!$B$18="Y"),AND(D598="Other",Inputs!$B$19="Y")))),A598&lt;&gt;in_ClientOrg,NOT(AND(in_ExclHarvard="Y",ISNUMBER(SEARCH("Harvard",A598))))),"Y","")</f>
        <v/>
      </c>
      <c r="G598" t="inlineStr">
        <is>
          <t>Jonathon C King</t>
        </is>
      </c>
      <c r="H598" t="inlineStr">
        <is>
          <t>PRESIDENT</t>
        </is>
      </c>
      <c r="I598" t="inlineStr">
        <is>
          <t>CEO (Inv Entity)</t>
        </is>
      </c>
      <c r="J598" s="21" t="n">
        <v>934588</v>
      </c>
      <c r="K598" s="21" t="n">
        <v>4180802</v>
      </c>
      <c r="L598" s="21" t="n">
        <v>5115390</v>
      </c>
      <c r="M598" s="21" t="n">
        <v>11241</v>
      </c>
      <c r="N598" s="21" t="n">
        <v>55200</v>
      </c>
      <c r="O598" s="21" t="n">
        <v>32942</v>
      </c>
      <c r="P598" s="21" t="n">
        <v>5214773</v>
      </c>
      <c r="Q598" s="21" t="n">
        <v>4292950</v>
      </c>
      <c r="R598" s="21">
        <f>IF(Q598="","",Q598*(1+in_GrowthRate)^(YEARFRAC(DATE(2025,6,30),in_AgeToDate)*IF(in_AgeToDate&lt;DATE(2025,6,30),-1,1)+1))</f>
        <v/>
      </c>
      <c r="S598" s="38" t="n">
        <v>4.473417163498782</v>
      </c>
      <c r="T598" s="43">
        <f>HYPERLINK("https://projects.propublica.org/nonprofits/organizations/364516257/202611329349304711/full","view filing")</f>
        <v/>
      </c>
    </row>
    <row r="599">
      <c r="A599" t="inlineStr">
        <is>
          <t>Unc Management Company Inc</t>
        </is>
      </c>
      <c r="B599" s="20" t="inlineStr">
        <is>
          <t>NC</t>
        </is>
      </c>
      <c r="C599" s="42" t="n">
        <v>6.22</v>
      </c>
      <c r="D599" t="inlineStr">
        <is>
          <t>Endowment</t>
        </is>
      </c>
      <c r="E599" s="20" t="n">
        <v>2024</v>
      </c>
      <c r="F599" s="20" t="inlineStr"/>
      <c r="G599" t="inlineStr">
        <is>
          <t>Jonathon C King</t>
        </is>
      </c>
      <c r="H599" t="inlineStr">
        <is>
          <t>PRESIDENT</t>
        </is>
      </c>
      <c r="I599" t="inlineStr">
        <is>
          <t>CEO (Inv Entity)</t>
        </is>
      </c>
      <c r="J599" s="21" t="n">
        <v>851732</v>
      </c>
      <c r="K599" s="21" t="n">
        <v>1824710</v>
      </c>
      <c r="L599" s="21" t="n">
        <v>2676442</v>
      </c>
      <c r="M599" s="21" t="n">
        <v>9906</v>
      </c>
      <c r="N599" s="21" t="n">
        <v>1001993</v>
      </c>
      <c r="O599" s="21" t="n">
        <v>30971</v>
      </c>
      <c r="P599" s="21" t="n">
        <v>3719312</v>
      </c>
      <c r="Q599" s="21" t="n">
        <v>2842207</v>
      </c>
      <c r="R599" s="21">
        <f>IF(Q599="","",Q599*(1+in_GrowthRate)^(YEARFRAC(DATE(2024,6,30),in_AgeToDate)*IF(in_AgeToDate&lt;DATE(2024,6,30),-1,1)+1))</f>
        <v/>
      </c>
      <c r="S599" s="38" t="n">
        <v>2.142352289217735</v>
      </c>
      <c r="T599" s="43">
        <f>HYPERLINK("https://projects.propublica.org/nonprofits/organizations/364516257/202531199349301443/full","view filing")</f>
        <v/>
      </c>
    </row>
    <row r="600">
      <c r="A600" t="inlineStr">
        <is>
          <t>Unc Management Company Inc</t>
        </is>
      </c>
      <c r="B600" s="20" t="inlineStr">
        <is>
          <t>NC</t>
        </is>
      </c>
      <c r="C600" s="42" t="n">
        <v>6.22</v>
      </c>
      <c r="D600" t="inlineStr">
        <is>
          <t>Endowment</t>
        </is>
      </c>
      <c r="E600" s="20" t="n">
        <v>2023</v>
      </c>
      <c r="F600" s="20" t="inlineStr"/>
      <c r="G600" t="inlineStr">
        <is>
          <t>Jonathon C King</t>
        </is>
      </c>
      <c r="H600" t="inlineStr">
        <is>
          <t>PRESIDENT</t>
        </is>
      </c>
      <c r="I600" t="inlineStr">
        <is>
          <t>CEO (Inv Entity)</t>
        </is>
      </c>
      <c r="J600" s="21" t="n">
        <v>787696</v>
      </c>
      <c r="K600" s="21" t="n">
        <v>1784309</v>
      </c>
      <c r="L600" s="21" t="n">
        <v>2572005</v>
      </c>
      <c r="M600" s="21" t="n">
        <v>9906</v>
      </c>
      <c r="N600" s="21" t="n">
        <v>962876</v>
      </c>
      <c r="O600" s="21" t="n">
        <v>29643</v>
      </c>
      <c r="P600" s="21" t="n">
        <v>3574430</v>
      </c>
      <c r="Q600" s="21" t="n">
        <v>2723422</v>
      </c>
      <c r="R600" s="21">
        <f>IF(Q600="","",Q600*(1+in_GrowthRate)^(YEARFRAC(DATE(2023,6,30),in_AgeToDate)*IF(in_AgeToDate&lt;DATE(2023,6,30),-1,1)+1))</f>
        <v/>
      </c>
      <c r="S600" s="38" t="n">
        <v>2.265225416912108</v>
      </c>
      <c r="T600" s="43">
        <f>HYPERLINK("https://projects.propublica.org/nonprofits/organizations/364516257/202431319349304158/full","view filing")</f>
        <v/>
      </c>
    </row>
    <row r="601">
      <c r="A601" t="inlineStr">
        <is>
          <t>Unc Management Company Inc</t>
        </is>
      </c>
      <c r="B601" s="20" t="inlineStr">
        <is>
          <t>NC</t>
        </is>
      </c>
      <c r="C601" s="42" t="n">
        <v>6.22</v>
      </c>
      <c r="D601" t="inlineStr">
        <is>
          <t>Endowment</t>
        </is>
      </c>
      <c r="E601" s="20" t="n">
        <v>2022</v>
      </c>
      <c r="F601" s="20" t="inlineStr"/>
      <c r="G601" t="inlineStr">
        <is>
          <t>Jonathon C King</t>
        </is>
      </c>
      <c r="H601" t="inlineStr">
        <is>
          <t>PRESIDENT</t>
        </is>
      </c>
      <c r="I601" t="inlineStr">
        <is>
          <t>CEO (Inv Entity)</t>
        </is>
      </c>
      <c r="J601" s="21" t="n">
        <v>744917</v>
      </c>
      <c r="K601" s="21" t="n">
        <v>1813484</v>
      </c>
      <c r="L601" s="21" t="n">
        <v>2558401</v>
      </c>
      <c r="M601" s="21" t="n">
        <v>9906</v>
      </c>
      <c r="N601" s="21" t="n">
        <v>999232</v>
      </c>
      <c r="O601" s="21" t="n">
        <v>28585</v>
      </c>
      <c r="P601" s="21" t="n">
        <v>3596124</v>
      </c>
      <c r="Q601" s="21" t="n">
        <v>2899242</v>
      </c>
      <c r="R601" s="21">
        <f>IF(Q601="","",Q601*(1+in_GrowthRate)^(YEARFRAC(DATE(2022,6,30),in_AgeToDate)*IF(in_AgeToDate&lt;DATE(2022,6,30),-1,1)+1))</f>
        <v/>
      </c>
      <c r="S601" s="38" t="n">
        <v>2.434477935125658</v>
      </c>
      <c r="T601" s="43">
        <f>HYPERLINK("https://projects.propublica.org/nonprofits/organizations/364516257/202320669349301047/full","view filing")</f>
        <v/>
      </c>
    </row>
    <row r="602">
      <c r="A602" t="inlineStr">
        <is>
          <t>United Jewish Appeal Federation Of Jewish Philanthropies Of Ny Inc</t>
        </is>
      </c>
      <c r="B602" s="20" t="inlineStr">
        <is>
          <t>NY</t>
        </is>
      </c>
      <c r="C602" s="42" t="n">
        <v>1.54</v>
      </c>
      <c r="D602" t="inlineStr">
        <is>
          <t>Foundation</t>
        </is>
      </c>
      <c r="E602" s="20" t="n">
        <v>2025</v>
      </c>
      <c r="F602" s="20">
        <f>IF(AND(OR(in_Mode="All Funds",AND(C602&gt;=in_BandFloor,C602&lt;=in_BandCeiling,OR(in_Geography="National",COUNTIFS(lst_GeoPreset,in_Geography,lst_GeoState,B602)&gt;0,AND(in_Geography="Custom",ISNUMBER(SEARCH(B602,SUBSTITUTE(in_CustomStates," ",""))))),OR(AND(D602="Endowment",Inputs!$B$14="Y"),AND(D602="Foundation",Inputs!$B$15="Y"),AND(D602="Healthcare",Inputs!$B$16="Y"),AND(D602="Pension",Inputs!$B$17="Y"),AND(D602="OCIO",Inputs!$B$18="Y"),AND(D602="Other",Inputs!$B$19="Y")))),A602&lt;&gt;in_ClientOrg,NOT(AND(in_ExclHarvard="Y",ISNUMBER(SEARCH("Harvard",A602))))),"Y","")</f>
        <v/>
      </c>
      <c r="G602" t="inlineStr">
        <is>
          <t>Devana Cohen</t>
        </is>
      </c>
      <c r="H602" t="inlineStr">
        <is>
          <t>CHIEF INVESTMENT OFFICER</t>
        </is>
      </c>
      <c r="I602" t="inlineStr">
        <is>
          <t>CIO</t>
        </is>
      </c>
      <c r="J602" s="21" t="n">
        <v>670583</v>
      </c>
      <c r="K602" s="21" t="n">
        <v>320185</v>
      </c>
      <c r="L602" s="21" t="n">
        <v>990768</v>
      </c>
      <c r="M602" s="21" t="n">
        <v>2150</v>
      </c>
      <c r="N602" s="21" t="n">
        <v>10350</v>
      </c>
      <c r="O602" s="21" t="n">
        <v>28124</v>
      </c>
      <c r="P602" s="21" t="n">
        <v>1031392</v>
      </c>
      <c r="Q602" s="21" t="n">
        <v>1031392</v>
      </c>
      <c r="R602" s="21">
        <f>IF(Q602="","",Q602*(1+in_GrowthRate)^(YEARFRAC(DATE(2025,6,30),in_AgeToDate)*IF(in_AgeToDate&lt;DATE(2025,6,30),-1,1)+1))</f>
        <v/>
      </c>
      <c r="S602" s="38" t="n">
        <v>0.4774725872859885</v>
      </c>
      <c r="T602" s="43">
        <f>HYPERLINK("https://projects.propublica.org/nonprofits/organizations/510172429/202611349349307791/full","view filing")</f>
        <v/>
      </c>
    </row>
    <row r="603">
      <c r="A603" t="inlineStr">
        <is>
          <t>United Jewish Appeal Federation Of Jewish Philanthropies Of Ny Inc</t>
        </is>
      </c>
      <c r="B603" s="20" t="inlineStr">
        <is>
          <t>NY</t>
        </is>
      </c>
      <c r="C603" s="42" t="n">
        <v>1.54</v>
      </c>
      <c r="D603" t="inlineStr">
        <is>
          <t>Foundation</t>
        </is>
      </c>
      <c r="E603" s="20" t="n">
        <v>2024</v>
      </c>
      <c r="F603" s="20" t="inlineStr"/>
      <c r="G603" t="inlineStr">
        <is>
          <t>Devana Cohen</t>
        </is>
      </c>
      <c r="H603" t="inlineStr">
        <is>
          <t>CHIEF INVESTMENT OFFICER</t>
        </is>
      </c>
      <c r="I603" t="inlineStr">
        <is>
          <t>CIO</t>
        </is>
      </c>
      <c r="J603" s="21" t="n">
        <v>620579</v>
      </c>
      <c r="K603" s="21" t="n">
        <v>456313</v>
      </c>
      <c r="L603" s="21" t="n">
        <v>1076892</v>
      </c>
      <c r="M603" s="21" t="n">
        <v>2070</v>
      </c>
      <c r="N603" s="21" t="n">
        <v>9900</v>
      </c>
      <c r="O603" s="21" t="n">
        <v>24880</v>
      </c>
      <c r="P603" s="21" t="n">
        <v>1113742</v>
      </c>
      <c r="Q603" s="21" t="n">
        <v>1113742</v>
      </c>
      <c r="R603" s="21">
        <f>IF(Q603="","",Q603*(1+in_GrowthRate)^(YEARFRAC(DATE(2024,6,30),in_AgeToDate)*IF(in_AgeToDate&lt;DATE(2024,6,30),-1,1)+1))</f>
        <v/>
      </c>
      <c r="S603" s="38" t="n">
        <v>0.7353020324567863</v>
      </c>
      <c r="T603" s="43">
        <f>HYPERLINK("https://projects.propublica.org/nonprofits/organizations/510172429/202511349349303781/full","view filing")</f>
        <v/>
      </c>
    </row>
    <row r="604">
      <c r="A604" t="inlineStr">
        <is>
          <t>United Jewish Appeal Federation Of Jewish Philanthropies Of Ny Inc</t>
        </is>
      </c>
      <c r="B604" s="20" t="inlineStr">
        <is>
          <t>NY</t>
        </is>
      </c>
      <c r="C604" s="42" t="n">
        <v>1.54</v>
      </c>
      <c r="D604" t="inlineStr">
        <is>
          <t>Foundation</t>
        </is>
      </c>
      <c r="E604" s="20" t="n">
        <v>2023</v>
      </c>
      <c r="F604" s="20" t="inlineStr"/>
      <c r="G604" t="inlineStr">
        <is>
          <t>Devana Cohen</t>
        </is>
      </c>
      <c r="H604" t="inlineStr">
        <is>
          <t>CHIEF INVESTMENT OFFICER</t>
        </is>
      </c>
      <c r="I604" t="inlineStr">
        <is>
          <t>CIO</t>
        </is>
      </c>
      <c r="J604" s="21" t="n">
        <v>583634</v>
      </c>
      <c r="K604" s="21" t="n">
        <v>274844</v>
      </c>
      <c r="L604" s="21" t="n">
        <v>858478</v>
      </c>
      <c r="M604" s="21" t="n">
        <v>2034</v>
      </c>
      <c r="N604" s="21" t="n">
        <v>9150</v>
      </c>
      <c r="O604" s="21" t="n">
        <v>24563</v>
      </c>
      <c r="P604" s="21" t="n">
        <v>894225</v>
      </c>
      <c r="Q604" s="21" t="n">
        <v>894225</v>
      </c>
      <c r="R604" s="21">
        <f>IF(Q604="","",Q604*(1+in_GrowthRate)^(YEARFRAC(DATE(2023,6,30),in_AgeToDate)*IF(in_AgeToDate&lt;DATE(2023,6,30),-1,1)+1))</f>
        <v/>
      </c>
      <c r="S604" s="38" t="n">
        <v>0.4709184180496681</v>
      </c>
      <c r="T604" s="43">
        <f>HYPERLINK("https://projects.propublica.org/nonprofits/organizations/510172429/202411359349312096/full","view filing")</f>
        <v/>
      </c>
    </row>
    <row r="605">
      <c r="A605" t="inlineStr">
        <is>
          <t>United Jewish Appeal Federation Of Jewish Philanthropies Of Ny Inc</t>
        </is>
      </c>
      <c r="B605" s="20" t="inlineStr">
        <is>
          <t>NY</t>
        </is>
      </c>
      <c r="C605" s="42" t="n">
        <v>1.54</v>
      </c>
      <c r="D605" t="inlineStr">
        <is>
          <t>Foundation</t>
        </is>
      </c>
      <c r="E605" s="20" t="n">
        <v>2022</v>
      </c>
      <c r="F605" s="20" t="inlineStr"/>
      <c r="G605" t="inlineStr">
        <is>
          <t>Devana Cohen</t>
        </is>
      </c>
      <c r="H605" t="inlineStr">
        <is>
          <t>CHIEF INVESTMENT OFFICER</t>
        </is>
      </c>
      <c r="I605" t="inlineStr">
        <is>
          <t>CIO</t>
        </is>
      </c>
      <c r="J605" s="21" t="n">
        <v>492067</v>
      </c>
      <c r="K605" s="21" t="n">
        <v>357930</v>
      </c>
      <c r="L605" s="21" t="n">
        <v>849997</v>
      </c>
      <c r="M605" s="21" t="n">
        <v>1700</v>
      </c>
      <c r="N605" s="21" t="n">
        <v>8700</v>
      </c>
      <c r="O605" s="21" t="n">
        <v>22399</v>
      </c>
      <c r="P605" s="21" t="n">
        <v>882796</v>
      </c>
      <c r="Q605" s="21" t="n">
        <v>882796</v>
      </c>
      <c r="R605" s="21">
        <f>IF(Q605="","",Q605*(1+in_GrowthRate)^(YEARFRAC(DATE(2022,6,30),in_AgeToDate)*IF(in_AgeToDate&lt;DATE(2022,6,30),-1,1)+1))</f>
        <v/>
      </c>
      <c r="S605" s="38" t="n">
        <v>0.7274009433674683</v>
      </c>
      <c r="T605" s="43">
        <f>HYPERLINK("https://projects.propublica.org/nonprofits/organizations/510172429/202321359349306162/full","view filing")</f>
        <v/>
      </c>
    </row>
    <row r="606">
      <c r="A606" t="inlineStr">
        <is>
          <t>University Of Chicago</t>
        </is>
      </c>
      <c r="B606" s="20" t="inlineStr">
        <is>
          <t>IL</t>
        </is>
      </c>
      <c r="C606" s="42" t="n">
        <v>10.62</v>
      </c>
      <c r="D606" t="inlineStr">
        <is>
          <t>Endowment</t>
        </is>
      </c>
      <c r="E606" s="20" t="n">
        <v>2025</v>
      </c>
      <c r="F606" s="20">
        <f>IF(AND(OR(in_Mode="All Funds",AND(C606&gt;=in_BandFloor,C606&lt;=in_BandCeiling,OR(in_Geography="National",COUNTIFS(lst_GeoPreset,in_Geography,lst_GeoState,B606)&gt;0,AND(in_Geography="Custom",ISNUMBER(SEARCH(B606,SUBSTITUTE(in_CustomStates," ",""))))),OR(AND(D606="Endowment",Inputs!$B$14="Y"),AND(D606="Foundation",Inputs!$B$15="Y"),AND(D606="Healthcare",Inputs!$B$16="Y"),AND(D606="Pension",Inputs!$B$17="Y"),AND(D606="OCIO",Inputs!$B$18="Y"),AND(D606="Other",Inputs!$B$19="Y")))),A606&lt;&gt;in_ClientOrg,NOT(AND(in_ExclHarvard="Y",ISNUMBER(SEARCH("Harvard",A606))))),"Y","")</f>
        <v/>
      </c>
      <c r="G606" t="inlineStr">
        <is>
          <t>Andrew Ward</t>
        </is>
      </c>
      <c r="H606" t="inlineStr">
        <is>
          <t>VP AND CHIEF INVEST. OFFICER</t>
        </is>
      </c>
      <c r="I606" t="inlineStr">
        <is>
          <t>CIO</t>
        </is>
      </c>
      <c r="J606" s="21" t="n">
        <v>704000</v>
      </c>
      <c r="K606" s="21" t="n">
        <v>1929021</v>
      </c>
      <c r="L606" s="21" t="n">
        <v>2633021</v>
      </c>
      <c r="M606" s="21" t="n">
        <v>57368</v>
      </c>
      <c r="N606" s="21" t="n">
        <v>27600</v>
      </c>
      <c r="O606" s="21" t="n">
        <v>41407</v>
      </c>
      <c r="P606" s="21" t="n">
        <v>2759396</v>
      </c>
      <c r="Q606" s="21" t="n">
        <v>2759396</v>
      </c>
      <c r="R606" s="21">
        <f>IF(Q606="","",Q606*(1+in_GrowthRate)^(YEARFRAC(DATE(2025,6,30),in_AgeToDate)*IF(in_AgeToDate&lt;DATE(2025,6,30),-1,1)+1))</f>
        <v/>
      </c>
      <c r="S606" s="38" t="n">
        <v>2.740086647727273</v>
      </c>
      <c r="T606" s="43">
        <f>HYPERLINK("https://projects.propublica.org/nonprofits/organizations/362177139/202601349349303110/full","view filing")</f>
        <v/>
      </c>
    </row>
    <row r="607">
      <c r="A607" t="inlineStr">
        <is>
          <t>University Of Chicago</t>
        </is>
      </c>
      <c r="B607" s="20" t="inlineStr">
        <is>
          <t>IL</t>
        </is>
      </c>
      <c r="C607" s="42" t="n">
        <v>10.62</v>
      </c>
      <c r="D607" t="inlineStr">
        <is>
          <t>Endowment</t>
        </is>
      </c>
      <c r="E607" s="20" t="n">
        <v>2024</v>
      </c>
      <c r="F607" s="20" t="inlineStr"/>
      <c r="G607" t="inlineStr">
        <is>
          <t>Andrew Ward</t>
        </is>
      </c>
      <c r="H607" t="inlineStr">
        <is>
          <t>VICE PRESIDENT AND CIO</t>
        </is>
      </c>
      <c r="I607" t="inlineStr">
        <is>
          <t>CIO</t>
        </is>
      </c>
      <c r="J607" s="21" t="n">
        <v>692230</v>
      </c>
      <c r="K607" s="21" t="n">
        <v>1212000</v>
      </c>
      <c r="L607" s="21" t="n">
        <v>1904230</v>
      </c>
      <c r="M607" s="21" t="n">
        <v>54037</v>
      </c>
      <c r="N607" s="21" t="n">
        <v>26400</v>
      </c>
      <c r="O607" s="21" t="n">
        <v>38354</v>
      </c>
      <c r="P607" s="21" t="n">
        <v>2023021</v>
      </c>
      <c r="Q607" s="21" t="n">
        <v>2023021</v>
      </c>
      <c r="R607" s="21">
        <f>IF(Q607="","",Q607*(1+in_GrowthRate)^(YEARFRAC(DATE(2024,6,30),in_AgeToDate)*IF(in_AgeToDate&lt;DATE(2024,6,30),-1,1)+1))</f>
        <v/>
      </c>
      <c r="S607" s="38" t="n">
        <v>1.750863152420438</v>
      </c>
      <c r="T607" s="43">
        <f>HYPERLINK("https://projects.propublica.org/nonprofits/organizations/362177139/202541359349309109/full","view filing")</f>
        <v/>
      </c>
    </row>
    <row r="608">
      <c r="A608" t="inlineStr">
        <is>
          <t>University Of Chicago</t>
        </is>
      </c>
      <c r="B608" s="20" t="inlineStr">
        <is>
          <t>IL</t>
        </is>
      </c>
      <c r="C608" s="42" t="n">
        <v>10.62</v>
      </c>
      <c r="D608" t="inlineStr">
        <is>
          <t>Endowment</t>
        </is>
      </c>
      <c r="E608" s="20" t="n">
        <v>2023</v>
      </c>
      <c r="F608" s="20" t="inlineStr"/>
      <c r="G608" t="inlineStr">
        <is>
          <t>Andrew Ward</t>
        </is>
      </c>
      <c r="H608" t="inlineStr">
        <is>
          <t>VP AND CHIEF INVEST. OFFICER</t>
        </is>
      </c>
      <c r="I608" t="inlineStr">
        <is>
          <t>CIO</t>
        </is>
      </c>
      <c r="J608" s="21" t="n">
        <v>671390</v>
      </c>
      <c r="K608" s="21" t="n">
        <v>1582000</v>
      </c>
      <c r="L608" s="21" t="n">
        <v>2253390</v>
      </c>
      <c r="M608" s="21" t="n">
        <v>75147</v>
      </c>
      <c r="N608" s="21" t="n">
        <v>24400</v>
      </c>
      <c r="O608" s="21" t="n">
        <v>36639</v>
      </c>
      <c r="P608" s="21" t="n">
        <v>2389576</v>
      </c>
      <c r="Q608" s="21" t="n">
        <v>2389576</v>
      </c>
      <c r="R608" s="21">
        <f>IF(Q608="","",Q608*(1+in_GrowthRate)^(YEARFRAC(DATE(2023,6,30),in_AgeToDate)*IF(in_AgeToDate&lt;DATE(2023,6,30),-1,1)+1))</f>
        <v/>
      </c>
      <c r="S608" s="38" t="n">
        <v>2.356305575001117</v>
      </c>
      <c r="T608" s="43">
        <f>HYPERLINK("https://projects.propublica.org/nonprofits/organizations/362177139/202421349349306107/full","view filing")</f>
        <v/>
      </c>
    </row>
    <row r="609">
      <c r="A609" t="inlineStr">
        <is>
          <t>University Of Chicago</t>
        </is>
      </c>
      <c r="B609" s="20" t="inlineStr">
        <is>
          <t>IL</t>
        </is>
      </c>
      <c r="C609" s="42" t="n">
        <v>10.62</v>
      </c>
      <c r="D609" t="inlineStr">
        <is>
          <t>Endowment</t>
        </is>
      </c>
      <c r="E609" s="20" t="n">
        <v>2022</v>
      </c>
      <c r="F609" s="20" t="inlineStr"/>
      <c r="G609" t="inlineStr">
        <is>
          <t>Mark A Schmid</t>
        </is>
      </c>
      <c r="H609" t="inlineStr">
        <is>
          <t>VP AND CHIEF INVEST. OFFICER</t>
        </is>
      </c>
      <c r="I609" t="inlineStr">
        <is>
          <t>CIO</t>
        </is>
      </c>
      <c r="J609" s="21" t="n">
        <v>815974</v>
      </c>
      <c r="K609" s="21" t="n">
        <v>4083210</v>
      </c>
      <c r="L609" s="21" t="n">
        <v>4899184</v>
      </c>
      <c r="M609" s="21" t="n">
        <v>296250</v>
      </c>
      <c r="N609" s="21" t="n">
        <v>23200</v>
      </c>
      <c r="O609" s="21" t="n">
        <v>16702</v>
      </c>
      <c r="P609" s="21" t="n">
        <v>5235336</v>
      </c>
      <c r="Q609" s="21" t="n">
        <v>4463336</v>
      </c>
      <c r="R609" s="21">
        <f>IF(Q609="","",Q609*(1+in_GrowthRate)^(YEARFRAC(DATE(2022,6,30),in_AgeToDate)*IF(in_AgeToDate&lt;DATE(2022,6,30),-1,1)+1))</f>
        <v/>
      </c>
      <c r="S609" s="38" t="n">
        <v>5.004093267677646</v>
      </c>
      <c r="T609" s="43">
        <f>HYPERLINK("https://projects.propublica.org/nonprofits/organizations/362177139/202321329349307887/full","view filing")</f>
        <v/>
      </c>
    </row>
    <row r="610">
      <c r="A610" t="inlineStr">
        <is>
          <t>University Of Dayton</t>
        </is>
      </c>
      <c r="B610" s="20" t="inlineStr">
        <is>
          <t>OH</t>
        </is>
      </c>
      <c r="C610" s="42" t="n">
        <v>0.9399999999999999</v>
      </c>
      <c r="D610" t="inlineStr">
        <is>
          <t>Endowment</t>
        </is>
      </c>
      <c r="E610" s="20" t="n">
        <v>2025</v>
      </c>
      <c r="F610" s="20">
        <f>IF(AND(OR(in_Mode="All Funds",AND(C610&gt;=in_BandFloor,C610&lt;=in_BandCeiling,OR(in_Geography="National",COUNTIFS(lst_GeoPreset,in_Geography,lst_GeoState,B610)&gt;0,AND(in_Geography="Custom",ISNUMBER(SEARCH(B610,SUBSTITUTE(in_CustomStates," ",""))))),OR(AND(D610="Endowment",Inputs!$B$14="Y"),AND(D610="Foundation",Inputs!$B$15="Y"),AND(D610="Healthcare",Inputs!$B$16="Y"),AND(D610="Pension",Inputs!$B$17="Y"),AND(D610="OCIO",Inputs!$B$18="Y"),AND(D610="Other",Inputs!$B$19="Y")))),A610&lt;&gt;in_ClientOrg,NOT(AND(in_ExclHarvard="Y",ISNUMBER(SEARCH("Harvard",A610))))),"Y","")</f>
        <v/>
      </c>
      <c r="G610" t="inlineStr">
        <is>
          <t>Gurvinder S Rekhi</t>
        </is>
      </c>
      <c r="H610" t="inlineStr">
        <is>
          <t>VP &amp; CIO</t>
        </is>
      </c>
      <c r="I610" t="inlineStr">
        <is>
          <t>CIO</t>
        </is>
      </c>
      <c r="J610" s="21" t="n">
        <v>281439</v>
      </c>
      <c r="K610" s="21" t="n"/>
      <c r="L610" s="21" t="n">
        <v>281439</v>
      </c>
      <c r="M610" s="21" t="n">
        <v>42657</v>
      </c>
      <c r="N610" s="21" t="n">
        <v>15250</v>
      </c>
      <c r="O610" s="21" t="n">
        <v>3519</v>
      </c>
      <c r="P610" s="21" t="n">
        <v>342865</v>
      </c>
      <c r="Q610" s="21" t="n">
        <v>342865</v>
      </c>
      <c r="R610" s="21">
        <f>IF(Q610="","",Q610*(1+in_GrowthRate)^(YEARFRAC(DATE(2025,6,30),in_AgeToDate)*IF(in_AgeToDate&lt;DATE(2025,6,30),-1,1)+1))</f>
        <v/>
      </c>
      <c r="S610" s="38" t="n">
        <v>0</v>
      </c>
      <c r="T610" s="43">
        <f>HYPERLINK("https://projects.propublica.org/nonprofits/organizations/310536715/202621349349308762/full","view filing")</f>
        <v/>
      </c>
    </row>
    <row r="611">
      <c r="A611" t="inlineStr">
        <is>
          <t>University Of Dayton</t>
        </is>
      </c>
      <c r="B611" s="20" t="inlineStr">
        <is>
          <t>OH</t>
        </is>
      </c>
      <c r="C611" s="42" t="n">
        <v>0.9399999999999999</v>
      </c>
      <c r="D611" t="inlineStr">
        <is>
          <t>Endowment</t>
        </is>
      </c>
      <c r="E611" s="20" t="n">
        <v>2024</v>
      </c>
      <c r="F611" s="20" t="inlineStr"/>
      <c r="G611" t="inlineStr">
        <is>
          <t>Gurvinder S Rekhi</t>
        </is>
      </c>
      <c r="H611" t="inlineStr">
        <is>
          <t>VP &amp; CIO</t>
        </is>
      </c>
      <c r="I611" t="inlineStr">
        <is>
          <t>CIO</t>
        </is>
      </c>
      <c r="J611" s="21" t="n">
        <v>110286</v>
      </c>
      <c r="K611" s="21" t="n">
        <v>30000</v>
      </c>
      <c r="L611" s="21" t="n">
        <v>140286</v>
      </c>
      <c r="M611" s="21" t="n">
        <v>25834</v>
      </c>
      <c r="N611" s="21" t="n">
        <v>5719</v>
      </c>
      <c r="O611" s="21" t="n">
        <v>1678</v>
      </c>
      <c r="P611" s="21" t="n">
        <v>173517</v>
      </c>
      <c r="Q611" s="21" t="n">
        <v>173517</v>
      </c>
      <c r="R611" s="21">
        <f>IF(Q611="","",Q611*(1+in_GrowthRate)^(YEARFRAC(DATE(2024,6,30),in_AgeToDate)*IF(in_AgeToDate&lt;DATE(2024,6,30),-1,1)+1))</f>
        <v/>
      </c>
      <c r="S611" s="38" t="n">
        <v>0.2720200206735215</v>
      </c>
      <c r="T611" s="43">
        <f>HYPERLINK("https://projects.propublica.org/nonprofits/organizations/310536715/202511339349308731/full","view filing")</f>
        <v/>
      </c>
    </row>
    <row r="612">
      <c r="A612" t="inlineStr">
        <is>
          <t>University Of Delaware</t>
        </is>
      </c>
      <c r="B612" s="20" t="inlineStr">
        <is>
          <t>DE</t>
        </is>
      </c>
      <c r="C612" s="42" t="n">
        <v>2.06</v>
      </c>
      <c r="D612" t="inlineStr">
        <is>
          <t>Endowment</t>
        </is>
      </c>
      <c r="E612" s="20" t="n">
        <v>2025</v>
      </c>
      <c r="F612" s="20">
        <f>IF(AND(OR(in_Mode="All Funds",AND(C612&gt;=in_BandFloor,C612&lt;=in_BandCeiling,OR(in_Geography="National",COUNTIFS(lst_GeoPreset,in_Geography,lst_GeoState,B612)&gt;0,AND(in_Geography="Custom",ISNUMBER(SEARCH(B612,SUBSTITUTE(in_CustomStates," ",""))))),OR(AND(D612="Endowment",Inputs!$B$14="Y"),AND(D612="Foundation",Inputs!$B$15="Y"),AND(D612="Healthcare",Inputs!$B$16="Y"),AND(D612="Pension",Inputs!$B$17="Y"),AND(D612="OCIO",Inputs!$B$18="Y"),AND(D612="Other",Inputs!$B$19="Y")))),A612&lt;&gt;in_ClientOrg,NOT(AND(in_ExclHarvard="Y",ISNUMBER(SEARCH("Harvard",A612))))),"Y","")</f>
        <v/>
      </c>
      <c r="G612" t="inlineStr">
        <is>
          <t>Keith Walter</t>
        </is>
      </c>
      <c r="H612" t="inlineStr">
        <is>
          <t>CHIEF INVESTMENT OFFICER</t>
        </is>
      </c>
      <c r="I612" t="inlineStr">
        <is>
          <t>CIO</t>
        </is>
      </c>
      <c r="J612" s="21" t="n">
        <v>593234</v>
      </c>
      <c r="K612" s="21" t="n">
        <v>520000</v>
      </c>
      <c r="L612" s="21" t="n">
        <v>1113234</v>
      </c>
      <c r="M612" s="21" t="n"/>
      <c r="N612" s="21" t="n">
        <v>37949</v>
      </c>
      <c r="O612" s="21" t="n">
        <v>116449</v>
      </c>
      <c r="P612" s="21" t="n">
        <v>1267632</v>
      </c>
      <c r="Q612" s="21" t="n">
        <v>1267632</v>
      </c>
      <c r="R612" s="21">
        <f>IF(Q612="","",Q612*(1+in_GrowthRate)^(YEARFRAC(DATE(2025,6,30),in_AgeToDate)*IF(in_AgeToDate&lt;DATE(2025,6,30),-1,1)+1))</f>
        <v/>
      </c>
      <c r="S612" s="38" t="n">
        <v>0.8765512428485218</v>
      </c>
      <c r="T612" s="43">
        <f>HYPERLINK("https://projects.propublica.org/nonprofits/organizations/516000297/202601329349305235/full","view filing")</f>
        <v/>
      </c>
    </row>
    <row r="613">
      <c r="A613" t="inlineStr">
        <is>
          <t>University Of Delaware</t>
        </is>
      </c>
      <c r="B613" s="20" t="inlineStr">
        <is>
          <t>DE</t>
        </is>
      </c>
      <c r="C613" s="42" t="n">
        <v>2.06</v>
      </c>
      <c r="D613" t="inlineStr">
        <is>
          <t>Endowment</t>
        </is>
      </c>
      <c r="E613" s="20" t="n">
        <v>2024</v>
      </c>
      <c r="F613" s="20" t="inlineStr"/>
      <c r="G613" t="inlineStr">
        <is>
          <t>Keith Walter</t>
        </is>
      </c>
      <c r="H613" t="inlineStr">
        <is>
          <t>CHIEF INVESTMENT OFFICER</t>
        </is>
      </c>
      <c r="I613" t="inlineStr">
        <is>
          <t>CIO</t>
        </is>
      </c>
      <c r="J613" s="21" t="n">
        <v>526290</v>
      </c>
      <c r="K613" s="21" t="n">
        <v>600000</v>
      </c>
      <c r="L613" s="21" t="n">
        <v>1126290</v>
      </c>
      <c r="M613" s="21" t="n"/>
      <c r="N613" s="21" t="n">
        <v>36301</v>
      </c>
      <c r="O613" s="21" t="n">
        <v>87833</v>
      </c>
      <c r="P613" s="21" t="n">
        <v>1250424</v>
      </c>
      <c r="Q613" s="21" t="n">
        <v>1250424</v>
      </c>
      <c r="R613" s="21">
        <f>IF(Q613="","",Q613*(1+in_GrowthRate)^(YEARFRAC(DATE(2024,6,30),in_AgeToDate)*IF(in_AgeToDate&lt;DATE(2024,6,30),-1,1)+1))</f>
        <v/>
      </c>
      <c r="S613" s="38" t="n">
        <v>1.140055862737274</v>
      </c>
      <c r="T613" s="43">
        <f>HYPERLINK("https://projects.propublica.org/nonprofits/organizations/516000297/202511349349309311/full","view filing")</f>
        <v/>
      </c>
    </row>
    <row r="614">
      <c r="A614" t="inlineStr">
        <is>
          <t>University Of Delaware</t>
        </is>
      </c>
      <c r="B614" s="20" t="inlineStr">
        <is>
          <t>DE</t>
        </is>
      </c>
      <c r="C614" s="42" t="n">
        <v>2.06</v>
      </c>
      <c r="D614" t="inlineStr">
        <is>
          <t>Endowment</t>
        </is>
      </c>
      <c r="E614" s="20" t="n">
        <v>2023</v>
      </c>
      <c r="F614" s="20" t="inlineStr"/>
      <c r="G614" t="inlineStr">
        <is>
          <t>Keith Walter</t>
        </is>
      </c>
      <c r="H614" t="inlineStr">
        <is>
          <t>CHIEF INVESTMENT OFFICER</t>
        </is>
      </c>
      <c r="I614" t="inlineStr">
        <is>
          <t>CIO</t>
        </is>
      </c>
      <c r="J614" s="21" t="n">
        <v>506328</v>
      </c>
      <c r="K614" s="21" t="n">
        <v>580000</v>
      </c>
      <c r="L614" s="21" t="n">
        <v>1086328</v>
      </c>
      <c r="M614" s="21" t="n"/>
      <c r="N614" s="21" t="n">
        <v>28966</v>
      </c>
      <c r="O614" s="21" t="n">
        <v>60883</v>
      </c>
      <c r="P614" s="21" t="n">
        <v>1176177</v>
      </c>
      <c r="Q614" s="21" t="n">
        <v>1176177</v>
      </c>
      <c r="R614" s="21">
        <f>IF(Q614="","",Q614*(1+in_GrowthRate)^(YEARFRAC(DATE(2023,6,30),in_AgeToDate)*IF(in_AgeToDate&lt;DATE(2023,6,30),-1,1)+1))</f>
        <v/>
      </c>
      <c r="S614" s="38" t="n">
        <v>1.145502520105544</v>
      </c>
      <c r="T614" s="43">
        <f>HYPERLINK("https://projects.propublica.org/nonprofits/organizations/516000297/202431359349313418/full","view filing")</f>
        <v/>
      </c>
    </row>
    <row r="615">
      <c r="A615" t="inlineStr">
        <is>
          <t>University Of Delaware</t>
        </is>
      </c>
      <c r="B615" s="20" t="inlineStr">
        <is>
          <t>DE</t>
        </is>
      </c>
      <c r="C615" s="42" t="n">
        <v>2.06</v>
      </c>
      <c r="D615" t="inlineStr">
        <is>
          <t>Endowment</t>
        </is>
      </c>
      <c r="E615" s="20" t="n">
        <v>2022</v>
      </c>
      <c r="F615" s="20" t="inlineStr"/>
      <c r="G615" t="inlineStr">
        <is>
          <t>Keith Walter</t>
        </is>
      </c>
      <c r="H615" t="inlineStr">
        <is>
          <t>CHIEF INVESTMENT OFFICER</t>
        </is>
      </c>
      <c r="I615" t="inlineStr">
        <is>
          <t>CIO</t>
        </is>
      </c>
      <c r="J615" s="21" t="n">
        <v>473660</v>
      </c>
      <c r="K615" s="21" t="n">
        <v>580000</v>
      </c>
      <c r="L615" s="21" t="n">
        <v>1053660</v>
      </c>
      <c r="M615" s="21" t="n"/>
      <c r="N615" s="21" t="n">
        <v>31901</v>
      </c>
      <c r="O615" s="21" t="n">
        <v>42228</v>
      </c>
      <c r="P615" s="21" t="n">
        <v>1127789</v>
      </c>
      <c r="Q615" s="21" t="n">
        <v>1127789</v>
      </c>
      <c r="R615" s="21">
        <f>IF(Q615="","",Q615*(1+in_GrowthRate)^(YEARFRAC(DATE(2022,6,30),in_AgeToDate)*IF(in_AgeToDate&lt;DATE(2022,6,30),-1,1)+1))</f>
        <v/>
      </c>
      <c r="S615" s="38" t="n">
        <v>1.22450703035933</v>
      </c>
      <c r="T615" s="43">
        <f>HYPERLINK("https://projects.propublica.org/nonprofits/organizations/516000297/202331329349309483/full","view filing")</f>
        <v/>
      </c>
    </row>
    <row r="616">
      <c r="A616" t="inlineStr">
        <is>
          <t>University Of Florida Investment Corporation</t>
        </is>
      </c>
      <c r="B616" s="20" t="inlineStr">
        <is>
          <t>FL</t>
        </is>
      </c>
      <c r="C616" s="42" t="n">
        <v>2.45</v>
      </c>
      <c r="D616" t="inlineStr">
        <is>
          <t>Endowment</t>
        </is>
      </c>
      <c r="E616" s="20" t="n">
        <v>2024</v>
      </c>
      <c r="F616" s="20" t="inlineStr"/>
      <c r="G616" t="inlineStr">
        <is>
          <t>William S Reeser</t>
        </is>
      </c>
      <c r="H616" t="inlineStr">
        <is>
          <t>CEO/CIO/PRESIDENT</t>
        </is>
      </c>
      <c r="I616" t="inlineStr">
        <is>
          <t>CIO</t>
        </is>
      </c>
      <c r="J616" s="21" t="n">
        <v>670406</v>
      </c>
      <c r="K616" s="21" t="n">
        <v>840250</v>
      </c>
      <c r="L616" s="21" t="n">
        <v>1510656</v>
      </c>
      <c r="M616" s="21" t="n">
        <v>94296</v>
      </c>
      <c r="N616" s="21" t="n">
        <v>233054</v>
      </c>
      <c r="O616" s="21" t="n">
        <v>19115</v>
      </c>
      <c r="P616" s="21" t="n">
        <v>1857121</v>
      </c>
      <c r="Q616" s="21" t="n">
        <v>1857121</v>
      </c>
      <c r="R616" s="21">
        <f>IF(Q616="","",Q616*(1+in_GrowthRate)^(YEARFRAC(DATE(2024,6,30),in_AgeToDate)*IF(in_AgeToDate&lt;DATE(2024,6,30),-1,1)+1))</f>
        <v/>
      </c>
      <c r="S616" s="38" t="n">
        <v>1.253344987962518</v>
      </c>
      <c r="T616" s="43">
        <f>HYPERLINK("https://projects.propublica.org/nonprofits/organizations/201226494/202531269349300703/full","view filing")</f>
        <v/>
      </c>
    </row>
    <row r="617">
      <c r="A617" t="inlineStr">
        <is>
          <t>University Of Florida Investment Corporation</t>
        </is>
      </c>
      <c r="B617" s="20" t="inlineStr">
        <is>
          <t>FL</t>
        </is>
      </c>
      <c r="C617" s="42" t="n">
        <v>2.45</v>
      </c>
      <c r="D617" t="inlineStr">
        <is>
          <t>Endowment</t>
        </is>
      </c>
      <c r="E617" s="20" t="n">
        <v>2023</v>
      </c>
      <c r="F617" s="20" t="inlineStr"/>
      <c r="G617" t="inlineStr">
        <is>
          <t>William S Reeser</t>
        </is>
      </c>
      <c r="H617" t="inlineStr">
        <is>
          <t>CEO/CIO/PRESIDENT</t>
        </is>
      </c>
      <c r="I617" t="inlineStr">
        <is>
          <t>CIO</t>
        </is>
      </c>
      <c r="J617" s="21" t="n">
        <v>638692</v>
      </c>
      <c r="K617" s="21" t="n">
        <v>923562</v>
      </c>
      <c r="L617" s="21" t="n">
        <v>1562254</v>
      </c>
      <c r="M617" s="21" t="n">
        <v>40277</v>
      </c>
      <c r="N617" s="21" t="n">
        <v>266156</v>
      </c>
      <c r="O617" s="21" t="n">
        <v>18168</v>
      </c>
      <c r="P617" s="21" t="n">
        <v>1886855</v>
      </c>
      <c r="Q617" s="21" t="n">
        <v>1886855</v>
      </c>
      <c r="R617" s="21">
        <f>IF(Q617="","",Q617*(1+in_GrowthRate)^(YEARFRAC(DATE(2023,6,30),in_AgeToDate)*IF(in_AgeToDate&lt;DATE(2023,6,30),-1,1)+1))</f>
        <v/>
      </c>
      <c r="S617" s="38" t="n">
        <v>1.446020930276252</v>
      </c>
      <c r="T617" s="43">
        <f>HYPERLINK("https://projects.propublica.org/nonprofits/organizations/201226494/202411289349300746/full","view filing")</f>
        <v/>
      </c>
    </row>
    <row r="618">
      <c r="A618" t="inlineStr">
        <is>
          <t>University Of Florida Investment Corporation</t>
        </is>
      </c>
      <c r="B618" s="20" t="inlineStr">
        <is>
          <t>FL</t>
        </is>
      </c>
      <c r="C618" s="42" t="n">
        <v>2.45</v>
      </c>
      <c r="D618" t="inlineStr">
        <is>
          <t>Endowment</t>
        </is>
      </c>
      <c r="E618" s="20" t="n">
        <v>2022</v>
      </c>
      <c r="F618" s="20" t="inlineStr"/>
      <c r="G618" t="inlineStr">
        <is>
          <t>William Reeser</t>
        </is>
      </c>
      <c r="H618" t="inlineStr">
        <is>
          <t>CIO, PRESIDENT</t>
        </is>
      </c>
      <c r="I618" t="inlineStr">
        <is>
          <t>CIO</t>
        </is>
      </c>
      <c r="J618" s="21" t="n">
        <v>620721</v>
      </c>
      <c r="K618" s="21" t="n">
        <v>849349</v>
      </c>
      <c r="L618" s="21" t="n">
        <v>1470070</v>
      </c>
      <c r="M618" s="21" t="n">
        <v>14796</v>
      </c>
      <c r="N618" s="21" t="n">
        <v>254299</v>
      </c>
      <c r="O618" s="21" t="n">
        <v>17434</v>
      </c>
      <c r="P618" s="21" t="n">
        <v>1756599</v>
      </c>
      <c r="Q618" s="21" t="n">
        <v>1756599</v>
      </c>
      <c r="R618" s="21">
        <f>IF(Q618="","",Q618*(1+in_GrowthRate)^(YEARFRAC(DATE(2022,6,30),in_AgeToDate)*IF(in_AgeToDate&lt;DATE(2022,6,30),-1,1)+1))</f>
        <v/>
      </c>
      <c r="S618" s="38" t="n">
        <v>1.368326510622325</v>
      </c>
      <c r="T618" s="43">
        <f>HYPERLINK("https://projects.propublica.org/nonprofits/organizations/201226494/202301259349301825/full","view filing")</f>
        <v/>
      </c>
    </row>
    <row r="619">
      <c r="A619" t="inlineStr">
        <is>
          <t>University Of Georgia Foundation</t>
        </is>
      </c>
      <c r="B619" s="20" t="inlineStr">
        <is>
          <t>GA</t>
        </is>
      </c>
      <c r="C619" s="42" t="n">
        <v>2.18</v>
      </c>
      <c r="D619" t="inlineStr">
        <is>
          <t>Endowment</t>
        </is>
      </c>
      <c r="E619" s="20" t="n">
        <v>2025</v>
      </c>
      <c r="F619" s="20">
        <f>IF(AND(OR(in_Mode="All Funds",AND(C619&gt;=in_BandFloor,C619&lt;=in_BandCeiling,OR(in_Geography="National",COUNTIFS(lst_GeoPreset,in_Geography,lst_GeoState,B619)&gt;0,AND(in_Geography="Custom",ISNUMBER(SEARCH(B619,SUBSTITUTE(in_CustomStates," ",""))))),OR(AND(D619="Endowment",Inputs!$B$14="Y"),AND(D619="Foundation",Inputs!$B$15="Y"),AND(D619="Healthcare",Inputs!$B$16="Y"),AND(D619="Pension",Inputs!$B$17="Y"),AND(D619="OCIO",Inputs!$B$18="Y"),AND(D619="Other",Inputs!$B$19="Y")))),A619&lt;&gt;in_ClientOrg,NOT(AND(in_ExclHarvard="Y",ISNUMBER(SEARCH("Harvard",A619))))),"Y","")</f>
        <v/>
      </c>
      <c r="G619" t="inlineStr">
        <is>
          <t>Jason Bull</t>
        </is>
      </c>
      <c r="H619" t="inlineStr">
        <is>
          <t>CIO</t>
        </is>
      </c>
      <c r="I619" t="inlineStr">
        <is>
          <t>CIO</t>
        </is>
      </c>
      <c r="J619" s="21" t="n"/>
      <c r="K619" s="21" t="n"/>
      <c r="L619" s="21" t="n"/>
      <c r="M619" s="21" t="n"/>
      <c r="N619" s="21" t="n"/>
      <c r="O619" s="21" t="n"/>
      <c r="P619" s="21" t="n">
        <v>451831</v>
      </c>
      <c r="Q619" s="21" t="n">
        <v>451831</v>
      </c>
      <c r="R619" s="21">
        <f>IF(Q619="","",Q619*(1+in_GrowthRate)^(YEARFRAC(DATE(2025,6,30),in_AgeToDate)*IF(in_AgeToDate&lt;DATE(2025,6,30),-1,1)+1))</f>
        <v/>
      </c>
      <c r="S619" s="38" t="n"/>
      <c r="T619" s="43">
        <f>HYPERLINK("https://projects.propublica.org/nonprofits/organizations/586033837/202523169349303707/full","view filing")</f>
        <v/>
      </c>
    </row>
    <row r="620">
      <c r="A620" t="inlineStr">
        <is>
          <t>University Of Georgia Foundation</t>
        </is>
      </c>
      <c r="B620" s="20" t="inlineStr">
        <is>
          <t>GA</t>
        </is>
      </c>
      <c r="C620" s="42" t="n">
        <v>2.18</v>
      </c>
      <c r="D620" t="inlineStr">
        <is>
          <t>Endowment</t>
        </is>
      </c>
      <c r="E620" s="20" t="n">
        <v>2024</v>
      </c>
      <c r="F620" s="20" t="inlineStr"/>
      <c r="G620" t="inlineStr">
        <is>
          <t>Jason Bull</t>
        </is>
      </c>
      <c r="H620" t="inlineStr">
        <is>
          <t>CIO</t>
        </is>
      </c>
      <c r="I620" t="inlineStr">
        <is>
          <t>CIO</t>
        </is>
      </c>
      <c r="J620" s="21" t="n"/>
      <c r="K620" s="21" t="n"/>
      <c r="L620" s="21" t="n"/>
      <c r="M620" s="21" t="n"/>
      <c r="N620" s="21" t="n"/>
      <c r="O620" s="21" t="n"/>
      <c r="P620" s="21" t="n">
        <v>429116</v>
      </c>
      <c r="Q620" s="21" t="n">
        <v>429116</v>
      </c>
      <c r="R620" s="21">
        <f>IF(Q620="","",Q620*(1+in_GrowthRate)^(YEARFRAC(DATE(2024,6,30),in_AgeToDate)*IF(in_AgeToDate&lt;DATE(2024,6,30),-1,1)+1))</f>
        <v/>
      </c>
      <c r="S620" s="38" t="n"/>
      <c r="T620" s="43">
        <f>HYPERLINK("https://projects.propublica.org/nonprofits/organizations/586033837/202403209349316285/full","view filing")</f>
        <v/>
      </c>
    </row>
    <row r="621">
      <c r="A621" t="inlineStr">
        <is>
          <t>University Of Georgia Foundation</t>
        </is>
      </c>
      <c r="B621" s="20" t="inlineStr">
        <is>
          <t>GA</t>
        </is>
      </c>
      <c r="C621" s="42" t="n">
        <v>2.18</v>
      </c>
      <c r="D621" t="inlineStr">
        <is>
          <t>Endowment</t>
        </is>
      </c>
      <c r="E621" s="20" t="n">
        <v>2023</v>
      </c>
      <c r="F621" s="20" t="inlineStr"/>
      <c r="G621" t="inlineStr">
        <is>
          <t>Jason Bull</t>
        </is>
      </c>
      <c r="H621" t="inlineStr">
        <is>
          <t>CIO</t>
        </is>
      </c>
      <c r="I621" t="inlineStr">
        <is>
          <t>CIO</t>
        </is>
      </c>
      <c r="J621" s="21" t="n"/>
      <c r="K621" s="21" t="n"/>
      <c r="L621" s="21" t="n"/>
      <c r="M621" s="21" t="n"/>
      <c r="N621" s="21" t="n"/>
      <c r="O621" s="21" t="n"/>
      <c r="P621" s="21" t="n">
        <v>416345</v>
      </c>
      <c r="Q621" s="21" t="n">
        <v>416345</v>
      </c>
      <c r="R621" s="21">
        <f>IF(Q621="","",Q621*(1+in_GrowthRate)^(YEARFRAC(DATE(2023,6,30),in_AgeToDate)*IF(in_AgeToDate&lt;DATE(2023,6,30),-1,1)+1))</f>
        <v/>
      </c>
      <c r="S621" s="38" t="n"/>
      <c r="T621" s="43">
        <f>HYPERLINK("https://projects.propublica.org/nonprofits/organizations/586033837/202323199349323442/full","view filing")</f>
        <v/>
      </c>
    </row>
    <row r="622">
      <c r="A622" t="inlineStr">
        <is>
          <t>University Of Georgia Foundation</t>
        </is>
      </c>
      <c r="B622" s="20" t="inlineStr">
        <is>
          <t>GA</t>
        </is>
      </c>
      <c r="C622" s="42" t="n">
        <v>2.18</v>
      </c>
      <c r="D622" t="inlineStr">
        <is>
          <t>Endowment</t>
        </is>
      </c>
      <c r="E622" s="20" t="n">
        <v>2022</v>
      </c>
      <c r="F622" s="20" t="inlineStr"/>
      <c r="G622" t="inlineStr">
        <is>
          <t>Jason Bull</t>
        </is>
      </c>
      <c r="H622" t="inlineStr">
        <is>
          <t>CIO</t>
        </is>
      </c>
      <c r="I622" t="inlineStr">
        <is>
          <t>CIO</t>
        </is>
      </c>
      <c r="J622" s="21" t="n"/>
      <c r="K622" s="21" t="n"/>
      <c r="L622" s="21" t="n"/>
      <c r="M622" s="21" t="n"/>
      <c r="N622" s="21" t="n"/>
      <c r="O622" s="21" t="n"/>
      <c r="P622" s="21" t="n">
        <v>376206</v>
      </c>
      <c r="Q622" s="21" t="n">
        <v>376206</v>
      </c>
      <c r="R622" s="21">
        <f>IF(Q622="","",Q622*(1+in_GrowthRate)^(YEARFRAC(DATE(2022,6,30),in_AgeToDate)*IF(in_AgeToDate&lt;DATE(2022,6,30),-1,1)+1))</f>
        <v/>
      </c>
      <c r="S622" s="38" t="n"/>
      <c r="T622" s="43">
        <f>HYPERLINK("https://projects.propublica.org/nonprofits/organizations/586033837/202243199349324189/full","view filing")</f>
        <v/>
      </c>
    </row>
    <row r="623">
      <c r="A623" t="inlineStr">
        <is>
          <t>University Of Illinois Foundation</t>
        </is>
      </c>
      <c r="B623" s="20" t="inlineStr">
        <is>
          <t>IL</t>
        </is>
      </c>
      <c r="C623" s="42" t="n">
        <v>3.8</v>
      </c>
      <c r="D623" t="inlineStr">
        <is>
          <t>Endowment</t>
        </is>
      </c>
      <c r="E623" s="20" t="n">
        <v>2025</v>
      </c>
      <c r="F623" s="20">
        <f>IF(AND(OR(in_Mode="All Funds",AND(C623&gt;=in_BandFloor,C623&lt;=in_BandCeiling,OR(in_Geography="National",COUNTIFS(lst_GeoPreset,in_Geography,lst_GeoState,B623)&gt;0,AND(in_Geography="Custom",ISNUMBER(SEARCH(B623,SUBSTITUTE(in_CustomStates," ",""))))),OR(AND(D623="Endowment",Inputs!$B$14="Y"),AND(D623="Foundation",Inputs!$B$15="Y"),AND(D623="Healthcare",Inputs!$B$16="Y"),AND(D623="Pension",Inputs!$B$17="Y"),AND(D623="OCIO",Inputs!$B$18="Y"),AND(D623="Other",Inputs!$B$19="Y")))),A623&lt;&gt;in_ClientOrg,NOT(AND(in_ExclHarvard="Y",ISNUMBER(SEARCH("Harvard",A623))))),"Y","")</f>
        <v/>
      </c>
      <c r="G623" t="inlineStr">
        <is>
          <t>Travis W Shore</t>
        </is>
      </c>
      <c r="H623" t="inlineStr">
        <is>
          <t>Chief Investment Officer</t>
        </is>
      </c>
      <c r="I623" t="inlineStr">
        <is>
          <t>CIO</t>
        </is>
      </c>
      <c r="J623" s="21" t="n">
        <v>693094</v>
      </c>
      <c r="K623" s="21" t="n">
        <v>400000</v>
      </c>
      <c r="L623" s="21" t="n">
        <v>1093094</v>
      </c>
      <c r="M623" s="21" t="n"/>
      <c r="N623" s="21" t="n">
        <v>25650</v>
      </c>
      <c r="O623" s="21" t="n">
        <v>37220</v>
      </c>
      <c r="P623" s="21" t="n">
        <v>1155964</v>
      </c>
      <c r="Q623" s="21" t="n">
        <v>1155964</v>
      </c>
      <c r="R623" s="21">
        <f>IF(Q623="","",Q623*(1+in_GrowthRate)^(YEARFRAC(DATE(2025,6,30),in_AgeToDate)*IF(in_AgeToDate&lt;DATE(2025,6,30),-1,1)+1))</f>
        <v/>
      </c>
      <c r="S623" s="38" t="n">
        <v>0.5771222950999432</v>
      </c>
      <c r="T623" s="43">
        <f>HYPERLINK("https://projects.propublica.org/nonprofits/organizations/376006007/202631359349306108/full","view filing")</f>
        <v/>
      </c>
    </row>
    <row r="624">
      <c r="A624" t="inlineStr">
        <is>
          <t>University Of Illinois Foundation</t>
        </is>
      </c>
      <c r="B624" s="20" t="inlineStr">
        <is>
          <t>IL</t>
        </is>
      </c>
      <c r="C624" s="42" t="n">
        <v>3.8</v>
      </c>
      <c r="D624" t="inlineStr">
        <is>
          <t>Endowment</t>
        </is>
      </c>
      <c r="E624" s="20" t="n">
        <v>2024</v>
      </c>
      <c r="F624" s="20" t="inlineStr"/>
      <c r="G624" t="inlineStr">
        <is>
          <t>Travis W Shore</t>
        </is>
      </c>
      <c r="H624" t="inlineStr">
        <is>
          <t>Chief Investment Officer</t>
        </is>
      </c>
      <c r="I624" t="inlineStr">
        <is>
          <t>CIO</t>
        </is>
      </c>
      <c r="J624" s="21" t="n">
        <v>593184</v>
      </c>
      <c r="K624" s="21" t="n">
        <v>500000</v>
      </c>
      <c r="L624" s="21" t="n">
        <v>1093184</v>
      </c>
      <c r="M624" s="21" t="n"/>
      <c r="N624" s="21" t="n">
        <v>24130</v>
      </c>
      <c r="O624" s="21" t="n">
        <v>34239</v>
      </c>
      <c r="P624" s="21" t="n">
        <v>1151553</v>
      </c>
      <c r="Q624" s="21" t="n">
        <v>1151553</v>
      </c>
      <c r="R624" s="21">
        <f>IF(Q624="","",Q624*(1+in_GrowthRate)^(YEARFRAC(DATE(2024,6,30),in_AgeToDate)*IF(in_AgeToDate&lt;DATE(2024,6,30),-1,1)+1))</f>
        <v/>
      </c>
      <c r="S624" s="38" t="n">
        <v>0.8429087770405136</v>
      </c>
      <c r="T624" s="43">
        <f>HYPERLINK("https://projects.propublica.org/nonprofits/organizations/376006007/202541259349303159/full","view filing")</f>
        <v/>
      </c>
    </row>
    <row r="625">
      <c r="A625" t="inlineStr">
        <is>
          <t>University Of Illinois Foundation</t>
        </is>
      </c>
      <c r="B625" s="20" t="inlineStr">
        <is>
          <t>IL</t>
        </is>
      </c>
      <c r="C625" s="42" t="n">
        <v>3.8</v>
      </c>
      <c r="D625" t="inlineStr">
        <is>
          <t>Endowment</t>
        </is>
      </c>
      <c r="E625" s="20" t="n">
        <v>2023</v>
      </c>
      <c r="F625" s="20" t="inlineStr"/>
      <c r="G625" t="inlineStr">
        <is>
          <t>Travis W Shore</t>
        </is>
      </c>
      <c r="H625" t="inlineStr">
        <is>
          <t>Chief Investment Officer</t>
        </is>
      </c>
      <c r="I625" t="inlineStr">
        <is>
          <t>CIO</t>
        </is>
      </c>
      <c r="J625" s="21" t="n">
        <v>397851</v>
      </c>
      <c r="K625" s="21" t="n">
        <v>200000</v>
      </c>
      <c r="L625" s="21" t="n">
        <v>597851</v>
      </c>
      <c r="M625" s="21" t="n">
        <v>9147</v>
      </c>
      <c r="N625" s="21" t="n">
        <v>25350</v>
      </c>
      <c r="O625" s="21" t="n">
        <v>23877</v>
      </c>
      <c r="P625" s="21" t="n">
        <v>656225</v>
      </c>
      <c r="Q625" s="21" t="n">
        <v>656225</v>
      </c>
      <c r="R625" s="21">
        <f>IF(Q625="","",Q625*(1+in_GrowthRate)^(YEARFRAC(DATE(2023,6,30),in_AgeToDate)*IF(in_AgeToDate&lt;DATE(2023,6,30),-1,1)+1))</f>
        <v/>
      </c>
      <c r="S625" s="38" t="n">
        <v>0.5027007598321985</v>
      </c>
      <c r="T625" s="43">
        <f>HYPERLINK("https://projects.propublica.org/nonprofits/organizations/376006007/202401239349301400/full","view filing")</f>
        <v/>
      </c>
    </row>
    <row r="626">
      <c r="A626" t="inlineStr">
        <is>
          <t>University Of Maryland Foundation Inc</t>
        </is>
      </c>
      <c r="B626" s="20" t="inlineStr">
        <is>
          <t>MD</t>
        </is>
      </c>
      <c r="C626" s="42" t="n">
        <v>2.46</v>
      </c>
      <c r="D626" t="inlineStr">
        <is>
          <t>Endowment</t>
        </is>
      </c>
      <c r="E626" s="20" t="n">
        <v>2025</v>
      </c>
      <c r="F626" s="20">
        <f>IF(AND(OR(in_Mode="All Funds",AND(C626&gt;=in_BandFloor,C626&lt;=in_BandCeiling,OR(in_Geography="National",COUNTIFS(lst_GeoPreset,in_Geography,lst_GeoState,B626)&gt;0,AND(in_Geography="Custom",ISNUMBER(SEARCH(B626,SUBSTITUTE(in_CustomStates," ",""))))),OR(AND(D626="Endowment",Inputs!$B$14="Y"),AND(D626="Foundation",Inputs!$B$15="Y"),AND(D626="Healthcare",Inputs!$B$16="Y"),AND(D626="Pension",Inputs!$B$17="Y"),AND(D626="OCIO",Inputs!$B$18="Y"),AND(D626="Other",Inputs!$B$19="Y")))),A626&lt;&gt;in_ClientOrg,NOT(AND(in_ExclHarvard="Y",ISNUMBER(SEARCH("Harvard",A626))))),"Y","")</f>
        <v/>
      </c>
      <c r="G626" t="inlineStr">
        <is>
          <t>Sharcus Steen</t>
        </is>
      </c>
      <c r="H626" t="inlineStr">
        <is>
          <t>CIO</t>
        </is>
      </c>
      <c r="I626" t="inlineStr">
        <is>
          <t>CIO</t>
        </is>
      </c>
      <c r="J626" s="21" t="n">
        <v>658854</v>
      </c>
      <c r="K626" s="21" t="n">
        <v>775000</v>
      </c>
      <c r="L626" s="21" t="n">
        <v>1433854</v>
      </c>
      <c r="M626" s="21" t="n"/>
      <c r="N626" s="21" t="n">
        <v>25375</v>
      </c>
      <c r="O626" s="21" t="n">
        <v>20485</v>
      </c>
      <c r="P626" s="21" t="n">
        <v>1479714</v>
      </c>
      <c r="Q626" s="21" t="n">
        <v>1479714</v>
      </c>
      <c r="R626" s="21">
        <f>IF(Q626="","",Q626*(1+in_GrowthRate)^(YEARFRAC(DATE(2025,6,30),in_AgeToDate)*IF(in_AgeToDate&lt;DATE(2025,6,30),-1,1)+1))</f>
        <v/>
      </c>
      <c r="S626" s="38" t="n">
        <v>1.176284882538468</v>
      </c>
      <c r="T626" s="43">
        <f>HYPERLINK("https://projects.propublica.org/nonprofits/organizations/521125663/202631349349308193/full","view filing")</f>
        <v/>
      </c>
    </row>
    <row r="627">
      <c r="A627" t="inlineStr">
        <is>
          <t>University Of Maryland Foundation Inc</t>
        </is>
      </c>
      <c r="B627" s="20" t="inlineStr">
        <is>
          <t>MD</t>
        </is>
      </c>
      <c r="C627" s="42" t="n">
        <v>2.46</v>
      </c>
      <c r="D627" t="inlineStr">
        <is>
          <t>Endowment</t>
        </is>
      </c>
      <c r="E627" s="20" t="n">
        <v>2024</v>
      </c>
      <c r="F627" s="20" t="inlineStr"/>
      <c r="G627" t="inlineStr">
        <is>
          <t>Samuel Gallo</t>
        </is>
      </c>
      <c r="H627" t="inlineStr">
        <is>
          <t>CIO/Departing CIO</t>
        </is>
      </c>
      <c r="I627" t="inlineStr">
        <is>
          <t>CIO</t>
        </is>
      </c>
      <c r="J627" s="21" t="n"/>
      <c r="K627" s="21" t="n"/>
      <c r="L627" s="21" t="n"/>
      <c r="M627" s="21" t="n">
        <v>5650000</v>
      </c>
      <c r="N627" s="21" t="n"/>
      <c r="O627" s="21" t="n"/>
      <c r="P627" s="21" t="n">
        <v>5650000</v>
      </c>
      <c r="Q627" s="21" t="n">
        <v>5650000</v>
      </c>
      <c r="R627" s="21">
        <f>IF(Q627="","",Q627*(1+in_GrowthRate)^(YEARFRAC(DATE(2024,6,30),in_AgeToDate)*IF(in_AgeToDate&lt;DATE(2024,6,30),-1,1)+1))</f>
        <v/>
      </c>
      <c r="S627" s="38" t="n"/>
      <c r="T627" s="43">
        <f>HYPERLINK("https://projects.propublica.org/nonprofits/organizations/521125663/202531359349304708/full","view filing")</f>
        <v/>
      </c>
    </row>
    <row r="628">
      <c r="A628" t="inlineStr">
        <is>
          <t>University Of Maryland Foundation Inc</t>
        </is>
      </c>
      <c r="B628" s="20" t="inlineStr">
        <is>
          <t>MD</t>
        </is>
      </c>
      <c r="C628" s="42" t="n">
        <v>2.46</v>
      </c>
      <c r="D628" t="inlineStr">
        <is>
          <t>Endowment</t>
        </is>
      </c>
      <c r="E628" s="20" t="n">
        <v>2023</v>
      </c>
      <c r="F628" s="20" t="inlineStr"/>
      <c r="G628" t="inlineStr">
        <is>
          <t>Samuel Gallo</t>
        </is>
      </c>
      <c r="H628" t="inlineStr">
        <is>
          <t>CIO/Departing CIO</t>
        </is>
      </c>
      <c r="I628" t="inlineStr">
        <is>
          <t>CIO</t>
        </is>
      </c>
      <c r="J628" s="21" t="n">
        <v>468509</v>
      </c>
      <c r="K628" s="21" t="n">
        <v>1500</v>
      </c>
      <c r="L628" s="21" t="n">
        <v>470009</v>
      </c>
      <c r="M628" s="21" t="n"/>
      <c r="N628" s="21" t="n">
        <v>22112</v>
      </c>
      <c r="O628" s="21" t="n">
        <v>12565</v>
      </c>
      <c r="P628" s="21" t="n">
        <v>504686</v>
      </c>
      <c r="Q628" s="21" t="n">
        <v>504686</v>
      </c>
      <c r="R628" s="21">
        <f>IF(Q628="","",Q628*(1+in_GrowthRate)^(YEARFRAC(DATE(2023,6,30),in_AgeToDate)*IF(in_AgeToDate&lt;DATE(2023,6,30),-1,1)+1))</f>
        <v/>
      </c>
      <c r="S628" s="38" t="n">
        <v>0.003201646072967648</v>
      </c>
      <c r="T628" s="43">
        <f>HYPERLINK("https://projects.propublica.org/nonprofits/organizations/521125663/202431369349301763/full","view filing")</f>
        <v/>
      </c>
    </row>
    <row r="629">
      <c r="A629" t="inlineStr">
        <is>
          <t>University Of Maryland Foundation Inc</t>
        </is>
      </c>
      <c r="B629" s="20" t="inlineStr">
        <is>
          <t>MD</t>
        </is>
      </c>
      <c r="C629" s="42" t="n">
        <v>2.46</v>
      </c>
      <c r="D629" t="inlineStr">
        <is>
          <t>Endowment</t>
        </is>
      </c>
      <c r="E629" s="20" t="n">
        <v>2022</v>
      </c>
      <c r="F629" s="20" t="inlineStr"/>
      <c r="G629" t="inlineStr">
        <is>
          <t>Samuel Gallo</t>
        </is>
      </c>
      <c r="H629" t="inlineStr">
        <is>
          <t>Chief Investment Officer</t>
        </is>
      </c>
      <c r="I629" t="inlineStr">
        <is>
          <t>CIO</t>
        </is>
      </c>
      <c r="J629" s="21" t="n">
        <v>574977</v>
      </c>
      <c r="K629" s="21" t="n">
        <v>701000</v>
      </c>
      <c r="L629" s="21" t="n">
        <v>1275977</v>
      </c>
      <c r="M629" s="21" t="n"/>
      <c r="N629" s="21" t="n">
        <v>21025</v>
      </c>
      <c r="O629" s="21" t="n">
        <v>25184</v>
      </c>
      <c r="P629" s="21" t="n">
        <v>1322186</v>
      </c>
      <c r="Q629" s="21" t="n">
        <v>1322186</v>
      </c>
      <c r="R629" s="21">
        <f>IF(Q629="","",Q629*(1+in_GrowthRate)^(YEARFRAC(DATE(2022,6,30),in_AgeToDate)*IF(in_AgeToDate&lt;DATE(2022,6,30),-1,1)+1))</f>
        <v/>
      </c>
      <c r="S629" s="38" t="n">
        <v>1.219179201950687</v>
      </c>
      <c r="T629" s="43">
        <f>HYPERLINK("https://projects.propublica.org/nonprofits/organizations/521125663/202331329349308033/full","view filing")</f>
        <v/>
      </c>
    </row>
    <row r="630">
      <c r="A630" t="inlineStr">
        <is>
          <t>University Of Massachusetts Foundation Inc</t>
        </is>
      </c>
      <c r="B630" s="20" t="inlineStr">
        <is>
          <t>MA</t>
        </is>
      </c>
      <c r="C630" s="42" t="n">
        <v>1.8</v>
      </c>
      <c r="D630" t="inlineStr">
        <is>
          <t>Endowment</t>
        </is>
      </c>
      <c r="E630" s="20" t="n">
        <v>2025</v>
      </c>
      <c r="F630" s="20">
        <f>IF(AND(OR(in_Mode="All Funds",AND(C630&gt;=in_BandFloor,C630&lt;=in_BandCeiling,OR(in_Geography="National",COUNTIFS(lst_GeoPreset,in_Geography,lst_GeoState,B630)&gt;0,AND(in_Geography="Custom",ISNUMBER(SEARCH(B630,SUBSTITUTE(in_CustomStates," ",""))))),OR(AND(D630="Endowment",Inputs!$B$14="Y"),AND(D630="Foundation",Inputs!$B$15="Y"),AND(D630="Healthcare",Inputs!$B$16="Y"),AND(D630="Pension",Inputs!$B$17="Y"),AND(D630="OCIO",Inputs!$B$18="Y"),AND(D630="Other",Inputs!$B$19="Y")))),A630&lt;&gt;in_ClientOrg,NOT(AND(in_ExclHarvard="Y",ISNUMBER(SEARCH("Harvard",A630))))),"Y","")</f>
        <v/>
      </c>
      <c r="G630" t="inlineStr">
        <is>
          <t>Jonathan Gibbons</t>
        </is>
      </c>
      <c r="H630" t="inlineStr">
        <is>
          <t>CHIEF INVESTMENT OFFICER</t>
        </is>
      </c>
      <c r="I630" t="inlineStr">
        <is>
          <t>CIO</t>
        </is>
      </c>
      <c r="J630" s="21" t="n">
        <v>641381</v>
      </c>
      <c r="K630" s="21" t="n">
        <v>231035</v>
      </c>
      <c r="L630" s="21" t="n">
        <v>872416</v>
      </c>
      <c r="M630" s="21" t="n">
        <v>597274</v>
      </c>
      <c r="N630" s="21" t="n">
        <v>265535</v>
      </c>
      <c r="O630" s="21" t="n">
        <v>42012</v>
      </c>
      <c r="P630" s="21" t="n">
        <v>1777237</v>
      </c>
      <c r="Q630" s="21" t="n">
        <v>1240070</v>
      </c>
      <c r="R630" s="21">
        <f>IF(Q630="","",Q630*(1+in_GrowthRate)^(YEARFRAC(DATE(2025,6,30),in_AgeToDate)*IF(in_AgeToDate&lt;DATE(2025,6,30),-1,1)+1))</f>
        <v/>
      </c>
      <c r="S630" s="38" t="n">
        <v>0.3602149112617929</v>
      </c>
      <c r="T630" s="43">
        <f>HYPERLINK("https://projects.propublica.org/nonprofits/organizations/46013152/202601359349306395/full","view filing")</f>
        <v/>
      </c>
    </row>
    <row r="631">
      <c r="A631" t="inlineStr">
        <is>
          <t>University Of Massachusetts Foundation Inc</t>
        </is>
      </c>
      <c r="B631" s="20" t="inlineStr">
        <is>
          <t>MA</t>
        </is>
      </c>
      <c r="C631" s="42" t="n">
        <v>1.8</v>
      </c>
      <c r="D631" t="inlineStr">
        <is>
          <t>Endowment</t>
        </is>
      </c>
      <c r="E631" s="20" t="n">
        <v>2024</v>
      </c>
      <c r="F631" s="20" t="inlineStr"/>
      <c r="G631" t="inlineStr">
        <is>
          <t>Jonathan Gibbons</t>
        </is>
      </c>
      <c r="H631" t="inlineStr">
        <is>
          <t>CHIEF INVESTMENT OFFICER</t>
        </is>
      </c>
      <c r="I631" t="inlineStr">
        <is>
          <t>CIO</t>
        </is>
      </c>
      <c r="J631" s="21" t="n">
        <v>579608</v>
      </c>
      <c r="K631" s="21" t="n"/>
      <c r="L631" s="21" t="n">
        <v>579608</v>
      </c>
      <c r="M631" s="21" t="n">
        <v>398884</v>
      </c>
      <c r="N631" s="21" t="n">
        <v>582085</v>
      </c>
      <c r="O631" s="21" t="n">
        <v>39871</v>
      </c>
      <c r="P631" s="21" t="n">
        <v>1600448</v>
      </c>
      <c r="Q631" s="21" t="n">
        <v>1201564</v>
      </c>
      <c r="R631" s="21">
        <f>IF(Q631="","",Q631*(1+in_GrowthRate)^(YEARFRAC(DATE(2024,6,30),in_AgeToDate)*IF(in_AgeToDate&lt;DATE(2024,6,30),-1,1)+1))</f>
        <v/>
      </c>
      <c r="S631" s="38" t="n">
        <v>0</v>
      </c>
      <c r="T631" s="43">
        <f>HYPERLINK("https://projects.propublica.org/nonprofits/organizations/46013152/202541359349312684/full","view filing")</f>
        <v/>
      </c>
    </row>
    <row r="632">
      <c r="A632" t="inlineStr">
        <is>
          <t>University Of Massachusetts Foundation Inc</t>
        </is>
      </c>
      <c r="B632" s="20" t="inlineStr">
        <is>
          <t>MA</t>
        </is>
      </c>
      <c r="C632" s="42" t="n">
        <v>1.8</v>
      </c>
      <c r="D632" t="inlineStr">
        <is>
          <t>Endowment</t>
        </is>
      </c>
      <c r="E632" s="20" t="n">
        <v>2023</v>
      </c>
      <c r="F632" s="20" t="inlineStr"/>
      <c r="G632" t="inlineStr">
        <is>
          <t>Jonathan Gibbons</t>
        </is>
      </c>
      <c r="H632" t="inlineStr">
        <is>
          <t>CHIEF INVESTMENT OFFICER</t>
        </is>
      </c>
      <c r="I632" t="inlineStr">
        <is>
          <t>CIO</t>
        </is>
      </c>
      <c r="J632" s="21" t="n">
        <v>548117</v>
      </c>
      <c r="K632" s="21" t="n">
        <v>739414</v>
      </c>
      <c r="L632" s="21" t="n">
        <v>1287531</v>
      </c>
      <c r="M632" s="21" t="n"/>
      <c r="N632" s="21" t="n">
        <v>531910</v>
      </c>
      <c r="O632" s="21" t="n">
        <v>33794</v>
      </c>
      <c r="P632" s="21" t="n">
        <v>1853235</v>
      </c>
      <c r="Q632" s="21" t="n">
        <v>1618735</v>
      </c>
      <c r="R632" s="21">
        <f>IF(Q632="","",Q632*(1+in_GrowthRate)^(YEARFRAC(DATE(2023,6,30),in_AgeToDate)*IF(in_AgeToDate&lt;DATE(2023,6,30),-1,1)+1))</f>
        <v/>
      </c>
      <c r="S632" s="38" t="n">
        <v>1.34900760239146</v>
      </c>
      <c r="T632" s="43">
        <f>HYPERLINK("https://projects.propublica.org/nonprofits/organizations/46013152/202431369349310888/full","view filing")</f>
        <v/>
      </c>
    </row>
    <row r="633">
      <c r="A633" t="inlineStr">
        <is>
          <t>University Of Massachusetts Foundation Inc</t>
        </is>
      </c>
      <c r="B633" s="20" t="inlineStr">
        <is>
          <t>MA</t>
        </is>
      </c>
      <c r="C633" s="42" t="n">
        <v>1.8</v>
      </c>
      <c r="D633" t="inlineStr">
        <is>
          <t>Endowment</t>
        </is>
      </c>
      <c r="E633" s="20" t="n">
        <v>2022</v>
      </c>
      <c r="F633" s="20" t="inlineStr"/>
      <c r="G633" t="inlineStr">
        <is>
          <t>Jonathan Gibbons</t>
        </is>
      </c>
      <c r="H633" t="inlineStr">
        <is>
          <t>CHIEF INVESTMENT OFFICER</t>
        </is>
      </c>
      <c r="I633" t="inlineStr">
        <is>
          <t>CIO</t>
        </is>
      </c>
      <c r="J633" s="21" t="n">
        <v>509833</v>
      </c>
      <c r="K633" s="21" t="n">
        <v>232916</v>
      </c>
      <c r="L633" s="21" t="n">
        <v>742749</v>
      </c>
      <c r="M633" s="21" t="n"/>
      <c r="N633" s="21" t="n">
        <v>263500</v>
      </c>
      <c r="O633" s="21" t="n">
        <v>36813</v>
      </c>
      <c r="P633" s="21" t="n">
        <v>1043062</v>
      </c>
      <c r="Q633" s="21" t="n">
        <v>981862</v>
      </c>
      <c r="R633" s="21">
        <f>IF(Q633="","",Q633*(1+in_GrowthRate)^(YEARFRAC(DATE(2022,6,30),in_AgeToDate)*IF(in_AgeToDate&lt;DATE(2022,6,30),-1,1)+1))</f>
        <v/>
      </c>
      <c r="S633" s="38" t="n">
        <v>0.4568476344214674</v>
      </c>
      <c r="T633" s="43">
        <f>HYPERLINK("https://projects.propublica.org/nonprofits/organizations/46013152/202321359349308972/full","view filing")</f>
        <v/>
      </c>
    </row>
    <row r="634">
      <c r="A634" t="inlineStr">
        <is>
          <t>University Of Minnesota Foundation Investment Advisors</t>
        </is>
      </c>
      <c r="B634" s="20" t="inlineStr">
        <is>
          <t>MN</t>
        </is>
      </c>
      <c r="C634" s="42" t="n">
        <v>5.2</v>
      </c>
      <c r="D634" t="inlineStr">
        <is>
          <t>Endowment</t>
        </is>
      </c>
      <c r="E634" s="20" t="n">
        <v>2025</v>
      </c>
      <c r="F634" s="20">
        <f>IF(AND(OR(in_Mode="All Funds",AND(C634&gt;=in_BandFloor,C634&lt;=in_BandCeiling,OR(in_Geography="National",COUNTIFS(lst_GeoPreset,in_Geography,lst_GeoState,B634)&gt;0,AND(in_Geography="Custom",ISNUMBER(SEARCH(B634,SUBSTITUTE(in_CustomStates," ",""))))),OR(AND(D634="Endowment",Inputs!$B$14="Y"),AND(D634="Foundation",Inputs!$B$15="Y"),AND(D634="Healthcare",Inputs!$B$16="Y"),AND(D634="Pension",Inputs!$B$17="Y"),AND(D634="OCIO",Inputs!$B$18="Y"),AND(D634="Other",Inputs!$B$19="Y")))),A634&lt;&gt;in_ClientOrg,NOT(AND(in_ExclHarvard="Y",ISNUMBER(SEARCH("Harvard",A634))))),"Y","")</f>
        <v/>
      </c>
      <c r="G634" t="inlineStr">
        <is>
          <t>Andrew J Behrens</t>
        </is>
      </c>
      <c r="H634" t="inlineStr">
        <is>
          <t>CHIEF INVESTMENT OFFICER &amp; PRESIDENT</t>
        </is>
      </c>
      <c r="I634" t="inlineStr">
        <is>
          <t>CIO</t>
        </is>
      </c>
      <c r="J634" s="21" t="n">
        <v>670000</v>
      </c>
      <c r="K634" s="21" t="n">
        <v>563618</v>
      </c>
      <c r="L634" s="21" t="n">
        <v>1233618</v>
      </c>
      <c r="M634" s="21" t="n">
        <v>80</v>
      </c>
      <c r="N634" s="21" t="n">
        <v>41400</v>
      </c>
      <c r="O634" s="21" t="n">
        <v>5336</v>
      </c>
      <c r="P634" s="21" t="n">
        <v>1280434</v>
      </c>
      <c r="Q634" s="21" t="n">
        <v>1280434</v>
      </c>
      <c r="R634" s="21">
        <f>IF(Q634="","",Q634*(1+in_GrowthRate)^(YEARFRAC(DATE(2025,6,30),in_AgeToDate)*IF(in_AgeToDate&lt;DATE(2025,6,30),-1,1)+1))</f>
        <v/>
      </c>
      <c r="S634" s="38" t="n">
        <v>0.8412208955223881</v>
      </c>
      <c r="T634" s="43">
        <f>HYPERLINK("https://projects.propublica.org/nonprofits/organizations/411931343/202610899349300721/full","view filing")</f>
        <v/>
      </c>
    </row>
    <row r="635">
      <c r="A635" t="inlineStr">
        <is>
          <t>University Of Minnesota Foundation Investment Advisors</t>
        </is>
      </c>
      <c r="B635" s="20" t="inlineStr">
        <is>
          <t>MN</t>
        </is>
      </c>
      <c r="C635" s="42" t="n">
        <v>5.2</v>
      </c>
      <c r="D635" t="inlineStr">
        <is>
          <t>Endowment</t>
        </is>
      </c>
      <c r="E635" s="20" t="n">
        <v>2024</v>
      </c>
      <c r="F635" s="20" t="inlineStr"/>
      <c r="G635" t="inlineStr">
        <is>
          <t>Andrew J Behrens</t>
        </is>
      </c>
      <c r="H635" t="inlineStr">
        <is>
          <t>CHIEF INVESTMENT OFFICER AND PRESIDENT</t>
        </is>
      </c>
      <c r="I635" t="inlineStr">
        <is>
          <t>CIO</t>
        </is>
      </c>
      <c r="J635" s="21" t="n">
        <v>500000</v>
      </c>
      <c r="K635" s="21" t="n">
        <v>431778</v>
      </c>
      <c r="L635" s="21" t="n">
        <v>931778</v>
      </c>
      <c r="M635" s="21" t="n">
        <v>60</v>
      </c>
      <c r="N635" s="21" t="n">
        <v>39600</v>
      </c>
      <c r="O635" s="21" t="n"/>
      <c r="P635" s="21" t="n">
        <v>971438</v>
      </c>
      <c r="Q635" s="21" t="n">
        <v>971438</v>
      </c>
      <c r="R635" s="21">
        <f>IF(Q635="","",Q635*(1+in_GrowthRate)^(YEARFRAC(DATE(2024,6,30),in_AgeToDate)*IF(in_AgeToDate&lt;DATE(2024,6,30),-1,1)+1))</f>
        <v/>
      </c>
      <c r="S635" s="38" t="n">
        <v>0.863556</v>
      </c>
      <c r="T635" s="43">
        <f>HYPERLINK("https://projects.propublica.org/nonprofits/organizations/411931343/202500879349301200/full","view filing")</f>
        <v/>
      </c>
    </row>
    <row r="636">
      <c r="A636" t="inlineStr">
        <is>
          <t>University Of Minnesota Foundation Investment Advisors</t>
        </is>
      </c>
      <c r="B636" s="20" t="inlineStr">
        <is>
          <t>MN</t>
        </is>
      </c>
      <c r="C636" s="42" t="n">
        <v>5.2</v>
      </c>
      <c r="D636" t="inlineStr">
        <is>
          <t>Endowment</t>
        </is>
      </c>
      <c r="E636" s="20" t="n">
        <v>2023</v>
      </c>
      <c r="F636" s="20" t="inlineStr"/>
      <c r="G636" t="inlineStr">
        <is>
          <t>Andrew J Behrens</t>
        </is>
      </c>
      <c r="H636" t="inlineStr">
        <is>
          <t>PRESIDENT</t>
        </is>
      </c>
      <c r="I636" t="inlineStr">
        <is>
          <t>CEO (Inv Entity)</t>
        </is>
      </c>
      <c r="J636" s="21" t="n">
        <v>425000</v>
      </c>
      <c r="K636" s="21" t="n">
        <v>327057</v>
      </c>
      <c r="L636" s="21" t="n">
        <v>752057</v>
      </c>
      <c r="M636" s="21" t="n">
        <v>59</v>
      </c>
      <c r="N636" s="21" t="n">
        <v>36600</v>
      </c>
      <c r="O636" s="21" t="n"/>
      <c r="P636" s="21" t="n">
        <v>788716</v>
      </c>
      <c r="Q636" s="21" t="n">
        <v>788716</v>
      </c>
      <c r="R636" s="21">
        <f>IF(Q636="","",Q636*(1+in_GrowthRate)^(YEARFRAC(DATE(2023,6,30),in_AgeToDate)*IF(in_AgeToDate&lt;DATE(2023,6,30),-1,1)+1))</f>
        <v/>
      </c>
      <c r="S636" s="38" t="n">
        <v>0.7695458823529412</v>
      </c>
      <c r="T636" s="43">
        <f>HYPERLINK("https://projects.propublica.org/nonprofits/organizations/411931343/202400809349301005/full","view filing")</f>
        <v/>
      </c>
    </row>
    <row r="637">
      <c r="A637" t="inlineStr">
        <is>
          <t>University Of Minnesota Foundation Investment Advisors</t>
        </is>
      </c>
      <c r="B637" s="20" t="inlineStr">
        <is>
          <t>MN</t>
        </is>
      </c>
      <c r="C637" s="42" t="n">
        <v>5.2</v>
      </c>
      <c r="D637" t="inlineStr">
        <is>
          <t>Endowment</t>
        </is>
      </c>
      <c r="E637" s="20" t="n">
        <v>2022</v>
      </c>
      <c r="F637" s="20" t="inlineStr"/>
      <c r="G637" t="inlineStr">
        <is>
          <t>Douglas J Gorence</t>
        </is>
      </c>
      <c r="H637" t="inlineStr">
        <is>
          <t>President</t>
        </is>
      </c>
      <c r="I637" t="inlineStr">
        <is>
          <t>CEO (Inv Entity)</t>
        </is>
      </c>
      <c r="J637" s="21" t="n">
        <v>642137</v>
      </c>
      <c r="K637" s="21" t="n">
        <v>460687</v>
      </c>
      <c r="L637" s="21" t="n">
        <v>1102824</v>
      </c>
      <c r="M637" s="21" t="n">
        <v>349340</v>
      </c>
      <c r="N637" s="21" t="n">
        <v>188363</v>
      </c>
      <c r="O637" s="21" t="n">
        <v>3600</v>
      </c>
      <c r="P637" s="21" t="n">
        <v>1644127</v>
      </c>
      <c r="Q637" s="21" t="n">
        <v>1295275</v>
      </c>
      <c r="R637" s="21">
        <f>IF(Q637="","",Q637*(1+in_GrowthRate)^(YEARFRAC(DATE(2022,6,30),in_AgeToDate)*IF(in_AgeToDate&lt;DATE(2022,6,30),-1,1)+1))</f>
        <v/>
      </c>
      <c r="S637" s="38" t="n">
        <v>0.7174279008996522</v>
      </c>
      <c r="T637" s="43">
        <f>HYPERLINK("https://projects.propublica.org/nonprofits/organizations/411931343/202340739349300819/full","view filing")</f>
        <v/>
      </c>
    </row>
    <row r="638">
      <c r="A638" t="inlineStr">
        <is>
          <t>University Of Nebraska Foundation</t>
        </is>
      </c>
      <c r="B638" s="20" t="inlineStr">
        <is>
          <t>NE</t>
        </is>
      </c>
      <c r="C638" s="42" t="n">
        <v>2.72</v>
      </c>
      <c r="D638" t="inlineStr">
        <is>
          <t>Endowment</t>
        </is>
      </c>
      <c r="E638" s="20" t="n">
        <v>2025</v>
      </c>
      <c r="F638" s="20">
        <f>IF(AND(OR(in_Mode="All Funds",AND(C638&gt;=in_BandFloor,C638&lt;=in_BandCeiling,OR(in_Geography="National",COUNTIFS(lst_GeoPreset,in_Geography,lst_GeoState,B638)&gt;0,AND(in_Geography="Custom",ISNUMBER(SEARCH(B638,SUBSTITUTE(in_CustomStates," ",""))))),OR(AND(D638="Endowment",Inputs!$B$14="Y"),AND(D638="Foundation",Inputs!$B$15="Y"),AND(D638="Healthcare",Inputs!$B$16="Y"),AND(D638="Pension",Inputs!$B$17="Y"),AND(D638="OCIO",Inputs!$B$18="Y"),AND(D638="Other",Inputs!$B$19="Y")))),A638&lt;&gt;in_ClientOrg,NOT(AND(in_ExclHarvard="Y",ISNUMBER(SEARCH("Harvard",A638))))),"Y","")</f>
        <v/>
      </c>
      <c r="G638" t="inlineStr">
        <is>
          <t>Brian Neale</t>
        </is>
      </c>
      <c r="H638" t="inlineStr">
        <is>
          <t>CHIEF INVESTMENT OFFICER</t>
        </is>
      </c>
      <c r="I638" t="inlineStr">
        <is>
          <t>CIO</t>
        </is>
      </c>
      <c r="J638" s="21" t="n">
        <v>379551</v>
      </c>
      <c r="K638" s="21" t="n">
        <v>100763</v>
      </c>
      <c r="L638" s="21" t="n">
        <v>480314</v>
      </c>
      <c r="M638" s="21" t="n">
        <v>193</v>
      </c>
      <c r="N638" s="21" t="n">
        <v>34500</v>
      </c>
      <c r="O638" s="21" t="n">
        <v>27261</v>
      </c>
      <c r="P638" s="21" t="n">
        <v>542268</v>
      </c>
      <c r="Q638" s="21" t="n">
        <v>542268</v>
      </c>
      <c r="R638" s="21">
        <f>IF(Q638="","",Q638*(1+in_GrowthRate)^(YEARFRAC(DATE(2025,6,30),in_AgeToDate)*IF(in_AgeToDate&lt;DATE(2025,6,30),-1,1)+1))</f>
        <v/>
      </c>
      <c r="S638" s="38" t="n">
        <v>0.2654794744316311</v>
      </c>
      <c r="T638" s="43">
        <f>HYPERLINK("https://projects.propublica.org/nonprofits/organizations/470379839/202631209349300813/full","view filing")</f>
        <v/>
      </c>
    </row>
    <row r="639">
      <c r="A639" t="inlineStr">
        <is>
          <t>University Of Nebraska Foundation</t>
        </is>
      </c>
      <c r="B639" s="20" t="inlineStr">
        <is>
          <t>NE</t>
        </is>
      </c>
      <c r="C639" s="42" t="n">
        <v>2.72</v>
      </c>
      <c r="D639" t="inlineStr">
        <is>
          <t>Endowment</t>
        </is>
      </c>
      <c r="E639" s="20" t="n">
        <v>2024</v>
      </c>
      <c r="F639" s="20" t="inlineStr"/>
      <c r="G639" t="inlineStr">
        <is>
          <t>Brian Neale</t>
        </is>
      </c>
      <c r="H639" t="inlineStr">
        <is>
          <t>CHIEF INVESTMENT OFFICER</t>
        </is>
      </c>
      <c r="I639" t="inlineStr">
        <is>
          <t>CIO</t>
        </is>
      </c>
      <c r="J639" s="21" t="n">
        <v>349733</v>
      </c>
      <c r="K639" s="21" t="n">
        <v>197363</v>
      </c>
      <c r="L639" s="21" t="n">
        <v>547096</v>
      </c>
      <c r="M639" s="21" t="n">
        <v>176</v>
      </c>
      <c r="N639" s="21" t="n">
        <v>33000</v>
      </c>
      <c r="O639" s="21" t="n">
        <v>32418</v>
      </c>
      <c r="P639" s="21" t="n">
        <v>612690</v>
      </c>
      <c r="Q639" s="21" t="n">
        <v>612690</v>
      </c>
      <c r="R639" s="21">
        <f>IF(Q639="","",Q639*(1+in_GrowthRate)^(YEARFRAC(DATE(2024,6,30),in_AgeToDate)*IF(in_AgeToDate&lt;DATE(2024,6,30),-1,1)+1))</f>
        <v/>
      </c>
      <c r="S639" s="38" t="n">
        <v>0.5643247849073436</v>
      </c>
      <c r="T639" s="43">
        <f>HYPERLINK("https://projects.propublica.org/nonprofits/organizations/470379839/202501219349302265/full","view filing")</f>
        <v/>
      </c>
    </row>
    <row r="640">
      <c r="A640" t="inlineStr">
        <is>
          <t>University Of Nebraska Foundation</t>
        </is>
      </c>
      <c r="B640" s="20" t="inlineStr">
        <is>
          <t>NE</t>
        </is>
      </c>
      <c r="C640" s="42" t="n">
        <v>2.72</v>
      </c>
      <c r="D640" t="inlineStr">
        <is>
          <t>Endowment</t>
        </is>
      </c>
      <c r="E640" s="20" t="n">
        <v>2023</v>
      </c>
      <c r="F640" s="20" t="inlineStr"/>
      <c r="G640" t="inlineStr">
        <is>
          <t>Brian Neale</t>
        </is>
      </c>
      <c r="H640" t="inlineStr">
        <is>
          <t>CHIEF INVESTMENT OFFICER</t>
        </is>
      </c>
      <c r="I640" t="inlineStr">
        <is>
          <t>CIO</t>
        </is>
      </c>
      <c r="J640" s="21" t="n">
        <v>329104</v>
      </c>
      <c r="K640" s="21" t="n">
        <v>6584</v>
      </c>
      <c r="L640" s="21" t="n">
        <v>335688</v>
      </c>
      <c r="M640" s="21" t="n">
        <v>126</v>
      </c>
      <c r="N640" s="21" t="n">
        <v>24400</v>
      </c>
      <c r="O640" s="21" t="n">
        <v>29735</v>
      </c>
      <c r="P640" s="21" t="n">
        <v>389949</v>
      </c>
      <c r="Q640" s="21" t="n">
        <v>389949</v>
      </c>
      <c r="R640" s="21">
        <f>IF(Q640="","",Q640*(1+in_GrowthRate)^(YEARFRAC(DATE(2023,6,30),in_AgeToDate)*IF(in_AgeToDate&lt;DATE(2023,6,30),-1,1)+1))</f>
        <v/>
      </c>
      <c r="S640" s="38" t="n">
        <v>0.02000583402207205</v>
      </c>
      <c r="T640" s="43">
        <f>HYPERLINK("https://projects.propublica.org/nonprofits/organizations/470379839/202421299349304612/full","view filing")</f>
        <v/>
      </c>
    </row>
    <row r="641">
      <c r="A641" t="inlineStr">
        <is>
          <t>University Of Nebraska Foundation</t>
        </is>
      </c>
      <c r="B641" s="20" t="inlineStr">
        <is>
          <t>NE</t>
        </is>
      </c>
      <c r="C641" s="42" t="n">
        <v>2.72</v>
      </c>
      <c r="D641" t="inlineStr">
        <is>
          <t>Endowment</t>
        </is>
      </c>
      <c r="E641" s="20" t="n">
        <v>2022</v>
      </c>
      <c r="F641" s="20" t="inlineStr"/>
      <c r="G641" t="inlineStr">
        <is>
          <t>Brian Neale</t>
        </is>
      </c>
      <c r="H641" t="inlineStr">
        <is>
          <t>CHIEF INVESTMENT OFFICER</t>
        </is>
      </c>
      <c r="I641" t="inlineStr">
        <is>
          <t>CIO</t>
        </is>
      </c>
      <c r="J641" s="21" t="n">
        <v>251919</v>
      </c>
      <c r="K641" s="21" t="n">
        <v>23467</v>
      </c>
      <c r="L641" s="21" t="n">
        <v>275386</v>
      </c>
      <c r="M641" s="21" t="n">
        <v>906</v>
      </c>
      <c r="N641" s="21" t="n">
        <v>21212</v>
      </c>
      <c r="O641" s="21" t="n">
        <v>23063</v>
      </c>
      <c r="P641" s="21" t="n">
        <v>320567</v>
      </c>
      <c r="Q641" s="21" t="n">
        <v>320567</v>
      </c>
      <c r="R641" s="21">
        <f>IF(Q641="","",Q641*(1+in_GrowthRate)^(YEARFRAC(DATE(2022,6,30),in_AgeToDate)*IF(in_AgeToDate&lt;DATE(2022,6,30),-1,1)+1))</f>
        <v/>
      </c>
      <c r="S641" s="38" t="n">
        <v>0.09315295789519647</v>
      </c>
      <c r="T641" s="43">
        <f>HYPERLINK("https://projects.propublica.org/nonprofits/organizations/470379839/202301249349301955/full","view filing")</f>
        <v/>
      </c>
    </row>
    <row r="642">
      <c r="A642" t="inlineStr">
        <is>
          <t>University Of Notre Dame Du Lac</t>
        </is>
      </c>
      <c r="B642" s="20" t="inlineStr">
        <is>
          <t>IN</t>
        </is>
      </c>
      <c r="C642" s="42" t="n">
        <v>20.09</v>
      </c>
      <c r="D642" t="inlineStr">
        <is>
          <t>Endowment</t>
        </is>
      </c>
      <c r="E642" s="20" t="n">
        <v>2024</v>
      </c>
      <c r="F642" s="20" t="inlineStr"/>
      <c r="G642" t="inlineStr">
        <is>
          <t>Michael D Donovan Jd Mba</t>
        </is>
      </c>
      <c r="H642" t="inlineStr">
        <is>
          <t>VP &amp; Chief Investment Officer</t>
        </is>
      </c>
      <c r="I642" t="inlineStr">
        <is>
          <t>CIO</t>
        </is>
      </c>
      <c r="J642" s="21" t="n">
        <v>779167</v>
      </c>
      <c r="K642" s="21" t="n">
        <v>3063494</v>
      </c>
      <c r="L642" s="21" t="n">
        <v>3842661</v>
      </c>
      <c r="M642" s="21" t="n">
        <v>45069</v>
      </c>
      <c r="N642" s="21" t="n">
        <v>33000</v>
      </c>
      <c r="O642" s="21" t="n">
        <v>9367</v>
      </c>
      <c r="P642" s="21" t="n">
        <v>3930097</v>
      </c>
      <c r="Q642" s="21" t="n">
        <v>3930097</v>
      </c>
      <c r="R642" s="21">
        <f>IF(Q642="","",Q642*(1+in_GrowthRate)^(YEARFRAC(DATE(2024,6,30),in_AgeToDate)*IF(in_AgeToDate&lt;DATE(2024,6,30),-1,1)+1))</f>
        <v/>
      </c>
      <c r="S642" s="38" t="n">
        <v>3.931755323313231</v>
      </c>
      <c r="T642" s="43">
        <f>HYPERLINK("https://projects.propublica.org/nonprofits/organizations/350868188/202511349349304776/full","view filing")</f>
        <v/>
      </c>
    </row>
    <row r="643">
      <c r="A643" t="inlineStr">
        <is>
          <t>University Of Notre Dame Du Lac</t>
        </is>
      </c>
      <c r="B643" s="20" t="inlineStr">
        <is>
          <t>IN</t>
        </is>
      </c>
      <c r="C643" s="42" t="n">
        <v>20.09</v>
      </c>
      <c r="D643" t="inlineStr">
        <is>
          <t>Endowment</t>
        </is>
      </c>
      <c r="E643" s="20" t="n">
        <v>2023</v>
      </c>
      <c r="F643" s="20" t="inlineStr"/>
      <c r="G643" t="inlineStr">
        <is>
          <t>Michael D Donovan Jd Mba</t>
        </is>
      </c>
      <c r="H643" t="inlineStr">
        <is>
          <t>VP &amp; Chief Investment Officer</t>
        </is>
      </c>
      <c r="I643" t="inlineStr">
        <is>
          <t>CIO</t>
        </is>
      </c>
      <c r="J643" s="21" t="n">
        <v>707343</v>
      </c>
      <c r="K643" s="21" t="n">
        <v>2428770</v>
      </c>
      <c r="L643" s="21" t="n">
        <v>3136113</v>
      </c>
      <c r="M643" s="21" t="n">
        <v>40834</v>
      </c>
      <c r="N643" s="21" t="n">
        <v>30500</v>
      </c>
      <c r="O643" s="21" t="n">
        <v>9112</v>
      </c>
      <c r="P643" s="21" t="n">
        <v>3216559</v>
      </c>
      <c r="Q643" s="21" t="n">
        <v>3216559</v>
      </c>
      <c r="R643" s="21">
        <f>IF(Q643="","",Q643*(1+in_GrowthRate)^(YEARFRAC(DATE(2023,6,30),in_AgeToDate)*IF(in_AgeToDate&lt;DATE(2023,6,30),-1,1)+1))</f>
        <v/>
      </c>
      <c r="S643" s="38" t="n">
        <v>3.433652414740798</v>
      </c>
      <c r="T643" s="43">
        <f>HYPERLINK("https://projects.propublica.org/nonprofits/organizations/350868188/202411349349301721/full","view filing")</f>
        <v/>
      </c>
    </row>
    <row r="644">
      <c r="A644" t="inlineStr">
        <is>
          <t>University Of Notre Dame Du Lac</t>
        </is>
      </c>
      <c r="B644" s="20" t="inlineStr">
        <is>
          <t>IN</t>
        </is>
      </c>
      <c r="C644" s="42" t="n">
        <v>20.09</v>
      </c>
      <c r="D644" t="inlineStr">
        <is>
          <t>Endowment</t>
        </is>
      </c>
      <c r="E644" s="20" t="n">
        <v>2022</v>
      </c>
      <c r="F644" s="20" t="inlineStr"/>
      <c r="G644" t="inlineStr">
        <is>
          <t>Michael D Donovan Jd Mba</t>
        </is>
      </c>
      <c r="H644" t="inlineStr">
        <is>
          <t>VP &amp; Chief Investment Officer</t>
        </is>
      </c>
      <c r="I644" t="inlineStr">
        <is>
          <t>CIO</t>
        </is>
      </c>
      <c r="J644" s="21" t="n">
        <v>652512</v>
      </c>
      <c r="K644" s="21" t="n">
        <v>2405689</v>
      </c>
      <c r="L644" s="21" t="n">
        <v>3058201</v>
      </c>
      <c r="M644" s="21" t="n">
        <v>36527</v>
      </c>
      <c r="N644" s="21" t="n">
        <v>29000</v>
      </c>
      <c r="O644" s="21" t="n">
        <v>9207</v>
      </c>
      <c r="P644" s="21" t="n">
        <v>3132935</v>
      </c>
      <c r="Q644" s="21" t="n">
        <v>3132935</v>
      </c>
      <c r="R644" s="21">
        <f>IF(Q644="","",Q644*(1+in_GrowthRate)^(YEARFRAC(DATE(2022,6,30),in_AgeToDate)*IF(in_AgeToDate&lt;DATE(2022,6,30),-1,1)+1))</f>
        <v/>
      </c>
      <c r="S644" s="38" t="n">
        <v>3.686811890049531</v>
      </c>
      <c r="T644" s="43">
        <f>HYPERLINK("https://projects.propublica.org/nonprofits/organizations/350868188/202341329349307024/full","view filing")</f>
        <v/>
      </c>
    </row>
    <row r="645">
      <c r="A645" t="inlineStr">
        <is>
          <t>University Of Oklahoma Foundation Inc</t>
        </is>
      </c>
      <c r="B645" s="20" t="inlineStr">
        <is>
          <t>OK</t>
        </is>
      </c>
      <c r="C645" s="42" t="n">
        <v>2.74</v>
      </c>
      <c r="D645" t="inlineStr">
        <is>
          <t>Endowment</t>
        </is>
      </c>
      <c r="E645" s="20" t="n">
        <v>2025</v>
      </c>
      <c r="F645" s="20">
        <f>IF(AND(OR(in_Mode="All Funds",AND(C645&gt;=in_BandFloor,C645&lt;=in_BandCeiling,OR(in_Geography="National",COUNTIFS(lst_GeoPreset,in_Geography,lst_GeoState,B645)&gt;0,AND(in_Geography="Custom",ISNUMBER(SEARCH(B645,SUBSTITUTE(in_CustomStates," ",""))))),OR(AND(D645="Endowment",Inputs!$B$14="Y"),AND(D645="Foundation",Inputs!$B$15="Y"),AND(D645="Healthcare",Inputs!$B$16="Y"),AND(D645="Pension",Inputs!$B$17="Y"),AND(D645="OCIO",Inputs!$B$18="Y"),AND(D645="Other",Inputs!$B$19="Y")))),A645&lt;&gt;in_ClientOrg,NOT(AND(in_ExclHarvard="Y",ISNUMBER(SEARCH("Harvard",A645))))),"Y","")</f>
        <v/>
      </c>
      <c r="G645" t="inlineStr">
        <is>
          <t>Brad Johnson</t>
        </is>
      </c>
      <c r="H645" t="inlineStr">
        <is>
          <t>VICE PRESIDENT AND CIO</t>
        </is>
      </c>
      <c r="I645" t="inlineStr">
        <is>
          <t>CIO</t>
        </is>
      </c>
      <c r="J645" s="21" t="n">
        <v>522042</v>
      </c>
      <c r="K645" s="21" t="n">
        <v>344916</v>
      </c>
      <c r="L645" s="21" t="n">
        <v>866958</v>
      </c>
      <c r="M645" s="21" t="n"/>
      <c r="N645" s="21" t="n">
        <v>45450</v>
      </c>
      <c r="O645" s="21" t="n">
        <v>10084</v>
      </c>
      <c r="P645" s="21" t="n">
        <v>922492</v>
      </c>
      <c r="Q645" s="21" t="n">
        <v>922492</v>
      </c>
      <c r="R645" s="21">
        <f>IF(Q645="","",Q645*(1+in_GrowthRate)^(YEARFRAC(DATE(2025,6,30),in_AgeToDate)*IF(in_AgeToDate&lt;DATE(2025,6,30),-1,1)+1))</f>
        <v/>
      </c>
      <c r="S645" s="38" t="n">
        <v>0.6607054604801913</v>
      </c>
      <c r="T645" s="43">
        <f>HYPERLINK("https://projects.propublica.org/nonprofits/organizations/736091755/202641349349309284/full","view filing")</f>
        <v/>
      </c>
    </row>
    <row r="646">
      <c r="A646" t="inlineStr">
        <is>
          <t>University Of Oklahoma Foundation Inc</t>
        </is>
      </c>
      <c r="B646" s="20" t="inlineStr">
        <is>
          <t>OK</t>
        </is>
      </c>
      <c r="C646" s="42" t="n">
        <v>2.74</v>
      </c>
      <c r="D646" t="inlineStr">
        <is>
          <t>Endowment</t>
        </is>
      </c>
      <c r="E646" s="20" t="n">
        <v>2024</v>
      </c>
      <c r="F646" s="20" t="inlineStr"/>
      <c r="G646" t="inlineStr">
        <is>
          <t>Brad Johnson</t>
        </is>
      </c>
      <c r="H646" t="inlineStr">
        <is>
          <t>VICE PRESIDENT AND CIO</t>
        </is>
      </c>
      <c r="I646" t="inlineStr">
        <is>
          <t>CIO</t>
        </is>
      </c>
      <c r="J646" s="21" t="n">
        <v>460868</v>
      </c>
      <c r="K646" s="21" t="n">
        <v>256412</v>
      </c>
      <c r="L646" s="21" t="n">
        <v>717280</v>
      </c>
      <c r="M646" s="21" t="n">
        <v>16346</v>
      </c>
      <c r="N646" s="21" t="n">
        <v>42900</v>
      </c>
      <c r="O646" s="21" t="n">
        <v>9116</v>
      </c>
      <c r="P646" s="21" t="n">
        <v>785642</v>
      </c>
      <c r="Q646" s="21" t="n">
        <v>785642</v>
      </c>
      <c r="R646" s="21">
        <f>IF(Q646="","",Q646*(1+in_GrowthRate)^(YEARFRAC(DATE(2024,6,30),in_AgeToDate)*IF(in_AgeToDate&lt;DATE(2024,6,30),-1,1)+1))</f>
        <v/>
      </c>
      <c r="S646" s="38" t="n">
        <v>0.556367549927528</v>
      </c>
      <c r="T646" s="43">
        <f>HYPERLINK("https://projects.propublica.org/nonprofits/organizations/736091755/202531349349311293/full","view filing")</f>
        <v/>
      </c>
    </row>
    <row r="647">
      <c r="A647" t="inlineStr">
        <is>
          <t>University Of Oklahoma Foundation Inc</t>
        </is>
      </c>
      <c r="B647" s="20" t="inlineStr">
        <is>
          <t>OK</t>
        </is>
      </c>
      <c r="C647" s="42" t="n">
        <v>2.74</v>
      </c>
      <c r="D647" t="inlineStr">
        <is>
          <t>Endowment</t>
        </is>
      </c>
      <c r="E647" s="20" t="n">
        <v>2023</v>
      </c>
      <c r="F647" s="20" t="inlineStr"/>
      <c r="G647" t="inlineStr">
        <is>
          <t>Brad Johnson</t>
        </is>
      </c>
      <c r="H647" t="inlineStr">
        <is>
          <t>VICE PRESIDENT AND CIO</t>
        </is>
      </c>
      <c r="I647" t="inlineStr">
        <is>
          <t>CIO</t>
        </is>
      </c>
      <c r="J647" s="21" t="n">
        <v>390448</v>
      </c>
      <c r="K647" s="21" t="n">
        <v>277586</v>
      </c>
      <c r="L647" s="21" t="n">
        <v>668034</v>
      </c>
      <c r="M647" s="21" t="n">
        <v>14808</v>
      </c>
      <c r="N647" s="21" t="n">
        <v>40250</v>
      </c>
      <c r="O647" s="21" t="n">
        <v>10011</v>
      </c>
      <c r="P647" s="21" t="n">
        <v>733103</v>
      </c>
      <c r="Q647" s="21" t="n">
        <v>733103</v>
      </c>
      <c r="R647" s="21">
        <f>IF(Q647="","",Q647*(1+in_GrowthRate)^(YEARFRAC(DATE(2023,6,30),in_AgeToDate)*IF(in_AgeToDate&lt;DATE(2023,6,30),-1,1)+1))</f>
        <v/>
      </c>
      <c r="S647" s="38" t="n">
        <v>0.710942302175962</v>
      </c>
      <c r="T647" s="43">
        <f>HYPERLINK("https://projects.propublica.org/nonprofits/organizations/736091755/202431369349315558/full","view filing")</f>
        <v/>
      </c>
    </row>
    <row r="648">
      <c r="A648" t="inlineStr">
        <is>
          <t>University Of Oklahoma Foundation Inc</t>
        </is>
      </c>
      <c r="B648" s="20" t="inlineStr">
        <is>
          <t>OK</t>
        </is>
      </c>
      <c r="C648" s="42" t="n">
        <v>2.74</v>
      </c>
      <c r="D648" t="inlineStr">
        <is>
          <t>Endowment</t>
        </is>
      </c>
      <c r="E648" s="20" t="n">
        <v>2022</v>
      </c>
      <c r="F648" s="20" t="inlineStr"/>
      <c r="G648" t="inlineStr">
        <is>
          <t>Brad Johnson</t>
        </is>
      </c>
      <c r="H648" t="inlineStr">
        <is>
          <t>VICE PRESIDENT AND CIO</t>
        </is>
      </c>
      <c r="I648" t="inlineStr">
        <is>
          <t>CIO</t>
        </is>
      </c>
      <c r="J648" s="21" t="n">
        <v>354765</v>
      </c>
      <c r="K648" s="21" t="n">
        <v>276723</v>
      </c>
      <c r="L648" s="21" t="n">
        <v>631488</v>
      </c>
      <c r="M648" s="21" t="n"/>
      <c r="N648" s="21" t="n">
        <v>38300</v>
      </c>
      <c r="O648" s="21" t="n">
        <v>11887</v>
      </c>
      <c r="P648" s="21" t="n">
        <v>681675</v>
      </c>
      <c r="Q648" s="21" t="n">
        <v>681675</v>
      </c>
      <c r="R648" s="21">
        <f>IF(Q648="","",Q648*(1+in_GrowthRate)^(YEARFRAC(DATE(2022,6,30),in_AgeToDate)*IF(in_AgeToDate&lt;DATE(2022,6,30),-1,1)+1))</f>
        <v/>
      </c>
      <c r="S648" s="38" t="n">
        <v>0.7800177582343242</v>
      </c>
      <c r="T648" s="43">
        <f>HYPERLINK("https://projects.propublica.org/nonprofits/organizations/736091755/202341329349300124/full","view filing")</f>
        <v/>
      </c>
    </row>
    <row r="649">
      <c r="A649" t="inlineStr">
        <is>
          <t>University Of Pittsburgh</t>
        </is>
      </c>
      <c r="B649" s="20" t="inlineStr">
        <is>
          <t>PA</t>
        </is>
      </c>
      <c r="C649" s="42" t="n">
        <v>6.15</v>
      </c>
      <c r="D649" t="inlineStr">
        <is>
          <t>Endowment</t>
        </is>
      </c>
      <c r="E649" s="20" t="n">
        <v>2025</v>
      </c>
      <c r="F649" s="20">
        <f>IF(AND(OR(in_Mode="All Funds",AND(C649&gt;=in_BandFloor,C649&lt;=in_BandCeiling,OR(in_Geography="National",COUNTIFS(lst_GeoPreset,in_Geography,lst_GeoState,B649)&gt;0,AND(in_Geography="Custom",ISNUMBER(SEARCH(B649,SUBSTITUTE(in_CustomStates," ",""))))),OR(AND(D649="Endowment",Inputs!$B$14="Y"),AND(D649="Foundation",Inputs!$B$15="Y"),AND(D649="Healthcare",Inputs!$B$16="Y"),AND(D649="Pension",Inputs!$B$17="Y"),AND(D649="OCIO",Inputs!$B$18="Y"),AND(D649="Other",Inputs!$B$19="Y")))),A649&lt;&gt;in_ClientOrg,NOT(AND(in_ExclHarvard="Y",ISNUMBER(SEARCH("Harvard",A649))))),"Y","")</f>
        <v/>
      </c>
      <c r="G649" t="inlineStr">
        <is>
          <t>Jeffer Choudhry</t>
        </is>
      </c>
      <c r="H649" t="inlineStr">
        <is>
          <t>CHIEF INVESTMENT OFFICER</t>
        </is>
      </c>
      <c r="I649" t="inlineStr">
        <is>
          <t>CIO</t>
        </is>
      </c>
      <c r="J649" s="21" t="n">
        <v>756464</v>
      </c>
      <c r="K649" s="21" t="n">
        <v>1272060</v>
      </c>
      <c r="L649" s="21" t="n">
        <v>2028524</v>
      </c>
      <c r="M649" s="21" t="n">
        <v>9676</v>
      </c>
      <c r="N649" s="21" t="n">
        <v>29409</v>
      </c>
      <c r="O649" s="21" t="n">
        <v>11600</v>
      </c>
      <c r="P649" s="21" t="n">
        <v>2079209</v>
      </c>
      <c r="Q649" s="21" t="n">
        <v>2079209</v>
      </c>
      <c r="R649" s="21">
        <f>IF(Q649="","",Q649*(1+in_GrowthRate)^(YEARFRAC(DATE(2025,6,30),in_AgeToDate)*IF(in_AgeToDate&lt;DATE(2025,6,30),-1,1)+1))</f>
        <v/>
      </c>
      <c r="S649" s="38" t="n">
        <v>1.681586962499207</v>
      </c>
      <c r="T649" s="43">
        <f>HYPERLINK("https://projects.propublica.org/nonprofits/organizations/250965591/202641349349307379/full","view filing")</f>
        <v/>
      </c>
    </row>
    <row r="650">
      <c r="A650" t="inlineStr">
        <is>
          <t>University Of Pittsburgh</t>
        </is>
      </c>
      <c r="B650" s="20" t="inlineStr">
        <is>
          <t>PA</t>
        </is>
      </c>
      <c r="C650" s="42" t="n">
        <v>6.15</v>
      </c>
      <c r="D650" t="inlineStr">
        <is>
          <t>Endowment</t>
        </is>
      </c>
      <c r="E650" s="20" t="n">
        <v>2024</v>
      </c>
      <c r="F650" s="20" t="inlineStr"/>
      <c r="G650" t="inlineStr">
        <is>
          <t>Jeffer Choudhry</t>
        </is>
      </c>
      <c r="H650" t="inlineStr">
        <is>
          <t>CHIEF INVESTMENT OFFICER</t>
        </is>
      </c>
      <c r="I650" t="inlineStr">
        <is>
          <t>CIO</t>
        </is>
      </c>
      <c r="J650" s="21" t="n">
        <v>727469</v>
      </c>
      <c r="K650" s="21" t="n"/>
      <c r="L650" s="21" t="n">
        <v>727469</v>
      </c>
      <c r="M650" s="21" t="n">
        <v>9413</v>
      </c>
      <c r="N650" s="21" t="n">
        <v>21893</v>
      </c>
      <c r="O650" s="21" t="n">
        <v>10466</v>
      </c>
      <c r="P650" s="21" t="n">
        <v>769241</v>
      </c>
      <c r="Q650" s="21" t="n">
        <v>769241</v>
      </c>
      <c r="R650" s="21">
        <f>IF(Q650="","",Q650*(1+in_GrowthRate)^(YEARFRAC(DATE(2024,6,30),in_AgeToDate)*IF(in_AgeToDate&lt;DATE(2024,6,30),-1,1)+1))</f>
        <v/>
      </c>
      <c r="S650" s="38" t="n">
        <v>0</v>
      </c>
      <c r="T650" s="43">
        <f>HYPERLINK("https://projects.propublica.org/nonprofits/organizations/250965591/202521359349308187/full","view filing")</f>
        <v/>
      </c>
    </row>
    <row r="651">
      <c r="A651" t="inlineStr">
        <is>
          <t>University Of Pittsburgh</t>
        </is>
      </c>
      <c r="B651" s="20" t="inlineStr">
        <is>
          <t>PA</t>
        </is>
      </c>
      <c r="C651" s="42" t="n">
        <v>6.15</v>
      </c>
      <c r="D651" t="inlineStr">
        <is>
          <t>Endowment</t>
        </is>
      </c>
      <c r="E651" s="20" t="n">
        <v>2023</v>
      </c>
      <c r="F651" s="20" t="inlineStr"/>
      <c r="G651" t="inlineStr">
        <is>
          <t>Jeffer Choudhry</t>
        </is>
      </c>
      <c r="H651" t="inlineStr">
        <is>
          <t>CHIEF INVESTMENT OFFICER</t>
        </is>
      </c>
      <c r="I651" t="inlineStr">
        <is>
          <t>CIO</t>
        </is>
      </c>
      <c r="J651" s="21" t="n">
        <v>598854</v>
      </c>
      <c r="K651" s="21" t="n">
        <v>740000</v>
      </c>
      <c r="L651" s="21" t="n">
        <v>1338854</v>
      </c>
      <c r="M651" s="21" t="n">
        <v>2050</v>
      </c>
      <c r="N651" s="21" t="n">
        <v>14000</v>
      </c>
      <c r="O651" s="21" t="n">
        <v>8475</v>
      </c>
      <c r="P651" s="21" t="n">
        <v>1363379</v>
      </c>
      <c r="Q651" s="21" t="n">
        <v>1363379</v>
      </c>
      <c r="R651" s="21">
        <f>IF(Q651="","",Q651*(1+in_GrowthRate)^(YEARFRAC(DATE(2023,6,30),in_AgeToDate)*IF(in_AgeToDate&lt;DATE(2023,6,30),-1,1)+1))</f>
        <v/>
      </c>
      <c r="S651" s="38" t="n">
        <v>1.235693507933486</v>
      </c>
      <c r="T651" s="43">
        <f>HYPERLINK("https://projects.propublica.org/nonprofits/organizations/250965591/202421359349308157/full","view filing")</f>
        <v/>
      </c>
    </row>
    <row r="652">
      <c r="A652" t="inlineStr">
        <is>
          <t>University Of Richmond</t>
        </is>
      </c>
      <c r="B652" s="20" t="inlineStr">
        <is>
          <t>VA</t>
        </is>
      </c>
      <c r="C652" s="42" t="n">
        <v>5.9</v>
      </c>
      <c r="D652" t="inlineStr">
        <is>
          <t>Endowment</t>
        </is>
      </c>
      <c r="E652" s="20" t="n">
        <v>2025</v>
      </c>
      <c r="F652" s="20">
        <f>IF(AND(OR(in_Mode="All Funds",AND(C652&gt;=in_BandFloor,C652&lt;=in_BandCeiling,OR(in_Geography="National",COUNTIFS(lst_GeoPreset,in_Geography,lst_GeoState,B652)&gt;0,AND(in_Geography="Custom",ISNUMBER(SEARCH(B652,SUBSTITUTE(in_CustomStates," ",""))))),OR(AND(D652="Endowment",Inputs!$B$14="Y"),AND(D652="Foundation",Inputs!$B$15="Y"),AND(D652="Healthcare",Inputs!$B$16="Y"),AND(D652="Pension",Inputs!$B$17="Y"),AND(D652="OCIO",Inputs!$B$18="Y"),AND(D652="Other",Inputs!$B$19="Y")))),A652&lt;&gt;in_ClientOrg,NOT(AND(in_ExclHarvard="Y",ISNUMBER(SEARCH("Harvard",A652))))),"Y","")</f>
        <v/>
      </c>
      <c r="G652" t="inlineStr">
        <is>
          <t>William Mclean</t>
        </is>
      </c>
      <c r="H652" t="inlineStr">
        <is>
          <t>PRESIDENT AND CIO, SMC</t>
        </is>
      </c>
      <c r="I652" t="inlineStr">
        <is>
          <t>CIO</t>
        </is>
      </c>
      <c r="J652" s="21" t="n">
        <v>994643</v>
      </c>
      <c r="K652" s="21" t="n">
        <v>325000</v>
      </c>
      <c r="L652" s="21" t="n">
        <v>1319643</v>
      </c>
      <c r="M652" s="21" t="n">
        <v>1058637</v>
      </c>
      <c r="N652" s="21" t="n">
        <v>469955</v>
      </c>
      <c r="O652" s="21" t="n">
        <v>19618</v>
      </c>
      <c r="P652" s="21" t="n">
        <v>2867853</v>
      </c>
      <c r="Q652" s="21" t="n">
        <v>1833005</v>
      </c>
      <c r="R652" s="21">
        <f>IF(Q652="","",Q652*(1+in_GrowthRate)^(YEARFRAC(DATE(2025,6,30),in_AgeToDate)*IF(in_AgeToDate&lt;DATE(2025,6,30),-1,1)+1))</f>
        <v/>
      </c>
      <c r="S652" s="38" t="n">
        <v>0.3267504019029943</v>
      </c>
      <c r="T652" s="43">
        <f>HYPERLINK("https://projects.propublica.org/nonprofits/organizations/540505965/202621349349310067/full","view filing")</f>
        <v/>
      </c>
    </row>
    <row r="653">
      <c r="A653" t="inlineStr">
        <is>
          <t>University Of Richmond</t>
        </is>
      </c>
      <c r="B653" s="20" t="inlineStr">
        <is>
          <t>VA</t>
        </is>
      </c>
      <c r="C653" s="42" t="n">
        <v>5.9</v>
      </c>
      <c r="D653" t="inlineStr">
        <is>
          <t>Endowment</t>
        </is>
      </c>
      <c r="E653" s="20" t="n">
        <v>2024</v>
      </c>
      <c r="F653" s="20" t="inlineStr"/>
      <c r="G653" t="inlineStr">
        <is>
          <t>William Mclean</t>
        </is>
      </c>
      <c r="H653" t="inlineStr">
        <is>
          <t>PRESIDENT AND CIO, SMC</t>
        </is>
      </c>
      <c r="I653" t="inlineStr">
        <is>
          <t>CIO</t>
        </is>
      </c>
      <c r="J653" s="21" t="n">
        <v>994898</v>
      </c>
      <c r="K653" s="21" t="n">
        <v>1300000</v>
      </c>
      <c r="L653" s="21" t="n">
        <v>2294898</v>
      </c>
      <c r="M653" s="21" t="n">
        <v>229</v>
      </c>
      <c r="N653" s="21" t="n">
        <v>394623</v>
      </c>
      <c r="O653" s="21" t="n">
        <v>18617</v>
      </c>
      <c r="P653" s="21" t="n">
        <v>2708367</v>
      </c>
      <c r="Q653" s="21" t="n">
        <v>2708367</v>
      </c>
      <c r="R653" s="21">
        <f>IF(Q653="","",Q653*(1+in_GrowthRate)^(YEARFRAC(DATE(2024,6,30),in_AgeToDate)*IF(in_AgeToDate&lt;DATE(2024,6,30),-1,1)+1))</f>
        <v/>
      </c>
      <c r="S653" s="38" t="n">
        <v>1.306666613059831</v>
      </c>
      <c r="T653" s="43">
        <f>HYPERLINK("https://projects.propublica.org/nonprofits/organizations/540505965/202511339349306036/full","view filing")</f>
        <v/>
      </c>
    </row>
    <row r="654">
      <c r="A654" t="inlineStr">
        <is>
          <t>University Of Richmond</t>
        </is>
      </c>
      <c r="B654" s="20" t="inlineStr">
        <is>
          <t>VA</t>
        </is>
      </c>
      <c r="C654" s="42" t="n">
        <v>5.9</v>
      </c>
      <c r="D654" t="inlineStr">
        <is>
          <t>Endowment</t>
        </is>
      </c>
      <c r="E654" s="20" t="n">
        <v>2023</v>
      </c>
      <c r="F654" s="20" t="inlineStr"/>
      <c r="G654" t="inlineStr">
        <is>
          <t>William Mclean</t>
        </is>
      </c>
      <c r="H654" t="inlineStr">
        <is>
          <t>PRESIDENT AND CIO, SMC</t>
        </is>
      </c>
      <c r="I654" t="inlineStr">
        <is>
          <t>CIO</t>
        </is>
      </c>
      <c r="J654" s="21" t="n">
        <v>995187</v>
      </c>
      <c r="K654" s="21" t="n">
        <v>1250000</v>
      </c>
      <c r="L654" s="21" t="n">
        <v>2245187</v>
      </c>
      <c r="M654" s="21" t="n">
        <v>229</v>
      </c>
      <c r="N654" s="21" t="n">
        <v>1039710</v>
      </c>
      <c r="O654" s="21" t="n">
        <v>17511</v>
      </c>
      <c r="P654" s="21" t="n">
        <v>3302637</v>
      </c>
      <c r="Q654" s="21" t="n">
        <v>3302637</v>
      </c>
      <c r="R654" s="21">
        <f>IF(Q654="","",Q654*(1+in_GrowthRate)^(YEARFRAC(DATE(2023,6,30),in_AgeToDate)*IF(in_AgeToDate&lt;DATE(2023,6,30),-1,1)+1))</f>
        <v/>
      </c>
      <c r="S654" s="38" t="n">
        <v>1.256045346251508</v>
      </c>
      <c r="T654" s="43">
        <f>HYPERLINK("https://projects.propublica.org/nonprofits/organizations/540505965/202431349349307603/full","view filing")</f>
        <v/>
      </c>
    </row>
    <row r="655">
      <c r="A655" t="inlineStr">
        <is>
          <t>University Of Richmond</t>
        </is>
      </c>
      <c r="B655" s="20" t="inlineStr">
        <is>
          <t>VA</t>
        </is>
      </c>
      <c r="C655" s="42" t="n">
        <v>5.9</v>
      </c>
      <c r="D655" t="inlineStr">
        <is>
          <t>Endowment</t>
        </is>
      </c>
      <c r="E655" s="20" t="n">
        <v>2022</v>
      </c>
      <c r="F655" s="20" t="inlineStr"/>
      <c r="G655" t="inlineStr">
        <is>
          <t>Robin Blandford</t>
        </is>
      </c>
      <c r="H655" t="inlineStr">
        <is>
          <t>CEO, SMC</t>
        </is>
      </c>
      <c r="I655" t="inlineStr">
        <is>
          <t>CEO (Inv Entity)</t>
        </is>
      </c>
      <c r="J655" s="21" t="n">
        <v>681832</v>
      </c>
      <c r="K655" s="21" t="n">
        <v>1151620</v>
      </c>
      <c r="L655" s="21" t="n">
        <v>1833452</v>
      </c>
      <c r="M655" s="21" t="n">
        <v>396</v>
      </c>
      <c r="N655" s="21" t="n">
        <v>29169</v>
      </c>
      <c r="O655" s="21" t="n">
        <v>20187</v>
      </c>
      <c r="P655" s="21" t="n">
        <v>1883204</v>
      </c>
      <c r="Q655" s="21" t="n">
        <v>1883204</v>
      </c>
      <c r="R655" s="21">
        <f>IF(Q655="","",Q655*(1+in_GrowthRate)^(YEARFRAC(DATE(2022,6,30),in_AgeToDate)*IF(in_AgeToDate&lt;DATE(2022,6,30),-1,1)+1))</f>
        <v/>
      </c>
      <c r="S655" s="38" t="n">
        <v>1.689008436095695</v>
      </c>
      <c r="T655" s="43">
        <f>HYPERLINK("https://projects.propublica.org/nonprofits/organizations/540505965/202331359349300218/full","view filing")</f>
        <v/>
      </c>
    </row>
    <row r="656">
      <c r="A656" t="inlineStr">
        <is>
          <t>University Of Rochester</t>
        </is>
      </c>
      <c r="B656" s="20" t="inlineStr">
        <is>
          <t>NY</t>
        </is>
      </c>
      <c r="C656" s="42" t="n">
        <v>3.24</v>
      </c>
      <c r="D656" t="inlineStr">
        <is>
          <t>Endowment</t>
        </is>
      </c>
      <c r="E656" s="20" t="n">
        <v>2025</v>
      </c>
      <c r="F656" s="20">
        <f>IF(AND(OR(in_Mode="All Funds",AND(C656&gt;=in_BandFloor,C656&lt;=in_BandCeiling,OR(in_Geography="National",COUNTIFS(lst_GeoPreset,in_Geography,lst_GeoState,B656)&gt;0,AND(in_Geography="Custom",ISNUMBER(SEARCH(B656,SUBSTITUTE(in_CustomStates," ",""))))),OR(AND(D656="Endowment",Inputs!$B$14="Y"),AND(D656="Foundation",Inputs!$B$15="Y"),AND(D656="Healthcare",Inputs!$B$16="Y"),AND(D656="Pension",Inputs!$B$17="Y"),AND(D656="OCIO",Inputs!$B$18="Y"),AND(D656="Other",Inputs!$B$19="Y")))),A656&lt;&gt;in_ClientOrg,NOT(AND(in_ExclHarvard="Y",ISNUMBER(SEARCH("Harvard",A656))))),"Y","")</f>
        <v/>
      </c>
      <c r="G656" t="inlineStr">
        <is>
          <t>Douglas W Phillips</t>
        </is>
      </c>
      <c r="H656" t="inlineStr">
        <is>
          <t>SRVP &amp; CHIEF INVESTMENT OFFICER</t>
        </is>
      </c>
      <c r="I656" t="inlineStr">
        <is>
          <t>CIO</t>
        </is>
      </c>
      <c r="J656" s="21" t="n">
        <v>1012248</v>
      </c>
      <c r="K656" s="21" t="n"/>
      <c r="L656" s="21" t="n">
        <v>1012248</v>
      </c>
      <c r="M656" s="21" t="n">
        <v>23000</v>
      </c>
      <c r="N656" s="21" t="n">
        <v>33430</v>
      </c>
      <c r="O656" s="21" t="n">
        <v>28861</v>
      </c>
      <c r="P656" s="21" t="n">
        <v>1097539</v>
      </c>
      <c r="Q656" s="21" t="n">
        <v>1097539</v>
      </c>
      <c r="R656" s="21">
        <f>IF(Q656="","",Q656*(1+in_GrowthRate)^(YEARFRAC(DATE(2025,6,30),in_AgeToDate)*IF(in_AgeToDate&lt;DATE(2025,6,30),-1,1)+1))</f>
        <v/>
      </c>
      <c r="S656" s="38" t="n">
        <v>0</v>
      </c>
      <c r="T656" s="43">
        <f>HYPERLINK("https://projects.propublica.org/nonprofits/organizations/160743209/202621349349307382/full","view filing")</f>
        <v/>
      </c>
    </row>
    <row r="657">
      <c r="A657" t="inlineStr">
        <is>
          <t>University Of Rochester</t>
        </is>
      </c>
      <c r="B657" s="20" t="inlineStr">
        <is>
          <t>NY</t>
        </is>
      </c>
      <c r="C657" s="42" t="n">
        <v>3.24</v>
      </c>
      <c r="D657" t="inlineStr">
        <is>
          <t>Endowment</t>
        </is>
      </c>
      <c r="E657" s="20" t="n">
        <v>2024</v>
      </c>
      <c r="F657" s="20" t="inlineStr"/>
      <c r="G657" t="inlineStr">
        <is>
          <t>Douglas W Phillips</t>
        </is>
      </c>
      <c r="H657" t="inlineStr">
        <is>
          <t>SRVP &amp; CHIEF INVESTMENT OFCR</t>
        </is>
      </c>
      <c r="I657" t="inlineStr">
        <is>
          <t>CIO</t>
        </is>
      </c>
      <c r="J657" s="21" t="n">
        <v>983353</v>
      </c>
      <c r="K657" s="21" t="n"/>
      <c r="L657" s="21" t="n">
        <v>983353</v>
      </c>
      <c r="M657" s="21" t="n">
        <v>22500</v>
      </c>
      <c r="N657" s="21" t="n">
        <v>31937</v>
      </c>
      <c r="O657" s="21" t="n">
        <v>28039</v>
      </c>
      <c r="P657" s="21" t="n">
        <v>1065829</v>
      </c>
      <c r="Q657" s="21" t="n">
        <v>1065829</v>
      </c>
      <c r="R657" s="21">
        <f>IF(Q657="","",Q657*(1+in_GrowthRate)^(YEARFRAC(DATE(2024,6,30),in_AgeToDate)*IF(in_AgeToDate&lt;DATE(2024,6,30),-1,1)+1))</f>
        <v/>
      </c>
      <c r="S657" s="38" t="n">
        <v>0</v>
      </c>
      <c r="T657" s="43">
        <f>HYPERLINK("https://projects.propublica.org/nonprofits/organizations/160743209/202521359349317402/full","view filing")</f>
        <v/>
      </c>
    </row>
    <row r="658">
      <c r="A658" t="inlineStr">
        <is>
          <t>University Of Rochester</t>
        </is>
      </c>
      <c r="B658" s="20" t="inlineStr">
        <is>
          <t>NY</t>
        </is>
      </c>
      <c r="C658" s="42" t="n">
        <v>3.24</v>
      </c>
      <c r="D658" t="inlineStr">
        <is>
          <t>Endowment</t>
        </is>
      </c>
      <c r="E658" s="20" t="n">
        <v>2023</v>
      </c>
      <c r="F658" s="20" t="inlineStr"/>
      <c r="G658" t="inlineStr">
        <is>
          <t>Douglas W Phillips</t>
        </is>
      </c>
      <c r="H658" t="inlineStr">
        <is>
          <t>SRVP &amp; CHIEF INVESTMENT OFCR</t>
        </is>
      </c>
      <c r="I658" t="inlineStr">
        <is>
          <t>CIO</t>
        </is>
      </c>
      <c r="J658" s="21" t="n">
        <v>883976</v>
      </c>
      <c r="K658" s="21" t="n"/>
      <c r="L658" s="21" t="n">
        <v>883976</v>
      </c>
      <c r="M658" s="21" t="n">
        <v>20500</v>
      </c>
      <c r="N658" s="21" t="n">
        <v>29312</v>
      </c>
      <c r="O658" s="21" t="n">
        <v>26252</v>
      </c>
      <c r="P658" s="21" t="n">
        <v>960040</v>
      </c>
      <c r="Q658" s="21" t="n">
        <v>960040</v>
      </c>
      <c r="R658" s="21">
        <f>IF(Q658="","",Q658*(1+in_GrowthRate)^(YEARFRAC(DATE(2023,6,30),in_AgeToDate)*IF(in_AgeToDate&lt;DATE(2023,6,30),-1,1)+1))</f>
        <v/>
      </c>
      <c r="S658" s="38" t="n">
        <v>0</v>
      </c>
      <c r="T658" s="43">
        <f>HYPERLINK("https://projects.propublica.org/nonprofits/organizations/160743209/202411369349308096/full","view filing")</f>
        <v/>
      </c>
    </row>
    <row r="659">
      <c r="A659" t="inlineStr">
        <is>
          <t>University Of Rochester</t>
        </is>
      </c>
      <c r="B659" s="20" t="inlineStr">
        <is>
          <t>NY</t>
        </is>
      </c>
      <c r="C659" s="42" t="n">
        <v>3.24</v>
      </c>
      <c r="D659" t="inlineStr">
        <is>
          <t>Endowment</t>
        </is>
      </c>
      <c r="E659" s="20" t="n">
        <v>2022</v>
      </c>
      <c r="F659" s="20" t="inlineStr"/>
      <c r="G659" t="inlineStr">
        <is>
          <t>Douglas W Phillips</t>
        </is>
      </c>
      <c r="H659" t="inlineStr">
        <is>
          <t>SRVP &amp; CHIEF INVESTMENT OFCR</t>
        </is>
      </c>
      <c r="I659" t="inlineStr">
        <is>
          <t>CIO</t>
        </is>
      </c>
      <c r="J659" s="21" t="n">
        <v>819537</v>
      </c>
      <c r="K659" s="21" t="n"/>
      <c r="L659" s="21" t="n">
        <v>819537</v>
      </c>
      <c r="M659" s="21" t="n">
        <v>19500</v>
      </c>
      <c r="N659" s="21" t="n">
        <v>33601</v>
      </c>
      <c r="O659" s="21" t="n">
        <v>25285</v>
      </c>
      <c r="P659" s="21" t="n">
        <v>897923</v>
      </c>
      <c r="Q659" s="21" t="n">
        <v>897923</v>
      </c>
      <c r="R659" s="21">
        <f>IF(Q659="","",Q659*(1+in_GrowthRate)^(YEARFRAC(DATE(2022,6,30),in_AgeToDate)*IF(in_AgeToDate&lt;DATE(2022,6,30),-1,1)+1))</f>
        <v/>
      </c>
      <c r="S659" s="38" t="n">
        <v>0</v>
      </c>
      <c r="T659" s="43">
        <f>HYPERLINK("https://projects.propublica.org/nonprofits/organizations/160743209/202331329349307748/full","view filing")</f>
        <v/>
      </c>
    </row>
    <row r="660">
      <c r="A660" t="inlineStr">
        <is>
          <t>University Of Southern California</t>
        </is>
      </c>
      <c r="B660" s="20" t="inlineStr">
        <is>
          <t>CA</t>
        </is>
      </c>
      <c r="C660" s="42" t="n">
        <v>9.029999999999999</v>
      </c>
      <c r="D660" t="inlineStr">
        <is>
          <t>Endowment</t>
        </is>
      </c>
      <c r="E660" s="20" t="n">
        <v>2025</v>
      </c>
      <c r="F660" s="20">
        <f>IF(AND(OR(in_Mode="All Funds",AND(C660&gt;=in_BandFloor,C660&lt;=in_BandCeiling,OR(in_Geography="National",COUNTIFS(lst_GeoPreset,in_Geography,lst_GeoState,B660)&gt;0,AND(in_Geography="Custom",ISNUMBER(SEARCH(B660,SUBSTITUTE(in_CustomStates," ",""))))),OR(AND(D660="Endowment",Inputs!$B$14="Y"),AND(D660="Foundation",Inputs!$B$15="Y"),AND(D660="Healthcare",Inputs!$B$16="Y"),AND(D660="Pension",Inputs!$B$17="Y"),AND(D660="OCIO",Inputs!$B$18="Y"),AND(D660="Other",Inputs!$B$19="Y")))),A660&lt;&gt;in_ClientOrg,NOT(AND(in_ExclHarvard="Y",ISNUMBER(SEARCH("Harvard",A660))))),"Y","")</f>
        <v/>
      </c>
      <c r="G660" t="inlineStr">
        <is>
          <t>Amy Diamond</t>
        </is>
      </c>
      <c r="H660" t="inlineStr">
        <is>
          <t>CHIEF INVESTMENT OFFICER</t>
        </is>
      </c>
      <c r="I660" t="inlineStr">
        <is>
          <t>CIO</t>
        </is>
      </c>
      <c r="J660" s="21" t="n">
        <v>981008</v>
      </c>
      <c r="K660" s="21" t="n">
        <v>693334</v>
      </c>
      <c r="L660" s="21" t="n">
        <v>1674342</v>
      </c>
      <c r="M660" s="21" t="n">
        <v>283607</v>
      </c>
      <c r="N660" s="21" t="n">
        <v>284500</v>
      </c>
      <c r="O660" s="21" t="n">
        <v>58413</v>
      </c>
      <c r="P660" s="21" t="n">
        <v>2300862</v>
      </c>
      <c r="Q660" s="21" t="n">
        <v>1917893</v>
      </c>
      <c r="R660" s="21">
        <f>IF(Q660="","",Q660*(1+in_GrowthRate)^(YEARFRAC(DATE(2025,6,30),in_AgeToDate)*IF(in_AgeToDate&lt;DATE(2025,6,30),-1,1)+1))</f>
        <v/>
      </c>
      <c r="S660" s="38" t="n">
        <v>0.7067567236964428</v>
      </c>
      <c r="T660" s="43">
        <f>HYPERLINK("https://projects.propublica.org/nonprofits/organizations/951642394/202641359349304574/full","view filing")</f>
        <v/>
      </c>
    </row>
    <row r="661">
      <c r="A661" t="inlineStr">
        <is>
          <t>University Of Southern California</t>
        </is>
      </c>
      <c r="B661" s="20" t="inlineStr">
        <is>
          <t>CA</t>
        </is>
      </c>
      <c r="C661" s="42" t="n">
        <v>9.029999999999999</v>
      </c>
      <c r="D661" t="inlineStr">
        <is>
          <t>Endowment</t>
        </is>
      </c>
      <c r="E661" s="20" t="n">
        <v>2024</v>
      </c>
      <c r="F661" s="20" t="inlineStr"/>
      <c r="G661" t="inlineStr">
        <is>
          <t>Amy Diamond</t>
        </is>
      </c>
      <c r="H661" t="inlineStr">
        <is>
          <t>CHIEF INVESTMENT OFFICER</t>
        </is>
      </c>
      <c r="I661" t="inlineStr">
        <is>
          <t>CIO</t>
        </is>
      </c>
      <c r="J661" s="21" t="n">
        <v>926150</v>
      </c>
      <c r="K661" s="21" t="n">
        <v>440225</v>
      </c>
      <c r="L661" s="21" t="n">
        <v>1366375</v>
      </c>
      <c r="M661" s="21" t="n">
        <v>251624</v>
      </c>
      <c r="N661" s="21" t="n">
        <v>322750</v>
      </c>
      <c r="O661" s="21" t="n">
        <v>35153</v>
      </c>
      <c r="P661" s="21" t="n">
        <v>1975902</v>
      </c>
      <c r="Q661" s="21" t="n">
        <v>1975902</v>
      </c>
      <c r="R661" s="21">
        <f>IF(Q661="","",Q661*(1+in_GrowthRate)^(YEARFRAC(DATE(2024,6,30),in_AgeToDate)*IF(in_AgeToDate&lt;DATE(2024,6,30),-1,1)+1))</f>
        <v/>
      </c>
      <c r="S661" s="38" t="n">
        <v>0.4753279706311073</v>
      </c>
      <c r="T661" s="43">
        <f>HYPERLINK("https://projects.propublica.org/nonprofits/organizations/951642394/202521359349301822/full","view filing")</f>
        <v/>
      </c>
    </row>
    <row r="662">
      <c r="A662" t="inlineStr">
        <is>
          <t>University Of Southern California</t>
        </is>
      </c>
      <c r="B662" s="20" t="inlineStr">
        <is>
          <t>CA</t>
        </is>
      </c>
      <c r="C662" s="42" t="n">
        <v>9.029999999999999</v>
      </c>
      <c r="D662" t="inlineStr">
        <is>
          <t>Endowment</t>
        </is>
      </c>
      <c r="E662" s="20" t="n">
        <v>2023</v>
      </c>
      <c r="F662" s="20" t="inlineStr"/>
      <c r="G662" t="inlineStr">
        <is>
          <t>Amy Diamond</t>
        </is>
      </c>
      <c r="H662" t="inlineStr">
        <is>
          <t>CHIEF INVESTMENT OFFICER</t>
        </is>
      </c>
      <c r="I662" t="inlineStr">
        <is>
          <t>CIO</t>
        </is>
      </c>
      <c r="J662" s="21" t="n">
        <v>849541</v>
      </c>
      <c r="K662" s="21" t="n">
        <v>382969</v>
      </c>
      <c r="L662" s="21" t="n">
        <v>1232510</v>
      </c>
      <c r="M662" s="21" t="n">
        <v>150784</v>
      </c>
      <c r="N662" s="21" t="n">
        <v>413469</v>
      </c>
      <c r="O662" s="21" t="n">
        <v>33059</v>
      </c>
      <c r="P662" s="21" t="n">
        <v>1829822</v>
      </c>
      <c r="Q662" s="21" t="n">
        <v>1592322</v>
      </c>
      <c r="R662" s="21">
        <f>IF(Q662="","",Q662*(1+in_GrowthRate)^(YEARFRAC(DATE(2023,6,30),in_AgeToDate)*IF(in_AgeToDate&lt;DATE(2023,6,30),-1,1)+1))</f>
        <v/>
      </c>
      <c r="S662" s="38" t="n">
        <v>0.4507951941107021</v>
      </c>
      <c r="T662" s="43">
        <f>HYPERLINK("https://projects.propublica.org/nonprofits/organizations/951642394/202421369349305377/full","view filing")</f>
        <v/>
      </c>
    </row>
    <row r="663">
      <c r="A663" t="inlineStr">
        <is>
          <t>University Of Southern California</t>
        </is>
      </c>
      <c r="B663" s="20" t="inlineStr">
        <is>
          <t>CA</t>
        </is>
      </c>
      <c r="C663" s="42" t="n">
        <v>9.029999999999999</v>
      </c>
      <c r="D663" t="inlineStr">
        <is>
          <t>Endowment</t>
        </is>
      </c>
      <c r="E663" s="20" t="n">
        <v>2022</v>
      </c>
      <c r="F663" s="20" t="inlineStr"/>
      <c r="G663" t="inlineStr">
        <is>
          <t>Amy Diamond</t>
        </is>
      </c>
      <c r="H663" t="inlineStr">
        <is>
          <t>CHIEF INVESTMENT OFFICER</t>
        </is>
      </c>
      <c r="I663" t="inlineStr">
        <is>
          <t>CIO</t>
        </is>
      </c>
      <c r="J663" s="21" t="n">
        <v>808917</v>
      </c>
      <c r="K663" s="21" t="n">
        <v>963280</v>
      </c>
      <c r="L663" s="21" t="n">
        <v>1772197</v>
      </c>
      <c r="M663" s="21" t="n">
        <v>69412</v>
      </c>
      <c r="N663" s="21" t="n">
        <v>237500</v>
      </c>
      <c r="O663" s="21" t="n">
        <v>20876</v>
      </c>
      <c r="P663" s="21" t="n">
        <v>2099985</v>
      </c>
      <c r="Q663" s="21" t="n">
        <v>2099985</v>
      </c>
      <c r="R663" s="21">
        <f>IF(Q663="","",Q663*(1+in_GrowthRate)^(YEARFRAC(DATE(2022,6,30),in_AgeToDate)*IF(in_AgeToDate&lt;DATE(2022,6,30),-1,1)+1))</f>
        <v/>
      </c>
      <c r="S663" s="38" t="n">
        <v>1.190826747367159</v>
      </c>
      <c r="T663" s="43">
        <f>HYPERLINK("https://projects.propublica.org/nonprofits/organizations/951642394/202341359349303724/full","view filing")</f>
        <v/>
      </c>
    </row>
    <row r="664">
      <c r="A664" t="inlineStr">
        <is>
          <t>University Of St Thomas</t>
        </is>
      </c>
      <c r="B664" s="20" t="inlineStr">
        <is>
          <t>MN</t>
        </is>
      </c>
      <c r="C664" s="42" t="n">
        <v>0.79</v>
      </c>
      <c r="D664" t="inlineStr">
        <is>
          <t>Endowment</t>
        </is>
      </c>
      <c r="E664" s="20" t="n">
        <v>2025</v>
      </c>
      <c r="F664" s="20">
        <f>IF(AND(OR(in_Mode="All Funds",AND(C664&gt;=in_BandFloor,C664&lt;=in_BandCeiling,OR(in_Geography="National",COUNTIFS(lst_GeoPreset,in_Geography,lst_GeoState,B664)&gt;0,AND(in_Geography="Custom",ISNUMBER(SEARCH(B664,SUBSTITUTE(in_CustomStates," ",""))))),OR(AND(D664="Endowment",Inputs!$B$14="Y"),AND(D664="Foundation",Inputs!$B$15="Y"),AND(D664="Healthcare",Inputs!$B$16="Y"),AND(D664="Pension",Inputs!$B$17="Y"),AND(D664="OCIO",Inputs!$B$18="Y"),AND(D664="Other",Inputs!$B$19="Y")))),A664&lt;&gt;in_ClientOrg,NOT(AND(in_ExclHarvard="Y",ISNUMBER(SEARCH("Harvard",A664))))),"Y","")</f>
        <v/>
      </c>
      <c r="G664" t="inlineStr">
        <is>
          <t>Sonali Dalal</t>
        </is>
      </c>
      <c r="H664" t="inlineStr">
        <is>
          <t>VICE PRESIDENT AND CHIEF INVESTMENT OFFICER</t>
        </is>
      </c>
      <c r="I664" t="inlineStr">
        <is>
          <t>CIO</t>
        </is>
      </c>
      <c r="J664" s="21" t="n">
        <v>407253</v>
      </c>
      <c r="K664" s="21" t="n">
        <v>280000</v>
      </c>
      <c r="L664" s="21" t="n">
        <v>687253</v>
      </c>
      <c r="M664" s="21" t="n">
        <v>414</v>
      </c>
      <c r="N664" s="21" t="n">
        <v>32430</v>
      </c>
      <c r="O664" s="21" t="n">
        <v>14407</v>
      </c>
      <c r="P664" s="21" t="n">
        <v>734504</v>
      </c>
      <c r="Q664" s="21" t="n">
        <v>734504</v>
      </c>
      <c r="R664" s="21">
        <f>IF(Q664="","",Q664*(1+in_GrowthRate)^(YEARFRAC(DATE(2025,6,30),in_AgeToDate)*IF(in_AgeToDate&lt;DATE(2025,6,30),-1,1)+1))</f>
        <v/>
      </c>
      <c r="S664" s="38" t="n">
        <v>0.6875333023943347</v>
      </c>
      <c r="T664" s="43">
        <f>HYPERLINK("https://projects.propublica.org/nonprofits/organizations/410693970/202611349349311061/full","view filing")</f>
        <v/>
      </c>
    </row>
    <row r="665">
      <c r="A665" t="inlineStr">
        <is>
          <t>University Of St Thomas</t>
        </is>
      </c>
      <c r="B665" s="20" t="inlineStr">
        <is>
          <t>MN</t>
        </is>
      </c>
      <c r="C665" s="42" t="n">
        <v>0.79</v>
      </c>
      <c r="D665" t="inlineStr">
        <is>
          <t>Endowment</t>
        </is>
      </c>
      <c r="E665" s="20" t="n">
        <v>2024</v>
      </c>
      <c r="F665" s="20" t="inlineStr"/>
      <c r="G665" t="inlineStr">
        <is>
          <t>Sonali Dalal</t>
        </is>
      </c>
      <c r="H665" t="inlineStr">
        <is>
          <t>VICE PRESIDENT AND CHIEF INVESTMENT OFFICER</t>
        </is>
      </c>
      <c r="I665" t="inlineStr">
        <is>
          <t>CIO</t>
        </is>
      </c>
      <c r="J665" s="21" t="n">
        <v>399551</v>
      </c>
      <c r="K665" s="21" t="n">
        <v>300000</v>
      </c>
      <c r="L665" s="21" t="n">
        <v>699551</v>
      </c>
      <c r="M665" s="21" t="n">
        <v>414</v>
      </c>
      <c r="N665" s="21" t="n">
        <v>13406</v>
      </c>
      <c r="O665" s="21" t="n">
        <v>14233</v>
      </c>
      <c r="P665" s="21" t="n">
        <v>727604</v>
      </c>
      <c r="Q665" s="21" t="n">
        <v>727604</v>
      </c>
      <c r="R665" s="21">
        <f>IF(Q665="","",Q665*(1+in_GrowthRate)^(YEARFRAC(DATE(2024,6,30),in_AgeToDate)*IF(in_AgeToDate&lt;DATE(2024,6,30),-1,1)+1))</f>
        <v/>
      </c>
      <c r="S665" s="38" t="n">
        <v>0.7508428210666473</v>
      </c>
      <c r="T665" s="43">
        <f>HYPERLINK("https://projects.propublica.org/nonprofits/organizations/410693970/202521359349311627/full","view filing")</f>
        <v/>
      </c>
    </row>
    <row r="666">
      <c r="A666" t="inlineStr">
        <is>
          <t>University Of Virginia Investment Management Company</t>
        </is>
      </c>
      <c r="B666" s="20" t="inlineStr">
        <is>
          <t>VA</t>
        </is>
      </c>
      <c r="C666" s="42" t="n">
        <v>15.5</v>
      </c>
      <c r="D666" t="inlineStr">
        <is>
          <t>Endowment</t>
        </is>
      </c>
      <c r="E666" s="20" t="n">
        <v>2025</v>
      </c>
      <c r="F666" s="20">
        <f>IF(AND(OR(in_Mode="All Funds",AND(C666&gt;=in_BandFloor,C666&lt;=in_BandCeiling,OR(in_Geography="National",COUNTIFS(lst_GeoPreset,in_Geography,lst_GeoState,B666)&gt;0,AND(in_Geography="Custom",ISNUMBER(SEARCH(B666,SUBSTITUTE(in_CustomStates," ",""))))),OR(AND(D666="Endowment",Inputs!$B$14="Y"),AND(D666="Foundation",Inputs!$B$15="Y"),AND(D666="Healthcare",Inputs!$B$16="Y"),AND(D666="Pension",Inputs!$B$17="Y"),AND(D666="OCIO",Inputs!$B$18="Y"),AND(D666="Other",Inputs!$B$19="Y")))),A666&lt;&gt;in_ClientOrg,NOT(AND(in_ExclHarvard="Y",ISNUMBER(SEARCH("Harvard",A666))))),"Y","")</f>
        <v/>
      </c>
      <c r="G666" t="inlineStr">
        <is>
          <t>Robert W Durden</t>
        </is>
      </c>
      <c r="H666" t="inlineStr">
        <is>
          <t>CEO/CIO</t>
        </is>
      </c>
      <c r="I666" t="inlineStr">
        <is>
          <t>CIO</t>
        </is>
      </c>
      <c r="J666" s="21" t="n">
        <v>838545</v>
      </c>
      <c r="K666" s="21" t="n">
        <v>766767</v>
      </c>
      <c r="L666" s="21" t="n">
        <v>1605312</v>
      </c>
      <c r="M666" s="21" t="n">
        <v>2310588</v>
      </c>
      <c r="N666" s="21" t="n">
        <v>1069213</v>
      </c>
      <c r="O666" s="21" t="n">
        <v>29454</v>
      </c>
      <c r="P666" s="21" t="n">
        <v>5014567</v>
      </c>
      <c r="Q666" s="21" t="n">
        <v>2879894</v>
      </c>
      <c r="R666" s="21">
        <f>IF(Q666="","",Q666*(1+in_GrowthRate)^(YEARFRAC(DATE(2025,6,30),in_AgeToDate)*IF(in_AgeToDate&lt;DATE(2025,6,30),-1,1)+1))</f>
        <v/>
      </c>
      <c r="S666" s="38" t="n">
        <v>0.9144017315707564</v>
      </c>
      <c r="T666" s="43">
        <f>HYPERLINK("https://projects.propublica.org/nonprofits/organizations/562462804/202611359349306486/full","view filing")</f>
        <v/>
      </c>
    </row>
    <row r="667">
      <c r="A667" t="inlineStr">
        <is>
          <t>University Of Virginia Investment Management Company</t>
        </is>
      </c>
      <c r="B667" s="20" t="inlineStr">
        <is>
          <t>VA</t>
        </is>
      </c>
      <c r="C667" s="42" t="n">
        <v>15.5</v>
      </c>
      <c r="D667" t="inlineStr">
        <is>
          <t>Endowment</t>
        </is>
      </c>
      <c r="E667" s="20" t="n">
        <v>2024</v>
      </c>
      <c r="F667" s="20" t="inlineStr"/>
      <c r="G667" t="inlineStr">
        <is>
          <t>Robert W Durden</t>
        </is>
      </c>
      <c r="H667" t="inlineStr">
        <is>
          <t>CEO/CIO</t>
        </is>
      </c>
      <c r="I667" t="inlineStr">
        <is>
          <t>CIO</t>
        </is>
      </c>
      <c r="J667" s="21" t="n">
        <v>789103</v>
      </c>
      <c r="K667" s="21" t="n">
        <v>150000</v>
      </c>
      <c r="L667" s="21" t="n">
        <v>939103</v>
      </c>
      <c r="M667" s="21" t="n">
        <v>3534639</v>
      </c>
      <c r="N667" s="21" t="n">
        <v>2303665</v>
      </c>
      <c r="O667" s="21" t="n">
        <v>27961</v>
      </c>
      <c r="P667" s="21" t="n">
        <v>6805368</v>
      </c>
      <c r="Q667" s="21" t="n">
        <v>4456425</v>
      </c>
      <c r="R667" s="21">
        <f>IF(Q667="","",Q667*(1+in_GrowthRate)^(YEARFRAC(DATE(2024,6,30),in_AgeToDate)*IF(in_AgeToDate&lt;DATE(2024,6,30),-1,1)+1))</f>
        <v/>
      </c>
      <c r="S667" s="38" t="n">
        <v>0.1900892532407049</v>
      </c>
      <c r="T667" s="43">
        <f>HYPERLINK("https://projects.propublica.org/nonprofits/organizations/562462804/202521359349304017/full","view filing")</f>
        <v/>
      </c>
    </row>
    <row r="668">
      <c r="A668" t="inlineStr">
        <is>
          <t>University Of Virginia Investment Management Company</t>
        </is>
      </c>
      <c r="B668" s="20" t="inlineStr">
        <is>
          <t>VA</t>
        </is>
      </c>
      <c r="C668" s="42" t="n">
        <v>15.5</v>
      </c>
      <c r="D668" t="inlineStr">
        <is>
          <t>Endowment</t>
        </is>
      </c>
      <c r="E668" s="20" t="n">
        <v>2023</v>
      </c>
      <c r="F668" s="20" t="inlineStr"/>
      <c r="G668" t="inlineStr">
        <is>
          <t>Robert W Durden</t>
        </is>
      </c>
      <c r="H668" t="inlineStr">
        <is>
          <t>CEO/CIO</t>
        </is>
      </c>
      <c r="I668" t="inlineStr">
        <is>
          <t>CIO</t>
        </is>
      </c>
      <c r="J668" s="21" t="n">
        <v>732054</v>
      </c>
      <c r="K668" s="21" t="n">
        <v>245000</v>
      </c>
      <c r="L668" s="21" t="n">
        <v>977054</v>
      </c>
      <c r="M668" s="21" t="n">
        <v>3306073</v>
      </c>
      <c r="N668" s="21" t="n">
        <v>2031720</v>
      </c>
      <c r="O668" s="21" t="n">
        <v>26365</v>
      </c>
      <c r="P668" s="21" t="n">
        <v>6341212</v>
      </c>
      <c r="Q668" s="21" t="n">
        <v>4336161</v>
      </c>
      <c r="R668" s="21">
        <f>IF(Q668="","",Q668*(1+in_GrowthRate)^(YEARFRAC(DATE(2023,6,30),in_AgeToDate)*IF(in_AgeToDate&lt;DATE(2023,6,30),-1,1)+1))</f>
        <v/>
      </c>
      <c r="S668" s="38" t="n">
        <v>0.3346747644299464</v>
      </c>
      <c r="T668" s="43">
        <f>HYPERLINK("https://projects.propublica.org/nonprofits/organizations/562462804/202401359349311605/full","view filing")</f>
        <v/>
      </c>
    </row>
    <row r="669">
      <c r="A669" t="inlineStr">
        <is>
          <t>University Of Virginia Investment Management Company</t>
        </is>
      </c>
      <c r="B669" s="20" t="inlineStr">
        <is>
          <t>VA</t>
        </is>
      </c>
      <c r="C669" s="42" t="n">
        <v>15.5</v>
      </c>
      <c r="D669" t="inlineStr">
        <is>
          <t>Endowment</t>
        </is>
      </c>
      <c r="E669" s="20" t="n">
        <v>2022</v>
      </c>
      <c r="F669" s="20" t="inlineStr"/>
      <c r="G669" t="inlineStr">
        <is>
          <t>Robert W Durden</t>
        </is>
      </c>
      <c r="H669" t="inlineStr">
        <is>
          <t>CEO/CIO</t>
        </is>
      </c>
      <c r="I669" t="inlineStr">
        <is>
          <t>CIO</t>
        </is>
      </c>
      <c r="J669" s="21" t="n">
        <v>682154</v>
      </c>
      <c r="K669" s="21" t="n">
        <v>150000</v>
      </c>
      <c r="L669" s="21" t="n">
        <v>832154</v>
      </c>
      <c r="M669" s="21" t="n">
        <v>2320941</v>
      </c>
      <c r="N669" s="21" t="n">
        <v>2418046</v>
      </c>
      <c r="O669" s="21" t="n">
        <v>25946</v>
      </c>
      <c r="P669" s="21" t="n">
        <v>5597087</v>
      </c>
      <c r="Q669" s="21" t="n">
        <v>4852645</v>
      </c>
      <c r="R669" s="21">
        <f>IF(Q669="","",Q669*(1+in_GrowthRate)^(YEARFRAC(DATE(2022,6,30),in_AgeToDate)*IF(in_AgeToDate&lt;DATE(2022,6,30),-1,1)+1))</f>
        <v/>
      </c>
      <c r="S669" s="38" t="n">
        <v>0.2198916960099919</v>
      </c>
      <c r="T669" s="43">
        <f>HYPERLINK("https://projects.propublica.org/nonprofits/organizations/562462804/202321359349316167/full","view filing")</f>
        <v/>
      </c>
    </row>
    <row r="670">
      <c r="A670" t="inlineStr">
        <is>
          <t>University Of Wisconsin Foundation</t>
        </is>
      </c>
      <c r="B670" s="20" t="inlineStr">
        <is>
          <t>WI</t>
        </is>
      </c>
      <c r="C670" s="42" t="n">
        <v>4.92</v>
      </c>
      <c r="D670" t="inlineStr">
        <is>
          <t>Endowment</t>
        </is>
      </c>
      <c r="E670" s="20" t="n">
        <v>2025</v>
      </c>
      <c r="F670" s="20">
        <f>IF(AND(OR(in_Mode="All Funds",AND(C670&gt;=in_BandFloor,C670&lt;=in_BandCeiling,OR(in_Geography="National",COUNTIFS(lst_GeoPreset,in_Geography,lst_GeoState,B670)&gt;0,AND(in_Geography="Custom",ISNUMBER(SEARCH(B670,SUBSTITUTE(in_CustomStates," ",""))))),OR(AND(D670="Endowment",Inputs!$B$14="Y"),AND(D670="Foundation",Inputs!$B$15="Y"),AND(D670="Healthcare",Inputs!$B$16="Y"),AND(D670="Pension",Inputs!$B$17="Y"),AND(D670="OCIO",Inputs!$B$18="Y"),AND(D670="Other",Inputs!$B$19="Y")))),A670&lt;&gt;in_ClientOrg,NOT(AND(in_ExclHarvard="Y",ISNUMBER(SEARCH("Harvard",A670))))),"Y","")</f>
        <v/>
      </c>
      <c r="G670" t="inlineStr">
        <is>
          <t>Michael L Stohler</t>
        </is>
      </c>
      <c r="H670" t="inlineStr">
        <is>
          <t>CIO</t>
        </is>
      </c>
      <c r="I670" t="inlineStr">
        <is>
          <t>CIO</t>
        </is>
      </c>
      <c r="J670" s="21" t="n">
        <v>1009083</v>
      </c>
      <c r="K670" s="21" t="n">
        <v>933803</v>
      </c>
      <c r="L670" s="21" t="n">
        <v>1942886</v>
      </c>
      <c r="M670" s="21" t="n">
        <v>690</v>
      </c>
      <c r="N670" s="21" t="n">
        <v>34500</v>
      </c>
      <c r="O670" s="21" t="n">
        <v>20698</v>
      </c>
      <c r="P670" s="21" t="n">
        <v>1998774</v>
      </c>
      <c r="Q670" s="21" t="n">
        <v>1998774</v>
      </c>
      <c r="R670" s="21">
        <f>IF(Q670="","",Q670*(1+in_GrowthRate)^(YEARFRAC(DATE(2025,6,30),in_AgeToDate)*IF(in_AgeToDate&lt;DATE(2025,6,30),-1,1)+1))</f>
        <v/>
      </c>
      <c r="S670" s="38" t="n">
        <v>0.9253976134767903</v>
      </c>
      <c r="T670" s="43">
        <f>HYPERLINK("https://projects.propublica.org/nonprofits/organizations/390743975/202601359349303645/full","view filing")</f>
        <v/>
      </c>
    </row>
    <row r="671">
      <c r="A671" t="inlineStr">
        <is>
          <t>University Of Wisconsin Foundation</t>
        </is>
      </c>
      <c r="B671" s="20" t="inlineStr">
        <is>
          <t>WI</t>
        </is>
      </c>
      <c r="C671" s="42" t="n">
        <v>4.92</v>
      </c>
      <c r="D671" t="inlineStr">
        <is>
          <t>Endowment</t>
        </is>
      </c>
      <c r="E671" s="20" t="n">
        <v>2024</v>
      </c>
      <c r="F671" s="20" t="inlineStr"/>
      <c r="G671" t="inlineStr">
        <is>
          <t>Michael L Stohler</t>
        </is>
      </c>
      <c r="H671" t="inlineStr">
        <is>
          <t>CIO</t>
        </is>
      </c>
      <c r="I671" t="inlineStr">
        <is>
          <t>CIO</t>
        </is>
      </c>
      <c r="J671" s="21" t="n">
        <v>850954</v>
      </c>
      <c r="K671" s="21" t="n">
        <v>718817</v>
      </c>
      <c r="L671" s="21" t="n">
        <v>1569771</v>
      </c>
      <c r="M671" s="21" t="n">
        <v>450</v>
      </c>
      <c r="N671" s="21" t="n">
        <v>33000</v>
      </c>
      <c r="O671" s="21" t="n">
        <v>19456</v>
      </c>
      <c r="P671" s="21" t="n">
        <v>1622677</v>
      </c>
      <c r="Q671" s="21" t="n">
        <v>1622677</v>
      </c>
      <c r="R671" s="21">
        <f>IF(Q671="","",Q671*(1+in_GrowthRate)^(YEARFRAC(DATE(2024,6,30),in_AgeToDate)*IF(in_AgeToDate&lt;DATE(2024,6,30),-1,1)+1))</f>
        <v/>
      </c>
      <c r="S671" s="38" t="n">
        <v>0.8447189859851414</v>
      </c>
      <c r="T671" s="43">
        <f>HYPERLINK("https://projects.propublica.org/nonprofits/organizations/390743975/202511339349302751/full","view filing")</f>
        <v/>
      </c>
    </row>
    <row r="672">
      <c r="A672" t="inlineStr">
        <is>
          <t>University Of Wisconsin Foundation</t>
        </is>
      </c>
      <c r="B672" s="20" t="inlineStr">
        <is>
          <t>WI</t>
        </is>
      </c>
      <c r="C672" s="42" t="n">
        <v>4.92</v>
      </c>
      <c r="D672" t="inlineStr">
        <is>
          <t>Endowment</t>
        </is>
      </c>
      <c r="E672" s="20" t="n">
        <v>2023</v>
      </c>
      <c r="F672" s="20" t="inlineStr"/>
      <c r="G672" t="inlineStr">
        <is>
          <t>Michael L Stohler</t>
        </is>
      </c>
      <c r="H672" t="inlineStr">
        <is>
          <t>CIO</t>
        </is>
      </c>
      <c r="I672" t="inlineStr">
        <is>
          <t>CIO</t>
        </is>
      </c>
      <c r="J672" s="21" t="n">
        <v>645049</v>
      </c>
      <c r="K672" s="21" t="n">
        <v>529125</v>
      </c>
      <c r="L672" s="21" t="n">
        <v>1174174</v>
      </c>
      <c r="M672" s="21" t="n">
        <v>450</v>
      </c>
      <c r="N672" s="21" t="n">
        <v>19338</v>
      </c>
      <c r="O672" s="21" t="n">
        <v>18299</v>
      </c>
      <c r="P672" s="21" t="n">
        <v>1212261</v>
      </c>
      <c r="Q672" s="21" t="n">
        <v>1212261</v>
      </c>
      <c r="R672" s="21">
        <f>IF(Q672="","",Q672*(1+in_GrowthRate)^(YEARFRAC(DATE(2023,6,30),in_AgeToDate)*IF(in_AgeToDate&lt;DATE(2023,6,30),-1,1)+1))</f>
        <v/>
      </c>
      <c r="S672" s="38" t="n">
        <v>0.8202865208689573</v>
      </c>
      <c r="T672" s="43">
        <f>HYPERLINK("https://projects.propublica.org/nonprofits/organizations/390743975/202411349349307346/full","view filing")</f>
        <v/>
      </c>
    </row>
    <row r="673">
      <c r="A673" t="inlineStr">
        <is>
          <t>University Of Wisconsin Foundation</t>
        </is>
      </c>
      <c r="B673" s="20" t="inlineStr">
        <is>
          <t>WI</t>
        </is>
      </c>
      <c r="C673" s="42" t="n">
        <v>4.92</v>
      </c>
      <c r="D673" t="inlineStr">
        <is>
          <t>Endowment</t>
        </is>
      </c>
      <c r="E673" s="20" t="n">
        <v>2022</v>
      </c>
      <c r="F673" s="20" t="inlineStr"/>
      <c r="G673" t="inlineStr">
        <is>
          <t>Thomas P Olson</t>
        </is>
      </c>
      <c r="H673" t="inlineStr">
        <is>
          <t>CIO - PRIVATE MARKETS</t>
        </is>
      </c>
      <c r="I673" t="inlineStr">
        <is>
          <t>CIO</t>
        </is>
      </c>
      <c r="J673" s="21" t="n">
        <v>447766</v>
      </c>
      <c r="K673" s="21" t="n">
        <v>90088</v>
      </c>
      <c r="L673" s="21" t="n">
        <v>537854</v>
      </c>
      <c r="M673" s="21" t="n">
        <v>1290</v>
      </c>
      <c r="N673" s="21" t="n">
        <v>29000</v>
      </c>
      <c r="O673" s="21" t="n">
        <v>23176</v>
      </c>
      <c r="P673" s="21" t="n">
        <v>591320</v>
      </c>
      <c r="Q673" s="21" t="n">
        <v>591320</v>
      </c>
      <c r="R673" s="21">
        <f>IF(Q673="","",Q673*(1+in_GrowthRate)^(YEARFRAC(DATE(2022,6,30),in_AgeToDate)*IF(in_AgeToDate&lt;DATE(2022,6,30),-1,1)+1))</f>
        <v/>
      </c>
      <c r="S673" s="38" t="n">
        <v>0.201194373847054</v>
      </c>
      <c r="T673" s="43">
        <f>HYPERLINK("https://projects.propublica.org/nonprofits/organizations/390743975/202341359349304714/full","view filing")</f>
        <v/>
      </c>
    </row>
    <row r="674">
      <c r="A674" t="inlineStr">
        <is>
          <t>University Of Wyoming Foundation</t>
        </is>
      </c>
      <c r="B674" s="20" t="inlineStr">
        <is>
          <t>WY</t>
        </is>
      </c>
      <c r="C674" s="42" t="n">
        <v>0.88</v>
      </c>
      <c r="D674" t="inlineStr">
        <is>
          <t>Endowment</t>
        </is>
      </c>
      <c r="E674" s="20" t="n">
        <v>2025</v>
      </c>
      <c r="F674" s="20">
        <f>IF(AND(OR(in_Mode="All Funds",AND(C674&gt;=in_BandFloor,C674&lt;=in_BandCeiling,OR(in_Geography="National",COUNTIFS(lst_GeoPreset,in_Geography,lst_GeoState,B674)&gt;0,AND(in_Geography="Custom",ISNUMBER(SEARCH(B674,SUBSTITUTE(in_CustomStates," ",""))))),OR(AND(D674="Endowment",Inputs!$B$14="Y"),AND(D674="Foundation",Inputs!$B$15="Y"),AND(D674="Healthcare",Inputs!$B$16="Y"),AND(D674="Pension",Inputs!$B$17="Y"),AND(D674="OCIO",Inputs!$B$18="Y"),AND(D674="Other",Inputs!$B$19="Y")))),A674&lt;&gt;in_ClientOrg,NOT(AND(in_ExclHarvard="Y",ISNUMBER(SEARCH("Harvard",A674))))),"Y","")</f>
        <v/>
      </c>
      <c r="G674" t="inlineStr">
        <is>
          <t>Philip Treick</t>
        </is>
      </c>
      <c r="H674" t="inlineStr">
        <is>
          <t>CHIEF INVESTMENT OFFICER</t>
        </is>
      </c>
      <c r="I674" t="inlineStr">
        <is>
          <t>CIO</t>
        </is>
      </c>
      <c r="J674" s="21" t="n">
        <v>317490</v>
      </c>
      <c r="K674" s="21" t="n"/>
      <c r="L674" s="21" t="n">
        <v>317490</v>
      </c>
      <c r="M674" s="21" t="n"/>
      <c r="N674" s="21" t="n"/>
      <c r="O674" s="21" t="n"/>
      <c r="P674" s="21" t="n">
        <v>317490</v>
      </c>
      <c r="Q674" s="21" t="n">
        <v>317490</v>
      </c>
      <c r="R674" s="21">
        <f>IF(Q674="","",Q674*(1+in_GrowthRate)^(YEARFRAC(DATE(2025,6,30),in_AgeToDate)*IF(in_AgeToDate&lt;DATE(2025,6,30),-1,1)+1))</f>
        <v/>
      </c>
      <c r="S674" s="38" t="n">
        <v>0</v>
      </c>
      <c r="T674" s="43">
        <f>HYPERLINK("https://projects.propublica.org/nonprofits/organizations/830201971/202611279349302871/full","view filing")</f>
        <v/>
      </c>
    </row>
    <row r="675">
      <c r="A675" t="inlineStr">
        <is>
          <t>University Of Wyoming Foundation</t>
        </is>
      </c>
      <c r="B675" s="20" t="inlineStr">
        <is>
          <t>WY</t>
        </is>
      </c>
      <c r="C675" s="42" t="n">
        <v>0.88</v>
      </c>
      <c r="D675" t="inlineStr">
        <is>
          <t>Endowment</t>
        </is>
      </c>
      <c r="E675" s="20" t="n">
        <v>2024</v>
      </c>
      <c r="F675" s="20" t="inlineStr"/>
      <c r="G675" t="inlineStr">
        <is>
          <t>Philip Treick</t>
        </is>
      </c>
      <c r="H675" t="inlineStr">
        <is>
          <t>CHIEF INVESTMENT OFFICER</t>
        </is>
      </c>
      <c r="I675" t="inlineStr">
        <is>
          <t>CIO</t>
        </is>
      </c>
      <c r="J675" s="21" t="n">
        <v>312122</v>
      </c>
      <c r="K675" s="21" t="n"/>
      <c r="L675" s="21" t="n">
        <v>312122</v>
      </c>
      <c r="M675" s="21" t="n"/>
      <c r="N675" s="21" t="n"/>
      <c r="O675" s="21" t="n"/>
      <c r="P675" s="21" t="n">
        <v>312122</v>
      </c>
      <c r="Q675" s="21" t="n">
        <v>312122</v>
      </c>
      <c r="R675" s="21">
        <f>IF(Q675="","",Q675*(1+in_GrowthRate)^(YEARFRAC(DATE(2024,6,30),in_AgeToDate)*IF(in_AgeToDate&lt;DATE(2024,6,30),-1,1)+1))</f>
        <v/>
      </c>
      <c r="S675" s="38" t="n">
        <v>0</v>
      </c>
      <c r="T675" s="43">
        <f>HYPERLINK("https://projects.propublica.org/nonprofits/organizations/830201971/202510159349301696/full","view filing")</f>
        <v/>
      </c>
    </row>
    <row r="676">
      <c r="A676" t="inlineStr">
        <is>
          <t>University Of Wyoming Foundation</t>
        </is>
      </c>
      <c r="B676" s="20" t="inlineStr">
        <is>
          <t>WY</t>
        </is>
      </c>
      <c r="C676" s="42" t="n">
        <v>0.88</v>
      </c>
      <c r="D676" t="inlineStr">
        <is>
          <t>Endowment</t>
        </is>
      </c>
      <c r="E676" s="20" t="n">
        <v>2023</v>
      </c>
      <c r="F676" s="20" t="inlineStr"/>
      <c r="G676" t="inlineStr">
        <is>
          <t>Philip Treick</t>
        </is>
      </c>
      <c r="H676" t="inlineStr">
        <is>
          <t>CHIEF INVESTMENT OFFICER</t>
        </is>
      </c>
      <c r="I676" t="inlineStr">
        <is>
          <t>CIO</t>
        </is>
      </c>
      <c r="J676" s="21" t="n">
        <v>303377</v>
      </c>
      <c r="K676" s="21" t="n"/>
      <c r="L676" s="21" t="n">
        <v>303377</v>
      </c>
      <c r="M676" s="21" t="n"/>
      <c r="N676" s="21" t="n">
        <v>43213</v>
      </c>
      <c r="O676" s="21" t="n"/>
      <c r="P676" s="21" t="n">
        <v>346590</v>
      </c>
      <c r="Q676" s="21" t="n">
        <v>346590</v>
      </c>
      <c r="R676" s="21">
        <f>IF(Q676="","",Q676*(1+in_GrowthRate)^(YEARFRAC(DATE(2023,6,30),in_AgeToDate)*IF(in_AgeToDate&lt;DATE(2023,6,30),-1,1)+1))</f>
        <v/>
      </c>
      <c r="S676" s="38" t="n">
        <v>0</v>
      </c>
      <c r="T676" s="43">
        <f>HYPERLINK("https://projects.propublica.org/nonprofits/organizations/830201971/202410309349300211/full","view filing")</f>
        <v/>
      </c>
    </row>
    <row r="677">
      <c r="A677" t="inlineStr">
        <is>
          <t>University Of Wyoming Foundation</t>
        </is>
      </c>
      <c r="B677" s="20" t="inlineStr">
        <is>
          <t>WY</t>
        </is>
      </c>
      <c r="C677" s="42" t="n">
        <v>0.88</v>
      </c>
      <c r="D677" t="inlineStr">
        <is>
          <t>Endowment</t>
        </is>
      </c>
      <c r="E677" s="20" t="n">
        <v>2022</v>
      </c>
      <c r="F677" s="20" t="inlineStr"/>
      <c r="G677" t="inlineStr">
        <is>
          <t>Philip Treick</t>
        </is>
      </c>
      <c r="H677" t="inlineStr">
        <is>
          <t>CHIEF INVESTMENT OFFICER</t>
        </is>
      </c>
      <c r="I677" t="inlineStr">
        <is>
          <t>CIO</t>
        </is>
      </c>
      <c r="J677" s="21" t="n">
        <v>303377</v>
      </c>
      <c r="K677" s="21" t="n"/>
      <c r="L677" s="21" t="n">
        <v>303377</v>
      </c>
      <c r="M677" s="21" t="n"/>
      <c r="N677" s="21" t="n"/>
      <c r="O677" s="21" t="n"/>
      <c r="P677" s="21" t="n">
        <v>303377</v>
      </c>
      <c r="Q677" s="21" t="n">
        <v>303377</v>
      </c>
      <c r="R677" s="21">
        <f>IF(Q677="","",Q677*(1+in_GrowthRate)^(YEARFRAC(DATE(2022,6,30),in_AgeToDate)*IF(in_AgeToDate&lt;DATE(2022,6,30),-1,1)+1))</f>
        <v/>
      </c>
      <c r="S677" s="38" t="n">
        <v>0</v>
      </c>
      <c r="T677" s="43">
        <f>HYPERLINK("https://projects.propublica.org/nonprofits/organizations/830201971/202331359349313123/full","view filing")</f>
        <v/>
      </c>
    </row>
    <row r="678">
      <c r="A678" t="inlineStr">
        <is>
          <t>Vanderbilt University</t>
        </is>
      </c>
      <c r="B678" s="20" t="inlineStr">
        <is>
          <t>TN</t>
        </is>
      </c>
      <c r="C678" s="42" t="n">
        <v>10.86</v>
      </c>
      <c r="D678" t="inlineStr">
        <is>
          <t>Endowment</t>
        </is>
      </c>
      <c r="E678" s="20" t="n">
        <v>2025</v>
      </c>
      <c r="F678" s="20">
        <f>IF(AND(OR(in_Mode="All Funds",AND(C678&gt;=in_BandFloor,C678&lt;=in_BandCeiling,OR(in_Geography="National",COUNTIFS(lst_GeoPreset,in_Geography,lst_GeoState,B678)&gt;0,AND(in_Geography="Custom",ISNUMBER(SEARCH(B678,SUBSTITUTE(in_CustomStates," ",""))))),OR(AND(D678="Endowment",Inputs!$B$14="Y"),AND(D678="Foundation",Inputs!$B$15="Y"),AND(D678="Healthcare",Inputs!$B$16="Y"),AND(D678="Pension",Inputs!$B$17="Y"),AND(D678="OCIO",Inputs!$B$18="Y"),AND(D678="Other",Inputs!$B$19="Y")))),A678&lt;&gt;in_ClientOrg,NOT(AND(in_ExclHarvard="Y",ISNUMBER(SEARCH("Harvard",A678))))),"Y","")</f>
        <v/>
      </c>
      <c r="G678" t="inlineStr">
        <is>
          <t>Anders W Hall</t>
        </is>
      </c>
      <c r="H678" t="inlineStr">
        <is>
          <t>Vice Chancellor for Investments and Chief Investment Officer</t>
        </is>
      </c>
      <c r="I678" t="inlineStr">
        <is>
          <t>CIO</t>
        </is>
      </c>
      <c r="J678" s="21" t="n">
        <v>1081252</v>
      </c>
      <c r="K678" s="21" t="n">
        <v>2530491</v>
      </c>
      <c r="L678" s="21" t="n">
        <v>3611743</v>
      </c>
      <c r="M678" s="21" t="n">
        <v>2136234</v>
      </c>
      <c r="N678" s="21" t="n">
        <v>2625958</v>
      </c>
      <c r="O678" s="21" t="n">
        <v>53460</v>
      </c>
      <c r="P678" s="21" t="n">
        <v>8427395</v>
      </c>
      <c r="Q678" s="21" t="n">
        <v>6313213</v>
      </c>
      <c r="R678" s="21">
        <f>IF(Q678="","",Q678*(1+in_GrowthRate)^(YEARFRAC(DATE(2025,6,30),in_AgeToDate)*IF(in_AgeToDate&lt;DATE(2025,6,30),-1,1)+1))</f>
        <v/>
      </c>
      <c r="S678" s="38" t="n">
        <v>2.340334168168013</v>
      </c>
      <c r="T678" s="43">
        <f>HYPERLINK("https://projects.propublica.org/nonprofits/organizations/620476822/202621319349302052/full","view filing")</f>
        <v/>
      </c>
    </row>
    <row r="679">
      <c r="A679" t="inlineStr">
        <is>
          <t>Vanderbilt University</t>
        </is>
      </c>
      <c r="B679" s="20" t="inlineStr">
        <is>
          <t>TN</t>
        </is>
      </c>
      <c r="C679" s="42" t="n">
        <v>10.86</v>
      </c>
      <c r="D679" t="inlineStr">
        <is>
          <t>Endowment</t>
        </is>
      </c>
      <c r="E679" s="20" t="n">
        <v>2024</v>
      </c>
      <c r="F679" s="20" t="inlineStr"/>
      <c r="G679" t="inlineStr">
        <is>
          <t>Anders W Hall</t>
        </is>
      </c>
      <c r="H679" t="inlineStr">
        <is>
          <t>Vice Chancellor for Investments and Chief Investment Officer</t>
        </is>
      </c>
      <c r="I679" t="inlineStr">
        <is>
          <t>CIO</t>
        </is>
      </c>
      <c r="J679" s="21" t="n">
        <v>1040180</v>
      </c>
      <c r="K679" s="21" t="n">
        <v>2431425</v>
      </c>
      <c r="L679" s="21" t="n">
        <v>3471605</v>
      </c>
      <c r="M679" s="21" t="n">
        <v>2529906</v>
      </c>
      <c r="N679" s="21" t="n">
        <v>2161563</v>
      </c>
      <c r="O679" s="21" t="n">
        <v>82919</v>
      </c>
      <c r="P679" s="21" t="n">
        <v>8245993</v>
      </c>
      <c r="Q679" s="21" t="n">
        <v>6496543</v>
      </c>
      <c r="R679" s="21">
        <f>IF(Q679="","",Q679*(1+in_GrowthRate)^(YEARFRAC(DATE(2024,6,30),in_AgeToDate)*IF(in_AgeToDate&lt;DATE(2024,6,30),-1,1)+1))</f>
        <v/>
      </c>
      <c r="S679" s="38" t="n">
        <v>2.337504085831299</v>
      </c>
      <c r="T679" s="43">
        <f>HYPERLINK("https://projects.propublica.org/nonprofits/organizations/620476822/202501279349301815/full","view filing")</f>
        <v/>
      </c>
    </row>
    <row r="680">
      <c r="A680" t="inlineStr">
        <is>
          <t>Vanderbilt University</t>
        </is>
      </c>
      <c r="B680" s="20" t="inlineStr">
        <is>
          <t>TN</t>
        </is>
      </c>
      <c r="C680" s="42" t="n">
        <v>10.86</v>
      </c>
      <c r="D680" t="inlineStr">
        <is>
          <t>Endowment</t>
        </is>
      </c>
      <c r="E680" s="20" t="n">
        <v>2023</v>
      </c>
      <c r="F680" s="20" t="inlineStr"/>
      <c r="G680" t="inlineStr">
        <is>
          <t>Anders W Hall</t>
        </is>
      </c>
      <c r="H680" t="inlineStr">
        <is>
          <t>Vice Chancellor for Investments and Chief Investment Officer</t>
        </is>
      </c>
      <c r="I680" t="inlineStr">
        <is>
          <t>CIO</t>
        </is>
      </c>
      <c r="J680" s="21" t="n">
        <v>1043352</v>
      </c>
      <c r="K680" s="21" t="n">
        <v>3659938</v>
      </c>
      <c r="L680" s="21" t="n">
        <v>4703290</v>
      </c>
      <c r="M680" s="21" t="n">
        <v>52421</v>
      </c>
      <c r="N680" s="21" t="n">
        <v>1561873</v>
      </c>
      <c r="O680" s="21" t="n">
        <v>33135</v>
      </c>
      <c r="P680" s="21" t="n">
        <v>6350719</v>
      </c>
      <c r="Q680" s="21" t="n">
        <v>5456636</v>
      </c>
      <c r="R680" s="21">
        <f>IF(Q680="","",Q680*(1+in_GrowthRate)^(YEARFRAC(DATE(2023,6,30),in_AgeToDate)*IF(in_AgeToDate&lt;DATE(2023,6,30),-1,1)+1))</f>
        <v/>
      </c>
      <c r="S680" s="38" t="n">
        <v>3.507865035002569</v>
      </c>
      <c r="T680" s="43">
        <f>HYPERLINK("https://projects.propublica.org/nonprofits/organizations/620476822/202401319349302750/full","view filing")</f>
        <v/>
      </c>
    </row>
    <row r="681">
      <c r="A681" t="inlineStr">
        <is>
          <t>Vanderbilt University</t>
        </is>
      </c>
      <c r="B681" s="20" t="inlineStr">
        <is>
          <t>TN</t>
        </is>
      </c>
      <c r="C681" s="42" t="n">
        <v>10.86</v>
      </c>
      <c r="D681" t="inlineStr">
        <is>
          <t>Endowment</t>
        </is>
      </c>
      <c r="E681" s="20" t="n">
        <v>2022</v>
      </c>
      <c r="F681" s="20" t="inlineStr"/>
      <c r="G681" t="inlineStr">
        <is>
          <t>Anders W Hall</t>
        </is>
      </c>
      <c r="H681" t="inlineStr">
        <is>
          <t>Vice Chancellor for Investments and Chief Investment Officer</t>
        </is>
      </c>
      <c r="I681" t="inlineStr">
        <is>
          <t>CIO</t>
        </is>
      </c>
      <c r="J681" s="21" t="n">
        <v>871704</v>
      </c>
      <c r="K681" s="21" t="n">
        <v>1982146</v>
      </c>
      <c r="L681" s="21" t="n">
        <v>2853850</v>
      </c>
      <c r="M681" s="21" t="n">
        <v>19419</v>
      </c>
      <c r="N681" s="21" t="n">
        <v>1529904</v>
      </c>
      <c r="O681" s="21" t="n">
        <v>31192</v>
      </c>
      <c r="P681" s="21" t="n">
        <v>4434365</v>
      </c>
      <c r="Q681" s="21" t="n">
        <v>4121825</v>
      </c>
      <c r="R681" s="21">
        <f>IF(Q681="","",Q681*(1+in_GrowthRate)^(YEARFRAC(DATE(2022,6,30),in_AgeToDate)*IF(in_AgeToDate&lt;DATE(2022,6,30),-1,1)+1))</f>
        <v/>
      </c>
      <c r="S681" s="38" t="n">
        <v>2.273875076860953</v>
      </c>
      <c r="T681" s="43">
        <f>HYPERLINK("https://projects.propublica.org/nonprofits/organizations/620476822/202331239349300533/full","view filing")</f>
        <v/>
      </c>
    </row>
    <row r="682">
      <c r="A682" t="inlineStr">
        <is>
          <t>Vcu Investment Management Company</t>
        </is>
      </c>
      <c r="B682" s="20" t="inlineStr">
        <is>
          <t>VA</t>
        </is>
      </c>
      <c r="C682" s="42" t="n">
        <v>2.89</v>
      </c>
      <c r="D682" t="inlineStr">
        <is>
          <t>Endowment</t>
        </is>
      </c>
      <c r="E682" s="20" t="n">
        <v>2025</v>
      </c>
      <c r="F682" s="20">
        <f>IF(AND(OR(in_Mode="All Funds",AND(C682&gt;=in_BandFloor,C682&lt;=in_BandCeiling,OR(in_Geography="National",COUNTIFS(lst_GeoPreset,in_Geography,lst_GeoState,B682)&gt;0,AND(in_Geography="Custom",ISNUMBER(SEARCH(B682,SUBSTITUTE(in_CustomStates," ",""))))),OR(AND(D682="Endowment",Inputs!$B$14="Y"),AND(D682="Foundation",Inputs!$B$15="Y"),AND(D682="Healthcare",Inputs!$B$16="Y"),AND(D682="Pension",Inputs!$B$17="Y"),AND(D682="OCIO",Inputs!$B$18="Y"),AND(D682="Other",Inputs!$B$19="Y")))),A682&lt;&gt;in_ClientOrg,NOT(AND(in_ExclHarvard="Y",ISNUMBER(SEARCH("Harvard",A682))))),"Y","")</f>
        <v/>
      </c>
      <c r="G682" t="inlineStr">
        <is>
          <t>Bruce Macdonald</t>
        </is>
      </c>
      <c r="H682" t="inlineStr">
        <is>
          <t>CEO AND CIO</t>
        </is>
      </c>
      <c r="I682" t="inlineStr">
        <is>
          <t>CIO</t>
        </is>
      </c>
      <c r="J682" s="21" t="n">
        <v>518413</v>
      </c>
      <c r="K682" s="21" t="n">
        <v>407750</v>
      </c>
      <c r="L682" s="21" t="n">
        <v>926163</v>
      </c>
      <c r="M682" s="21" t="n"/>
      <c r="N682" s="21" t="n"/>
      <c r="O682" s="21" t="n">
        <v>35369</v>
      </c>
      <c r="P682" s="21" t="n">
        <v>961532</v>
      </c>
      <c r="Q682" s="21" t="n">
        <v>961532</v>
      </c>
      <c r="R682" s="21">
        <f>IF(Q682="","",Q682*(1+in_GrowthRate)^(YEARFRAC(DATE(2025,6,30),in_AgeToDate)*IF(in_AgeToDate&lt;DATE(2025,6,30),-1,1)+1))</f>
        <v/>
      </c>
      <c r="S682" s="38" t="n">
        <v>0.7865350598846865</v>
      </c>
      <c r="T682" s="43">
        <f>HYPERLINK("https://projects.propublica.org/nonprofits/organizations/474815851/202600199349300105/full","view filing")</f>
        <v/>
      </c>
    </row>
    <row r="683">
      <c r="A683" t="inlineStr">
        <is>
          <t>Vcu Investment Management Company</t>
        </is>
      </c>
      <c r="B683" s="20" t="inlineStr">
        <is>
          <t>VA</t>
        </is>
      </c>
      <c r="C683" s="42" t="n">
        <v>2.89</v>
      </c>
      <c r="D683" t="inlineStr">
        <is>
          <t>Endowment</t>
        </is>
      </c>
      <c r="E683" s="20" t="n">
        <v>2024</v>
      </c>
      <c r="F683" s="20" t="inlineStr"/>
      <c r="G683" t="inlineStr">
        <is>
          <t>Nancy C Everett</t>
        </is>
      </c>
      <c r="H683" t="inlineStr">
        <is>
          <t>CEO</t>
        </is>
      </c>
      <c r="I683" t="inlineStr">
        <is>
          <t>CEO (Inv Entity)</t>
        </is>
      </c>
      <c r="J683" s="21" t="n"/>
      <c r="K683" s="21" t="n"/>
      <c r="L683" s="21" t="n"/>
      <c r="M683" s="21" t="n"/>
      <c r="N683" s="21" t="n"/>
      <c r="O683" s="21" t="n"/>
      <c r="P683" s="21" t="n">
        <v>137653</v>
      </c>
      <c r="Q683" s="21" t="n">
        <v>137653</v>
      </c>
      <c r="R683" s="21">
        <f>IF(Q683="","",Q683*(1+in_GrowthRate)^(YEARFRAC(DATE(2024,6,30),in_AgeToDate)*IF(in_AgeToDate&lt;DATE(2024,6,30),-1,1)+1))</f>
        <v/>
      </c>
      <c r="S683" s="38" t="n"/>
      <c r="T683" s="43">
        <f>HYPERLINK("https://projects.propublica.org/nonprofits/organizations/474815851/202433139349303493/full","view filing")</f>
        <v/>
      </c>
    </row>
    <row r="684">
      <c r="A684" t="inlineStr">
        <is>
          <t>Vcu Investment Management Company</t>
        </is>
      </c>
      <c r="B684" s="20" t="inlineStr">
        <is>
          <t>VA</t>
        </is>
      </c>
      <c r="C684" s="42" t="n">
        <v>2.89</v>
      </c>
      <c r="D684" t="inlineStr">
        <is>
          <t>Endowment</t>
        </is>
      </c>
      <c r="E684" s="20" t="n">
        <v>2023</v>
      </c>
      <c r="F684" s="20" t="inlineStr"/>
      <c r="G684" t="inlineStr">
        <is>
          <t>Nancy C Everett</t>
        </is>
      </c>
      <c r="H684" t="inlineStr">
        <is>
          <t>CEO</t>
        </is>
      </c>
      <c r="I684" t="inlineStr">
        <is>
          <t>CEO (Inv Entity)</t>
        </is>
      </c>
      <c r="J684" s="21" t="n">
        <v>58084</v>
      </c>
      <c r="K684" s="21" t="n">
        <v>100000</v>
      </c>
      <c r="L684" s="21" t="n">
        <v>158084</v>
      </c>
      <c r="M684" s="21" t="n"/>
      <c r="N684" s="21" t="n"/>
      <c r="O684" s="21" t="n">
        <v>28635</v>
      </c>
      <c r="P684" s="21" t="n">
        <v>186719</v>
      </c>
      <c r="Q684" s="21" t="n">
        <v>186719</v>
      </c>
      <c r="R684" s="21">
        <f>IF(Q684="","",Q684*(1+in_GrowthRate)^(YEARFRAC(DATE(2023,6,30),in_AgeToDate)*IF(in_AgeToDate&lt;DATE(2023,6,30),-1,1)+1))</f>
        <v/>
      </c>
      <c r="S684" s="38" t="n">
        <v>1.721644514840576</v>
      </c>
      <c r="T684" s="43">
        <f>HYPERLINK("https://projects.propublica.org/nonprofits/organizations/474815851/202313149349304216/full","view filing")</f>
        <v/>
      </c>
    </row>
    <row r="685">
      <c r="A685" t="inlineStr">
        <is>
          <t>Vcu Investment Management Company</t>
        </is>
      </c>
      <c r="B685" s="20" t="inlineStr">
        <is>
          <t>VA</t>
        </is>
      </c>
      <c r="C685" s="42" t="n">
        <v>2.89</v>
      </c>
      <c r="D685" t="inlineStr">
        <is>
          <t>Endowment</t>
        </is>
      </c>
      <c r="E685" s="20" t="n">
        <v>2022</v>
      </c>
      <c r="F685" s="20" t="inlineStr"/>
      <c r="G685" t="inlineStr">
        <is>
          <t>Nancy C Everett</t>
        </is>
      </c>
      <c r="H685" t="inlineStr">
        <is>
          <t>CEO &amp; CIO</t>
        </is>
      </c>
      <c r="I685" t="inlineStr">
        <is>
          <t>CIO</t>
        </is>
      </c>
      <c r="J685" s="21" t="n">
        <v>79742</v>
      </c>
      <c r="K685" s="21" t="n">
        <v>100000</v>
      </c>
      <c r="L685" s="21" t="n">
        <v>179742</v>
      </c>
      <c r="M685" s="21" t="n"/>
      <c r="N685" s="21" t="n"/>
      <c r="O685" s="21" t="n">
        <v>7038</v>
      </c>
      <c r="P685" s="21" t="n">
        <v>186780</v>
      </c>
      <c r="Q685" s="21" t="n">
        <v>186780</v>
      </c>
      <c r="R685" s="21">
        <f>IF(Q685="","",Q685*(1+in_GrowthRate)^(YEARFRAC(DATE(2022,6,30),in_AgeToDate)*IF(in_AgeToDate&lt;DATE(2022,6,30),-1,1)+1))</f>
        <v/>
      </c>
      <c r="S685" s="38" t="n">
        <v>1.254044292844423</v>
      </c>
      <c r="T685" s="43">
        <f>HYPERLINK("https://projects.propublica.org/nonprofits/organizations/474815851/202213189349316616/full","view filing")</f>
        <v/>
      </c>
    </row>
    <row r="686">
      <c r="A686" t="inlineStr">
        <is>
          <t>Villanova University</t>
        </is>
      </c>
      <c r="B686" s="20" t="inlineStr">
        <is>
          <t>PA</t>
        </is>
      </c>
      <c r="C686" s="42" t="n">
        <v>1.47</v>
      </c>
      <c r="D686" t="inlineStr">
        <is>
          <t>Endowment</t>
        </is>
      </c>
      <c r="E686" s="20" t="n">
        <v>2025</v>
      </c>
      <c r="F686" s="20">
        <f>IF(AND(OR(in_Mode="All Funds",AND(C686&gt;=in_BandFloor,C686&lt;=in_BandCeiling,OR(in_Geography="National",COUNTIFS(lst_GeoPreset,in_Geography,lst_GeoState,B686)&gt;0,AND(in_Geography="Custom",ISNUMBER(SEARCH(B686,SUBSTITUTE(in_CustomStates," ",""))))),OR(AND(D686="Endowment",Inputs!$B$14="Y"),AND(D686="Foundation",Inputs!$B$15="Y"),AND(D686="Healthcare",Inputs!$B$16="Y"),AND(D686="Pension",Inputs!$B$17="Y"),AND(D686="OCIO",Inputs!$B$18="Y"),AND(D686="Other",Inputs!$B$19="Y")))),A686&lt;&gt;in_ClientOrg,NOT(AND(in_ExclHarvard="Y",ISNUMBER(SEARCH("Harvard",A686))))),"Y","")</f>
        <v/>
      </c>
      <c r="G686" t="inlineStr">
        <is>
          <t>Mr Shane P Mcandrew</t>
        </is>
      </c>
      <c r="H686" t="inlineStr">
        <is>
          <t>CHIEF INVESTMENT OFFICER</t>
        </is>
      </c>
      <c r="I686" t="inlineStr">
        <is>
          <t>CIO</t>
        </is>
      </c>
      <c r="J686" s="21" t="n">
        <v>808237</v>
      </c>
      <c r="K686" s="21" t="n"/>
      <c r="L686" s="21" t="n">
        <v>808237</v>
      </c>
      <c r="M686" s="21" t="n"/>
      <c r="N686" s="21" t="n">
        <v>229325</v>
      </c>
      <c r="O686" s="21" t="n">
        <v>7355</v>
      </c>
      <c r="P686" s="21" t="n">
        <v>1044917</v>
      </c>
      <c r="Q686" s="21" t="n">
        <v>1044917</v>
      </c>
      <c r="R686" s="21">
        <f>IF(Q686="","",Q686*(1+in_GrowthRate)^(YEARFRAC(DATE(2025,5,31),in_AgeToDate)*IF(in_AgeToDate&lt;DATE(2025,5,31),-1,1)+1))</f>
        <v/>
      </c>
      <c r="S686" s="38" t="n">
        <v>0</v>
      </c>
      <c r="T686" s="43">
        <f>HYPERLINK("https://projects.propublica.org/nonprofits/organizations/231352688/202641059349301969/full","view filing")</f>
        <v/>
      </c>
    </row>
    <row r="687">
      <c r="A687" t="inlineStr">
        <is>
          <t>Villanova University</t>
        </is>
      </c>
      <c r="B687" s="20" t="inlineStr">
        <is>
          <t>PA</t>
        </is>
      </c>
      <c r="C687" s="42" t="n">
        <v>1.47</v>
      </c>
      <c r="D687" t="inlineStr">
        <is>
          <t>Endowment</t>
        </is>
      </c>
      <c r="E687" s="20" t="n">
        <v>2024</v>
      </c>
      <c r="F687" s="20" t="inlineStr"/>
      <c r="G687" t="inlineStr">
        <is>
          <t>Mr Shane P Mcandrew</t>
        </is>
      </c>
      <c r="H687" t="inlineStr">
        <is>
          <t>CHIEF INVESTMENT OFFICER</t>
        </is>
      </c>
      <c r="I687" t="inlineStr">
        <is>
          <t>CIO</t>
        </is>
      </c>
      <c r="J687" s="21" t="n">
        <v>709568</v>
      </c>
      <c r="K687" s="21" t="n"/>
      <c r="L687" s="21" t="n">
        <v>709568</v>
      </c>
      <c r="M687" s="21" t="n"/>
      <c r="N687" s="21" t="n">
        <v>228050</v>
      </c>
      <c r="O687" s="21" t="n">
        <v>7010</v>
      </c>
      <c r="P687" s="21" t="n">
        <v>944628</v>
      </c>
      <c r="Q687" s="21" t="n">
        <v>944628</v>
      </c>
      <c r="R687" s="21">
        <f>IF(Q687="","",Q687*(1+in_GrowthRate)^(YEARFRAC(DATE(2024,5,31),in_AgeToDate)*IF(in_AgeToDate&lt;DATE(2024,5,31),-1,1)+1))</f>
        <v/>
      </c>
      <c r="S687" s="38" t="n">
        <v>0</v>
      </c>
      <c r="T687" s="43">
        <f>HYPERLINK("https://projects.propublica.org/nonprofits/organizations/231352688/202521059349301507/full","view filing")</f>
        <v/>
      </c>
    </row>
    <row r="688">
      <c r="A688" t="inlineStr">
        <is>
          <t>Villanova University</t>
        </is>
      </c>
      <c r="B688" s="20" t="inlineStr">
        <is>
          <t>PA</t>
        </is>
      </c>
      <c r="C688" s="42" t="n">
        <v>1.47</v>
      </c>
      <c r="D688" t="inlineStr">
        <is>
          <t>Endowment</t>
        </is>
      </c>
      <c r="E688" s="20" t="n">
        <v>2023</v>
      </c>
      <c r="F688" s="20" t="inlineStr"/>
      <c r="G688" t="inlineStr">
        <is>
          <t>Mr Shane P Mcandrew</t>
        </is>
      </c>
      <c r="H688" t="inlineStr">
        <is>
          <t>CHIEF INVESTMENT OFFICER</t>
        </is>
      </c>
      <c r="I688" t="inlineStr">
        <is>
          <t>CIO</t>
        </is>
      </c>
      <c r="J688" s="21" t="n">
        <v>550533</v>
      </c>
      <c r="K688" s="21" t="n">
        <v>75000</v>
      </c>
      <c r="L688" s="21" t="n">
        <v>625533</v>
      </c>
      <c r="M688" s="21" t="n"/>
      <c r="N688" s="21" t="n">
        <v>225925</v>
      </c>
      <c r="O688" s="21" t="n">
        <v>6461</v>
      </c>
      <c r="P688" s="21" t="n">
        <v>857919</v>
      </c>
      <c r="Q688" s="21" t="n">
        <v>782919</v>
      </c>
      <c r="R688" s="21">
        <f>IF(Q688="","",Q688*(1+in_GrowthRate)^(YEARFRAC(DATE(2023,5,31),in_AgeToDate)*IF(in_AgeToDate&lt;DATE(2023,5,31),-1,1)+1))</f>
        <v/>
      </c>
      <c r="S688" s="38" t="n">
        <v>0.1362316155434824</v>
      </c>
      <c r="T688" s="43">
        <f>HYPERLINK("https://projects.propublica.org/nonprofits/organizations/231352688/202411039349300946/full","view filing")</f>
        <v/>
      </c>
    </row>
    <row r="689">
      <c r="A689" t="inlineStr">
        <is>
          <t>Villanova University</t>
        </is>
      </c>
      <c r="B689" s="20" t="inlineStr">
        <is>
          <t>PA</t>
        </is>
      </c>
      <c r="C689" s="42" t="n">
        <v>1.47</v>
      </c>
      <c r="D689" t="inlineStr">
        <is>
          <t>Endowment</t>
        </is>
      </c>
      <c r="E689" s="20" t="n">
        <v>2022</v>
      </c>
      <c r="F689" s="20" t="inlineStr"/>
      <c r="G689" t="inlineStr">
        <is>
          <t>Mr Shane P Mcandrew</t>
        </is>
      </c>
      <c r="H689" t="inlineStr">
        <is>
          <t>CHIEF INVESTMENT OFFICER</t>
        </is>
      </c>
      <c r="I689" t="inlineStr">
        <is>
          <t>CIO</t>
        </is>
      </c>
      <c r="J689" s="21" t="n">
        <v>394166</v>
      </c>
      <c r="K689" s="21" t="n"/>
      <c r="L689" s="21" t="n">
        <v>394166</v>
      </c>
      <c r="M689" s="21" t="n">
        <v>100000</v>
      </c>
      <c r="N689" s="21" t="n">
        <v>98761</v>
      </c>
      <c r="O689" s="21" t="n">
        <v>6147</v>
      </c>
      <c r="P689" s="21" t="n">
        <v>599074</v>
      </c>
      <c r="Q689" s="21" t="n">
        <v>499074</v>
      </c>
      <c r="R689" s="21">
        <f>IF(Q689="","",Q689*(1+in_GrowthRate)^(YEARFRAC(DATE(2022,5,31),in_AgeToDate)*IF(in_AgeToDate&lt;DATE(2022,5,31),-1,1)+1))</f>
        <v/>
      </c>
      <c r="S689" s="38" t="n">
        <v>0</v>
      </c>
      <c r="T689" s="43">
        <f>HYPERLINK("https://projects.propublica.org/nonprofits/organizations/231352688/202321049349301727/full","view filing")</f>
        <v/>
      </c>
    </row>
    <row r="690">
      <c r="A690" t="inlineStr">
        <is>
          <t>Virginia Tech Foundation Inc</t>
        </is>
      </c>
      <c r="B690" s="20" t="inlineStr">
        <is>
          <t>VA</t>
        </is>
      </c>
      <c r="C690" s="42" t="n">
        <v>2.09</v>
      </c>
      <c r="D690" t="inlineStr">
        <is>
          <t>Foundation</t>
        </is>
      </c>
      <c r="E690" s="20" t="n">
        <v>2025</v>
      </c>
      <c r="F690" s="20">
        <f>IF(AND(OR(in_Mode="All Funds",AND(C690&gt;=in_BandFloor,C690&lt;=in_BandCeiling,OR(in_Geography="National",COUNTIFS(lst_GeoPreset,in_Geography,lst_GeoState,B690)&gt;0,AND(in_Geography="Custom",ISNUMBER(SEARCH(B690,SUBSTITUTE(in_CustomStates," ",""))))),OR(AND(D690="Endowment",Inputs!$B$14="Y"),AND(D690="Foundation",Inputs!$B$15="Y"),AND(D690="Healthcare",Inputs!$B$16="Y"),AND(D690="Pension",Inputs!$B$17="Y"),AND(D690="OCIO",Inputs!$B$18="Y"),AND(D690="Other",Inputs!$B$19="Y")))),A690&lt;&gt;in_ClientOrg,NOT(AND(in_ExclHarvard="Y",ISNUMBER(SEARCH("Harvard",A690))))),"Y","")</f>
        <v/>
      </c>
      <c r="G690" t="inlineStr">
        <is>
          <t>Mr David Greenberg</t>
        </is>
      </c>
      <c r="H690" t="inlineStr">
        <is>
          <t>CHIEF INVESTMENT OFFICER</t>
        </is>
      </c>
      <c r="I690" t="inlineStr">
        <is>
          <t>CIO</t>
        </is>
      </c>
      <c r="J690" s="21" t="n">
        <v>790885</v>
      </c>
      <c r="K690" s="21" t="n">
        <v>702500</v>
      </c>
      <c r="L690" s="21" t="n">
        <v>1493385</v>
      </c>
      <c r="M690" s="21" t="n">
        <v>1242</v>
      </c>
      <c r="N690" s="21" t="n">
        <v>40368</v>
      </c>
      <c r="O690" s="21" t="n">
        <v>35452</v>
      </c>
      <c r="P690" s="21" t="n">
        <v>1570447</v>
      </c>
      <c r="Q690" s="21" t="n">
        <v>1570447</v>
      </c>
      <c r="R690" s="21">
        <f>IF(Q690="","",Q690*(1+in_GrowthRate)^(YEARFRAC(DATE(2025,6,30),in_AgeToDate)*IF(in_AgeToDate&lt;DATE(2025,6,30),-1,1)+1))</f>
        <v/>
      </c>
      <c r="S690" s="38" t="n">
        <v>0.8882454465567055</v>
      </c>
      <c r="T690" s="43">
        <f>HYPERLINK("https://projects.propublica.org/nonprofits/organizations/540721690/202621689349300007/full","view filing")</f>
        <v/>
      </c>
    </row>
    <row r="691">
      <c r="A691" t="inlineStr">
        <is>
          <t>Virginia Tech Foundation Inc</t>
        </is>
      </c>
      <c r="B691" s="20" t="inlineStr">
        <is>
          <t>VA</t>
        </is>
      </c>
      <c r="C691" s="42" t="n">
        <v>2.09</v>
      </c>
      <c r="D691" t="inlineStr">
        <is>
          <t>Foundation</t>
        </is>
      </c>
      <c r="E691" s="20" t="n">
        <v>2024</v>
      </c>
      <c r="F691" s="20" t="inlineStr"/>
      <c r="G691" t="inlineStr">
        <is>
          <t>Mr David Greenberg</t>
        </is>
      </c>
      <c r="H691" t="inlineStr">
        <is>
          <t>CHIEF INVESMENT OFFICER</t>
        </is>
      </c>
      <c r="I691" t="inlineStr">
        <is>
          <t>CIO</t>
        </is>
      </c>
      <c r="J691" s="21" t="n">
        <v>495204</v>
      </c>
      <c r="K691" s="21" t="n">
        <v>350000</v>
      </c>
      <c r="L691" s="21" t="n">
        <v>845204</v>
      </c>
      <c r="M691" s="21" t="n">
        <v>75925</v>
      </c>
      <c r="N691" s="21" t="n"/>
      <c r="O691" s="21" t="n">
        <v>19014</v>
      </c>
      <c r="P691" s="21" t="n">
        <v>940143</v>
      </c>
      <c r="Q691" s="21" t="n">
        <v>940143</v>
      </c>
      <c r="R691" s="21">
        <f>IF(Q691="","",Q691*(1+in_GrowthRate)^(YEARFRAC(DATE(2024,6,30),in_AgeToDate)*IF(in_AgeToDate&lt;DATE(2024,6,30),-1,1)+1))</f>
        <v/>
      </c>
      <c r="S691" s="38" t="n">
        <v>0.7067794282760236</v>
      </c>
      <c r="T691" s="43">
        <f>HYPERLINK("https://projects.propublica.org/nonprofits/organizations/540721690/202531349349313083/full","view filing")</f>
        <v/>
      </c>
    </row>
    <row r="692">
      <c r="A692" t="inlineStr">
        <is>
          <t>Virginia Tech Foundation Inc</t>
        </is>
      </c>
      <c r="B692" s="20" t="inlineStr">
        <is>
          <t>VA</t>
        </is>
      </c>
      <c r="C692" s="42" t="n">
        <v>2.09</v>
      </c>
      <c r="D692" t="inlineStr">
        <is>
          <t>Foundation</t>
        </is>
      </c>
      <c r="E692" s="20" t="n">
        <v>2022</v>
      </c>
      <c r="F692" s="20" t="inlineStr"/>
      <c r="G692" t="inlineStr">
        <is>
          <t>Mr Daniel Ward</t>
        </is>
      </c>
      <c r="H692" t="inlineStr">
        <is>
          <t>CIO ENDOWMENT</t>
        </is>
      </c>
      <c r="I692" t="inlineStr">
        <is>
          <t>CIO</t>
        </is>
      </c>
      <c r="J692" s="21" t="n">
        <v>508178</v>
      </c>
      <c r="K692" s="21" t="n"/>
      <c r="L692" s="21" t="n">
        <v>508178</v>
      </c>
      <c r="M692" s="21" t="n"/>
      <c r="N692" s="21" t="n">
        <v>36933</v>
      </c>
      <c r="O692" s="21" t="n">
        <v>22269</v>
      </c>
      <c r="P692" s="21" t="n">
        <v>567380</v>
      </c>
      <c r="Q692" s="21" t="n">
        <v>567380</v>
      </c>
      <c r="R692" s="21">
        <f>IF(Q692="","",Q692*(1+in_GrowthRate)^(YEARFRAC(DATE(2022,6,30),in_AgeToDate)*IF(in_AgeToDate&lt;DATE(2022,6,30),-1,1)+1))</f>
        <v/>
      </c>
      <c r="S692" s="38" t="n">
        <v>0</v>
      </c>
      <c r="T692" s="43">
        <f>HYPERLINK("https://projects.propublica.org/nonprofits/organizations/540721690/202331359349302283/full","view filing")</f>
        <v/>
      </c>
    </row>
    <row r="693">
      <c r="A693" t="inlineStr">
        <is>
          <t>W K Kellogg Foundation</t>
        </is>
      </c>
      <c r="B693" s="20" t="inlineStr">
        <is>
          <t>MI</t>
        </is>
      </c>
      <c r="C693" s="42" t="n">
        <v>0.38</v>
      </c>
      <c r="D693" t="inlineStr">
        <is>
          <t>Foundation</t>
        </is>
      </c>
      <c r="E693" s="20" t="n">
        <v>2025</v>
      </c>
      <c r="F693" s="20">
        <f>IF(AND(OR(in_Mode="All Funds",AND(C693&gt;=in_BandFloor,C693&lt;=in_BandCeiling,OR(in_Geography="National",COUNTIFS(lst_GeoPreset,in_Geography,lst_GeoState,B693)&gt;0,AND(in_Geography="Custom",ISNUMBER(SEARCH(B693,SUBSTITUTE(in_CustomStates," ",""))))),OR(AND(D693="Endowment",Inputs!$B$14="Y"),AND(D693="Foundation",Inputs!$B$15="Y"),AND(D693="Healthcare",Inputs!$B$16="Y"),AND(D693="Pension",Inputs!$B$17="Y"),AND(D693="OCIO",Inputs!$B$18="Y"),AND(D693="Other",Inputs!$B$19="Y")))),A693&lt;&gt;in_ClientOrg,NOT(AND(in_ExclHarvard="Y",ISNUMBER(SEARCH("Harvard",A693))))),"Y","")</f>
        <v/>
      </c>
      <c r="G693" t="inlineStr">
        <is>
          <t>Carlos Rangel</t>
        </is>
      </c>
      <c r="H693" t="inlineStr">
        <is>
          <t>CHIEF INVESTMENTS OFFICER</t>
        </is>
      </c>
      <c r="I693" t="inlineStr">
        <is>
          <t>CIO</t>
        </is>
      </c>
      <c r="J693" s="21" t="n"/>
      <c r="K693" s="21" t="n"/>
      <c r="L693" s="21" t="n"/>
      <c r="M693" s="21" t="n"/>
      <c r="N693" s="21" t="n"/>
      <c r="O693" s="21" t="n">
        <v>148519</v>
      </c>
      <c r="P693" s="21" t="n">
        <v>1135709</v>
      </c>
      <c r="Q693" s="21" t="n">
        <v>1135709</v>
      </c>
      <c r="R693" s="21">
        <f>IF(Q693="","",Q693*(1+in_GrowthRate)^(YEARFRAC(DATE(2025,8,31),in_AgeToDate)*IF(in_AgeToDate&lt;DATE(2025,8,31),-1,1)+1))</f>
        <v/>
      </c>
      <c r="S693" s="38" t="n"/>
      <c r="T693" s="43">
        <f>HYPERLINK("https://projects.propublica.org/nonprofits/organizations/381359264/202641599349100729/full","view filing")</f>
        <v/>
      </c>
    </row>
    <row r="694">
      <c r="A694" t="inlineStr">
        <is>
          <t>W K Kellogg Foundation</t>
        </is>
      </c>
      <c r="B694" s="20" t="inlineStr">
        <is>
          <t>MI</t>
        </is>
      </c>
      <c r="C694" s="42" t="n">
        <v>0.38</v>
      </c>
      <c r="D694" t="inlineStr">
        <is>
          <t>Foundation</t>
        </is>
      </c>
      <c r="E694" s="20" t="n">
        <v>2024</v>
      </c>
      <c r="F694" s="20" t="inlineStr"/>
      <c r="G694" t="inlineStr">
        <is>
          <t>Carlos Rangel</t>
        </is>
      </c>
      <c r="H694" t="inlineStr">
        <is>
          <t>CHIEF INVESTMENTS OFFICER</t>
        </is>
      </c>
      <c r="I694" t="inlineStr">
        <is>
          <t>CIO</t>
        </is>
      </c>
      <c r="J694" s="21" t="n"/>
      <c r="K694" s="21" t="n"/>
      <c r="L694" s="21" t="n"/>
      <c r="M694" s="21" t="n"/>
      <c r="N694" s="21" t="n"/>
      <c r="O694" s="21" t="n">
        <v>147284</v>
      </c>
      <c r="P694" s="21" t="n">
        <v>1573122</v>
      </c>
      <c r="Q694" s="21" t="n">
        <v>1573122</v>
      </c>
      <c r="R694" s="21">
        <f>IF(Q694="","",Q694*(1+in_GrowthRate)^(YEARFRAC(DATE(2024,8,31),in_AgeToDate)*IF(in_AgeToDate&lt;DATE(2024,8,31),-1,1)+1))</f>
        <v/>
      </c>
      <c r="S694" s="38" t="n"/>
      <c r="T694" s="43">
        <f>HYPERLINK("https://projects.propublica.org/nonprofits/organizations/381359264/202541889349100144/full","view filing")</f>
        <v/>
      </c>
    </row>
    <row r="695">
      <c r="A695" t="inlineStr">
        <is>
          <t>W K Kellogg Foundation</t>
        </is>
      </c>
      <c r="B695" s="20" t="inlineStr">
        <is>
          <t>MI</t>
        </is>
      </c>
      <c r="C695" s="42" t="n">
        <v>0.38</v>
      </c>
      <c r="D695" t="inlineStr">
        <is>
          <t>Foundation</t>
        </is>
      </c>
      <c r="E695" s="20" t="n">
        <v>2023</v>
      </c>
      <c r="F695" s="20" t="inlineStr"/>
      <c r="G695" t="inlineStr">
        <is>
          <t>Carlos Rangel</t>
        </is>
      </c>
      <c r="H695" t="inlineStr">
        <is>
          <t>VP &amp; CHIEF INVESTMENT OFFICER</t>
        </is>
      </c>
      <c r="I695" t="inlineStr">
        <is>
          <t>CIO</t>
        </is>
      </c>
      <c r="J695" s="21" t="n"/>
      <c r="K695" s="21" t="n"/>
      <c r="L695" s="21" t="n"/>
      <c r="M695" s="21" t="n"/>
      <c r="N695" s="21" t="n"/>
      <c r="O695" s="21" t="n">
        <v>129145</v>
      </c>
      <c r="P695" s="21" t="n">
        <v>1530977</v>
      </c>
      <c r="Q695" s="21" t="n">
        <v>1530977</v>
      </c>
      <c r="R695" s="21">
        <f>IF(Q695="","",Q695*(1+in_GrowthRate)^(YEARFRAC(DATE(2023,8,31),in_AgeToDate)*IF(in_AgeToDate&lt;DATE(2023,8,31),-1,1)+1))</f>
        <v/>
      </c>
      <c r="S695" s="38" t="n"/>
      <c r="T695" s="43">
        <f>HYPERLINK("https://projects.propublica.org/nonprofits/organizations/381359264/202431519349100813/full","view filing")</f>
        <v/>
      </c>
    </row>
    <row r="696">
      <c r="A696" t="inlineStr">
        <is>
          <t>W K Kellogg Foundation</t>
        </is>
      </c>
      <c r="B696" s="20" t="inlineStr">
        <is>
          <t>MI</t>
        </is>
      </c>
      <c r="C696" s="42" t="n">
        <v>0.38</v>
      </c>
      <c r="D696" t="inlineStr">
        <is>
          <t>Foundation</t>
        </is>
      </c>
      <c r="E696" s="20" t="n">
        <v>2022</v>
      </c>
      <c r="F696" s="20" t="inlineStr"/>
      <c r="G696" t="inlineStr">
        <is>
          <t>Carlos Rangel</t>
        </is>
      </c>
      <c r="H696" t="inlineStr">
        <is>
          <t>VP CHIEF INVESTMENT OFFICER</t>
        </is>
      </c>
      <c r="I696" t="inlineStr">
        <is>
          <t>CIO</t>
        </is>
      </c>
      <c r="J696" s="21" t="n"/>
      <c r="K696" s="21" t="n"/>
      <c r="L696" s="21" t="n"/>
      <c r="M696" s="21" t="n"/>
      <c r="N696" s="21" t="n"/>
      <c r="O696" s="21" t="n">
        <v>111005</v>
      </c>
      <c r="P696" s="21" t="n">
        <v>1364221</v>
      </c>
      <c r="Q696" s="21" t="n">
        <v>1364221</v>
      </c>
      <c r="R696" s="21">
        <f>IF(Q696="","",Q696*(1+in_GrowthRate)^(YEARFRAC(DATE(2022,8,31),in_AgeToDate)*IF(in_AgeToDate&lt;DATE(2022,8,31),-1,1)+1))</f>
        <v/>
      </c>
      <c r="S696" s="38" t="n"/>
      <c r="T696" s="43">
        <f>HYPERLINK("https://projects.propublica.org/nonprofits/organizations/381359264/202321719349100307/full","view filing")</f>
        <v/>
      </c>
    </row>
    <row r="697">
      <c r="A697" t="inlineStr">
        <is>
          <t>Washington University</t>
        </is>
      </c>
      <c r="B697" s="20" t="inlineStr">
        <is>
          <t>MO</t>
        </is>
      </c>
      <c r="C697" s="42" t="n">
        <v>13.3</v>
      </c>
      <c r="D697" t="inlineStr">
        <is>
          <t>Endowment</t>
        </is>
      </c>
      <c r="E697" s="20" t="n">
        <v>2025</v>
      </c>
      <c r="F697" s="20">
        <f>IF(AND(OR(in_Mode="All Funds",AND(C697&gt;=in_BandFloor,C697&lt;=in_BandCeiling,OR(in_Geography="National",COUNTIFS(lst_GeoPreset,in_Geography,lst_GeoState,B697)&gt;0,AND(in_Geography="Custom",ISNUMBER(SEARCH(B697,SUBSTITUTE(in_CustomStates," ",""))))),OR(AND(D697="Endowment",Inputs!$B$14="Y"),AND(D697="Foundation",Inputs!$B$15="Y"),AND(D697="Healthcare",Inputs!$B$16="Y"),AND(D697="Pension",Inputs!$B$17="Y"),AND(D697="OCIO",Inputs!$B$18="Y"),AND(D697="Other",Inputs!$B$19="Y")))),A697&lt;&gt;in_ClientOrg,NOT(AND(in_ExclHarvard="Y",ISNUMBER(SEARCH("Harvard",A697))))),"Y","")</f>
        <v/>
      </c>
      <c r="G697" t="inlineStr">
        <is>
          <t>Scott Wilson</t>
        </is>
      </c>
      <c r="H697" t="inlineStr">
        <is>
          <t>CHIEF INVESTMENT OFFICER</t>
        </is>
      </c>
      <c r="I697" t="inlineStr">
        <is>
          <t>CIO</t>
        </is>
      </c>
      <c r="J697" s="21" t="n">
        <v>1069710</v>
      </c>
      <c r="K697" s="21" t="n">
        <v>10792533</v>
      </c>
      <c r="L697" s="21" t="n">
        <v>11862243</v>
      </c>
      <c r="M697" s="21" t="n">
        <v>109001</v>
      </c>
      <c r="N697" s="21" t="n">
        <v>1029743</v>
      </c>
      <c r="O697" s="21" t="n">
        <v>31012</v>
      </c>
      <c r="P697" s="21" t="n">
        <v>13031999</v>
      </c>
      <c r="Q697" s="21" t="n">
        <v>12549643</v>
      </c>
      <c r="R697" s="21">
        <f>IF(Q697="","",Q697*(1+in_GrowthRate)^(YEARFRAC(DATE(2025,6,30),in_AgeToDate)*IF(in_AgeToDate&lt;DATE(2025,6,30),-1,1)+1))</f>
        <v/>
      </c>
      <c r="S697" s="38" t="n">
        <v>10.08921389909415</v>
      </c>
      <c r="T697" s="43">
        <f>HYPERLINK("https://projects.propublica.org/nonprofits/organizations/430653611/202641359349315719/full","view filing")</f>
        <v/>
      </c>
    </row>
    <row r="698">
      <c r="A698" t="inlineStr">
        <is>
          <t>Washington University</t>
        </is>
      </c>
      <c r="B698" s="20" t="inlineStr">
        <is>
          <t>MO</t>
        </is>
      </c>
      <c r="C698" s="42" t="n">
        <v>13.3</v>
      </c>
      <c r="D698" t="inlineStr">
        <is>
          <t>Endowment</t>
        </is>
      </c>
      <c r="E698" s="20" t="n">
        <v>2024</v>
      </c>
      <c r="F698" s="20" t="inlineStr"/>
      <c r="G698" t="inlineStr">
        <is>
          <t>Scott Wilson</t>
        </is>
      </c>
      <c r="H698" t="inlineStr">
        <is>
          <t>CHIEF INVESTMENT OFFICER</t>
        </is>
      </c>
      <c r="I698" t="inlineStr">
        <is>
          <t>CIO</t>
        </is>
      </c>
      <c r="J698" s="21" t="n">
        <v>957587</v>
      </c>
      <c r="K698" s="21" t="n">
        <v>9460096</v>
      </c>
      <c r="L698" s="21" t="n">
        <v>10417683</v>
      </c>
      <c r="M698" s="21" t="n">
        <v>24399</v>
      </c>
      <c r="N698" s="21" t="n">
        <v>991419</v>
      </c>
      <c r="O698" s="21" t="n">
        <v>39853</v>
      </c>
      <c r="P698" s="21" t="n">
        <v>11473354</v>
      </c>
      <c r="Q698" s="21" t="n">
        <v>11473354</v>
      </c>
      <c r="R698" s="21">
        <f>IF(Q698="","",Q698*(1+in_GrowthRate)^(YEARFRAC(DATE(2024,6,30),in_AgeToDate)*IF(in_AgeToDate&lt;DATE(2024,6,30),-1,1)+1))</f>
        <v/>
      </c>
      <c r="S698" s="38" t="n">
        <v>9.879098191600345</v>
      </c>
      <c r="T698" s="43">
        <f>HYPERLINK("https://projects.propublica.org/nonprofits/organizations/430653611/202531349349312818/full","view filing")</f>
        <v/>
      </c>
    </row>
    <row r="699">
      <c r="A699" t="inlineStr">
        <is>
          <t>Washington University</t>
        </is>
      </c>
      <c r="B699" s="20" t="inlineStr">
        <is>
          <t>MO</t>
        </is>
      </c>
      <c r="C699" s="42" t="n">
        <v>13.3</v>
      </c>
      <c r="D699" t="inlineStr">
        <is>
          <t>Endowment</t>
        </is>
      </c>
      <c r="E699" s="20" t="n">
        <v>2023</v>
      </c>
      <c r="F699" s="20" t="inlineStr"/>
      <c r="G699" t="inlineStr">
        <is>
          <t>Scott Wilson</t>
        </is>
      </c>
      <c r="H699" t="inlineStr">
        <is>
          <t>CHIEF INVESTMENT OFFICER</t>
        </is>
      </c>
      <c r="I699" t="inlineStr">
        <is>
          <t>CIO</t>
        </is>
      </c>
      <c r="J699" s="21" t="n">
        <v>992123</v>
      </c>
      <c r="K699" s="21" t="n">
        <v>6065399</v>
      </c>
      <c r="L699" s="21" t="n">
        <v>7057522</v>
      </c>
      <c r="M699" s="21" t="n">
        <v>22433</v>
      </c>
      <c r="N699" s="21" t="n">
        <v>21350</v>
      </c>
      <c r="O699" s="21" t="n">
        <v>36777</v>
      </c>
      <c r="P699" s="21" t="n">
        <v>7138082</v>
      </c>
      <c r="Q699" s="21" t="n">
        <v>7138082</v>
      </c>
      <c r="R699" s="21">
        <f>IF(Q699="","",Q699*(1+in_GrowthRate)^(YEARFRAC(DATE(2023,6,30),in_AgeToDate)*IF(in_AgeToDate&lt;DATE(2023,6,30),-1,1)+1))</f>
        <v/>
      </c>
      <c r="S699" s="38" t="n">
        <v>6.113555476488298</v>
      </c>
      <c r="T699" s="43">
        <f>HYPERLINK("https://projects.propublica.org/nonprofits/organizations/430653611/202421359349312512/full","view filing")</f>
        <v/>
      </c>
    </row>
    <row r="700">
      <c r="A700" t="inlineStr">
        <is>
          <t>Washington University</t>
        </is>
      </c>
      <c r="B700" s="20" t="inlineStr">
        <is>
          <t>MO</t>
        </is>
      </c>
      <c r="C700" s="42" t="n">
        <v>13.3</v>
      </c>
      <c r="D700" t="inlineStr">
        <is>
          <t>Endowment</t>
        </is>
      </c>
      <c r="E700" s="20" t="n">
        <v>2022</v>
      </c>
      <c r="F700" s="20" t="inlineStr"/>
      <c r="G700" t="inlineStr">
        <is>
          <t>Scott Wilson</t>
        </is>
      </c>
      <c r="H700" t="inlineStr">
        <is>
          <t>CHIEF INVESTMENT OFFICER</t>
        </is>
      </c>
      <c r="I700" t="inlineStr">
        <is>
          <t>CIO</t>
        </is>
      </c>
      <c r="J700" s="21" t="n">
        <v>884975</v>
      </c>
      <c r="K700" s="21" t="n">
        <v>5495804</v>
      </c>
      <c r="L700" s="21" t="n">
        <v>6380779</v>
      </c>
      <c r="M700" s="21" t="n">
        <v>21166</v>
      </c>
      <c r="N700" s="21" t="n">
        <v>80300</v>
      </c>
      <c r="O700" s="21" t="n">
        <v>35253</v>
      </c>
      <c r="P700" s="21" t="n">
        <v>6517498</v>
      </c>
      <c r="Q700" s="21" t="n">
        <v>6517498</v>
      </c>
      <c r="R700" s="21">
        <f>IF(Q700="","",Q700*(1+in_GrowthRate)^(YEARFRAC(DATE(2022,6,30),in_AgeToDate)*IF(in_AgeToDate&lt;DATE(2022,6,30),-1,1)+1))</f>
        <v/>
      </c>
      <c r="S700" s="38" t="n">
        <v>6.210123449814967</v>
      </c>
      <c r="T700" s="43">
        <f>HYPERLINK("https://projects.propublica.org/nonprofits/organizations/430653611/202321359349319812/full","view filing")</f>
        <v/>
      </c>
    </row>
    <row r="701">
      <c r="A701" t="inlineStr">
        <is>
          <t>Wellesley College</t>
        </is>
      </c>
      <c r="B701" s="20" t="inlineStr">
        <is>
          <t>MA</t>
        </is>
      </c>
      <c r="C701" s="42" t="n">
        <v>3.19</v>
      </c>
      <c r="D701" t="inlineStr">
        <is>
          <t>Endowment</t>
        </is>
      </c>
      <c r="E701" s="20" t="n">
        <v>2025</v>
      </c>
      <c r="F701" s="20">
        <f>IF(AND(OR(in_Mode="All Funds",AND(C701&gt;=in_BandFloor,C701&lt;=in_BandCeiling,OR(in_Geography="National",COUNTIFS(lst_GeoPreset,in_Geography,lst_GeoState,B701)&gt;0,AND(in_Geography="Custom",ISNUMBER(SEARCH(B701,SUBSTITUTE(in_CustomStates," ",""))))),OR(AND(D701="Endowment",Inputs!$B$14="Y"),AND(D701="Foundation",Inputs!$B$15="Y"),AND(D701="Healthcare",Inputs!$B$16="Y"),AND(D701="Pension",Inputs!$B$17="Y"),AND(D701="OCIO",Inputs!$B$18="Y"),AND(D701="Other",Inputs!$B$19="Y")))),A701&lt;&gt;in_ClientOrg,NOT(AND(in_ExclHarvard="Y",ISNUMBER(SEARCH("Harvard",A701))))),"Y","")</f>
        <v/>
      </c>
      <c r="G701" t="inlineStr">
        <is>
          <t>Deborah F Kuenstner</t>
        </is>
      </c>
      <c r="H701" t="inlineStr">
        <is>
          <t>Chief Investment Officer</t>
        </is>
      </c>
      <c r="I701" t="inlineStr">
        <is>
          <t>CIO</t>
        </is>
      </c>
      <c r="J701" s="21" t="n">
        <v>740399</v>
      </c>
      <c r="K701" s="21" t="n">
        <v>1050815</v>
      </c>
      <c r="L701" s="21" t="n">
        <v>1791214</v>
      </c>
      <c r="M701" s="21" t="n">
        <v>6096</v>
      </c>
      <c r="N701" s="21" t="n">
        <v>36225</v>
      </c>
      <c r="O701" s="21" t="n">
        <v>30302</v>
      </c>
      <c r="P701" s="21" t="n">
        <v>1863837</v>
      </c>
      <c r="Q701" s="21" t="n">
        <v>1863837</v>
      </c>
      <c r="R701" s="21">
        <f>IF(Q701="","",Q701*(1+in_GrowthRate)^(YEARFRAC(DATE(2025,6,30),in_AgeToDate)*IF(in_AgeToDate&lt;DATE(2025,6,30),-1,1)+1))</f>
        <v/>
      </c>
      <c r="S701" s="38" t="n">
        <v>1.419255023305002</v>
      </c>
      <c r="T701" s="43">
        <f>HYPERLINK("https://projects.propublica.org/nonprofits/organizations/42103637/202601359349304805/full","view filing")</f>
        <v/>
      </c>
    </row>
    <row r="702">
      <c r="A702" t="inlineStr">
        <is>
          <t>Wellesley College</t>
        </is>
      </c>
      <c r="B702" s="20" t="inlineStr">
        <is>
          <t>MA</t>
        </is>
      </c>
      <c r="C702" s="42" t="n">
        <v>3.19</v>
      </c>
      <c r="D702" t="inlineStr">
        <is>
          <t>Endowment</t>
        </is>
      </c>
      <c r="E702" s="20" t="n">
        <v>2024</v>
      </c>
      <c r="F702" s="20" t="inlineStr"/>
      <c r="G702" t="inlineStr">
        <is>
          <t>Deborah F Kuenstner</t>
        </is>
      </c>
      <c r="H702" t="inlineStr">
        <is>
          <t>CHIEF INVESTMENT OFFICER</t>
        </is>
      </c>
      <c r="I702" t="inlineStr">
        <is>
          <t>CIO</t>
        </is>
      </c>
      <c r="J702" s="21" t="n">
        <v>721169</v>
      </c>
      <c r="K702" s="21" t="n">
        <v>539467</v>
      </c>
      <c r="L702" s="21" t="n">
        <v>1260636</v>
      </c>
      <c r="M702" s="21" t="n">
        <v>6096</v>
      </c>
      <c r="N702" s="21" t="n">
        <v>34650</v>
      </c>
      <c r="O702" s="21" t="n">
        <v>31584</v>
      </c>
      <c r="P702" s="21" t="n">
        <v>1332966</v>
      </c>
      <c r="Q702" s="21" t="n">
        <v>1332966</v>
      </c>
      <c r="R702" s="21">
        <f>IF(Q702="","",Q702*(1+in_GrowthRate)^(YEARFRAC(DATE(2024,6,30),in_AgeToDate)*IF(in_AgeToDate&lt;DATE(2024,6,30),-1,1)+1))</f>
        <v/>
      </c>
      <c r="S702" s="38" t="n">
        <v>0.7480451877437883</v>
      </c>
      <c r="T702" s="43">
        <f>HYPERLINK("https://projects.propublica.org/nonprofits/organizations/42103637/202511349349304996/full","view filing")</f>
        <v/>
      </c>
    </row>
    <row r="703">
      <c r="A703" t="inlineStr">
        <is>
          <t>Wellesley College</t>
        </is>
      </c>
      <c r="B703" s="20" t="inlineStr">
        <is>
          <t>MA</t>
        </is>
      </c>
      <c r="C703" s="42" t="n">
        <v>3.19</v>
      </c>
      <c r="D703" t="inlineStr">
        <is>
          <t>Endowment</t>
        </is>
      </c>
      <c r="E703" s="20" t="n">
        <v>2023</v>
      </c>
      <c r="F703" s="20" t="inlineStr"/>
      <c r="G703" t="inlineStr">
        <is>
          <t>Deborah F Kuenstner</t>
        </is>
      </c>
      <c r="H703" t="inlineStr">
        <is>
          <t>CHIEF INVESTMENT OFFICER</t>
        </is>
      </c>
      <c r="I703" t="inlineStr">
        <is>
          <t>CIO</t>
        </is>
      </c>
      <c r="J703" s="21" t="n">
        <v>652668</v>
      </c>
      <c r="K703" s="21" t="n">
        <v>528728</v>
      </c>
      <c r="L703" s="21" t="n">
        <v>1181396</v>
      </c>
      <c r="M703" s="21" t="n">
        <v>3168</v>
      </c>
      <c r="N703" s="21" t="n">
        <v>32025</v>
      </c>
      <c r="O703" s="21" t="n">
        <v>29302</v>
      </c>
      <c r="P703" s="21" t="n">
        <v>1245891</v>
      </c>
      <c r="Q703" s="21" t="n">
        <v>1245891</v>
      </c>
      <c r="R703" s="21">
        <f>IF(Q703="","",Q703*(1+in_GrowthRate)^(YEARFRAC(DATE(2023,6,30),in_AgeToDate)*IF(in_AgeToDate&lt;DATE(2023,6,30),-1,1)+1))</f>
        <v/>
      </c>
      <c r="S703" s="38" t="n">
        <v>0.8101025329876752</v>
      </c>
      <c r="T703" s="43">
        <f>HYPERLINK("https://projects.propublica.org/nonprofits/organizations/42103637/202441359349302624/full","view filing")</f>
        <v/>
      </c>
    </row>
    <row r="704">
      <c r="A704" t="inlineStr">
        <is>
          <t>Wellesley College</t>
        </is>
      </c>
      <c r="B704" s="20" t="inlineStr">
        <is>
          <t>MA</t>
        </is>
      </c>
      <c r="C704" s="42" t="n">
        <v>3.19</v>
      </c>
      <c r="D704" t="inlineStr">
        <is>
          <t>Endowment</t>
        </is>
      </c>
      <c r="E704" s="20" t="n">
        <v>2022</v>
      </c>
      <c r="F704" s="20" t="inlineStr"/>
      <c r="G704" t="inlineStr">
        <is>
          <t>Deborah F Kuenstner</t>
        </is>
      </c>
      <c r="H704" t="inlineStr">
        <is>
          <t>CHIEF INVESTMENT OFFICER</t>
        </is>
      </c>
      <c r="I704" t="inlineStr">
        <is>
          <t>CIO</t>
        </is>
      </c>
      <c r="J704" s="21" t="n">
        <v>561962</v>
      </c>
      <c r="K704" s="21" t="n">
        <v>425400</v>
      </c>
      <c r="L704" s="21" t="n">
        <v>987362</v>
      </c>
      <c r="M704" s="21" t="n">
        <v>3168</v>
      </c>
      <c r="N704" s="21" t="n">
        <v>26100</v>
      </c>
      <c r="O704" s="21" t="n">
        <v>28360</v>
      </c>
      <c r="P704" s="21" t="n">
        <v>1044990</v>
      </c>
      <c r="Q704" s="21" t="n">
        <v>1044990</v>
      </c>
      <c r="R704" s="21">
        <f>IF(Q704="","",Q704*(1+in_GrowthRate)^(YEARFRAC(DATE(2022,6,30),in_AgeToDate)*IF(in_AgeToDate&lt;DATE(2022,6,30),-1,1)+1))</f>
        <v/>
      </c>
      <c r="S704" s="38" t="n">
        <v>0.7569906862029817</v>
      </c>
      <c r="T704" s="43">
        <f>HYPERLINK("https://projects.propublica.org/nonprofits/organizations/42103637/202331359349311153/full","view filing")</f>
        <v/>
      </c>
    </row>
    <row r="705">
      <c r="A705" t="inlineStr">
        <is>
          <t>Wesleyan University</t>
        </is>
      </c>
      <c r="B705" s="20" t="inlineStr">
        <is>
          <t>CT</t>
        </is>
      </c>
      <c r="C705" s="42" t="n">
        <v>1.64</v>
      </c>
      <c r="D705" t="inlineStr">
        <is>
          <t>Endowment</t>
        </is>
      </c>
      <c r="E705" s="20" t="n">
        <v>2025</v>
      </c>
      <c r="F705" s="20">
        <f>IF(AND(OR(in_Mode="All Funds",AND(C705&gt;=in_BandFloor,C705&lt;=in_BandCeiling,OR(in_Geography="National",COUNTIFS(lst_GeoPreset,in_Geography,lst_GeoState,B705)&gt;0,AND(in_Geography="Custom",ISNUMBER(SEARCH(B705,SUBSTITUTE(in_CustomStates," ",""))))),OR(AND(D705="Endowment",Inputs!$B$14="Y"),AND(D705="Foundation",Inputs!$B$15="Y"),AND(D705="Healthcare",Inputs!$B$16="Y"),AND(D705="Pension",Inputs!$B$17="Y"),AND(D705="OCIO",Inputs!$B$18="Y"),AND(D705="Other",Inputs!$B$19="Y")))),A705&lt;&gt;in_ClientOrg,NOT(AND(in_ExclHarvard="Y",ISNUMBER(SEARCH("Harvard",A705))))),"Y","")</f>
        <v/>
      </c>
      <c r="G705" t="inlineStr">
        <is>
          <t>Anne Martin</t>
        </is>
      </c>
      <c r="H705" t="inlineStr">
        <is>
          <t>CHIEF INVESTMENT OFFICER</t>
        </is>
      </c>
      <c r="I705" t="inlineStr">
        <is>
          <t>CIO</t>
        </is>
      </c>
      <c r="J705" s="21" t="n">
        <v>644379</v>
      </c>
      <c r="K705" s="21" t="n">
        <v>603023</v>
      </c>
      <c r="L705" s="21" t="n">
        <v>1247402</v>
      </c>
      <c r="M705" s="21" t="n">
        <v>23050</v>
      </c>
      <c r="N705" s="21" t="n">
        <v>46000</v>
      </c>
      <c r="O705" s="21" t="n">
        <v>59154</v>
      </c>
      <c r="P705" s="21" t="n">
        <v>1375606</v>
      </c>
      <c r="Q705" s="21" t="n">
        <v>1375606</v>
      </c>
      <c r="R705" s="21">
        <f>IF(Q705="","",Q705*(1+in_GrowthRate)^(YEARFRAC(DATE(2025,6,30),in_AgeToDate)*IF(in_AgeToDate&lt;DATE(2025,6,30),-1,1)+1))</f>
        <v/>
      </c>
      <c r="S705" s="38" t="n">
        <v>0.9358203790005571</v>
      </c>
      <c r="T705" s="43">
        <f>HYPERLINK("https://projects.propublica.org/nonprofits/organizations/60646959/202641339349307904/full","view filing")</f>
        <v/>
      </c>
    </row>
    <row r="706">
      <c r="A706" t="inlineStr">
        <is>
          <t>Wesleyan University</t>
        </is>
      </c>
      <c r="B706" s="20" t="inlineStr">
        <is>
          <t>CT</t>
        </is>
      </c>
      <c r="C706" s="42" t="n">
        <v>1.64</v>
      </c>
      <c r="D706" t="inlineStr">
        <is>
          <t>Endowment</t>
        </is>
      </c>
      <c r="E706" s="20" t="n">
        <v>2024</v>
      </c>
      <c r="F706" s="20" t="inlineStr"/>
      <c r="G706" t="inlineStr">
        <is>
          <t>Anne Martin</t>
        </is>
      </c>
      <c r="H706" t="inlineStr">
        <is>
          <t>CHIEF INVESTMENT OFFICER</t>
        </is>
      </c>
      <c r="I706" t="inlineStr">
        <is>
          <t>CIO</t>
        </is>
      </c>
      <c r="J706" s="21" t="n">
        <v>641897</v>
      </c>
      <c r="K706" s="21" t="n">
        <v>693985</v>
      </c>
      <c r="L706" s="21" t="n">
        <v>1335882</v>
      </c>
      <c r="M706" s="21" t="n"/>
      <c r="N706" s="21" t="n">
        <v>52145</v>
      </c>
      <c r="O706" s="21" t="n">
        <v>68566</v>
      </c>
      <c r="P706" s="21" t="n">
        <v>1456593</v>
      </c>
      <c r="Q706" s="21" t="n">
        <v>1456593</v>
      </c>
      <c r="R706" s="21">
        <f>IF(Q706="","",Q706*(1+in_GrowthRate)^(YEARFRAC(DATE(2024,6,30),in_AgeToDate)*IF(in_AgeToDate&lt;DATE(2024,6,30),-1,1)+1))</f>
        <v/>
      </c>
      <c r="S706" s="38" t="n">
        <v>1.081146975293544</v>
      </c>
      <c r="T706" s="43">
        <f>HYPERLINK("https://projects.propublica.org/nonprofits/organizations/60646959/202531359349305048/full","view filing")</f>
        <v/>
      </c>
    </row>
    <row r="707">
      <c r="A707" t="inlineStr">
        <is>
          <t>Wesleyan University</t>
        </is>
      </c>
      <c r="B707" s="20" t="inlineStr">
        <is>
          <t>CT</t>
        </is>
      </c>
      <c r="C707" s="42" t="n">
        <v>1.64</v>
      </c>
      <c r="D707" t="inlineStr">
        <is>
          <t>Endowment</t>
        </is>
      </c>
      <c r="E707" s="20" t="n">
        <v>2023</v>
      </c>
      <c r="F707" s="20" t="inlineStr"/>
      <c r="G707" t="inlineStr">
        <is>
          <t>Anne Martin</t>
        </is>
      </c>
      <c r="H707" t="inlineStr">
        <is>
          <t>CHIEF INVESTMENT OFFICER</t>
        </is>
      </c>
      <c r="I707" t="inlineStr">
        <is>
          <t>CIO</t>
        </is>
      </c>
      <c r="J707" s="21" t="n">
        <v>622394</v>
      </c>
      <c r="K707" s="21" t="n">
        <v>638998</v>
      </c>
      <c r="L707" s="21" t="n">
        <v>1261392</v>
      </c>
      <c r="M707" s="21" t="n"/>
      <c r="N707" s="21" t="n">
        <v>48585</v>
      </c>
      <c r="O707" s="21" t="n">
        <v>66127</v>
      </c>
      <c r="P707" s="21" t="n">
        <v>1376104</v>
      </c>
      <c r="Q707" s="21" t="n">
        <v>1376104</v>
      </c>
      <c r="R707" s="21">
        <f>IF(Q707="","",Q707*(1+in_GrowthRate)^(YEARFRAC(DATE(2023,6,30),in_AgeToDate)*IF(in_AgeToDate&lt;DATE(2023,6,30),-1,1)+1))</f>
        <v/>
      </c>
      <c r="S707" s="38" t="n">
        <v>1.026677635067176</v>
      </c>
      <c r="T707" s="43">
        <f>HYPERLINK("https://projects.propublica.org/nonprofits/organizations/60646959/202411369349310371/full","view filing")</f>
        <v/>
      </c>
    </row>
    <row r="708">
      <c r="A708" t="inlineStr">
        <is>
          <t>Wesleyan University</t>
        </is>
      </c>
      <c r="B708" s="20" t="inlineStr">
        <is>
          <t>CT</t>
        </is>
      </c>
      <c r="C708" s="42" t="n">
        <v>1.64</v>
      </c>
      <c r="D708" t="inlineStr">
        <is>
          <t>Endowment</t>
        </is>
      </c>
      <c r="E708" s="20" t="n">
        <v>2022</v>
      </c>
      <c r="F708" s="20" t="inlineStr"/>
      <c r="G708" t="inlineStr">
        <is>
          <t>Anne Martin</t>
        </is>
      </c>
      <c r="H708" t="inlineStr">
        <is>
          <t>CHIEF INVESTMENT OFFICER</t>
        </is>
      </c>
      <c r="I708" t="inlineStr">
        <is>
          <t>CIO</t>
        </is>
      </c>
      <c r="J708" s="21" t="n">
        <v>470307</v>
      </c>
      <c r="K708" s="21" t="n">
        <v>557802</v>
      </c>
      <c r="L708" s="21" t="n">
        <v>1028109</v>
      </c>
      <c r="M708" s="21" t="n">
        <v>205</v>
      </c>
      <c r="N708" s="21" t="n">
        <v>39300</v>
      </c>
      <c r="O708" s="21" t="n">
        <v>68484</v>
      </c>
      <c r="P708" s="21" t="n">
        <v>1136098</v>
      </c>
      <c r="Q708" s="21" t="n">
        <v>1136098</v>
      </c>
      <c r="R708" s="21">
        <f>IF(Q708="","",Q708*(1+in_GrowthRate)^(YEARFRAC(DATE(2022,6,30),in_AgeToDate)*IF(in_AgeToDate&lt;DATE(2022,6,30),-1,1)+1))</f>
        <v/>
      </c>
      <c r="S708" s="38" t="n">
        <v>1.186038055993213</v>
      </c>
      <c r="T708" s="43">
        <f>HYPERLINK("https://projects.propublica.org/nonprofits/organizations/60646959/202321359349317822/full","view filing")</f>
        <v/>
      </c>
    </row>
    <row r="709">
      <c r="A709" t="inlineStr">
        <is>
          <t>West Virginia Univ Foundation Inc</t>
        </is>
      </c>
      <c r="B709" s="20" t="inlineStr">
        <is>
          <t>WV</t>
        </is>
      </c>
      <c r="C709" s="42" t="n">
        <v>3.15</v>
      </c>
      <c r="D709" t="inlineStr">
        <is>
          <t>Foundation</t>
        </is>
      </c>
      <c r="E709" s="20" t="n">
        <v>2025</v>
      </c>
      <c r="F709" s="20">
        <f>IF(AND(OR(in_Mode="All Funds",AND(C709&gt;=in_BandFloor,C709&lt;=in_BandCeiling,OR(in_Geography="National",COUNTIFS(lst_GeoPreset,in_Geography,lst_GeoState,B709)&gt;0,AND(in_Geography="Custom",ISNUMBER(SEARCH(B709,SUBSTITUTE(in_CustomStates," ",""))))),OR(AND(D709="Endowment",Inputs!$B$14="Y"),AND(D709="Foundation",Inputs!$B$15="Y"),AND(D709="Healthcare",Inputs!$B$16="Y"),AND(D709="Pension",Inputs!$B$17="Y"),AND(D709="OCIO",Inputs!$B$18="Y"),AND(D709="Other",Inputs!$B$19="Y")))),A709&lt;&gt;in_ClientOrg,NOT(AND(in_ExclHarvard="Y",ISNUMBER(SEARCH("Harvard",A709))))),"Y","")</f>
        <v/>
      </c>
      <c r="G709" t="inlineStr">
        <is>
          <t>Richard Kraich Ret July 2025</t>
        </is>
      </c>
      <c r="H709" t="inlineStr">
        <is>
          <t>VP Investments, CIO</t>
        </is>
      </c>
      <c r="I709" t="inlineStr">
        <is>
          <t>CIO</t>
        </is>
      </c>
      <c r="J709" s="21" t="n">
        <v>535990</v>
      </c>
      <c r="K709" s="21" t="n">
        <v>448001</v>
      </c>
      <c r="L709" s="21" t="n">
        <v>983991</v>
      </c>
      <c r="M709" s="21" t="n">
        <v>12668</v>
      </c>
      <c r="N709" s="21" t="n">
        <v>37950</v>
      </c>
      <c r="O709" s="21" t="n">
        <v>22800</v>
      </c>
      <c r="P709" s="21" t="n">
        <v>1057409</v>
      </c>
      <c r="Q709" s="21" t="n">
        <v>1057409</v>
      </c>
      <c r="R709" s="21">
        <f>IF(Q709="","",Q709*(1+in_GrowthRate)^(YEARFRAC(DATE(2025,6,30),in_AgeToDate)*IF(in_AgeToDate&lt;DATE(2025,6,30),-1,1)+1))</f>
        <v/>
      </c>
      <c r="S709" s="38" t="n">
        <v>0.8358383551931939</v>
      </c>
      <c r="T709" s="43">
        <f>HYPERLINK("https://projects.propublica.org/nonprofits/organizations/556017181/202631039349301733/full","view filing")</f>
        <v/>
      </c>
    </row>
    <row r="710">
      <c r="A710" t="inlineStr">
        <is>
          <t>West Virginia Univ Foundation Inc</t>
        </is>
      </c>
      <c r="B710" s="20" t="inlineStr">
        <is>
          <t>WV</t>
        </is>
      </c>
      <c r="C710" s="42" t="n">
        <v>3.15</v>
      </c>
      <c r="D710" t="inlineStr">
        <is>
          <t>Foundation</t>
        </is>
      </c>
      <c r="E710" s="20" t="n">
        <v>2024</v>
      </c>
      <c r="F710" s="20" t="inlineStr"/>
      <c r="G710" t="inlineStr">
        <is>
          <t>Richard Kraich</t>
        </is>
      </c>
      <c r="H710" t="inlineStr">
        <is>
          <t>VP Investments, CIO</t>
        </is>
      </c>
      <c r="I710" t="inlineStr">
        <is>
          <t>CIO</t>
        </is>
      </c>
      <c r="J710" s="21" t="n">
        <v>509370</v>
      </c>
      <c r="K710" s="21" t="n">
        <v>471050</v>
      </c>
      <c r="L710" s="21" t="n">
        <v>980420</v>
      </c>
      <c r="M710" s="21" t="n">
        <v>12668</v>
      </c>
      <c r="N710" s="21" t="n">
        <v>36300</v>
      </c>
      <c r="O710" s="21" t="n">
        <v>20298</v>
      </c>
      <c r="P710" s="21" t="n">
        <v>1049686</v>
      </c>
      <c r="Q710" s="21" t="n">
        <v>1049686</v>
      </c>
      <c r="R710" s="21">
        <f>IF(Q710="","",Q710*(1+in_GrowthRate)^(YEARFRAC(DATE(2024,6,30),in_AgeToDate)*IF(in_AgeToDate&lt;DATE(2024,6,30),-1,1)+1))</f>
        <v/>
      </c>
      <c r="S710" s="38" t="n">
        <v>0.9247698136914227</v>
      </c>
      <c r="T710" s="43">
        <f>HYPERLINK("https://projects.propublica.org/nonprofits/organizations/556017181/202511279349301141/full","view filing")</f>
        <v/>
      </c>
    </row>
    <row r="711">
      <c r="A711" t="inlineStr">
        <is>
          <t>West Virginia Univ Foundation Inc</t>
        </is>
      </c>
      <c r="B711" s="20" t="inlineStr">
        <is>
          <t>WV</t>
        </is>
      </c>
      <c r="C711" s="42" t="n">
        <v>3.15</v>
      </c>
      <c r="D711" t="inlineStr">
        <is>
          <t>Foundation</t>
        </is>
      </c>
      <c r="E711" s="20" t="n">
        <v>2023</v>
      </c>
      <c r="F711" s="20" t="inlineStr"/>
      <c r="G711" t="inlineStr">
        <is>
          <t>Richard Kraich</t>
        </is>
      </c>
      <c r="H711" t="inlineStr">
        <is>
          <t>VP INVESTMENTS, CIO</t>
        </is>
      </c>
      <c r="I711" t="inlineStr">
        <is>
          <t>CIO</t>
        </is>
      </c>
      <c r="J711" s="21" t="n">
        <v>493846</v>
      </c>
      <c r="K711" s="21" t="n">
        <v>396047</v>
      </c>
      <c r="L711" s="21" t="n">
        <v>889893</v>
      </c>
      <c r="M711" s="21" t="n">
        <v>12668</v>
      </c>
      <c r="N711" s="21" t="n">
        <v>33550</v>
      </c>
      <c r="O711" s="21" t="n">
        <v>25382</v>
      </c>
      <c r="P711" s="21" t="n">
        <v>961493</v>
      </c>
      <c r="Q711" s="21" t="n">
        <v>961493</v>
      </c>
      <c r="R711" s="21">
        <f>IF(Q711="","",Q711*(1+in_GrowthRate)^(YEARFRAC(DATE(2023,6,30),in_AgeToDate)*IF(in_AgeToDate&lt;DATE(2023,6,30),-1,1)+1))</f>
        <v/>
      </c>
      <c r="S711" s="38" t="n">
        <v>0.801964580051271</v>
      </c>
      <c r="T711" s="43">
        <f>HYPERLINK("https://projects.propublica.org/nonprofits/organizations/556017181/202400959349301410/full","view filing")</f>
        <v/>
      </c>
    </row>
    <row r="712">
      <c r="A712" t="inlineStr">
        <is>
          <t>West Virginia Univ Foundation Inc</t>
        </is>
      </c>
      <c r="B712" s="20" t="inlineStr">
        <is>
          <t>WV</t>
        </is>
      </c>
      <c r="C712" s="42" t="n">
        <v>3.15</v>
      </c>
      <c r="D712" t="inlineStr">
        <is>
          <t>Foundation</t>
        </is>
      </c>
      <c r="E712" s="20" t="n">
        <v>2022</v>
      </c>
      <c r="F712" s="20" t="inlineStr"/>
      <c r="G712" t="inlineStr">
        <is>
          <t>Richard Kraich</t>
        </is>
      </c>
      <c r="H712" t="inlineStr">
        <is>
          <t>VP INVESTMENTS, CIO</t>
        </is>
      </c>
      <c r="I712" t="inlineStr">
        <is>
          <t>CIO</t>
        </is>
      </c>
      <c r="J712" s="21" t="n">
        <v>428537</v>
      </c>
      <c r="K712" s="21" t="n">
        <v>292998</v>
      </c>
      <c r="L712" s="21" t="n">
        <v>721535</v>
      </c>
      <c r="M712" s="21" t="n">
        <v>12668</v>
      </c>
      <c r="N712" s="21" t="n">
        <v>31900</v>
      </c>
      <c r="O712" s="21" t="n">
        <v>26849</v>
      </c>
      <c r="P712" s="21" t="n">
        <v>792952</v>
      </c>
      <c r="Q712" s="21" t="n">
        <v>792952</v>
      </c>
      <c r="R712" s="21">
        <f>IF(Q712="","",Q712*(1+in_GrowthRate)^(YEARFRAC(DATE(2022,6,30),in_AgeToDate)*IF(in_AgeToDate&lt;DATE(2022,6,30),-1,1)+1))</f>
        <v/>
      </c>
      <c r="S712" s="38" t="n">
        <v>0.6837169252596625</v>
      </c>
      <c r="T712" s="43">
        <f>HYPERLINK("https://projects.propublica.org/nonprofits/organizations/556017181/202300759349301500/full","view filing")</f>
        <v/>
      </c>
    </row>
    <row r="713">
      <c r="A713" t="inlineStr">
        <is>
          <t>William &amp; Flora Hewlett Foundation</t>
        </is>
      </c>
      <c r="B713" s="20" t="inlineStr">
        <is>
          <t>CA</t>
        </is>
      </c>
      <c r="C713" s="42" t="n">
        <v>13.18</v>
      </c>
      <c r="D713" t="inlineStr">
        <is>
          <t>Foundation</t>
        </is>
      </c>
      <c r="E713" s="20" t="n">
        <v>2024</v>
      </c>
      <c r="F713" s="20">
        <f>IF(AND(OR(in_Mode="All Funds",AND(C713&gt;=in_BandFloor,C713&lt;=in_BandCeiling,OR(in_Geography="National",COUNTIFS(lst_GeoPreset,in_Geography,lst_GeoState,B713)&gt;0,AND(in_Geography="Custom",ISNUMBER(SEARCH(B713,SUBSTITUTE(in_CustomStates," ",""))))),OR(AND(D713="Endowment",Inputs!$B$14="Y"),AND(D713="Foundation",Inputs!$B$15="Y"),AND(D713="Healthcare",Inputs!$B$16="Y"),AND(D713="Pension",Inputs!$B$17="Y"),AND(D713="OCIO",Inputs!$B$18="Y"),AND(D713="Other",Inputs!$B$19="Y")))),A713&lt;&gt;in_ClientOrg,NOT(AND(in_ExclHarvard="Y",ISNUMBER(SEARCH("Harvard",A713))))),"Y","")</f>
        <v/>
      </c>
      <c r="G713" t="inlineStr">
        <is>
          <t>Ana Marshall</t>
        </is>
      </c>
      <c r="H713" t="inlineStr">
        <is>
          <t>VP, CHIEF INVMT OFCR</t>
        </is>
      </c>
      <c r="I713" t="inlineStr">
        <is>
          <t>CIO</t>
        </is>
      </c>
      <c r="J713" s="21" t="n"/>
      <c r="K713" s="21" t="n"/>
      <c r="L713" s="21" t="n"/>
      <c r="M713" s="21" t="n"/>
      <c r="N713" s="21" t="n"/>
      <c r="O713" s="21" t="n"/>
      <c r="P713" s="21" t="n">
        <v>5661092</v>
      </c>
      <c r="Q713" s="21" t="n">
        <v>5661092</v>
      </c>
      <c r="R713" s="21">
        <f>IF(Q713="","",Q713*(1+in_GrowthRate)^(YEARFRAC(DATE(2024,12,31),in_AgeToDate)*IF(in_AgeToDate&lt;DATE(2024,12,31),-1,1)+1))</f>
        <v/>
      </c>
      <c r="S713" s="38" t="n"/>
      <c r="T713" s="43">
        <f>HYPERLINK("https://projects.propublica.org/nonprofits/organizations/941655673/202523189349102727/full","view filing")</f>
        <v/>
      </c>
    </row>
    <row r="714">
      <c r="A714" t="inlineStr">
        <is>
          <t>William &amp; Flora Hewlett Foundation</t>
        </is>
      </c>
      <c r="B714" s="20" t="inlineStr">
        <is>
          <t>CA</t>
        </is>
      </c>
      <c r="C714" s="42" t="n">
        <v>13.18</v>
      </c>
      <c r="D714" t="inlineStr">
        <is>
          <t>Foundation</t>
        </is>
      </c>
      <c r="E714" s="20" t="n">
        <v>2023</v>
      </c>
      <c r="F714" s="20" t="inlineStr"/>
      <c r="G714" t="inlineStr">
        <is>
          <t>Ana Marshall</t>
        </is>
      </c>
      <c r="H714" t="inlineStr">
        <is>
          <t>CHIEF INVMNT OFFICER</t>
        </is>
      </c>
      <c r="I714" t="inlineStr">
        <is>
          <t>CIO</t>
        </is>
      </c>
      <c r="J714" s="21" t="n"/>
      <c r="K714" s="21" t="n"/>
      <c r="L714" s="21" t="n"/>
      <c r="M714" s="21" t="n"/>
      <c r="N714" s="21" t="n"/>
      <c r="O714" s="21" t="n"/>
      <c r="P714" s="21" t="n">
        <v>5459105</v>
      </c>
      <c r="Q714" s="21" t="n">
        <v>5459105</v>
      </c>
      <c r="R714" s="21">
        <f>IF(Q714="","",Q714*(1+in_GrowthRate)^(YEARFRAC(DATE(2023,12,31),in_AgeToDate)*IF(in_AgeToDate&lt;DATE(2023,12,31),-1,1)+1))</f>
        <v/>
      </c>
      <c r="S714" s="38" t="n"/>
      <c r="T714" s="43">
        <f>HYPERLINK("https://projects.propublica.org/nonprofits/organizations/941655673/202403169349102865/full","view filing")</f>
        <v/>
      </c>
    </row>
    <row r="715">
      <c r="A715" t="inlineStr">
        <is>
          <t>William &amp; Flora Hewlett Foundation</t>
        </is>
      </c>
      <c r="B715" s="20" t="inlineStr">
        <is>
          <t>CA</t>
        </is>
      </c>
      <c r="C715" s="42" t="n">
        <v>13.18</v>
      </c>
      <c r="D715" t="inlineStr">
        <is>
          <t>Foundation</t>
        </is>
      </c>
      <c r="E715" s="20" t="n">
        <v>2022</v>
      </c>
      <c r="F715" s="20" t="inlineStr"/>
      <c r="G715" t="inlineStr">
        <is>
          <t>Ana Marshall</t>
        </is>
      </c>
      <c r="H715" t="inlineStr">
        <is>
          <t>CHIEF INVMNT OFFICER</t>
        </is>
      </c>
      <c r="I715" t="inlineStr">
        <is>
          <t>CIO</t>
        </is>
      </c>
      <c r="J715" s="21" t="n"/>
      <c r="K715" s="21" t="n"/>
      <c r="L715" s="21" t="n"/>
      <c r="M715" s="21" t="n"/>
      <c r="N715" s="21" t="n"/>
      <c r="O715" s="21" t="n"/>
      <c r="P715" s="21" t="n">
        <v>5465423</v>
      </c>
      <c r="Q715" s="21" t="n">
        <v>5465423</v>
      </c>
      <c r="R715" s="21">
        <f>IF(Q715="","",Q715*(1+in_GrowthRate)^(YEARFRAC(DATE(2022,12,31),in_AgeToDate)*IF(in_AgeToDate&lt;DATE(2022,12,31),-1,1)+1))</f>
        <v/>
      </c>
      <c r="S715" s="38" t="n"/>
      <c r="T715" s="43">
        <f>HYPERLINK("https://projects.propublica.org/nonprofits/organizations/941655673/202343179349104459/full","view filing")</f>
        <v/>
      </c>
    </row>
    <row r="716">
      <c r="A716" t="inlineStr">
        <is>
          <t>William &amp; Mary Foundation</t>
        </is>
      </c>
      <c r="B716" s="20" t="inlineStr">
        <is>
          <t>VA</t>
        </is>
      </c>
      <c r="C716" s="42" t="n">
        <v>1.59</v>
      </c>
      <c r="D716" t="inlineStr">
        <is>
          <t>Foundation</t>
        </is>
      </c>
      <c r="E716" s="20" t="n">
        <v>2025</v>
      </c>
      <c r="F716" s="20">
        <f>IF(AND(OR(in_Mode="All Funds",AND(C716&gt;=in_BandFloor,C716&lt;=in_BandCeiling,OR(in_Geography="National",COUNTIFS(lst_GeoPreset,in_Geography,lst_GeoState,B716)&gt;0,AND(in_Geography="Custom",ISNUMBER(SEARCH(B716,SUBSTITUTE(in_CustomStates," ",""))))),OR(AND(D716="Endowment",Inputs!$B$14="Y"),AND(D716="Foundation",Inputs!$B$15="Y"),AND(D716="Healthcare",Inputs!$B$16="Y"),AND(D716="Pension",Inputs!$B$17="Y"),AND(D716="OCIO",Inputs!$B$18="Y"),AND(D716="Other",Inputs!$B$19="Y")))),A716&lt;&gt;in_ClientOrg,NOT(AND(in_ExclHarvard="Y",ISNUMBER(SEARCH("Harvard",A716))))),"Y","")</f>
        <v/>
      </c>
      <c r="G716" t="inlineStr">
        <is>
          <t>F Brian Hiestand</t>
        </is>
      </c>
      <c r="H716" t="inlineStr">
        <is>
          <t>CHIEF INVESTMENT OFFICER, 1693 PARTNERS FUND</t>
        </is>
      </c>
      <c r="I716" t="inlineStr">
        <is>
          <t>CIO</t>
        </is>
      </c>
      <c r="J716" s="21" t="n">
        <v>350628</v>
      </c>
      <c r="K716" s="21" t="n">
        <v>311567</v>
      </c>
      <c r="L716" s="21" t="n">
        <v>662195</v>
      </c>
      <c r="M716" s="21" t="n">
        <v>1837</v>
      </c>
      <c r="N716" s="21" t="n">
        <v>36360</v>
      </c>
      <c r="O716" s="21" t="n">
        <v>34380</v>
      </c>
      <c r="P716" s="21" t="n">
        <v>734772</v>
      </c>
      <c r="Q716" s="21" t="n">
        <v>734772</v>
      </c>
      <c r="R716" s="21">
        <f>IF(Q716="","",Q716*(1+in_GrowthRate)^(YEARFRAC(DATE(2025,6,30),in_AgeToDate)*IF(in_AgeToDate&lt;DATE(2025,6,30),-1,1)+1))</f>
        <v/>
      </c>
      <c r="S716" s="38" t="n">
        <v>0.8885970316118508</v>
      </c>
      <c r="T716" s="43">
        <f>HYPERLINK("https://projects.propublica.org/nonprofits/organizations/540734117/202631359349311323/full","view filing")</f>
        <v/>
      </c>
    </row>
    <row r="717">
      <c r="A717" t="inlineStr">
        <is>
          <t>William &amp; Mary Foundation</t>
        </is>
      </c>
      <c r="B717" s="20" t="inlineStr">
        <is>
          <t>VA</t>
        </is>
      </c>
      <c r="C717" s="42" t="n">
        <v>1.59</v>
      </c>
      <c r="D717" t="inlineStr">
        <is>
          <t>Foundation</t>
        </is>
      </c>
      <c r="E717" s="20" t="n">
        <v>2024</v>
      </c>
      <c r="F717" s="20" t="inlineStr"/>
      <c r="G717" t="inlineStr">
        <is>
          <t>F Brian Hiestand</t>
        </is>
      </c>
      <c r="H717" t="inlineStr">
        <is>
          <t>CHIEF INVESTMENT OFFICER, 1693 PARTNERS FUND</t>
        </is>
      </c>
      <c r="I717" t="inlineStr">
        <is>
          <t>CIO</t>
        </is>
      </c>
      <c r="J717" s="21" t="n">
        <v>333174</v>
      </c>
      <c r="K717" s="21" t="n">
        <v>49455</v>
      </c>
      <c r="L717" s="21" t="n">
        <v>382629</v>
      </c>
      <c r="M717" s="21" t="n">
        <v>1685</v>
      </c>
      <c r="N717" s="21" t="n">
        <v>34800</v>
      </c>
      <c r="O717" s="21" t="n">
        <v>32744</v>
      </c>
      <c r="P717" s="21" t="n">
        <v>451858</v>
      </c>
      <c r="Q717" s="21" t="n">
        <v>451858</v>
      </c>
      <c r="R717" s="21">
        <f>IF(Q717="","",Q717*(1+in_GrowthRate)^(YEARFRAC(DATE(2024,6,30),in_AgeToDate)*IF(in_AgeToDate&lt;DATE(2024,6,30),-1,1)+1))</f>
        <v/>
      </c>
      <c r="S717" s="38" t="n">
        <v>0.1484359523852402</v>
      </c>
      <c r="T717" s="43">
        <f>HYPERLINK("https://projects.propublica.org/nonprofits/organizations/540734117/202501349349311005/full","view filing")</f>
        <v/>
      </c>
    </row>
    <row r="718">
      <c r="A718" t="inlineStr">
        <is>
          <t>William &amp; Mary Foundation</t>
        </is>
      </c>
      <c r="B718" s="20" t="inlineStr">
        <is>
          <t>VA</t>
        </is>
      </c>
      <c r="C718" s="42" t="n">
        <v>1.59</v>
      </c>
      <c r="D718" t="inlineStr">
        <is>
          <t>Foundation</t>
        </is>
      </c>
      <c r="E718" s="20" t="n">
        <v>2023</v>
      </c>
      <c r="F718" s="20" t="inlineStr"/>
      <c r="G718" t="inlineStr">
        <is>
          <t>F Brian Hiestand</t>
        </is>
      </c>
      <c r="H718" t="inlineStr">
        <is>
          <t>CHIEF INVESTMENT OFFICER, 1693 PARTNERS FUND</t>
        </is>
      </c>
      <c r="I718" t="inlineStr">
        <is>
          <t>CIO</t>
        </is>
      </c>
      <c r="J718" s="21" t="n">
        <v>315770</v>
      </c>
      <c r="K718" s="21" t="n">
        <v>548645</v>
      </c>
      <c r="L718" s="21" t="n">
        <v>864415</v>
      </c>
      <c r="M718" s="21" t="n">
        <v>1636</v>
      </c>
      <c r="N718" s="21" t="n">
        <v>32200</v>
      </c>
      <c r="O718" s="21" t="n">
        <v>32006</v>
      </c>
      <c r="P718" s="21" t="n">
        <v>930257</v>
      </c>
      <c r="Q718" s="21" t="n">
        <v>930257</v>
      </c>
      <c r="R718" s="21">
        <f>IF(Q718="","",Q718*(1+in_GrowthRate)^(YEARFRAC(DATE(2023,6,30),in_AgeToDate)*IF(in_AgeToDate&lt;DATE(2023,6,30),-1,1)+1))</f>
        <v/>
      </c>
      <c r="S718" s="38" t="n">
        <v>1.737482978116984</v>
      </c>
      <c r="T718" s="43">
        <f>HYPERLINK("https://projects.propublica.org/nonprofits/organizations/540734117/202441369349307809/full","view filing")</f>
        <v/>
      </c>
    </row>
    <row r="719">
      <c r="A719" t="inlineStr">
        <is>
          <t>William &amp; Mary Foundation</t>
        </is>
      </c>
      <c r="B719" s="20" t="inlineStr">
        <is>
          <t>VA</t>
        </is>
      </c>
      <c r="C719" s="42" t="n">
        <v>1.59</v>
      </c>
      <c r="D719" t="inlineStr">
        <is>
          <t>Foundation</t>
        </is>
      </c>
      <c r="E719" s="20" t="n">
        <v>2022</v>
      </c>
      <c r="F719" s="20" t="inlineStr"/>
      <c r="G719" t="inlineStr">
        <is>
          <t>F Brian Hiestand</t>
        </is>
      </c>
      <c r="H719" t="inlineStr">
        <is>
          <t>CHIEF INVESTMENT OFFICER</t>
        </is>
      </c>
      <c r="I719" t="inlineStr">
        <is>
          <t>CIO</t>
        </is>
      </c>
      <c r="J719" s="21" t="n">
        <v>304595</v>
      </c>
      <c r="K719" s="21" t="n">
        <v>182629</v>
      </c>
      <c r="L719" s="21" t="n">
        <v>487224</v>
      </c>
      <c r="M719" s="21" t="n">
        <v>1573</v>
      </c>
      <c r="N719" s="21" t="n">
        <v>30640</v>
      </c>
      <c r="O719" s="21" t="n">
        <v>31437</v>
      </c>
      <c r="P719" s="21" t="n">
        <v>550874</v>
      </c>
      <c r="Q719" s="21" t="n">
        <v>550874</v>
      </c>
      <c r="R719" s="21">
        <f>IF(Q719="","",Q719*(1+in_GrowthRate)^(YEARFRAC(DATE(2022,6,30),in_AgeToDate)*IF(in_AgeToDate&lt;DATE(2022,6,30),-1,1)+1))</f>
        <v/>
      </c>
      <c r="S719" s="38" t="n">
        <v>0.5995797698583365</v>
      </c>
      <c r="T719" s="43">
        <f>HYPERLINK("https://projects.propublica.org/nonprofits/organizations/540734117/202301359349314250/full","view filing")</f>
        <v/>
      </c>
    </row>
    <row r="720">
      <c r="A720" t="inlineStr">
        <is>
          <t>William Marsh Rice University</t>
        </is>
      </c>
      <c r="B720" s="20" t="inlineStr">
        <is>
          <t>TX</t>
        </is>
      </c>
      <c r="C720" s="42" t="n">
        <v>8.5</v>
      </c>
      <c r="D720" t="inlineStr">
        <is>
          <t>Endowment</t>
        </is>
      </c>
      <c r="E720" s="20" t="n">
        <v>2025</v>
      </c>
      <c r="F720" s="20">
        <f>IF(AND(OR(in_Mode="All Funds",AND(C720&gt;=in_BandFloor,C720&lt;=in_BandCeiling,OR(in_Geography="National",COUNTIFS(lst_GeoPreset,in_Geography,lst_GeoState,B720)&gt;0,AND(in_Geography="Custom",ISNUMBER(SEARCH(B720,SUBSTITUTE(in_CustomStates," ",""))))),OR(AND(D720="Endowment",Inputs!$B$14="Y"),AND(D720="Foundation",Inputs!$B$15="Y"),AND(D720="Healthcare",Inputs!$B$16="Y"),AND(D720="Pension",Inputs!$B$17="Y"),AND(D720="OCIO",Inputs!$B$18="Y"),AND(D720="Other",Inputs!$B$19="Y")))),A720&lt;&gt;in_ClientOrg,NOT(AND(in_ExclHarvard="Y",ISNUMBER(SEARCH("Harvard",A720))))),"Y","")</f>
        <v/>
      </c>
      <c r="G720" t="inlineStr">
        <is>
          <t>Allison Thacker</t>
        </is>
      </c>
      <c r="H720" t="inlineStr">
        <is>
          <t>Chief Investment Officer, Treasurer, Assistant Secretary</t>
        </is>
      </c>
      <c r="I720" t="inlineStr">
        <is>
          <t>CIO</t>
        </is>
      </c>
      <c r="J720" s="21" t="n">
        <v>1915553</v>
      </c>
      <c r="K720" s="21" t="n">
        <v>927563</v>
      </c>
      <c r="L720" s="21" t="n">
        <v>2843116</v>
      </c>
      <c r="M720" s="21" t="n">
        <v>42500</v>
      </c>
      <c r="N720" s="21" t="n">
        <v>43320</v>
      </c>
      <c r="O720" s="21" t="n">
        <v>46276</v>
      </c>
      <c r="P720" s="21" t="n">
        <v>2975212</v>
      </c>
      <c r="Q720" s="21" t="n">
        <v>2975212</v>
      </c>
      <c r="R720" s="21">
        <f>IF(Q720="","",Q720*(1+in_GrowthRate)^(YEARFRAC(DATE(2025,6,30),in_AgeToDate)*IF(in_AgeToDate&lt;DATE(2025,6,30),-1,1)+1))</f>
        <v/>
      </c>
      <c r="S720" s="38" t="n">
        <v>0.4842272701407896</v>
      </c>
      <c r="T720" s="43">
        <f>HYPERLINK("https://projects.propublica.org/nonprofits/organizations/741109620/202601319349301340/full","view filing")</f>
        <v/>
      </c>
    </row>
    <row r="721">
      <c r="A721" t="inlineStr">
        <is>
          <t>William Marsh Rice University</t>
        </is>
      </c>
      <c r="B721" s="20" t="inlineStr">
        <is>
          <t>TX</t>
        </is>
      </c>
      <c r="C721" s="42" t="n">
        <v>8.5</v>
      </c>
      <c r="D721" t="inlineStr">
        <is>
          <t>Endowment</t>
        </is>
      </c>
      <c r="E721" s="20" t="n">
        <v>2024</v>
      </c>
      <c r="F721" s="20" t="inlineStr"/>
      <c r="G721" t="inlineStr">
        <is>
          <t>Allison Thacker</t>
        </is>
      </c>
      <c r="H721" t="inlineStr">
        <is>
          <t>Chief Investment Officer, Treasurer, Assistant Secretary</t>
        </is>
      </c>
      <c r="I721" t="inlineStr">
        <is>
          <t>CIO</t>
        </is>
      </c>
      <c r="J721" s="21" t="n">
        <v>1083663</v>
      </c>
      <c r="K721" s="21" t="n"/>
      <c r="L721" s="21" t="n">
        <v>1083663</v>
      </c>
      <c r="M721" s="21" t="n">
        <v>42000</v>
      </c>
      <c r="N721" s="21" t="n">
        <v>31590</v>
      </c>
      <c r="O721" s="21" t="n">
        <v>42731</v>
      </c>
      <c r="P721" s="21" t="n">
        <v>1199984</v>
      </c>
      <c r="Q721" s="21" t="n">
        <v>1199984</v>
      </c>
      <c r="R721" s="21">
        <f>IF(Q721="","",Q721*(1+in_GrowthRate)^(YEARFRAC(DATE(2024,6,30),in_AgeToDate)*IF(in_AgeToDate&lt;DATE(2024,6,30),-1,1)+1))</f>
        <v/>
      </c>
      <c r="S721" s="38" t="n">
        <v>0</v>
      </c>
      <c r="T721" s="43">
        <f>HYPERLINK("https://projects.propublica.org/nonprofits/organizations/741109620/202511289349302401/full","view filing")</f>
        <v/>
      </c>
    </row>
    <row r="722">
      <c r="A722" t="inlineStr">
        <is>
          <t>William Marsh Rice University</t>
        </is>
      </c>
      <c r="B722" s="20" t="inlineStr">
        <is>
          <t>TX</t>
        </is>
      </c>
      <c r="C722" s="42" t="n">
        <v>8.5</v>
      </c>
      <c r="D722" t="inlineStr">
        <is>
          <t>Endowment</t>
        </is>
      </c>
      <c r="E722" s="20" t="n">
        <v>2023</v>
      </c>
      <c r="F722" s="20" t="inlineStr"/>
      <c r="G722" t="inlineStr">
        <is>
          <t>Allison Thacker</t>
        </is>
      </c>
      <c r="H722" t="inlineStr">
        <is>
          <t>Chief Investment Officer, Treasurer, Assistant Secretary</t>
        </is>
      </c>
      <c r="I722" t="inlineStr">
        <is>
          <t>CIO</t>
        </is>
      </c>
      <c r="J722" s="21" t="n">
        <v>970215</v>
      </c>
      <c r="K722" s="21" t="n"/>
      <c r="L722" s="21" t="n">
        <v>970215</v>
      </c>
      <c r="M722" s="21" t="n">
        <v>40000</v>
      </c>
      <c r="N722" s="21" t="n">
        <v>29250</v>
      </c>
      <c r="O722" s="21" t="n">
        <v>38930</v>
      </c>
      <c r="P722" s="21" t="n">
        <v>1078395</v>
      </c>
      <c r="Q722" s="21" t="n">
        <v>1078395</v>
      </c>
      <c r="R722" s="21">
        <f>IF(Q722="","",Q722*(1+in_GrowthRate)^(YEARFRAC(DATE(2023,6,30),in_AgeToDate)*IF(in_AgeToDate&lt;DATE(2023,6,30),-1,1)+1))</f>
        <v/>
      </c>
      <c r="S722" s="38" t="n">
        <v>0</v>
      </c>
      <c r="T722" s="43">
        <f>HYPERLINK("https://projects.propublica.org/nonprofits/organizations/741109620/202421299349300847/full","view filing")</f>
        <v/>
      </c>
    </row>
    <row r="723">
      <c r="A723" t="inlineStr">
        <is>
          <t>William Marsh Rice University</t>
        </is>
      </c>
      <c r="B723" s="20" t="inlineStr">
        <is>
          <t>TX</t>
        </is>
      </c>
      <c r="C723" s="42" t="n">
        <v>8.5</v>
      </c>
      <c r="D723" t="inlineStr">
        <is>
          <t>Endowment</t>
        </is>
      </c>
      <c r="E723" s="20" t="n">
        <v>2022</v>
      </c>
      <c r="F723" s="20" t="inlineStr"/>
      <c r="G723" t="inlineStr">
        <is>
          <t>Allison Thacker</t>
        </is>
      </c>
      <c r="H723" t="inlineStr">
        <is>
          <t>Chief Investment Officer, Treasurer, Assistant Secretary</t>
        </is>
      </c>
      <c r="I723" t="inlineStr">
        <is>
          <t>CIO</t>
        </is>
      </c>
      <c r="J723" s="21" t="n">
        <v>1103572</v>
      </c>
      <c r="K723" s="21" t="n">
        <v>50000</v>
      </c>
      <c r="L723" s="21" t="n">
        <v>1153572</v>
      </c>
      <c r="M723" s="21" t="n">
        <v>39000</v>
      </c>
      <c r="N723" s="21" t="n">
        <v>27660</v>
      </c>
      <c r="O723" s="21" t="n">
        <v>34358</v>
      </c>
      <c r="P723" s="21" t="n">
        <v>1254590</v>
      </c>
      <c r="Q723" s="21" t="n">
        <v>1254590</v>
      </c>
      <c r="R723" s="21">
        <f>IF(Q723="","",Q723*(1+in_GrowthRate)^(YEARFRAC(DATE(2022,6,30),in_AgeToDate)*IF(in_AgeToDate&lt;DATE(2022,6,30),-1,1)+1))</f>
        <v/>
      </c>
      <c r="S723" s="38" t="n">
        <v>0.04530741990554309</v>
      </c>
      <c r="T723" s="43">
        <f>HYPERLINK("https://projects.propublica.org/nonprofits/organizations/741109620/202321259349302052/full","view filing")</f>
        <v/>
      </c>
    </row>
    <row r="724">
      <c r="A724" t="inlineStr">
        <is>
          <t>William Penn Foundation</t>
        </is>
      </c>
      <c r="B724" s="20" t="inlineStr">
        <is>
          <t>PA</t>
        </is>
      </c>
      <c r="C724" s="42" t="n">
        <v>3.26</v>
      </c>
      <c r="D724" t="inlineStr">
        <is>
          <t>Foundation</t>
        </is>
      </c>
      <c r="E724" s="20" t="n">
        <v>2024</v>
      </c>
      <c r="F724" s="20">
        <f>IF(AND(OR(in_Mode="All Funds",AND(C724&gt;=in_BandFloor,C724&lt;=in_BandCeiling,OR(in_Geography="National",COUNTIFS(lst_GeoPreset,in_Geography,lst_GeoState,B724)&gt;0,AND(in_Geography="Custom",ISNUMBER(SEARCH(B724,SUBSTITUTE(in_CustomStates," ",""))))),OR(AND(D724="Endowment",Inputs!$B$14="Y"),AND(D724="Foundation",Inputs!$B$15="Y"),AND(D724="Healthcare",Inputs!$B$16="Y"),AND(D724="Pension",Inputs!$B$17="Y"),AND(D724="OCIO",Inputs!$B$18="Y"),AND(D724="Other",Inputs!$B$19="Y")))),A724&lt;&gt;in_ClientOrg,NOT(AND(in_ExclHarvard="Y",ISNUMBER(SEARCH("Harvard",A724))))),"Y","")</f>
        <v/>
      </c>
      <c r="G724" t="inlineStr">
        <is>
          <t>Madoe Htun</t>
        </is>
      </c>
      <c r="H724" t="inlineStr">
        <is>
          <t>CHIEF INVESTMENT OFFICER</t>
        </is>
      </c>
      <c r="I724" t="inlineStr">
        <is>
          <t>CIO</t>
        </is>
      </c>
      <c r="J724" s="21" t="n"/>
      <c r="K724" s="21" t="n"/>
      <c r="L724" s="21" t="n"/>
      <c r="M724" s="21" t="n"/>
      <c r="N724" s="21" t="n"/>
      <c r="O724" s="21" t="n">
        <v>57899</v>
      </c>
      <c r="P724" s="21" t="n">
        <v>1464156</v>
      </c>
      <c r="Q724" s="21" t="n">
        <v>1464156</v>
      </c>
      <c r="R724" s="21">
        <f>IF(Q724="","",Q724*(1+in_GrowthRate)^(YEARFRAC(DATE(2024,12,31),in_AgeToDate)*IF(in_AgeToDate&lt;DATE(2024,12,31),-1,1)+1))</f>
        <v/>
      </c>
      <c r="S724" s="38" t="n"/>
      <c r="T724" s="43">
        <f>HYPERLINK("https://projects.propublica.org/nonprofits/organizations/231503488/202543189349102354/full","view filing")</f>
        <v/>
      </c>
    </row>
    <row r="725">
      <c r="A725" t="inlineStr">
        <is>
          <t>William Penn Foundation</t>
        </is>
      </c>
      <c r="B725" s="20" t="inlineStr">
        <is>
          <t>PA</t>
        </is>
      </c>
      <c r="C725" s="42" t="n">
        <v>3.26</v>
      </c>
      <c r="D725" t="inlineStr">
        <is>
          <t>Foundation</t>
        </is>
      </c>
      <c r="E725" s="20" t="n">
        <v>2023</v>
      </c>
      <c r="F725" s="20" t="inlineStr"/>
      <c r="G725" t="inlineStr">
        <is>
          <t>Madoe Htun</t>
        </is>
      </c>
      <c r="H725" t="inlineStr">
        <is>
          <t>CHIEF INVESTMENT OFFICER</t>
        </is>
      </c>
      <c r="I725" t="inlineStr">
        <is>
          <t>CIO</t>
        </is>
      </c>
      <c r="J725" s="21" t="n"/>
      <c r="K725" s="21" t="n"/>
      <c r="L725" s="21" t="n"/>
      <c r="M725" s="21" t="n"/>
      <c r="N725" s="21" t="n"/>
      <c r="O725" s="21" t="n">
        <v>54705</v>
      </c>
      <c r="P725" s="21" t="n">
        <v>1212698</v>
      </c>
      <c r="Q725" s="21" t="n">
        <v>1212698</v>
      </c>
      <c r="R725" s="21">
        <f>IF(Q725="","",Q725*(1+in_GrowthRate)^(YEARFRAC(DATE(2023,12,31),in_AgeToDate)*IF(in_AgeToDate&lt;DATE(2023,12,31),-1,1)+1))</f>
        <v/>
      </c>
      <c r="S725" s="38" t="n"/>
      <c r="T725" s="43">
        <f>HYPERLINK("https://projects.propublica.org/nonprofits/organizations/231503488/202433199349103223/full","view filing")</f>
        <v/>
      </c>
    </row>
    <row r="726">
      <c r="A726" t="inlineStr">
        <is>
          <t>William Penn Foundation</t>
        </is>
      </c>
      <c r="B726" s="20" t="inlineStr">
        <is>
          <t>PA</t>
        </is>
      </c>
      <c r="C726" s="42" t="n">
        <v>3.26</v>
      </c>
      <c r="D726" t="inlineStr">
        <is>
          <t>Foundation</t>
        </is>
      </c>
      <c r="E726" s="20" t="n">
        <v>2022</v>
      </c>
      <c r="F726" s="20" t="inlineStr"/>
      <c r="G726" t="inlineStr">
        <is>
          <t>Madoe Htun</t>
        </is>
      </c>
      <c r="H726" t="inlineStr">
        <is>
          <t>CHIEF INVESTMENT OFFICER</t>
        </is>
      </c>
      <c r="I726" t="inlineStr">
        <is>
          <t>CIO</t>
        </is>
      </c>
      <c r="J726" s="21" t="n"/>
      <c r="K726" s="21" t="n"/>
      <c r="L726" s="21" t="n"/>
      <c r="M726" s="21" t="n"/>
      <c r="N726" s="21" t="n"/>
      <c r="O726" s="21" t="n">
        <v>52906</v>
      </c>
      <c r="P726" s="21" t="n">
        <v>1156524</v>
      </c>
      <c r="Q726" s="21" t="n">
        <v>1156524</v>
      </c>
      <c r="R726" s="21">
        <f>IF(Q726="","",Q726*(1+in_GrowthRate)^(YEARFRAC(DATE(2022,12,31),in_AgeToDate)*IF(in_AgeToDate&lt;DATE(2022,12,31),-1,1)+1))</f>
        <v/>
      </c>
      <c r="S726" s="38" t="n"/>
      <c r="T726" s="43">
        <f>HYPERLINK("https://projects.propublica.org/nonprofits/organizations/231503488/202523459349100402/full","view filing")</f>
        <v/>
      </c>
    </row>
    <row r="727">
      <c r="A727" t="inlineStr">
        <is>
          <t>Williams College</t>
        </is>
      </c>
      <c r="B727" s="20" t="inlineStr">
        <is>
          <t>MA</t>
        </is>
      </c>
      <c r="C727" s="42" t="n">
        <v>3.93</v>
      </c>
      <c r="D727" t="inlineStr">
        <is>
          <t>Endowment</t>
        </is>
      </c>
      <c r="E727" s="20" t="n">
        <v>2024</v>
      </c>
      <c r="F727" s="20" t="inlineStr"/>
      <c r="G727" t="inlineStr">
        <is>
          <t>Collette Chilton</t>
        </is>
      </c>
      <c r="H727" t="inlineStr">
        <is>
          <t>CHIEF INVESTMENT OFFICER (THROUGH JUNE 30, 2023)</t>
        </is>
      </c>
      <c r="I727" t="inlineStr">
        <is>
          <t>CIO</t>
        </is>
      </c>
      <c r="J727" s="21" t="n">
        <v>654860</v>
      </c>
      <c r="K727" s="21" t="n">
        <v>214277</v>
      </c>
      <c r="L727" s="21" t="n">
        <v>869137</v>
      </c>
      <c r="M727" s="21" t="n">
        <v>47029</v>
      </c>
      <c r="N727" s="21" t="n">
        <v>102373</v>
      </c>
      <c r="O727" s="21" t="n">
        <v>24366</v>
      </c>
      <c r="P727" s="21" t="n">
        <v>1042905</v>
      </c>
      <c r="Q727" s="21" t="n">
        <v>828628</v>
      </c>
      <c r="R727" s="21">
        <f>IF(Q727="","",Q727*(1+in_GrowthRate)^(YEARFRAC(DATE(2024,6,30),in_AgeToDate)*IF(in_AgeToDate&lt;DATE(2024,6,30),-1,1)+1))</f>
        <v/>
      </c>
      <c r="S727" s="38" t="n">
        <v>0.3272103961152002</v>
      </c>
      <c r="T727" s="43">
        <f>HYPERLINK("https://projects.propublica.org/nonprofits/organizations/42104847/202501349349312610/full","view filing")</f>
        <v/>
      </c>
    </row>
    <row r="728">
      <c r="A728" t="inlineStr">
        <is>
          <t>Williams College</t>
        </is>
      </c>
      <c r="B728" s="20" t="inlineStr">
        <is>
          <t>MA</t>
        </is>
      </c>
      <c r="C728" s="42" t="n">
        <v>3.93</v>
      </c>
      <c r="D728" t="inlineStr">
        <is>
          <t>Endowment</t>
        </is>
      </c>
      <c r="E728" s="20" t="n">
        <v>2023</v>
      </c>
      <c r="F728" s="20" t="inlineStr"/>
      <c r="G728" t="inlineStr">
        <is>
          <t>Collette Chilton</t>
        </is>
      </c>
      <c r="H728" t="inlineStr">
        <is>
          <t>CHIEF INVESTMENT OFFICER</t>
        </is>
      </c>
      <c r="I728" t="inlineStr">
        <is>
          <t>CIO</t>
        </is>
      </c>
      <c r="J728" s="21" t="n">
        <v>642587</v>
      </c>
      <c r="K728" s="21" t="n">
        <v>520138</v>
      </c>
      <c r="L728" s="21" t="n">
        <v>1162725</v>
      </c>
      <c r="M728" s="21" t="n">
        <v>44440</v>
      </c>
      <c r="N728" s="21" t="n">
        <v>140521</v>
      </c>
      <c r="O728" s="21" t="n">
        <v>21130</v>
      </c>
      <c r="P728" s="21" t="n">
        <v>1368816</v>
      </c>
      <c r="Q728" s="21" t="n">
        <v>848678</v>
      </c>
      <c r="R728" s="21">
        <f>IF(Q728="","",Q728*(1+in_GrowthRate)^(YEARFRAC(DATE(2023,6,30),in_AgeToDate)*IF(in_AgeToDate&lt;DATE(2023,6,30),-1,1)+1))</f>
        <v/>
      </c>
      <c r="S728" s="38" t="n">
        <v>0.8094437017866841</v>
      </c>
      <c r="T728" s="43">
        <f>HYPERLINK("https://projects.propublica.org/nonprofits/organizations/42104847/202431359349305018/full","view filing")</f>
        <v/>
      </c>
    </row>
    <row r="729">
      <c r="A729" t="inlineStr">
        <is>
          <t>Williams College</t>
        </is>
      </c>
      <c r="B729" s="20" t="inlineStr">
        <is>
          <t>MA</t>
        </is>
      </c>
      <c r="C729" s="42" t="n">
        <v>3.93</v>
      </c>
      <c r="D729" t="inlineStr">
        <is>
          <t>Endowment</t>
        </is>
      </c>
      <c r="E729" s="20" t="n">
        <v>2022</v>
      </c>
      <c r="F729" s="20" t="inlineStr"/>
      <c r="G729" t="inlineStr">
        <is>
          <t>Collette Chilton</t>
        </is>
      </c>
      <c r="H729" t="inlineStr">
        <is>
          <t>CHIEF INVESTMENT OFFICER</t>
        </is>
      </c>
      <c r="I729" t="inlineStr">
        <is>
          <t>CIO</t>
        </is>
      </c>
      <c r="J729" s="21" t="n">
        <v>605566</v>
      </c>
      <c r="K729" s="21" t="n">
        <v>1168606</v>
      </c>
      <c r="L729" s="21" t="n">
        <v>1774172</v>
      </c>
      <c r="M729" s="21" t="n">
        <v>42709</v>
      </c>
      <c r="N729" s="21" t="n">
        <v>601454</v>
      </c>
      <c r="O729" s="21" t="n">
        <v>19901</v>
      </c>
      <c r="P729" s="21" t="n">
        <v>2438236</v>
      </c>
      <c r="Q729" s="21" t="n">
        <v>1738380</v>
      </c>
      <c r="R729" s="21">
        <f>IF(Q729="","",Q729*(1+in_GrowthRate)^(YEARFRAC(DATE(2022,6,30),in_AgeToDate)*IF(in_AgeToDate&lt;DATE(2022,6,30),-1,1)+1))</f>
        <v/>
      </c>
      <c r="S729" s="38" t="n">
        <v>1.929774789205471</v>
      </c>
      <c r="T729" s="43">
        <f>HYPERLINK("https://projects.propublica.org/nonprofits/organizations/42104847/202301329349308795/full","view filing")</f>
        <v/>
      </c>
    </row>
    <row r="730">
      <c r="A730" t="inlineStr">
        <is>
          <t>Yale University</t>
        </is>
      </c>
      <c r="B730" s="20" t="inlineStr">
        <is>
          <t>CT</t>
        </is>
      </c>
      <c r="C730" s="42" t="n">
        <v>44.15</v>
      </c>
      <c r="D730" t="inlineStr">
        <is>
          <t>Endowment</t>
        </is>
      </c>
      <c r="E730" s="20" t="n">
        <v>2025</v>
      </c>
      <c r="F730" s="20">
        <f>IF(AND(OR(in_Mode="All Funds",AND(C730&gt;=in_BandFloor,C730&lt;=in_BandCeiling,OR(in_Geography="National",COUNTIFS(lst_GeoPreset,in_Geography,lst_GeoState,B730)&gt;0,AND(in_Geography="Custom",ISNUMBER(SEARCH(B730,SUBSTITUTE(in_CustomStates," ",""))))),OR(AND(D730="Endowment",Inputs!$B$14="Y"),AND(D730="Foundation",Inputs!$B$15="Y"),AND(D730="Healthcare",Inputs!$B$16="Y"),AND(D730="Pension",Inputs!$B$17="Y"),AND(D730="OCIO",Inputs!$B$18="Y"),AND(D730="Other",Inputs!$B$19="Y")))),A730&lt;&gt;in_ClientOrg,NOT(AND(in_ExclHarvard="Y",ISNUMBER(SEARCH("Harvard",A730))))),"Y","")</f>
        <v/>
      </c>
      <c r="G730" t="inlineStr">
        <is>
          <t>Matthew S T Mendelsohn</t>
        </is>
      </c>
      <c r="H730" t="inlineStr">
        <is>
          <t>Chief Investment Officer</t>
        </is>
      </c>
      <c r="I730" t="inlineStr">
        <is>
          <t>CIO</t>
        </is>
      </c>
      <c r="J730" s="21" t="n">
        <v>1009585</v>
      </c>
      <c r="K730" s="21" t="n">
        <v>1703522</v>
      </c>
      <c r="L730" s="21" t="n">
        <v>2713107</v>
      </c>
      <c r="M730" s="21" t="n">
        <v>23000</v>
      </c>
      <c r="N730" s="21" t="n">
        <v>2605577</v>
      </c>
      <c r="O730" s="21" t="n">
        <v>43114</v>
      </c>
      <c r="P730" s="21" t="n">
        <v>5384798</v>
      </c>
      <c r="Q730" s="21" t="n">
        <v>5039176</v>
      </c>
      <c r="R730" s="21">
        <f>IF(Q730="","",Q730*(1+in_GrowthRate)^(YEARFRAC(DATE(2025,6,30),in_AgeToDate)*IF(in_AgeToDate&lt;DATE(2025,6,30),-1,1)+1))</f>
        <v/>
      </c>
      <c r="S730" s="38" t="n">
        <v>1.687348762115126</v>
      </c>
      <c r="T730" s="43">
        <f>HYPERLINK("https://projects.propublica.org/nonprofits/organizations/60646973/202641359349303914/full","view filing")</f>
        <v/>
      </c>
    </row>
    <row r="731">
      <c r="A731" t="inlineStr">
        <is>
          <t>Yale University</t>
        </is>
      </c>
      <c r="B731" s="20" t="inlineStr">
        <is>
          <t>CT</t>
        </is>
      </c>
      <c r="C731" s="42" t="n">
        <v>44.15</v>
      </c>
      <c r="D731" t="inlineStr">
        <is>
          <t>Endowment</t>
        </is>
      </c>
      <c r="E731" s="20" t="n">
        <v>2024</v>
      </c>
      <c r="F731" s="20" t="inlineStr"/>
      <c r="G731" t="inlineStr">
        <is>
          <t>Matthew S T Mendelsohn</t>
        </is>
      </c>
      <c r="H731" t="inlineStr">
        <is>
          <t>Chief Investment Officer</t>
        </is>
      </c>
      <c r="I731" t="inlineStr">
        <is>
          <t>CIO</t>
        </is>
      </c>
      <c r="J731" s="21" t="n">
        <v>861462</v>
      </c>
      <c r="K731" s="21" t="n">
        <v>1436169</v>
      </c>
      <c r="L731" s="21" t="n">
        <v>2297631</v>
      </c>
      <c r="M731" s="21" t="n">
        <v>22500</v>
      </c>
      <c r="N731" s="21" t="n">
        <v>2085120</v>
      </c>
      <c r="O731" s="21" t="n">
        <v>37839</v>
      </c>
      <c r="P731" s="21" t="n">
        <v>4443090</v>
      </c>
      <c r="Q731" s="21" t="n">
        <v>3880801</v>
      </c>
      <c r="R731" s="21">
        <f>IF(Q731="","",Q731*(1+in_GrowthRate)^(YEARFRAC(DATE(2024,6,30),in_AgeToDate)*IF(in_AgeToDate&lt;DATE(2024,6,30),-1,1)+1))</f>
        <v/>
      </c>
      <c r="S731" s="38" t="n">
        <v>1.667129832772658</v>
      </c>
      <c r="T731" s="43">
        <f>HYPERLINK("https://projects.propublica.org/nonprofits/organizations/60646973/202501359349304220/full","view filing")</f>
        <v/>
      </c>
    </row>
    <row r="732">
      <c r="A732" t="inlineStr">
        <is>
          <t>Yale University</t>
        </is>
      </c>
      <c r="B732" s="20" t="inlineStr">
        <is>
          <t>CT</t>
        </is>
      </c>
      <c r="C732" s="42" t="n">
        <v>44.15</v>
      </c>
      <c r="D732" t="inlineStr">
        <is>
          <t>Endowment</t>
        </is>
      </c>
      <c r="E732" s="20" t="n">
        <v>2023</v>
      </c>
      <c r="F732" s="20" t="inlineStr"/>
      <c r="G732" t="inlineStr">
        <is>
          <t>Matthew S T Mendelsohn</t>
        </is>
      </c>
      <c r="H732" t="inlineStr">
        <is>
          <t>Chief Investment Officer</t>
        </is>
      </c>
      <c r="I732" t="inlineStr">
        <is>
          <t>CIO</t>
        </is>
      </c>
      <c r="J732" s="21" t="n">
        <v>868529</v>
      </c>
      <c r="K732" s="21" t="n">
        <v>815859</v>
      </c>
      <c r="L732" s="21" t="n">
        <v>1684388</v>
      </c>
      <c r="M732" s="21" t="n">
        <v>20500</v>
      </c>
      <c r="N732" s="21" t="n">
        <v>34450</v>
      </c>
      <c r="O732" s="21" t="n">
        <v>22391</v>
      </c>
      <c r="P732" s="21" t="n">
        <v>1761729</v>
      </c>
      <c r="Q732" s="21" t="n">
        <v>1761729</v>
      </c>
      <c r="R732" s="21">
        <f>IF(Q732="","",Q732*(1+in_GrowthRate)^(YEARFRAC(DATE(2023,6,30),in_AgeToDate)*IF(in_AgeToDate&lt;DATE(2023,6,30),-1,1)+1))</f>
        <v/>
      </c>
      <c r="S732" s="38" t="n">
        <v>0.9393572350491464</v>
      </c>
      <c r="T732" s="43">
        <f>HYPERLINK("https://projects.propublica.org/nonprofits/organizations/60646973/202441369349303279/full","view filing")</f>
        <v/>
      </c>
    </row>
    <row r="733">
      <c r="A733" t="inlineStr">
        <is>
          <t>Yeshiva University</t>
        </is>
      </c>
      <c r="B733" s="20" t="inlineStr">
        <is>
          <t>NY</t>
        </is>
      </c>
      <c r="C733" s="42" t="n">
        <v>0.71</v>
      </c>
      <c r="D733" t="inlineStr">
        <is>
          <t>Endowment</t>
        </is>
      </c>
      <c r="E733" s="20" t="n">
        <v>2025</v>
      </c>
      <c r="F733" s="20">
        <f>IF(AND(OR(in_Mode="All Funds",AND(C733&gt;=in_BandFloor,C733&lt;=in_BandCeiling,OR(in_Geography="National",COUNTIFS(lst_GeoPreset,in_Geography,lst_GeoState,B733)&gt;0,AND(in_Geography="Custom",ISNUMBER(SEARCH(B733,SUBSTITUTE(in_CustomStates," ",""))))),OR(AND(D733="Endowment",Inputs!$B$14="Y"),AND(D733="Foundation",Inputs!$B$15="Y"),AND(D733="Healthcare",Inputs!$B$16="Y"),AND(D733="Pension",Inputs!$B$17="Y"),AND(D733="OCIO",Inputs!$B$18="Y"),AND(D733="Other",Inputs!$B$19="Y")))),A733&lt;&gt;in_ClientOrg,NOT(AND(in_ExclHarvard="Y",ISNUMBER(SEARCH("Harvard",A733))))),"Y","")</f>
        <v/>
      </c>
      <c r="G733" t="inlineStr">
        <is>
          <t>Ahron Herring</t>
        </is>
      </c>
      <c r="H733" t="inlineStr">
        <is>
          <t>CHIEF INVESTMENT OFFICER</t>
        </is>
      </c>
      <c r="I733" t="inlineStr">
        <is>
          <t>CIO</t>
        </is>
      </c>
      <c r="J733" s="21" t="n">
        <v>492208</v>
      </c>
      <c r="K733" s="21" t="n"/>
      <c r="L733" s="21" t="n">
        <v>492208</v>
      </c>
      <c r="M733" s="21" t="n">
        <v>10110</v>
      </c>
      <c r="N733" s="21" t="n">
        <v>17250</v>
      </c>
      <c r="O733" s="21" t="n">
        <v>61002</v>
      </c>
      <c r="P733" s="21" t="n">
        <v>580570</v>
      </c>
      <c r="Q733" s="21" t="n">
        <v>580570</v>
      </c>
      <c r="R733" s="21">
        <f>IF(Q733="","",Q733*(1+in_GrowthRate)^(YEARFRAC(DATE(2025,6,30),in_AgeToDate)*IF(in_AgeToDate&lt;DATE(2025,6,30),-1,1)+1))</f>
        <v/>
      </c>
      <c r="S733" s="38" t="n">
        <v>0</v>
      </c>
      <c r="T733" s="43">
        <f>HYPERLINK("https://projects.propublica.org/nonprofits/organizations/131624225/202601339349307920/full","view filing")</f>
        <v/>
      </c>
    </row>
    <row r="734">
      <c r="A734" t="inlineStr">
        <is>
          <t>Yeshiva University</t>
        </is>
      </c>
      <c r="B734" s="20" t="inlineStr">
        <is>
          <t>NY</t>
        </is>
      </c>
      <c r="C734" s="42" t="n">
        <v>0.71</v>
      </c>
      <c r="D734" t="inlineStr">
        <is>
          <t>Endowment</t>
        </is>
      </c>
      <c r="E734" s="20" t="n">
        <v>2024</v>
      </c>
      <c r="F734" s="20" t="inlineStr"/>
      <c r="G734" t="inlineStr">
        <is>
          <t>Ahron Herring</t>
        </is>
      </c>
      <c r="H734" t="inlineStr">
        <is>
          <t>CHIEF INVESTMENT OFFICER</t>
        </is>
      </c>
      <c r="I734" t="inlineStr">
        <is>
          <t>CIO</t>
        </is>
      </c>
      <c r="J734" s="21" t="n">
        <v>497740</v>
      </c>
      <c r="K734" s="21" t="n"/>
      <c r="L734" s="21" t="n">
        <v>497740</v>
      </c>
      <c r="M734" s="21" t="n">
        <v>6010</v>
      </c>
      <c r="N734" s="21" t="n">
        <v>16500</v>
      </c>
      <c r="O734" s="21" t="n">
        <v>55038</v>
      </c>
      <c r="P734" s="21" t="n">
        <v>575288</v>
      </c>
      <c r="Q734" s="21" t="n">
        <v>575288</v>
      </c>
      <c r="R734" s="21">
        <f>IF(Q734="","",Q734*(1+in_GrowthRate)^(YEARFRAC(DATE(2024,6,30),in_AgeToDate)*IF(in_AgeToDate&lt;DATE(2024,6,30),-1,1)+1))</f>
        <v/>
      </c>
      <c r="S734" s="38" t="n">
        <v>0</v>
      </c>
      <c r="T734" s="43">
        <f>HYPERLINK("https://projects.propublica.org/nonprofits/organizations/131624225/202531359349306588/full","view filing")</f>
        <v/>
      </c>
    </row>
    <row r="735">
      <c r="A735" t="inlineStr">
        <is>
          <t>Yeshiva University</t>
        </is>
      </c>
      <c r="B735" s="20" t="inlineStr">
        <is>
          <t>NY</t>
        </is>
      </c>
      <c r="C735" s="42" t="n">
        <v>0.71</v>
      </c>
      <c r="D735" t="inlineStr">
        <is>
          <t>Endowment</t>
        </is>
      </c>
      <c r="E735" s="20" t="n">
        <v>2023</v>
      </c>
      <c r="F735" s="20" t="inlineStr"/>
      <c r="G735" t="inlineStr">
        <is>
          <t>Ahron Herring</t>
        </is>
      </c>
      <c r="H735" t="inlineStr">
        <is>
          <t>CHIEF INVESTMENT OFFICER</t>
        </is>
      </c>
      <c r="I735" t="inlineStr">
        <is>
          <t>CIO</t>
        </is>
      </c>
      <c r="J735" s="21" t="n">
        <v>566651</v>
      </c>
      <c r="K735" s="21" t="n">
        <v>100000</v>
      </c>
      <c r="L735" s="21" t="n">
        <v>666651</v>
      </c>
      <c r="M735" s="21" t="n">
        <v>360</v>
      </c>
      <c r="N735" s="21" t="n">
        <v>12200</v>
      </c>
      <c r="O735" s="21" t="n">
        <v>39022</v>
      </c>
      <c r="P735" s="21" t="n">
        <v>718233</v>
      </c>
      <c r="Q735" s="21" t="n">
        <v>718233</v>
      </c>
      <c r="R735" s="21">
        <f>IF(Q735="","",Q735*(1+in_GrowthRate)^(YEARFRAC(DATE(2023,6,30),in_AgeToDate)*IF(in_AgeToDate&lt;DATE(2023,6,30),-1,1)+1))</f>
        <v/>
      </c>
      <c r="S735" s="38" t="n">
        <v>0.1764754672629184</v>
      </c>
      <c r="T735" s="43">
        <f>HYPERLINK("https://projects.propublica.org/nonprofits/organizations/131624225/202421369349318457/full","view filing")</f>
        <v/>
      </c>
    </row>
    <row r="736">
      <c r="A736" t="inlineStr">
        <is>
          <t>Yeshiva University</t>
        </is>
      </c>
      <c r="B736" s="20" t="inlineStr">
        <is>
          <t>NY</t>
        </is>
      </c>
      <c r="C736" s="42" t="n">
        <v>0.71</v>
      </c>
      <c r="D736" t="inlineStr">
        <is>
          <t>Endowment</t>
        </is>
      </c>
      <c r="E736" s="20" t="n">
        <v>2022</v>
      </c>
      <c r="F736" s="20" t="inlineStr"/>
      <c r="G736" t="inlineStr">
        <is>
          <t>Ahron Herring</t>
        </is>
      </c>
      <c r="H736" t="inlineStr">
        <is>
          <t>CHIEF INVESTMENT OFFICER</t>
        </is>
      </c>
      <c r="I736" t="inlineStr">
        <is>
          <t>CIO</t>
        </is>
      </c>
      <c r="J736" s="21" t="n">
        <v>386330</v>
      </c>
      <c r="K736" s="21" t="n"/>
      <c r="L736" s="21" t="n">
        <v>386330</v>
      </c>
      <c r="M736" s="21" t="n">
        <v>360</v>
      </c>
      <c r="N736" s="21" t="n">
        <v>11600</v>
      </c>
      <c r="O736" s="21" t="n">
        <v>20640</v>
      </c>
      <c r="P736" s="21" t="n">
        <v>418930</v>
      </c>
      <c r="Q736" s="21" t="n">
        <v>418930</v>
      </c>
      <c r="R736" s="21">
        <f>IF(Q736="","",Q736*(1+in_GrowthRate)^(YEARFRAC(DATE(2022,6,30),in_AgeToDate)*IF(in_AgeToDate&lt;DATE(2022,6,30),-1,1)+1))</f>
        <v/>
      </c>
      <c r="S736" s="38" t="n">
        <v>0</v>
      </c>
      <c r="T736" s="43">
        <f>HYPERLINK("https://projects.propublica.org/nonprofits/organizations/131624225/202301359349316225/full","view filing")</f>
        <v/>
      </c>
    </row>
    <row r="737">
      <c r="A737" t="inlineStr">
        <is>
          <t>Young Mens Christian Association Retirement Fund</t>
        </is>
      </c>
      <c r="B737" s="20" t="inlineStr">
        <is>
          <t>NY</t>
        </is>
      </c>
      <c r="C737" s="42" t="n">
        <v>9.75</v>
      </c>
      <c r="D737" t="inlineStr">
        <is>
          <t>Pension</t>
        </is>
      </c>
      <c r="E737" s="20" t="n">
        <v>2025</v>
      </c>
      <c r="F737" s="20">
        <f>IF(AND(OR(in_Mode="All Funds",AND(C737&gt;=in_BandFloor,C737&lt;=in_BandCeiling,OR(in_Geography="National",COUNTIFS(lst_GeoPreset,in_Geography,lst_GeoState,B737)&gt;0,AND(in_Geography="Custom",ISNUMBER(SEARCH(B737,SUBSTITUTE(in_CustomStates," ",""))))),OR(AND(D737="Endowment",Inputs!$B$14="Y"),AND(D737="Foundation",Inputs!$B$15="Y"),AND(D737="Healthcare",Inputs!$B$16="Y"),AND(D737="Pension",Inputs!$B$17="Y"),AND(D737="OCIO",Inputs!$B$18="Y"),AND(D737="Other",Inputs!$B$19="Y")))),A737&lt;&gt;in_ClientOrg,NOT(AND(in_ExclHarvard="Y",ISNUMBER(SEARCH("Harvard",A737))))),"Y","")</f>
        <v/>
      </c>
      <c r="G737" t="inlineStr">
        <is>
          <t>Hunter Reisner</t>
        </is>
      </c>
      <c r="H737" t="inlineStr">
        <is>
          <t>CHIEF INVESTMENT OFFICER</t>
        </is>
      </c>
      <c r="I737" t="inlineStr">
        <is>
          <t>CIO</t>
        </is>
      </c>
      <c r="J737" s="21" t="n">
        <v>872266</v>
      </c>
      <c r="K737" s="21" t="n">
        <v>928125</v>
      </c>
      <c r="L737" s="21" t="n">
        <v>1800391</v>
      </c>
      <c r="M737" s="21" t="n">
        <v>5296</v>
      </c>
      <c r="N737" s="21" t="n">
        <v>64400</v>
      </c>
      <c r="O737" s="21" t="n">
        <v>39263</v>
      </c>
      <c r="P737" s="21" t="n">
        <v>1909350</v>
      </c>
      <c r="Q737" s="21" t="n">
        <v>1909350</v>
      </c>
      <c r="R737" s="21">
        <f>IF(Q737="","",Q737*(1+in_GrowthRate)^(YEARFRAC(DATE(2025,6,30),in_AgeToDate)*IF(in_AgeToDate&lt;DATE(2025,6,30),-1,1)+1))</f>
        <v/>
      </c>
      <c r="S737" s="38" t="n">
        <v>1.064038951420782</v>
      </c>
      <c r="T737" s="43">
        <f>HYPERLINK("https://projects.propublica.org/nonprofits/organizations/135562401/202513179349310251/full","view filing")</f>
        <v/>
      </c>
    </row>
    <row r="738">
      <c r="A738" t="inlineStr">
        <is>
          <t>Young Mens Christian Association Retirement Fund</t>
        </is>
      </c>
      <c r="B738" s="20" t="inlineStr">
        <is>
          <t>NY</t>
        </is>
      </c>
      <c r="C738" s="42" t="n">
        <v>9.75</v>
      </c>
      <c r="D738" t="inlineStr">
        <is>
          <t>Pension</t>
        </is>
      </c>
      <c r="E738" s="20" t="n">
        <v>2024</v>
      </c>
      <c r="F738" s="20" t="inlineStr"/>
      <c r="G738" t="inlineStr">
        <is>
          <t>Hunter Reisner</t>
        </is>
      </c>
      <c r="H738" t="inlineStr">
        <is>
          <t>CHIEF INVESTMENT OFFICER</t>
        </is>
      </c>
      <c r="I738" t="inlineStr">
        <is>
          <t>CIO</t>
        </is>
      </c>
      <c r="J738" s="21" t="n">
        <v>808647</v>
      </c>
      <c r="K738" s="21" t="n">
        <v>1539600</v>
      </c>
      <c r="L738" s="21" t="n">
        <v>2348247</v>
      </c>
      <c r="M738" s="21" t="n">
        <v>5761</v>
      </c>
      <c r="N738" s="21" t="n">
        <v>62100</v>
      </c>
      <c r="O738" s="21" t="n">
        <v>38737</v>
      </c>
      <c r="P738" s="21" t="n">
        <v>2454845</v>
      </c>
      <c r="Q738" s="21" t="n">
        <v>2454845</v>
      </c>
      <c r="R738" s="21">
        <f>IF(Q738="","",Q738*(1+in_GrowthRate)^(YEARFRAC(DATE(2024,6,30),in_AgeToDate)*IF(in_AgeToDate&lt;DATE(2024,6,30),-1,1)+1))</f>
        <v/>
      </c>
      <c r="S738" s="38" t="n">
        <v>1.903920993956572</v>
      </c>
      <c r="T738" s="43">
        <f>HYPERLINK("https://projects.propublica.org/nonprofits/organizations/135562401/202403189349304075/full","view filing")</f>
        <v/>
      </c>
    </row>
    <row r="739">
      <c r="A739" t="inlineStr">
        <is>
          <t>Young Mens Christian Association Retirement Fund</t>
        </is>
      </c>
      <c r="B739" s="20" t="inlineStr">
        <is>
          <t>NY</t>
        </is>
      </c>
      <c r="C739" s="42" t="n">
        <v>9.75</v>
      </c>
      <c r="D739" t="inlineStr">
        <is>
          <t>Pension</t>
        </is>
      </c>
      <c r="E739" s="20" t="n">
        <v>2023</v>
      </c>
      <c r="F739" s="20" t="inlineStr"/>
      <c r="G739" t="inlineStr">
        <is>
          <t>Hunter Reisner</t>
        </is>
      </c>
      <c r="H739" t="inlineStr">
        <is>
          <t>CHIEF INVESTMENT OFFICER</t>
        </is>
      </c>
      <c r="I739" t="inlineStr">
        <is>
          <t>CIO</t>
        </is>
      </c>
      <c r="J739" s="21" t="n">
        <v>716470</v>
      </c>
      <c r="K739" s="21" t="n">
        <v>773350</v>
      </c>
      <c r="L739" s="21" t="n">
        <v>1489820</v>
      </c>
      <c r="M739" s="21" t="n">
        <v>5547</v>
      </c>
      <c r="N739" s="21" t="n">
        <v>57100</v>
      </c>
      <c r="O739" s="21" t="n">
        <v>36000</v>
      </c>
      <c r="P739" s="21" t="n">
        <v>1588467</v>
      </c>
      <c r="Q739" s="21" t="n">
        <v>1588467</v>
      </c>
      <c r="R739" s="21">
        <f>IF(Q739="","",Q739*(1+in_GrowthRate)^(YEARFRAC(DATE(2023,6,30),in_AgeToDate)*IF(in_AgeToDate&lt;DATE(2023,6,30),-1,1)+1))</f>
        <v/>
      </c>
      <c r="S739" s="38" t="n">
        <v>1.079389227741566</v>
      </c>
      <c r="T739" s="43">
        <f>HYPERLINK("https://projects.propublica.org/nonprofits/organizations/135562401/202303189349310585/full","view filing")</f>
        <v/>
      </c>
    </row>
    <row r="740">
      <c r="A740" t="inlineStr">
        <is>
          <t>Young Mens Christian Association Retirement Fund</t>
        </is>
      </c>
      <c r="B740" s="20" t="inlineStr">
        <is>
          <t>NY</t>
        </is>
      </c>
      <c r="C740" s="42" t="n">
        <v>9.75</v>
      </c>
      <c r="D740" t="inlineStr">
        <is>
          <t>Pension</t>
        </is>
      </c>
      <c r="E740" s="20" t="n">
        <v>2022</v>
      </c>
      <c r="F740" s="20" t="inlineStr"/>
      <c r="G740" t="inlineStr">
        <is>
          <t>Hunter Reisner</t>
        </is>
      </c>
      <c r="H740" t="inlineStr">
        <is>
          <t>CHIEF INVESTMENT OFFICER</t>
        </is>
      </c>
      <c r="I740" t="inlineStr">
        <is>
          <t>CIO</t>
        </is>
      </c>
      <c r="J740" s="21" t="n">
        <v>629636</v>
      </c>
      <c r="K740" s="21" t="n">
        <v>615810</v>
      </c>
      <c r="L740" s="21" t="n">
        <v>1245446</v>
      </c>
      <c r="M740" s="21" t="n">
        <v>4658</v>
      </c>
      <c r="N740" s="21" t="n">
        <v>54300</v>
      </c>
      <c r="O740" s="21" t="n">
        <v>33932</v>
      </c>
      <c r="P740" s="21" t="n">
        <v>1338336</v>
      </c>
      <c r="Q740" s="21" t="n">
        <v>1338336</v>
      </c>
      <c r="R740" s="21">
        <f>IF(Q740="","",Q740*(1+in_GrowthRate)^(YEARFRAC(DATE(2022,6,30),in_AgeToDate)*IF(in_AgeToDate&lt;DATE(2022,6,30),-1,1)+1))</f>
        <v/>
      </c>
      <c r="S740" s="38" t="n">
        <v>0.9780412809940982</v>
      </c>
      <c r="T740" s="43">
        <f>HYPERLINK("https://projects.propublica.org/nonprofits/organizations/135562401/202243189349318819/full","view filing")</f>
        <v/>
      </c>
    </row>
    <row r="741"/>
  </sheetData>
  <autoFilter ref="A24:T740"/>
  <printOptions horizontalCentered="1"/>
  <pageMargins left="0.75" right="0.75" top="1" bottom="1" header="0.5" footer="0.5"/>
  <pageSetup orientation="landscape" fitToHeight="0" fitToWidth="1"/>
  <headerFooter>
    <oddHeader/>
    <oddFooter>&amp;LMichael Oak Advisors&amp;R&amp;P of &amp;N</oddFooter>
    <evenHeader/>
    <evenFooter/>
    <firstHeader/>
    <firstFooter/>
  </headerFooter>
</worksheet>
</file>

<file path=xl/worksheets/sheet4.xml><?xml version="1.0" encoding="utf-8"?>
<worksheet xmlns="http://schemas.openxmlformats.org/spreadsheetml/2006/main">
  <sheetPr>
    <tabColor rgb="001F3864"/>
    <outlinePr summaryBelow="1" summaryRight="1"/>
    <pageSetUpPr fitToPage="1"/>
  </sheetPr>
  <dimension ref="A1:T113"/>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34" customWidth="1" min="1" max="1"/>
    <col width="15" customWidth="1" min="2" max="2"/>
    <col width="12" customWidth="1" min="3" max="3"/>
    <col width="14" customWidth="1" min="4" max="4"/>
    <col width="12" customWidth="1" min="5" max="5"/>
    <col width="12" customWidth="1" min="6" max="6"/>
    <col width="24" customWidth="1" min="7" max="7"/>
    <col width="32"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s>
  <sheetData>
    <row r="1">
      <c r="A1" s="1" t="inlineStr">
        <is>
          <t>Deputy CIO</t>
        </is>
      </c>
    </row>
    <row r="2">
      <c r="A2" s="19" t="inlineStr">
        <is>
          <t>Leadership</t>
        </is>
      </c>
    </row>
    <row r="3">
      <c r="A3" s="19">
        <f>Summary!$A$5&amp;""</f>
        <v/>
      </c>
    </row>
    <row r="4">
      <c r="A4" s="2">
        <f>IF(Inputs!$B$21="","Select your organization on Inputs to compare.","Your organization: "&amp;Inputs!$B$21&amp;", excluded from the market columns.")</f>
        <v/>
      </c>
    </row>
    <row r="5">
      <c r="A5" s="34">
        <f>IF($I13&gt;=2,"","Too few people for a market statistic at this filter: "&amp;$I13&amp;" at "&amp;$H13&amp;" organization(s). Records below.")</f>
        <v/>
      </c>
      <c r="C5" s="2" t="inlineStr">
        <is>
          <t>Market</t>
        </is>
      </c>
      <c r="J5" s="2" t="inlineStr">
        <is>
          <t>Your organization</t>
        </is>
      </c>
      <c r="N5" s="2" t="inlineStr">
        <is>
          <t>Estimated (1)</t>
        </is>
      </c>
    </row>
    <row r="6" ht="20" customHeight="1">
      <c r="A6" s="35" t="inlineStr"/>
      <c r="B6" s="35" t="inlineStr">
        <is>
          <t>basis</t>
        </is>
      </c>
      <c r="C6" s="35" t="inlineStr">
        <is>
          <t>P25</t>
        </is>
      </c>
      <c r="D6" s="35" t="inlineStr">
        <is>
          <t>P50</t>
        </is>
      </c>
      <c r="E6" s="35" t="inlineStr">
        <is>
          <t>P75</t>
        </is>
      </c>
      <c r="F6" s="35" t="inlineStr">
        <is>
          <t>P90</t>
        </is>
      </c>
      <c r="G6" s="35" t="inlineStr">
        <is>
          <t>Average</t>
        </is>
      </c>
      <c r="H6" s="35" t="inlineStr">
        <is>
          <t>#Orgs</t>
        </is>
      </c>
      <c r="I6" s="35" t="inlineStr">
        <is>
          <t>#People</t>
        </is>
      </c>
      <c r="J6" s="36" t="inlineStr">
        <is>
          <t>Value</t>
        </is>
      </c>
      <c r="K6" s="36" t="inlineStr">
        <is>
          <t>vs P50</t>
        </is>
      </c>
      <c r="L6" s="36" t="inlineStr">
        <is>
          <t>Percentile</t>
        </is>
      </c>
      <c r="M6" s="36" t="inlineStr">
        <is>
          <t>#People</t>
        </is>
      </c>
      <c r="N6" s="35" t="inlineStr">
        <is>
          <t>Est. P25</t>
        </is>
      </c>
      <c r="O6" s="35" t="inlineStr">
        <is>
          <t>Est. P75</t>
        </is>
      </c>
      <c r="P6" s="35" t="inlineStr">
        <is>
          <t>Est. P90</t>
        </is>
      </c>
    </row>
    <row r="7">
      <c r="A7" s="2" t="inlineStr">
        <is>
          <t>Base salary</t>
        </is>
      </c>
      <c r="B7" s="19" t="inlineStr">
        <is>
          <t>Schedule J only</t>
        </is>
      </c>
      <c r="C7" s="21">
        <f>IF($I7&gt;=k_MinQuartile,MROUND(_xlfn.PERCENTILE.INC(_xlfn._xlws.FILTER(Records[(B)(i) Base],(Records[Role Group]="Deputy CIO")*(Records[Include]="Y")*(Records[Total Cash]&lt;&gt;"")),0.25),k_RoundTo),"")</f>
        <v/>
      </c>
      <c r="D7" s="22">
        <f>IF($I7&gt;=k_MinMedian,MROUND(_xlfn.PERCENTILE.INC(_xlfn._xlws.FILTER(Records[(B)(i) Base],(Records[Role Group]="Deputy CIO")*(Records[Include]="Y")*(Records[Total Cash]&lt;&gt;"")),0.5),k_RoundTo),"")</f>
        <v/>
      </c>
      <c r="E7" s="21">
        <f>IF($I7&gt;=k_MinQuartile,MROUND(_xlfn.PERCENTILE.INC(_xlfn._xlws.FILTER(Records[(B)(i) Base],(Records[Role Group]="Deputy CIO")*(Records[Include]="Y")*(Records[Total Cash]&lt;&gt;"")),0.75),k_RoundTo),"")</f>
        <v/>
      </c>
      <c r="F7" s="21">
        <f>IF($I7&gt;=k_MinQuartile,MROUND(_xlfn.PERCENTILE.INC(_xlfn._xlws.FILTER(Records[(B)(i) Base],(Records[Role Group]="Deputy CIO")*(Records[Include]="Y")*(Records[Total Cash]&lt;&gt;"")),0.9),k_RoundTo),"")</f>
        <v/>
      </c>
      <c r="G7" s="21">
        <f>IF($I7&gt;=k_MinMedian,MROUND(AVERAGE(_xlfn._xlws.FILTER(Records[(B)(i) Base],(Records[Role Group]="Deputy CIO")*(Records[Include]="Y")*(Records[Total Cash]&lt;&gt;""))),k_RoundTo),"")</f>
        <v/>
      </c>
      <c r="H7" s="20">
        <f>IFERROR(SUMPRODUCT(((Records[Role Group]="Deputy CIO")*(Records[Include]="Y")*(Records[Total Cash]&lt;&gt;""))/(COUNTIFS(Records[Organization],Records[Organization]&amp;"",Records[Role Group],"Deputy CIO",Records[Include],"Y")+(COUNTIFS(Records[Organization],Records[Organization]&amp;"",Records[Role Group],"Deputy CIO",Records[Include],"Y")=0))),0)</f>
        <v/>
      </c>
      <c r="I7" s="20">
        <f>SUMPRODUCT((Records[Role Group]="Deputy CIO")*(Records[Include]="Y")*(Records[Total Cash]&lt;&gt;""))</f>
        <v/>
      </c>
      <c r="J7" s="23">
        <f>IF(Inputs!$B$21="","",IFERROR(MAX(_xlfn._xlws.FILTER(Records[(B)(i) Base],(Records[Role Group]="Deputy CIO")*(Records[Organization]=Inputs!$B$21)*(Records[Most Recent]="Y")*(Records[Total Cash]&lt;&gt;""))),""))</f>
        <v/>
      </c>
      <c r="K7" s="24">
        <f>IF(OR($J7="",$D7=""),"",$J7/$D7-1)</f>
        <v/>
      </c>
      <c r="L7" s="25">
        <f>IF($I7&gt;=k_MinQuartile,IF(OR($J7="",$J7=0),"",IFERROR(PERCENTRANK.INC(_xlfn._xlws.FILTER(Records[(B)(i) Base],(Records[Role Group]="Deputy CIO")*(Records[Include]="Y")*(Records[Total Cash]&lt;&gt;"")),$J7,4),"")),"")</f>
        <v/>
      </c>
      <c r="M7" s="37">
        <f>IF(Inputs!$B$21="","",SUMPRODUCT((Records[Role Group]="Deputy CIO")*(Records[Organization]=Inputs!$B$21)*(Records[Most Recent]="Y")*(Records[Total Cash]&lt;&gt;"")))</f>
        <v/>
      </c>
      <c r="N7" s="26">
        <f>IF(AND($I7&gt;=k_MinMedian,$I7&lt;k_MinQuartile,$D7&lt;&gt;""),MROUND($D7*k_Est_base_heads_25,k_RoundTo),"")</f>
        <v/>
      </c>
      <c r="O7" s="26">
        <f>IF(AND($I7&gt;=k_MinMedian,$I7&lt;k_MinQuartile,$D7&lt;&gt;""),MROUND($D7*k_Est_base_heads_75,k_RoundTo),"")</f>
        <v/>
      </c>
      <c r="P7" s="26">
        <f>IF(AND($I7&gt;=k_MinMedian,$I7&lt;k_MinQuartile,$D7&lt;&gt;""),MROUND($D7*k_Est_base_heads_90,k_RoundTo),"")</f>
        <v/>
      </c>
    </row>
    <row r="8">
      <c r="A8" s="2" t="inlineStr">
        <is>
          <t>Incentive / bonus</t>
        </is>
      </c>
      <c r="B8" s="19" t="inlineStr">
        <is>
          <t>Schedule J only</t>
        </is>
      </c>
      <c r="C8" s="21">
        <f>IF($I8&gt;=k_MinQuartile,MROUND(_xlfn.PERCENTILE.INC(_xlfn._xlws.FILTER(Records[(B)(ii) Bonus],(Records[Role Group]="Deputy CIO")*(Records[Include]="Y")*(Records[Total Cash]&lt;&gt;"")),0.25),k_RoundTo),"")</f>
        <v/>
      </c>
      <c r="D8" s="22">
        <f>IF($I8&gt;=k_MinMedian,MROUND(_xlfn.PERCENTILE.INC(_xlfn._xlws.FILTER(Records[(B)(ii) Bonus],(Records[Role Group]="Deputy CIO")*(Records[Include]="Y")*(Records[Total Cash]&lt;&gt;"")),0.5),k_RoundTo),"")</f>
        <v/>
      </c>
      <c r="E8" s="21">
        <f>IF($I8&gt;=k_MinQuartile,MROUND(_xlfn.PERCENTILE.INC(_xlfn._xlws.FILTER(Records[(B)(ii) Bonus],(Records[Role Group]="Deputy CIO")*(Records[Include]="Y")*(Records[Total Cash]&lt;&gt;"")),0.75),k_RoundTo),"")</f>
        <v/>
      </c>
      <c r="F8" s="21">
        <f>IF($I8&gt;=k_MinQuartile,MROUND(_xlfn.PERCENTILE.INC(_xlfn._xlws.FILTER(Records[(B)(ii) Bonus],(Records[Role Group]="Deputy CIO")*(Records[Include]="Y")*(Records[Total Cash]&lt;&gt;"")),0.9),k_RoundTo),"")</f>
        <v/>
      </c>
      <c r="G8" s="21">
        <f>IF($I8&gt;=k_MinMedian,MROUND(AVERAGE(_xlfn._xlws.FILTER(Records[(B)(ii) Bonus],(Records[Role Group]="Deputy CIO")*(Records[Include]="Y")*(Records[Total Cash]&lt;&gt;""))),k_RoundTo),"")</f>
        <v/>
      </c>
      <c r="H8" s="20">
        <f>IFERROR(SUMPRODUCT(((Records[Role Group]="Deputy CIO")*(Records[Include]="Y")*(Records[Total Cash]&lt;&gt;""))/(COUNTIFS(Records[Organization],Records[Organization]&amp;"",Records[Role Group],"Deputy CIO",Records[Include],"Y")+(COUNTIFS(Records[Organization],Records[Organization]&amp;"",Records[Role Group],"Deputy CIO",Records[Include],"Y")=0))),0)</f>
        <v/>
      </c>
      <c r="I8" s="20">
        <f>SUMPRODUCT((Records[Role Group]="Deputy CIO")*(Records[Include]="Y")*(Records[Total Cash]&lt;&gt;""))</f>
        <v/>
      </c>
      <c r="J8" s="23">
        <f>IF(Inputs!$B$21="","",IFERROR(MAX(_xlfn._xlws.FILTER(Records[(B)(ii) Bonus],(Records[Role Group]="Deputy CIO")*(Records[Organization]=Inputs!$B$21)*(Records[Most Recent]="Y")*(Records[Total Cash]&lt;&gt;""))),""))</f>
        <v/>
      </c>
      <c r="K8" s="24">
        <f>IF(OR($J8="",$D8=""),"",$J8/$D8-1)</f>
        <v/>
      </c>
      <c r="L8" s="25">
        <f>IF($I8&gt;=k_MinQuartile,IF(OR($J8="",$J8=0),"",IFERROR(PERCENTRANK.INC(_xlfn._xlws.FILTER(Records[(B)(ii) Bonus],(Records[Role Group]="Deputy CIO")*(Records[Include]="Y")*(Records[Total Cash]&lt;&gt;"")),$J8,4),"")),"")</f>
        <v/>
      </c>
      <c r="M8" s="37">
        <f>IF(Inputs!$B$21="","",SUMPRODUCT((Records[Role Group]="Deputy CIO")*(Records[Organization]=Inputs!$B$21)*(Records[Most Recent]="Y")*(Records[Total Cash]&lt;&gt;"")))</f>
        <v/>
      </c>
    </row>
    <row r="9">
      <c r="A9" s="2" t="inlineStr">
        <is>
          <t>Total cash</t>
        </is>
      </c>
      <c r="B9" s="19" t="inlineStr">
        <is>
          <t>all filers</t>
        </is>
      </c>
      <c r="C9" s="21">
        <f>IF($I9&gt;=k_MinQuartile,MROUND(_xlfn.PERCENTILE.INC(_xlfn._xlws.FILTER(Records[Total Cash],(Records[Role Group]="Deputy CIO")*(Records[Include]="Y")*(Records[Total Cash]&gt;0)),0.25),k_RoundTo),"")</f>
        <v/>
      </c>
      <c r="D9" s="22">
        <f>IF($I9&gt;=k_MinMedian,MROUND(_xlfn.PERCENTILE.INC(_xlfn._xlws.FILTER(Records[Total Cash],(Records[Role Group]="Deputy CIO")*(Records[Include]="Y")*(Records[Total Cash]&gt;0)),0.5),k_RoundTo),"")</f>
        <v/>
      </c>
      <c r="E9" s="21">
        <f>IF($I9&gt;=k_MinQuartile,MROUND(_xlfn.PERCENTILE.INC(_xlfn._xlws.FILTER(Records[Total Cash],(Records[Role Group]="Deputy CIO")*(Records[Include]="Y")*(Records[Total Cash]&gt;0)),0.75),k_RoundTo),"")</f>
        <v/>
      </c>
      <c r="F9" s="21">
        <f>IF($I9&gt;=k_MinQuartile,MROUND(_xlfn.PERCENTILE.INC(_xlfn._xlws.FILTER(Records[Total Cash],(Records[Role Group]="Deputy CIO")*(Records[Include]="Y")*(Records[Total Cash]&gt;0)),0.9),k_RoundTo),"")</f>
        <v/>
      </c>
      <c r="G9" s="21">
        <f>IF($I9&gt;=k_MinMedian,MROUND(AVERAGE(_xlfn._xlws.FILTER(Records[Total Cash],(Records[Role Group]="Deputy CIO")*(Records[Include]="Y")*(Records[Total Cash]&gt;0))),k_RoundTo),"")</f>
        <v/>
      </c>
      <c r="H9" s="20">
        <f>IFERROR(SUMPRODUCT(((Records[Role Group]="Deputy CIO")*(Records[Include]="Y")*(Records[Total Cash]&gt;0))/(COUNTIFS(Records[Organization],Records[Organization]&amp;"",Records[Role Group],"Deputy CIO",Records[Include],"Y")+(COUNTIFS(Records[Organization],Records[Organization]&amp;"",Records[Role Group],"Deputy CIO",Records[Include],"Y")=0))),0)</f>
        <v/>
      </c>
      <c r="I9" s="20">
        <f>SUMPRODUCT((Records[Role Group]="Deputy CIO")*(Records[Include]="Y")*(Records[Total Cash]&gt;0))</f>
        <v/>
      </c>
      <c r="J9" s="23">
        <f>IF(Inputs!$B$21="","",IFERROR(MAX(_xlfn._xlws.FILTER(Records[Total Cash],(Records[Role Group]="Deputy CIO")*(Records[Organization]=Inputs!$B$21)*(Records[Most Recent]="Y")*(Records[Total Cash]&gt;0))),""))</f>
        <v/>
      </c>
      <c r="K9" s="24">
        <f>IF(OR($J9="",$D9=""),"",$J9/$D9-1)</f>
        <v/>
      </c>
      <c r="L9" s="25">
        <f>IF($I9&gt;=k_MinQuartile,IF(OR($J9="",$J9=0),"",IFERROR(PERCENTRANK.INC(_xlfn._xlws.FILTER(Records[Total Cash],(Records[Role Group]="Deputy CIO")*(Records[Include]="Y")*(Records[Total Cash]&gt;0)),$J9,4),"")),"")</f>
        <v/>
      </c>
      <c r="M9" s="37">
        <f>IF(Inputs!$B$21="","",SUMPRODUCT((Records[Role Group]="Deputy CIO")*(Records[Organization]=Inputs!$B$21)*(Records[Most Recent]="Y")*(Records[Total Cash]&gt;0)))</f>
        <v/>
      </c>
    </row>
    <row r="10">
      <c r="A10" s="2" t="inlineStr">
        <is>
          <t>Other reportable</t>
        </is>
      </c>
      <c r="B10" s="19" t="inlineStr">
        <is>
          <t>Schedule J only</t>
        </is>
      </c>
      <c r="C10" s="21">
        <f>IF($I10&gt;=k_MinQuartile,MROUND(_xlfn.PERCENTILE.INC(_xlfn._xlws.FILTER(Records[(B)(iii) Other],(Records[Role Group]="Deputy CIO")*(Records[Include]="Y")*(Records[Total Cash]&lt;&gt;"")),0.25),k_RoundTo),"")</f>
        <v/>
      </c>
      <c r="D10" s="22">
        <f>IF($I10&gt;=k_MinMedian,MROUND(_xlfn.PERCENTILE.INC(_xlfn._xlws.FILTER(Records[(B)(iii) Other],(Records[Role Group]="Deputy CIO")*(Records[Include]="Y")*(Records[Total Cash]&lt;&gt;"")),0.5),k_RoundTo),"")</f>
        <v/>
      </c>
      <c r="E10" s="21">
        <f>IF($I10&gt;=k_MinQuartile,MROUND(_xlfn.PERCENTILE.INC(_xlfn._xlws.FILTER(Records[(B)(iii) Other],(Records[Role Group]="Deputy CIO")*(Records[Include]="Y")*(Records[Total Cash]&lt;&gt;"")),0.75),k_RoundTo),"")</f>
        <v/>
      </c>
      <c r="F10" s="21">
        <f>IF($I10&gt;=k_MinQuartile,MROUND(_xlfn.PERCENTILE.INC(_xlfn._xlws.FILTER(Records[(B)(iii) Other],(Records[Role Group]="Deputy CIO")*(Records[Include]="Y")*(Records[Total Cash]&lt;&gt;"")),0.9),k_RoundTo),"")</f>
        <v/>
      </c>
      <c r="G10" s="21">
        <f>IF($I10&gt;=k_MinMedian,MROUND(AVERAGE(_xlfn._xlws.FILTER(Records[(B)(iii) Other],(Records[Role Group]="Deputy CIO")*(Records[Include]="Y")*(Records[Total Cash]&lt;&gt;""))),k_RoundTo),"")</f>
        <v/>
      </c>
      <c r="H10" s="20">
        <f>IFERROR(SUMPRODUCT(((Records[Role Group]="Deputy CIO")*(Records[Include]="Y")*(Records[Total Cash]&lt;&gt;""))/(COUNTIFS(Records[Organization],Records[Organization]&amp;"",Records[Role Group],"Deputy CIO",Records[Include],"Y")+(COUNTIFS(Records[Organization],Records[Organization]&amp;"",Records[Role Group],"Deputy CIO",Records[Include],"Y")=0))),0)</f>
        <v/>
      </c>
      <c r="I10" s="20">
        <f>SUMPRODUCT((Records[Role Group]="Deputy CIO")*(Records[Include]="Y")*(Records[Total Cash]&lt;&gt;""))</f>
        <v/>
      </c>
      <c r="J10" s="23">
        <f>IF(Inputs!$B$21="","",IFERROR(MAX(_xlfn._xlws.FILTER(Records[(B)(iii) Other],(Records[Role Group]="Deputy CIO")*(Records[Organization]=Inputs!$B$21)*(Records[Most Recent]="Y")*(Records[Total Cash]&lt;&gt;""))),""))</f>
        <v/>
      </c>
      <c r="K10" s="24">
        <f>IF(OR($J10="",$D10=""),"",$J10/$D10-1)</f>
        <v/>
      </c>
      <c r="L10" s="25">
        <f>IF($I10&gt;=k_MinQuartile,IF(OR($J10="",$J10=0),"",IFERROR(PERCENTRANK.INC(_xlfn._xlws.FILTER(Records[(B)(iii) Other],(Records[Role Group]="Deputy CIO")*(Records[Include]="Y")*(Records[Total Cash]&lt;&gt;"")),$J10,4),"")),"")</f>
        <v/>
      </c>
      <c r="M10" s="37">
        <f>IF(Inputs!$B$21="","",SUMPRODUCT((Records[Role Group]="Deputy CIO")*(Records[Organization]=Inputs!$B$21)*(Records[Most Recent]="Y")*(Records[Total Cash]&lt;&gt;"")))</f>
        <v/>
      </c>
    </row>
    <row r="11">
      <c r="A11" s="2" t="inlineStr">
        <is>
          <t>Deferred</t>
        </is>
      </c>
      <c r="B11" s="19" t="inlineStr">
        <is>
          <t>Schedule J only</t>
        </is>
      </c>
      <c r="C11" s="21">
        <f>IF($I11&gt;=k_MinQuartile,MROUND(_xlfn.PERCENTILE.INC(_xlfn._xlws.FILTER(Records[(C) Deferred],(Records[Role Group]="Deputy CIO")*(Records[Include]="Y")*(Records[Total Cash]&lt;&gt;"")),0.25),k_RoundTo),"")</f>
        <v/>
      </c>
      <c r="D11" s="22">
        <f>IF($I11&gt;=k_MinMedian,MROUND(_xlfn.PERCENTILE.INC(_xlfn._xlws.FILTER(Records[(C) Deferred],(Records[Role Group]="Deputy CIO")*(Records[Include]="Y")*(Records[Total Cash]&lt;&gt;"")),0.5),k_RoundTo),"")</f>
        <v/>
      </c>
      <c r="E11" s="21">
        <f>IF($I11&gt;=k_MinQuartile,MROUND(_xlfn.PERCENTILE.INC(_xlfn._xlws.FILTER(Records[(C) Deferred],(Records[Role Group]="Deputy CIO")*(Records[Include]="Y")*(Records[Total Cash]&lt;&gt;"")),0.75),k_RoundTo),"")</f>
        <v/>
      </c>
      <c r="F11" s="21">
        <f>IF($I11&gt;=k_MinQuartile,MROUND(_xlfn.PERCENTILE.INC(_xlfn._xlws.FILTER(Records[(C) Deferred],(Records[Role Group]="Deputy CIO")*(Records[Include]="Y")*(Records[Total Cash]&lt;&gt;"")),0.9),k_RoundTo),"")</f>
        <v/>
      </c>
      <c r="G11" s="21">
        <f>IF($I11&gt;=k_MinMedian,MROUND(AVERAGE(_xlfn._xlws.FILTER(Records[(C) Deferred],(Records[Role Group]="Deputy CIO")*(Records[Include]="Y")*(Records[Total Cash]&lt;&gt;""))),k_RoundTo),"")</f>
        <v/>
      </c>
      <c r="H11" s="20">
        <f>IFERROR(SUMPRODUCT(((Records[Role Group]="Deputy CIO")*(Records[Include]="Y")*(Records[Total Cash]&lt;&gt;""))/(COUNTIFS(Records[Organization],Records[Organization]&amp;"",Records[Role Group],"Deputy CIO",Records[Include],"Y")+(COUNTIFS(Records[Organization],Records[Organization]&amp;"",Records[Role Group],"Deputy CIO",Records[Include],"Y")=0))),0)</f>
        <v/>
      </c>
      <c r="I11" s="20">
        <f>SUMPRODUCT((Records[Role Group]="Deputy CIO")*(Records[Include]="Y")*(Records[Total Cash]&lt;&gt;""))</f>
        <v/>
      </c>
      <c r="J11" s="23">
        <f>IF(Inputs!$B$21="","",IFERROR(MAX(_xlfn._xlws.FILTER(Records[(C) Deferred],(Records[Role Group]="Deputy CIO")*(Records[Organization]=Inputs!$B$21)*(Records[Most Recent]="Y")*(Records[Total Cash]&lt;&gt;""))),""))</f>
        <v/>
      </c>
      <c r="K11" s="24">
        <f>IF(OR($J11="",$D11=""),"",$J11/$D11-1)</f>
        <v/>
      </c>
      <c r="L11" s="25">
        <f>IF($I11&gt;=k_MinQuartile,IF(OR($J11="",$J11=0),"",IFERROR(PERCENTRANK.INC(_xlfn._xlws.FILTER(Records[(C) Deferred],(Records[Role Group]="Deputy CIO")*(Records[Include]="Y")*(Records[Total Cash]&lt;&gt;"")),$J11,4),"")),"")</f>
        <v/>
      </c>
      <c r="M11" s="37">
        <f>IF(Inputs!$B$21="","",SUMPRODUCT((Records[Role Group]="Deputy CIO")*(Records[Organization]=Inputs!$B$21)*(Records[Most Recent]="Y")*(Records[Total Cash]&lt;&gt;"")))</f>
        <v/>
      </c>
    </row>
    <row r="12">
      <c r="A12" s="2" t="inlineStr">
        <is>
          <t>Nontaxable benefits</t>
        </is>
      </c>
      <c r="B12" s="19" t="inlineStr">
        <is>
          <t>Schedule J only</t>
        </is>
      </c>
      <c r="C12" s="21">
        <f>IF($I12&gt;=k_MinQuartile,MROUND(_xlfn.PERCENTILE.INC(_xlfn._xlws.FILTER(Records[(D) Nontax Benefits],(Records[Role Group]="Deputy CIO")*(Records[Include]="Y")*(Records[Total Cash]&lt;&gt;"")),0.25),k_RoundTo),"")</f>
        <v/>
      </c>
      <c r="D12" s="22">
        <f>IF($I12&gt;=k_MinMedian,MROUND(_xlfn.PERCENTILE.INC(_xlfn._xlws.FILTER(Records[(D) Nontax Benefits],(Records[Role Group]="Deputy CIO")*(Records[Include]="Y")*(Records[Total Cash]&lt;&gt;"")),0.5),k_RoundTo),"")</f>
        <v/>
      </c>
      <c r="E12" s="21">
        <f>IF($I12&gt;=k_MinQuartile,MROUND(_xlfn.PERCENTILE.INC(_xlfn._xlws.FILTER(Records[(D) Nontax Benefits],(Records[Role Group]="Deputy CIO")*(Records[Include]="Y")*(Records[Total Cash]&lt;&gt;"")),0.75),k_RoundTo),"")</f>
        <v/>
      </c>
      <c r="F12" s="21">
        <f>IF($I12&gt;=k_MinQuartile,MROUND(_xlfn.PERCENTILE.INC(_xlfn._xlws.FILTER(Records[(D) Nontax Benefits],(Records[Role Group]="Deputy CIO")*(Records[Include]="Y")*(Records[Total Cash]&lt;&gt;"")),0.9),k_RoundTo),"")</f>
        <v/>
      </c>
      <c r="G12" s="21">
        <f>IF($I12&gt;=k_MinMedian,MROUND(AVERAGE(_xlfn._xlws.FILTER(Records[(D) Nontax Benefits],(Records[Role Group]="Deputy CIO")*(Records[Include]="Y")*(Records[Total Cash]&lt;&gt;""))),k_RoundTo),"")</f>
        <v/>
      </c>
      <c r="H12" s="20">
        <f>IFERROR(SUMPRODUCT(((Records[Role Group]="Deputy CIO")*(Records[Include]="Y")*(Records[Total Cash]&lt;&gt;""))/(COUNTIFS(Records[Organization],Records[Organization]&amp;"",Records[Role Group],"Deputy CIO",Records[Include],"Y")+(COUNTIFS(Records[Organization],Records[Organization]&amp;"",Records[Role Group],"Deputy CIO",Records[Include],"Y")=0))),0)</f>
        <v/>
      </c>
      <c r="I12" s="20">
        <f>SUMPRODUCT((Records[Role Group]="Deputy CIO")*(Records[Include]="Y")*(Records[Total Cash]&lt;&gt;""))</f>
        <v/>
      </c>
      <c r="J12" s="23">
        <f>IF(Inputs!$B$21="","",IFERROR(MAX(_xlfn._xlws.FILTER(Records[(D) Nontax Benefits],(Records[Role Group]="Deputy CIO")*(Records[Organization]=Inputs!$B$21)*(Records[Most Recent]="Y")*(Records[Total Cash]&lt;&gt;""))),""))</f>
        <v/>
      </c>
      <c r="K12" s="24">
        <f>IF(OR($J12="",$D12=""),"",$J12/$D12-1)</f>
        <v/>
      </c>
      <c r="L12" s="25">
        <f>IF($I12&gt;=k_MinQuartile,IF(OR($J12="",$J12=0),"",IFERROR(PERCENTRANK.INC(_xlfn._xlws.FILTER(Records[(D) Nontax Benefits],(Records[Role Group]="Deputy CIO")*(Records[Include]="Y")*(Records[Total Cash]&lt;&gt;"")),$J12,4),"")),"")</f>
        <v/>
      </c>
      <c r="M12" s="37">
        <f>IF(Inputs!$B$21="","",SUMPRODUCT((Records[Role Group]="Deputy CIO")*(Records[Organization]=Inputs!$B$21)*(Records[Most Recent]="Y")*(Records[Total Cash]&lt;&gt;"")))</f>
        <v/>
      </c>
    </row>
    <row r="13">
      <c r="A13" s="2" t="inlineStr">
        <is>
          <t>Total compensation</t>
        </is>
      </c>
      <c r="B13" s="19" t="inlineStr">
        <is>
          <t>all filers</t>
        </is>
      </c>
      <c r="C13" s="21">
        <f>IF($I13&gt;=k_MinQuartile,MROUND(_xlfn.PERCENTILE.INC(_xlfn._xlws.FILTER(Records[(E) Total Comp],(Records[Role Group]="Deputy CIO")*(Records[Include]="Y")*(Records[(E) Total Comp]&gt;0)),0.25),k_RoundTo),"")</f>
        <v/>
      </c>
      <c r="D13" s="22">
        <f>IF($I13&gt;=k_MinMedian,MROUND(_xlfn.PERCENTILE.INC(_xlfn._xlws.FILTER(Records[(E) Total Comp],(Records[Role Group]="Deputy CIO")*(Records[Include]="Y")*(Records[(E) Total Comp]&gt;0)),0.5),k_RoundTo),"")</f>
        <v/>
      </c>
      <c r="E13" s="21">
        <f>IF($I13&gt;=k_MinQuartile,MROUND(_xlfn.PERCENTILE.INC(_xlfn._xlws.FILTER(Records[(E) Total Comp],(Records[Role Group]="Deputy CIO")*(Records[Include]="Y")*(Records[(E) Total Comp]&gt;0)),0.75),k_RoundTo),"")</f>
        <v/>
      </c>
      <c r="F13" s="21">
        <f>IF($I13&gt;=k_MinQuartile,MROUND(_xlfn.PERCENTILE.INC(_xlfn._xlws.FILTER(Records[(E) Total Comp],(Records[Role Group]="Deputy CIO")*(Records[Include]="Y")*(Records[(E) Total Comp]&gt;0)),0.9),k_RoundTo),"")</f>
        <v/>
      </c>
      <c r="G13" s="21">
        <f>IF($I13&gt;=k_MinMedian,MROUND(AVERAGE(_xlfn._xlws.FILTER(Records[(E) Total Comp],(Records[Role Group]="Deputy CIO")*(Records[Include]="Y")*(Records[(E) Total Comp]&gt;0))),k_RoundTo),"")</f>
        <v/>
      </c>
      <c r="H13" s="20">
        <f>IFERROR(SUMPRODUCT(((Records[Role Group]="Deputy CIO")*(Records[Include]="Y")*(Records[(E) Total Comp]&gt;0))/(COUNTIFS(Records[Organization],Records[Organization]&amp;"",Records[Role Group],"Deputy CIO",Records[Include],"Y")+(COUNTIFS(Records[Organization],Records[Organization]&amp;"",Records[Role Group],"Deputy CIO",Records[Include],"Y")=0))),0)</f>
        <v/>
      </c>
      <c r="I13" s="20">
        <f>SUMPRODUCT((Records[Role Group]="Deputy CIO")*(Records[Include]="Y")*(Records[(E) Total Comp]&gt;0))</f>
        <v/>
      </c>
      <c r="J13" s="23">
        <f>IF(Inputs!$B$21="","",IFERROR(MAX(_xlfn._xlws.FILTER(Records[(E) Total Comp],(Records[Role Group]="Deputy CIO")*(Records[Organization]=Inputs!$B$21)*(Records[Most Recent]="Y")*(Records[(E) Total Comp]&gt;0))),""))</f>
        <v/>
      </c>
      <c r="K13" s="24">
        <f>IF(OR($J13="",$D13=""),"",$J13/$D13-1)</f>
        <v/>
      </c>
      <c r="L13" s="25">
        <f>IF($I13&gt;=k_MinQuartile,IF(OR($J13="",$J13=0),"",IFERROR(PERCENTRANK.INC(_xlfn._xlws.FILTER(Records[(E) Total Comp],(Records[Role Group]="Deputy CIO")*(Records[Include]="Y")*(Records[(E) Total Comp]&gt;0)),$J13,4),"")),"")</f>
        <v/>
      </c>
      <c r="M13" s="37">
        <f>IF(Inputs!$B$21="","",SUMPRODUCT((Records[Role Group]="Deputy CIO")*(Records[Organization]=Inputs!$B$21)*(Records[Most Recent]="Y")*(Records[(E) Total Comp]&gt;0)))</f>
        <v/>
      </c>
    </row>
    <row r="14">
      <c r="A14" s="2" t="inlineStr">
        <is>
          <t>Adjusted total</t>
        </is>
      </c>
      <c r="B14" s="19" t="inlineStr">
        <is>
          <t>all filers</t>
        </is>
      </c>
      <c r="C14" s="21">
        <f>IF($I14&gt;=k_MinQuartile,MROUND(_xlfn.PERCENTILE.INC(_xlfn._xlws.FILTER(Records[Adj Total],(Records[Role Group]="Deputy CIO")*(Records[Include]="Y")*(Records[Adj Total]&gt;0)),0.25),k_RoundTo),"")</f>
        <v/>
      </c>
      <c r="D14" s="22">
        <f>IF($I14&gt;=k_MinMedian,MROUND(_xlfn.PERCENTILE.INC(_xlfn._xlws.FILTER(Records[Adj Total],(Records[Role Group]="Deputy CIO")*(Records[Include]="Y")*(Records[Adj Total]&gt;0)),0.5),k_RoundTo),"")</f>
        <v/>
      </c>
      <c r="E14" s="21">
        <f>IF($I14&gt;=k_MinQuartile,MROUND(_xlfn.PERCENTILE.INC(_xlfn._xlws.FILTER(Records[Adj Total],(Records[Role Group]="Deputy CIO")*(Records[Include]="Y")*(Records[Adj Total]&gt;0)),0.75),k_RoundTo),"")</f>
        <v/>
      </c>
      <c r="F14" s="21">
        <f>IF($I14&gt;=k_MinQuartile,MROUND(_xlfn.PERCENTILE.INC(_xlfn._xlws.FILTER(Records[Adj Total],(Records[Role Group]="Deputy CIO")*(Records[Include]="Y")*(Records[Adj Total]&gt;0)),0.9),k_RoundTo),"")</f>
        <v/>
      </c>
      <c r="G14" s="21">
        <f>IF($I14&gt;=k_MinMedian,MROUND(AVERAGE(_xlfn._xlws.FILTER(Records[Adj Total],(Records[Role Group]="Deputy CIO")*(Records[Include]="Y")*(Records[Adj Total]&gt;0))),k_RoundTo),"")</f>
        <v/>
      </c>
      <c r="H14" s="20">
        <f>IFERROR(SUMPRODUCT(((Records[Role Group]="Deputy CIO")*(Records[Include]="Y")*(Records[Adj Total]&gt;0))/(COUNTIFS(Records[Organization],Records[Organization]&amp;"",Records[Role Group],"Deputy CIO",Records[Include],"Y")+(COUNTIFS(Records[Organization],Records[Organization]&amp;"",Records[Role Group],"Deputy CIO",Records[Include],"Y")=0))),0)</f>
        <v/>
      </c>
      <c r="I14" s="20">
        <f>SUMPRODUCT((Records[Role Group]="Deputy CIO")*(Records[Include]="Y")*(Records[Adj Total]&gt;0))</f>
        <v/>
      </c>
      <c r="J14" s="23">
        <f>IF(Inputs!$B$21="","",IFERROR(MAX(_xlfn._xlws.FILTER(Records[Adj Total],(Records[Role Group]="Deputy CIO")*(Records[Organization]=Inputs!$B$21)*(Records[Most Recent]="Y")*(Records[Adj Total]&gt;0))),""))</f>
        <v/>
      </c>
      <c r="K14" s="24">
        <f>IF(OR($J14="",$D14=""),"",$J14/$D14-1)</f>
        <v/>
      </c>
      <c r="L14" s="25">
        <f>IF($I14&gt;=k_MinQuartile,IF(OR($J14="",$J14=0),"",IFERROR(PERCENTRANK.INC(_xlfn._xlws.FILTER(Records[Adj Total],(Records[Role Group]="Deputy CIO")*(Records[Include]="Y")*(Records[Adj Total]&gt;0)),$J14,4),"")),"")</f>
        <v/>
      </c>
      <c r="M14" s="37">
        <f>IF(Inputs!$B$21="","",SUMPRODUCT((Records[Role Group]="Deputy CIO")*(Records[Organization]=Inputs!$B$21)*(Records[Most Recent]="Y")*(Records[Adj Total]&gt;0)))</f>
        <v/>
      </c>
      <c r="N14" s="26">
        <f>IF(AND($I14&gt;=k_MinMedian,$I14&lt;k_MinQuartile,$D14&lt;&gt;""),MROUND($D14*k_Est_adj_heads_25,k_RoundTo),"")</f>
        <v/>
      </c>
      <c r="O14" s="26">
        <f>IF(AND($I14&gt;=k_MinMedian,$I14&lt;k_MinQuartile,$D14&lt;&gt;""),MROUND($D14*k_Est_adj_heads_75,k_RoundTo),"")</f>
        <v/>
      </c>
      <c r="P14" s="26">
        <f>IF(AND($I14&gt;=k_MinMedian,$I14&lt;k_MinQuartile,$D14&lt;&gt;""),MROUND($D14*k_Est_adj_heads_90,k_RoundTo),"")</f>
        <v/>
      </c>
    </row>
    <row r="15">
      <c r="A15" s="2" t="inlineStr">
        <is>
          <t>Adjusted total, aged</t>
        </is>
      </c>
      <c r="B15" s="19" t="inlineStr">
        <is>
          <t>all filers</t>
        </is>
      </c>
      <c r="C15" s="21">
        <f>IF($I15&gt;=k_MinQuartile,MROUND(_xlfn.PERCENTILE.INC(_xlfn._xlws.FILTER(Records[Aged Adj Total],(Records[Role Group]="Deputy CIO")*(Records[Include]="Y")*(Records[Aged Adj Total]&gt;0)),0.25),k_RoundTo),"")</f>
        <v/>
      </c>
      <c r="D15" s="22">
        <f>IF($I15&gt;=k_MinMedian,MROUND(_xlfn.PERCENTILE.INC(_xlfn._xlws.FILTER(Records[Aged Adj Total],(Records[Role Group]="Deputy CIO")*(Records[Include]="Y")*(Records[Aged Adj Total]&gt;0)),0.5),k_RoundTo),"")</f>
        <v/>
      </c>
      <c r="E15" s="21">
        <f>IF($I15&gt;=k_MinQuartile,MROUND(_xlfn.PERCENTILE.INC(_xlfn._xlws.FILTER(Records[Aged Adj Total],(Records[Role Group]="Deputy CIO")*(Records[Include]="Y")*(Records[Aged Adj Total]&gt;0)),0.75),k_RoundTo),"")</f>
        <v/>
      </c>
      <c r="F15" s="21">
        <f>IF($I15&gt;=k_MinQuartile,MROUND(_xlfn.PERCENTILE.INC(_xlfn._xlws.FILTER(Records[Aged Adj Total],(Records[Role Group]="Deputy CIO")*(Records[Include]="Y")*(Records[Aged Adj Total]&gt;0)),0.9),k_RoundTo),"")</f>
        <v/>
      </c>
      <c r="G15" s="21">
        <f>IF($I15&gt;=k_MinMedian,MROUND(AVERAGE(_xlfn._xlws.FILTER(Records[Aged Adj Total],(Records[Role Group]="Deputy CIO")*(Records[Include]="Y")*(Records[Aged Adj Total]&gt;0))),k_RoundTo),"")</f>
        <v/>
      </c>
      <c r="H15" s="20">
        <f>IFERROR(SUMPRODUCT(((Records[Role Group]="Deputy CIO")*(Records[Include]="Y")*(Records[Aged Adj Total]&gt;0))/(COUNTIFS(Records[Organization],Records[Organization]&amp;"",Records[Role Group],"Deputy CIO",Records[Include],"Y")+(COUNTIFS(Records[Organization],Records[Organization]&amp;"",Records[Role Group],"Deputy CIO",Records[Include],"Y")=0))),0)</f>
        <v/>
      </c>
      <c r="I15" s="20">
        <f>SUMPRODUCT((Records[Role Group]="Deputy CIO")*(Records[Include]="Y")*(Records[Aged Adj Total]&gt;0))</f>
        <v/>
      </c>
      <c r="J15" s="23">
        <f>IF(Inputs!$B$21="","",IFERROR(MAX(_xlfn._xlws.FILTER(Records[Aged Adj Total],(Records[Role Group]="Deputy CIO")*(Records[Organization]=Inputs!$B$21)*(Records[Most Recent]="Y")*(Records[Aged Adj Total]&gt;0))),""))</f>
        <v/>
      </c>
      <c r="K15" s="24">
        <f>IF(OR($J15="",$D15=""),"",$J15/$D15-1)</f>
        <v/>
      </c>
      <c r="L15" s="25">
        <f>IF($I15&gt;=k_MinQuartile,IF(OR($J15="",$J15=0),"",IFERROR(PERCENTRANK.INC(_xlfn._xlws.FILTER(Records[Aged Adj Total],(Records[Role Group]="Deputy CIO")*(Records[Include]="Y")*(Records[Aged Adj Total]&gt;0)),$J15,4),"")),"")</f>
        <v/>
      </c>
      <c r="M15" s="37">
        <f>IF(Inputs!$B$21="","",SUMPRODUCT((Records[Role Group]="Deputy CIO")*(Records[Organization]=Inputs!$B$21)*(Records[Most Recent]="Y")*(Records[Aged Adj Total]&gt;0)))</f>
        <v/>
      </c>
      <c r="N15" s="26">
        <f>IF(AND($I15&gt;=k_MinMedian,$I15&lt;k_MinQuartile,$D15&lt;&gt;""),MROUND($D15*k_Est_adj_heads_25,k_RoundTo),"")</f>
        <v/>
      </c>
      <c r="O15" s="26">
        <f>IF(AND($I15&gt;=k_MinMedian,$I15&lt;k_MinQuartile,$D15&lt;&gt;""),MROUND($D15*k_Est_adj_heads_75,k_RoundTo),"")</f>
        <v/>
      </c>
      <c r="P15" s="26">
        <f>IF(AND($I15&gt;=k_MinMedian,$I15&lt;k_MinQuartile,$D15&lt;&gt;""),MROUND($D15*k_Est_adj_heads_90,k_RoundTo),"")</f>
        <v/>
      </c>
    </row>
    <row r="16">
      <c r="A16" s="2" t="inlineStr">
        <is>
          <t>Incentive as % of base</t>
        </is>
      </c>
      <c r="B16" s="19" t="inlineStr">
        <is>
          <t>Schedule J only</t>
        </is>
      </c>
      <c r="C16" s="38">
        <f>IF($I16&gt;=k_MinQuartile,_xlfn.PERCENTILE.INC(_xlfn._xlws.FILTER(Records[Incentive % of Base],(Records[Role Group]="Deputy CIO")*(Records[Include]="Y")*(Records[Total Cash]&lt;&gt;"")),0.25),"")</f>
        <v/>
      </c>
      <c r="D16" s="39">
        <f>IF($I16&gt;=k_MinMedian,_xlfn.PERCENTILE.INC(_xlfn._xlws.FILTER(Records[Incentive % of Base],(Records[Role Group]="Deputy CIO")*(Records[Include]="Y")*(Records[Total Cash]&lt;&gt;"")),0.5),"")</f>
        <v/>
      </c>
      <c r="E16" s="38">
        <f>IF($I16&gt;=k_MinQuartile,_xlfn.PERCENTILE.INC(_xlfn._xlws.FILTER(Records[Incentive % of Base],(Records[Role Group]="Deputy CIO")*(Records[Include]="Y")*(Records[Total Cash]&lt;&gt;"")),0.75),"")</f>
        <v/>
      </c>
      <c r="F16" s="38">
        <f>IF($I16&gt;=k_MinQuartile,_xlfn.PERCENTILE.INC(_xlfn._xlws.FILTER(Records[Incentive % of Base],(Records[Role Group]="Deputy CIO")*(Records[Include]="Y")*(Records[Total Cash]&lt;&gt;"")),0.9),"")</f>
        <v/>
      </c>
      <c r="G16" s="38">
        <f>IF($I16&gt;=k_MinMedian,AVERAGE(_xlfn._xlws.FILTER(Records[Incentive % of Base],(Records[Role Group]="Deputy CIO")*(Records[Include]="Y")*(Records[Total Cash]&lt;&gt;""))),"")</f>
        <v/>
      </c>
      <c r="H16" s="20">
        <f>IFERROR(SUMPRODUCT(((Records[Role Group]="Deputy CIO")*(Records[Include]="Y")*(Records[Total Cash]&lt;&gt;""))/(COUNTIFS(Records[Organization],Records[Organization]&amp;"",Records[Role Group],"Deputy CIO",Records[Include],"Y")+(COUNTIFS(Records[Organization],Records[Organization]&amp;"",Records[Role Group],"Deputy CIO",Records[Include],"Y")=0))),0)</f>
        <v/>
      </c>
      <c r="I16" s="20">
        <f>SUMPRODUCT((Records[Role Group]="Deputy CIO")*(Records[Include]="Y")*(Records[Total Cash]&lt;&gt;""))</f>
        <v/>
      </c>
      <c r="J16" s="40">
        <f>IF(Inputs!$B$21="","",IFERROR(MAX(_xlfn._xlws.FILTER(Records[Incentive % of Base],(Records[Role Group]="Deputy CIO")*(Records[Organization]=Inputs!$B$21)*(Records[Most Recent]="Y")*(Records[Total Cash]&lt;&gt;""))),""))</f>
        <v/>
      </c>
      <c r="K16" s="41">
        <f>IF(OR($J16="",$D16=""),"",$J16-$D16)</f>
        <v/>
      </c>
      <c r="L16" s="25">
        <f>IF($I16&gt;=k_MinQuartile,IF(OR($J16="",$J16=0),"",IFERROR(PERCENTRANK.INC(_xlfn._xlws.FILTER(Records[Incentive % of Base],(Records[Role Group]="Deputy CIO")*(Records[Include]="Y")*(Records[Total Cash]&lt;&gt;"")),$J16,4),"")),"")</f>
        <v/>
      </c>
      <c r="M16" s="37">
        <f>IF(Inputs!$B$21="","",SUMPRODUCT((Records[Role Group]="Deputy CIO")*(Records[Organization]=Inputs!$B$21)*(Records[Most Recent]="Y")*(Records[Total Cash]&lt;&gt;"")))</f>
        <v/>
      </c>
    </row>
    <row r="17"/>
    <row r="18">
      <c r="A18" s="19" t="inlineStr">
        <is>
          <t>Blank = too few people, not zero. Median 2+, quartiles 5+.</t>
        </is>
      </c>
    </row>
    <row r="19">
      <c r="A19" s="19" t="inlineStr">
        <is>
          <t>(1) Est. columns, italic: where the median exists but fewer than 5 people, the median times the ratio measured on endowments and foundations at $2b+ (Methodology). Never the median; not a measured figure.</t>
        </is>
      </c>
    </row>
    <row r="20"/>
    <row r="21">
      <c r="A21" s="1" t="inlineStr">
        <is>
          <t>Peer records</t>
        </is>
      </c>
    </row>
    <row r="22">
      <c r="A22" s="19" t="inlineStr">
        <is>
          <t>Filter Include = "Y" for the peer set.</t>
        </is>
      </c>
    </row>
    <row r="23"/>
    <row r="24" ht="30" customHeight="1">
      <c r="A24" s="35" t="inlineStr">
        <is>
          <t>Organization</t>
        </is>
      </c>
      <c r="B24" s="35" t="inlineStr">
        <is>
          <t>State</t>
        </is>
      </c>
      <c r="C24" s="35" t="inlineStr">
        <is>
          <t>AUM ($B)</t>
        </is>
      </c>
      <c r="D24" s="35" t="inlineStr">
        <is>
          <t>Institution Type</t>
        </is>
      </c>
      <c r="E24" s="35" t="inlineStr">
        <is>
          <t>Year</t>
        </is>
      </c>
      <c r="F24" s="35" t="inlineStr">
        <is>
          <t>Include</t>
        </is>
      </c>
      <c r="G24" s="35" t="inlineStr">
        <is>
          <t>Name</t>
        </is>
      </c>
      <c r="H24" s="35" t="inlineStr">
        <is>
          <t>Raw Title</t>
        </is>
      </c>
      <c r="I24" s="35" t="inlineStr">
        <is>
          <t>Standardized Title</t>
        </is>
      </c>
      <c r="J24" s="35" t="inlineStr">
        <is>
          <t>(B)(i) Base</t>
        </is>
      </c>
      <c r="K24" s="35" t="inlineStr">
        <is>
          <t>(B)(ii) Bonus</t>
        </is>
      </c>
      <c r="L24" s="35" t="inlineStr">
        <is>
          <t>Total Cash</t>
        </is>
      </c>
      <c r="M24" s="35" t="inlineStr">
        <is>
          <t>(B)(iii) Other</t>
        </is>
      </c>
      <c r="N24" s="35" t="inlineStr">
        <is>
          <t>(C) Deferred</t>
        </is>
      </c>
      <c r="O24" s="35" t="inlineStr">
        <is>
          <t>(D) Nontax Benefits</t>
        </is>
      </c>
      <c r="P24" s="35" t="inlineStr">
        <is>
          <t>(E) Total Comp</t>
        </is>
      </c>
      <c r="Q24" s="35" t="inlineStr">
        <is>
          <t>Adj Total</t>
        </is>
      </c>
      <c r="R24" s="35" t="inlineStr">
        <is>
          <t>Aged Adj Total</t>
        </is>
      </c>
      <c r="S24" s="35" t="inlineStr">
        <is>
          <t>Incentive % of Base</t>
        </is>
      </c>
      <c r="T24" s="35" t="inlineStr">
        <is>
          <t>Filing</t>
        </is>
      </c>
    </row>
    <row r="25">
      <c r="A25" t="inlineStr">
        <is>
          <t>Bowdoin College</t>
        </is>
      </c>
      <c r="B25" s="20" t="inlineStr">
        <is>
          <t>ME</t>
        </is>
      </c>
      <c r="C25" s="42" t="n">
        <v>2.92</v>
      </c>
      <c r="D25" t="inlineStr">
        <is>
          <t>Endowment</t>
        </is>
      </c>
      <c r="E25" s="20" t="n">
        <v>2022</v>
      </c>
      <c r="F25" s="20" t="inlineStr"/>
      <c r="G25" t="inlineStr">
        <is>
          <t>K Niles Bryant</t>
        </is>
      </c>
      <c r="H25" t="inlineStr">
        <is>
          <t>SVP/CHIEF INVESTMENT OFFICER</t>
        </is>
      </c>
      <c r="I25" t="inlineStr">
        <is>
          <t>CIO</t>
        </is>
      </c>
      <c r="J25" s="21" t="n">
        <v>547150</v>
      </c>
      <c r="K25" s="21" t="n">
        <v>1000000</v>
      </c>
      <c r="L25" s="21" t="n">
        <v>1547150</v>
      </c>
      <c r="M25" s="21" t="n">
        <v>3037</v>
      </c>
      <c r="N25" s="21" t="n">
        <v>46958</v>
      </c>
      <c r="O25" s="21" t="n">
        <v>27453</v>
      </c>
      <c r="P25" s="21" t="n">
        <v>1624598</v>
      </c>
      <c r="Q25" s="21" t="n">
        <v>1624598</v>
      </c>
      <c r="R25" s="21">
        <f>IF(Q25="","",Q25*(1+in_GrowthRate)^(YEARFRAC(DATE(2022,6,30),in_AgeToDate)*IF(in_AgeToDate&lt;DATE(2022,6,30),-1,1)+1))</f>
        <v/>
      </c>
      <c r="S25" s="38" t="n">
        <v>1.827652380517226</v>
      </c>
      <c r="T25" s="43">
        <f>HYPERLINK("https://projects.propublica.org/nonprofits/organizations/10215213/202311329349305061/full","view filing")</f>
        <v/>
      </c>
    </row>
    <row r="26">
      <c r="A26" t="inlineStr">
        <is>
          <t>Brookings Institution</t>
        </is>
      </c>
      <c r="B26" s="20" t="inlineStr">
        <is>
          <t>DC</t>
        </is>
      </c>
      <c r="C26" s="42" t="n">
        <v>0.47</v>
      </c>
      <c r="D26" t="inlineStr">
        <is>
          <t>Other</t>
        </is>
      </c>
      <c r="E26" s="20" t="n">
        <v>2025</v>
      </c>
      <c r="F26" s="20">
        <f>IF(AND(OR(in_Mode="All Funds",AND(C26&gt;=in_BandFloor,C26&lt;=in_BandCeiling,OR(in_Geography="National",COUNTIFS(lst_GeoPreset,in_Geography,lst_GeoState,B26)&gt;0,AND(in_Geography="Custom",ISNUMBER(SEARCH(B26,SUBSTITUTE(in_CustomStates," ",""))))),OR(AND(D26="Endowment",Inputs!$B$14="Y"),AND(D26="Foundation",Inputs!$B$15="Y"),AND(D26="Healthcare",Inputs!$B$16="Y"),AND(D26="Pension",Inputs!$B$17="Y"),AND(D26="OCIO",Inputs!$B$18="Y"),AND(D26="Other",Inputs!$B$19="Y")))),A26&lt;&gt;in_ClientOrg,NOT(AND(in_ExclHarvard="Y",ISNUMBER(SEARCH("Harvard",A26))))),"Y","")</f>
        <v/>
      </c>
      <c r="G26" t="inlineStr">
        <is>
          <t>Ankur R Bhatt</t>
        </is>
      </c>
      <c r="H26" t="inlineStr">
        <is>
          <t>VP &amp; CIO</t>
        </is>
      </c>
      <c r="I26" t="inlineStr">
        <is>
          <t>CIO</t>
        </is>
      </c>
      <c r="J26" s="21" t="n">
        <v>326707</v>
      </c>
      <c r="K26" s="21" t="n">
        <v>16643</v>
      </c>
      <c r="L26" s="21" t="n">
        <v>343350</v>
      </c>
      <c r="M26" s="21" t="n"/>
      <c r="N26" s="21" t="n">
        <v>40326</v>
      </c>
      <c r="O26" s="21" t="n">
        <v>42797</v>
      </c>
      <c r="P26" s="21" t="n">
        <v>426473</v>
      </c>
      <c r="Q26" s="21" t="n">
        <v>426473</v>
      </c>
      <c r="R26" s="21">
        <f>IF(Q26="","",Q26*(1+in_GrowthRate)^(YEARFRAC(DATE(2025,6,30),in_AgeToDate)*IF(in_AgeToDate&lt;DATE(2025,6,30),-1,1)+1))</f>
        <v/>
      </c>
      <c r="S26" s="38" t="n">
        <v>0.05094166944693564</v>
      </c>
      <c r="T26" s="43">
        <f>HYPERLINK("https://projects.propublica.org/nonprofits/organizations/530196577/202601359349300310/full","view filing")</f>
        <v/>
      </c>
    </row>
    <row r="27">
      <c r="A27" t="inlineStr">
        <is>
          <t>Carnegie Corporation Of New York</t>
        </is>
      </c>
      <c r="B27" s="20" t="inlineStr">
        <is>
          <t>NY</t>
        </is>
      </c>
      <c r="C27" s="42" t="n">
        <v>4.81</v>
      </c>
      <c r="D27" t="inlineStr">
        <is>
          <t>Foundation</t>
        </is>
      </c>
      <c r="E27" s="20" t="n">
        <v>2024</v>
      </c>
      <c r="F27" s="20" t="inlineStr"/>
      <c r="G27" t="inlineStr">
        <is>
          <t>Mark Baumgartner</t>
        </is>
      </c>
      <c r="H27" t="inlineStr">
        <is>
          <t>Chief Investment Officer (ended 10/6/23)</t>
        </is>
      </c>
      <c r="I27" t="inlineStr">
        <is>
          <t>CIO</t>
        </is>
      </c>
      <c r="J27" s="21" t="n"/>
      <c r="K27" s="21" t="n"/>
      <c r="L27" s="21" t="n"/>
      <c r="M27" s="21" t="n"/>
      <c r="N27" s="21" t="n"/>
      <c r="O27" s="21" t="n">
        <v>20282</v>
      </c>
      <c r="P27" s="21" t="n">
        <v>36740</v>
      </c>
      <c r="Q27" s="21" t="n">
        <v>36740</v>
      </c>
      <c r="R27" s="21">
        <f>IF(Q27="","",Q27*(1+in_GrowthRate)^(YEARFRAC(DATE(2024,9,30),in_AgeToDate)*IF(in_AgeToDate&lt;DATE(2024,9,30),-1,1)+1))</f>
        <v/>
      </c>
      <c r="S27" s="38" t="n"/>
      <c r="T27" s="43">
        <f>HYPERLINK("https://projects.propublica.org/nonprofits/organizations/131628151/202531929349101203/full","view filing")</f>
        <v/>
      </c>
    </row>
    <row r="28">
      <c r="A28" t="inlineStr">
        <is>
          <t>Claremont Mckenna College</t>
        </is>
      </c>
      <c r="B28" s="20" t="inlineStr">
        <is>
          <t>CA</t>
        </is>
      </c>
      <c r="C28" s="42" t="n">
        <v>1.35</v>
      </c>
      <c r="D28" t="inlineStr">
        <is>
          <t>Endowment</t>
        </is>
      </c>
      <c r="E28" s="20" t="n">
        <v>2023</v>
      </c>
      <c r="F28" s="20" t="inlineStr"/>
      <c r="G28" t="inlineStr">
        <is>
          <t>Michael Denny</t>
        </is>
      </c>
      <c r="H28" t="inlineStr">
        <is>
          <t>VP and Deputy CIO</t>
        </is>
      </c>
      <c r="I28" t="inlineStr">
        <is>
          <t>Deputy CIO</t>
        </is>
      </c>
      <c r="J28" s="21" t="n">
        <v>307500</v>
      </c>
      <c r="K28" s="21" t="n">
        <v>75000</v>
      </c>
      <c r="L28" s="21" t="n">
        <v>382500</v>
      </c>
      <c r="M28" s="21" t="n"/>
      <c r="N28" s="21" t="n">
        <v>54160</v>
      </c>
      <c r="O28" s="21" t="n">
        <v>18146</v>
      </c>
      <c r="P28" s="21" t="n">
        <v>454806</v>
      </c>
      <c r="Q28" s="21" t="n">
        <v>454806</v>
      </c>
      <c r="R28" s="21">
        <f>IF(Q28="","",Q28*(1+in_GrowthRate)^(YEARFRAC(DATE(2023,6,30),in_AgeToDate)*IF(in_AgeToDate&lt;DATE(2023,6,30),-1,1)+1))</f>
        <v/>
      </c>
      <c r="S28" s="38" t="n">
        <v>0.2439024390243902</v>
      </c>
      <c r="T28" s="43">
        <f>HYPERLINK("https://projects.propublica.org/nonprofits/organizations/951664101/202411369349309626/full","view filing")</f>
        <v/>
      </c>
    </row>
    <row r="29">
      <c r="A29" t="inlineStr">
        <is>
          <t>Claremont Mckenna College</t>
        </is>
      </c>
      <c r="B29" s="20" t="inlineStr">
        <is>
          <t>CA</t>
        </is>
      </c>
      <c r="C29" s="42" t="n">
        <v>1.35</v>
      </c>
      <c r="D29" t="inlineStr">
        <is>
          <t>Endowment</t>
        </is>
      </c>
      <c r="E29" s="20" t="n">
        <v>2022</v>
      </c>
      <c r="F29" s="20" t="inlineStr"/>
      <c r="G29" t="inlineStr">
        <is>
          <t>Michael Denny</t>
        </is>
      </c>
      <c r="H29" t="inlineStr">
        <is>
          <t>VP and Deputy CIO</t>
        </is>
      </c>
      <c r="I29" t="inlineStr">
        <is>
          <t>Deputy CIO</t>
        </is>
      </c>
      <c r="J29" s="21" t="n">
        <v>275000</v>
      </c>
      <c r="K29" s="21" t="n">
        <v>30000</v>
      </c>
      <c r="L29" s="21" t="n">
        <v>305000</v>
      </c>
      <c r="M29" s="21" t="n"/>
      <c r="N29" s="21" t="n">
        <v>31944</v>
      </c>
      <c r="O29" s="21" t="n">
        <v>16249</v>
      </c>
      <c r="P29" s="21" t="n">
        <v>353193</v>
      </c>
      <c r="Q29" s="21" t="n">
        <v>353193</v>
      </c>
      <c r="R29" s="21">
        <f>IF(Q29="","",Q29*(1+in_GrowthRate)^(YEARFRAC(DATE(2022,6,30),in_AgeToDate)*IF(in_AgeToDate&lt;DATE(2022,6,30),-1,1)+1))</f>
        <v/>
      </c>
      <c r="S29" s="38" t="n">
        <v>0.1090909090909091</v>
      </c>
      <c r="T29" s="43">
        <f>HYPERLINK("https://projects.propublica.org/nonprofits/organizations/951664101/202331329349308418/full","view filing")</f>
        <v/>
      </c>
    </row>
    <row r="30">
      <c r="A30" t="inlineStr">
        <is>
          <t>Geisinger System Services</t>
        </is>
      </c>
      <c r="B30" s="20" t="inlineStr">
        <is>
          <t>PA</t>
        </is>
      </c>
      <c r="C30" s="42" t="n">
        <v>2.65</v>
      </c>
      <c r="D30" t="inlineStr">
        <is>
          <t>Healthcare</t>
        </is>
      </c>
      <c r="E30" s="20" t="n">
        <v>2024</v>
      </c>
      <c r="F30" s="20">
        <f>IF(AND(OR(in_Mode="All Funds",AND(C30&gt;=in_BandFloor,C30&lt;=in_BandCeiling,OR(in_Geography="National",COUNTIFS(lst_GeoPreset,in_Geography,lst_GeoState,B30)&gt;0,AND(in_Geography="Custom",ISNUMBER(SEARCH(B30,SUBSTITUTE(in_CustomStates," ",""))))),OR(AND(D30="Endowment",Inputs!$B$14="Y"),AND(D30="Foundation",Inputs!$B$15="Y"),AND(D30="Healthcare",Inputs!$B$16="Y"),AND(D30="Pension",Inputs!$B$17="Y"),AND(D30="OCIO",Inputs!$B$18="Y"),AND(D30="Other",Inputs!$B$19="Y")))),A30&lt;&gt;in_ClientOrg,NOT(AND(in_ExclHarvard="Y",ISNUMBER(SEARCH("Harvard",A30))))),"Y","")</f>
        <v/>
      </c>
      <c r="G30" t="inlineStr">
        <is>
          <t>Michael Lima Cfa</t>
        </is>
      </c>
      <c r="H30" t="inlineStr">
        <is>
          <t>DEPUTY CIO</t>
        </is>
      </c>
      <c r="I30" t="inlineStr">
        <is>
          <t>Deputy CIO</t>
        </is>
      </c>
      <c r="J30" s="21" t="n">
        <v>240624</v>
      </c>
      <c r="K30" s="21" t="n">
        <v>553578</v>
      </c>
      <c r="L30" s="21" t="n">
        <v>794202</v>
      </c>
      <c r="M30" s="21" t="n">
        <v>183052</v>
      </c>
      <c r="N30" s="21" t="n">
        <v>24306</v>
      </c>
      <c r="O30" s="21" t="n">
        <v>32906</v>
      </c>
      <c r="P30" s="21" t="n">
        <v>1034466</v>
      </c>
      <c r="Q30" s="21" t="n">
        <v>1034466</v>
      </c>
      <c r="R30" s="21">
        <f>IF(Q30="","",Q30*(1+in_GrowthRate)^(YEARFRAC(DATE(2024,12,31),in_AgeToDate)*IF(in_AgeToDate&lt;DATE(2024,12,31),-1,1)+1))</f>
        <v/>
      </c>
      <c r="S30" s="38" t="n">
        <v>2.300593457011769</v>
      </c>
      <c r="T30" s="43">
        <f>HYPERLINK("https://projects.propublica.org/nonprofits/organizations/232164794/202513219349322231/full","view filing")</f>
        <v/>
      </c>
    </row>
    <row r="31">
      <c r="A31" t="inlineStr">
        <is>
          <t>Geisinger System Services</t>
        </is>
      </c>
      <c r="B31" s="20" t="inlineStr">
        <is>
          <t>PA</t>
        </is>
      </c>
      <c r="C31" s="42" t="n">
        <v>2.65</v>
      </c>
      <c r="D31" t="inlineStr">
        <is>
          <t>Healthcare</t>
        </is>
      </c>
      <c r="E31" s="20" t="n">
        <v>2023</v>
      </c>
      <c r="F31" s="20" t="inlineStr"/>
      <c r="G31" t="inlineStr">
        <is>
          <t>Michael Lima Cfa</t>
        </is>
      </c>
      <c r="H31" t="inlineStr">
        <is>
          <t>DEPUTY CIO</t>
        </is>
      </c>
      <c r="I31" t="inlineStr">
        <is>
          <t>Deputy CIO</t>
        </is>
      </c>
      <c r="J31" s="21" t="n">
        <v>343185</v>
      </c>
      <c r="K31" s="21" t="n">
        <v>325000</v>
      </c>
      <c r="L31" s="21" t="n">
        <v>668185</v>
      </c>
      <c r="M31" s="21" t="n">
        <v>49734</v>
      </c>
      <c r="N31" s="21" t="n">
        <v>23292</v>
      </c>
      <c r="O31" s="21" t="n">
        <v>39000</v>
      </c>
      <c r="P31" s="21" t="n">
        <v>780211</v>
      </c>
      <c r="Q31" s="21" t="n">
        <v>780211</v>
      </c>
      <c r="R31" s="21">
        <f>IF(Q31="","",Q31*(1+in_GrowthRate)^(YEARFRAC(DATE(2023,12,31),in_AgeToDate)*IF(in_AgeToDate&lt;DATE(2023,12,31),-1,1)+1))</f>
        <v/>
      </c>
      <c r="S31" s="38" t="n">
        <v>0.9470110873144223</v>
      </c>
      <c r="T31" s="43">
        <f>HYPERLINK("https://projects.propublica.org/nonprofits/organizations/232164794/202413209349310141/full","view filing")</f>
        <v/>
      </c>
    </row>
    <row r="32">
      <c r="A32" t="inlineStr">
        <is>
          <t>Geisinger System Services</t>
        </is>
      </c>
      <c r="B32" s="20" t="inlineStr">
        <is>
          <t>PA</t>
        </is>
      </c>
      <c r="C32" s="42" t="n">
        <v>2.65</v>
      </c>
      <c r="D32" t="inlineStr">
        <is>
          <t>Healthcare</t>
        </is>
      </c>
      <c r="E32" s="20" t="n">
        <v>2022</v>
      </c>
      <c r="F32" s="20" t="inlineStr"/>
      <c r="G32" t="inlineStr">
        <is>
          <t>Michael Lima</t>
        </is>
      </c>
      <c r="H32" t="inlineStr">
        <is>
          <t>DEPUTY CIO</t>
        </is>
      </c>
      <c r="I32" t="inlineStr">
        <is>
          <t>Deputy CIO</t>
        </is>
      </c>
      <c r="J32" s="21" t="n">
        <v>216236</v>
      </c>
      <c r="K32" s="21" t="n">
        <v>210137</v>
      </c>
      <c r="L32" s="21" t="n">
        <v>426373</v>
      </c>
      <c r="M32" s="21" t="n">
        <v>29203</v>
      </c>
      <c r="N32" s="21" t="n">
        <v>21570</v>
      </c>
      <c r="O32" s="21" t="n">
        <v>24272</v>
      </c>
      <c r="P32" s="21" t="n">
        <v>501418</v>
      </c>
      <c r="Q32" s="21" t="n">
        <v>501418</v>
      </c>
      <c r="R32" s="21">
        <f>IF(Q32="","",Q32*(1+in_GrowthRate)^(YEARFRAC(DATE(2022,12,31),in_AgeToDate)*IF(in_AgeToDate&lt;DATE(2022,12,31),-1,1)+1))</f>
        <v/>
      </c>
      <c r="S32" s="38" t="n">
        <v>0.9717947057844207</v>
      </c>
      <c r="T32" s="43">
        <f>HYPERLINK("https://projects.propublica.org/nonprofits/organizations/232164794/202313189349305031/full","view filing")</f>
        <v/>
      </c>
    </row>
    <row r="33">
      <c r="A33" t="inlineStr">
        <is>
          <t>Harvard Management Company Inc</t>
        </is>
      </c>
      <c r="B33" s="20" t="inlineStr">
        <is>
          <t>MA</t>
        </is>
      </c>
      <c r="C33" s="42" t="n">
        <v>53.2</v>
      </c>
      <c r="D33" t="inlineStr">
        <is>
          <t>Endowment</t>
        </is>
      </c>
      <c r="E33" s="20" t="n">
        <v>2025</v>
      </c>
      <c r="F33" s="20">
        <f>IF(AND(OR(in_Mode="All Funds",AND(C33&gt;=in_BandFloor,C33&lt;=in_BandCeiling,OR(in_Geography="National",COUNTIFS(lst_GeoPreset,in_Geography,lst_GeoState,B33)&gt;0,AND(in_Geography="Custom",ISNUMBER(SEARCH(B33,SUBSTITUTE(in_CustomStates," ",""))))),OR(AND(D33="Endowment",Inputs!$B$14="Y"),AND(D33="Foundation",Inputs!$B$15="Y"),AND(D33="Healthcare",Inputs!$B$16="Y"),AND(D33="Pension",Inputs!$B$17="Y"),AND(D33="OCIO",Inputs!$B$18="Y"),AND(D33="Other",Inputs!$B$19="Y")))),A33&lt;&gt;in_ClientOrg,NOT(AND(in_ExclHarvard="Y",ISNUMBER(SEARCH("Harvard",A33))))),"Y","")</f>
        <v/>
      </c>
      <c r="G33" t="inlineStr">
        <is>
          <t>Richard W Slocum</t>
        </is>
      </c>
      <c r="H33" t="inlineStr">
        <is>
          <t>MD - CIO</t>
        </is>
      </c>
      <c r="I33" t="inlineStr">
        <is>
          <t>CIO</t>
        </is>
      </c>
      <c r="J33" s="21" t="n">
        <v>799442</v>
      </c>
      <c r="K33" s="21" t="n">
        <v>4169385</v>
      </c>
      <c r="L33" s="21" t="n">
        <v>4968827</v>
      </c>
      <c r="M33" s="21" t="n">
        <v>6859</v>
      </c>
      <c r="N33" s="21" t="n">
        <v>113519</v>
      </c>
      <c r="O33" s="21" t="n">
        <v>36355</v>
      </c>
      <c r="P33" s="21" t="n">
        <v>5125560</v>
      </c>
      <c r="Q33" s="21" t="n">
        <v>5049098</v>
      </c>
      <c r="R33" s="21">
        <f>IF(Q33="","",Q33*(1+in_GrowthRate)^(YEARFRAC(DATE(2025,6,30),in_AgeToDate)*IF(in_AgeToDate&lt;DATE(2025,6,30),-1,1)+1))</f>
        <v/>
      </c>
      <c r="S33" s="38" t="n">
        <v>5.215368969856475</v>
      </c>
      <c r="T33" s="43">
        <f>HYPERLINK("https://projects.propublica.org/nonprofits/organizations/237361259/202641329349302354/full","view filing")</f>
        <v/>
      </c>
    </row>
    <row r="34">
      <c r="A34" t="inlineStr">
        <is>
          <t>Harvard Management Company Inc</t>
        </is>
      </c>
      <c r="B34" s="20" t="inlineStr">
        <is>
          <t>MA</t>
        </is>
      </c>
      <c r="C34" s="42" t="n">
        <v>53.2</v>
      </c>
      <c r="D34" t="inlineStr">
        <is>
          <t>Endowment</t>
        </is>
      </c>
      <c r="E34" s="20" t="n">
        <v>2024</v>
      </c>
      <c r="F34" s="20" t="inlineStr"/>
      <c r="G34" t="inlineStr">
        <is>
          <t>Richard W Slocum</t>
        </is>
      </c>
      <c r="H34" t="inlineStr">
        <is>
          <t>MD - CIO</t>
        </is>
      </c>
      <c r="I34" t="inlineStr">
        <is>
          <t>CIO</t>
        </is>
      </c>
      <c r="J34" s="21" t="n">
        <v>799449</v>
      </c>
      <c r="K34" s="21" t="n">
        <v>4049578</v>
      </c>
      <c r="L34" s="21" t="n">
        <v>4849027</v>
      </c>
      <c r="M34" s="21" t="n">
        <v>6858</v>
      </c>
      <c r="N34" s="21" t="n">
        <v>109462</v>
      </c>
      <c r="O34" s="21" t="n">
        <v>35392</v>
      </c>
      <c r="P34" s="21" t="n">
        <v>5000739</v>
      </c>
      <c r="Q34" s="21" t="n">
        <v>5000739</v>
      </c>
      <c r="R34" s="21">
        <f>IF(Q34="","",Q34*(1+in_GrowthRate)^(YEARFRAC(DATE(2024,6,30),in_AgeToDate)*IF(in_AgeToDate&lt;DATE(2024,6,30),-1,1)+1))</f>
        <v/>
      </c>
      <c r="S34" s="38" t="n">
        <v>5.065461336495511</v>
      </c>
      <c r="T34" s="43">
        <f>HYPERLINK("https://projects.propublica.org/nonprofits/organizations/237361259/202541349349310119/full","view filing")</f>
        <v/>
      </c>
    </row>
    <row r="35">
      <c r="A35" t="inlineStr">
        <is>
          <t>Harvard Management Company Inc</t>
        </is>
      </c>
      <c r="B35" s="20" t="inlineStr">
        <is>
          <t>MA</t>
        </is>
      </c>
      <c r="C35" s="42" t="n">
        <v>53.2</v>
      </c>
      <c r="D35" t="inlineStr">
        <is>
          <t>Endowment</t>
        </is>
      </c>
      <c r="E35" s="20" t="n">
        <v>2023</v>
      </c>
      <c r="F35" s="20" t="inlineStr"/>
      <c r="G35" t="inlineStr">
        <is>
          <t>Richard W Slocum</t>
        </is>
      </c>
      <c r="H35" t="inlineStr">
        <is>
          <t>MD - CIO</t>
        </is>
      </c>
      <c r="I35" t="inlineStr">
        <is>
          <t>CIO</t>
        </is>
      </c>
      <c r="J35" s="21" t="n">
        <v>799454</v>
      </c>
      <c r="K35" s="21" t="n">
        <v>4882126</v>
      </c>
      <c r="L35" s="21" t="n">
        <v>5681580</v>
      </c>
      <c r="M35" s="21" t="n">
        <v>2000814</v>
      </c>
      <c r="N35" s="21" t="n">
        <v>30500</v>
      </c>
      <c r="O35" s="21" t="n">
        <v>35235</v>
      </c>
      <c r="P35" s="21" t="n">
        <v>7748129</v>
      </c>
      <c r="Q35" s="21" t="n">
        <v>6416629</v>
      </c>
      <c r="R35" s="21">
        <f>IF(Q35="","",Q35*(1+in_GrowthRate)^(YEARFRAC(DATE(2023,6,30),in_AgeToDate)*IF(in_AgeToDate&lt;DATE(2023,6,30),-1,1)+1))</f>
        <v/>
      </c>
      <c r="S35" s="38" t="n">
        <v>6.106825408341193</v>
      </c>
      <c r="T35" s="43">
        <f>HYPERLINK("https://projects.propublica.org/nonprofits/organizations/237361259/202411319349301026/full","view filing")</f>
        <v/>
      </c>
    </row>
    <row r="36">
      <c r="A36" t="inlineStr">
        <is>
          <t>Harvard Management Company Inc</t>
        </is>
      </c>
      <c r="B36" s="20" t="inlineStr">
        <is>
          <t>MA</t>
        </is>
      </c>
      <c r="C36" s="42" t="n">
        <v>53.2</v>
      </c>
      <c r="D36" t="inlineStr">
        <is>
          <t>Endowment</t>
        </is>
      </c>
      <c r="E36" s="20" t="n">
        <v>2022</v>
      </c>
      <c r="F36" s="20" t="inlineStr"/>
      <c r="G36" t="inlineStr">
        <is>
          <t>Richard W Slocum</t>
        </is>
      </c>
      <c r="H36" t="inlineStr">
        <is>
          <t>MD - CIO</t>
        </is>
      </c>
      <c r="I36" t="inlineStr">
        <is>
          <t>CIO</t>
        </is>
      </c>
      <c r="J36" s="21" t="n">
        <v>799463</v>
      </c>
      <c r="K36" s="21" t="n">
        <v>4201090</v>
      </c>
      <c r="L36" s="21" t="n">
        <v>5000553</v>
      </c>
      <c r="M36" s="21" t="n">
        <v>2000951</v>
      </c>
      <c r="N36" s="21" t="n">
        <v>1360500</v>
      </c>
      <c r="O36" s="21" t="n">
        <v>34903</v>
      </c>
      <c r="P36" s="21" t="n">
        <v>8396907</v>
      </c>
      <c r="Q36" s="21" t="n">
        <v>8396907</v>
      </c>
      <c r="R36" s="21">
        <f>IF(Q36="","",Q36*(1+in_GrowthRate)^(YEARFRAC(DATE(2022,6,30),in_AgeToDate)*IF(in_AgeToDate&lt;DATE(2022,6,30),-1,1)+1))</f>
        <v/>
      </c>
      <c r="S36" s="38" t="n">
        <v>5.254889844808328</v>
      </c>
      <c r="T36" s="43">
        <f>HYPERLINK("https://projects.propublica.org/nonprofits/organizations/237361259/202311319349303021/full","view filing")</f>
        <v/>
      </c>
    </row>
    <row r="37">
      <c r="A37" t="inlineStr">
        <is>
          <t>Intermountain Health Care Inc</t>
        </is>
      </c>
      <c r="B37" s="20" t="inlineStr">
        <is>
          <t>UT</t>
        </is>
      </c>
      <c r="C37" s="42" t="n">
        <v>3.07</v>
      </c>
      <c r="D37" t="inlineStr">
        <is>
          <t>Healthcare</t>
        </is>
      </c>
      <c r="E37" s="20" t="n">
        <v>2024</v>
      </c>
      <c r="F37" s="20">
        <f>IF(AND(OR(in_Mode="All Funds",AND(C37&gt;=in_BandFloor,C37&lt;=in_BandCeiling,OR(in_Geography="National",COUNTIFS(lst_GeoPreset,in_Geography,lst_GeoState,B37)&gt;0,AND(in_Geography="Custom",ISNUMBER(SEARCH(B37,SUBSTITUTE(in_CustomStates," ",""))))),OR(AND(D37="Endowment",Inputs!$B$14="Y"),AND(D37="Foundation",Inputs!$B$15="Y"),AND(D37="Healthcare",Inputs!$B$16="Y"),AND(D37="Pension",Inputs!$B$17="Y"),AND(D37="OCIO",Inputs!$B$18="Y"),AND(D37="Other",Inputs!$B$19="Y")))),A37&lt;&gt;in_ClientOrg,NOT(AND(in_ExclHarvard="Y",ISNUMBER(SEARCH("Harvard",A37))))),"Y","")</f>
        <v/>
      </c>
      <c r="G37" t="inlineStr">
        <is>
          <t>Craig Richardville</t>
        </is>
      </c>
      <c r="H37" t="inlineStr">
        <is>
          <t>SVP/CIO (PARTIAL)</t>
        </is>
      </c>
      <c r="I37" t="inlineStr">
        <is>
          <t>CIO</t>
        </is>
      </c>
      <c r="J37" s="21" t="n"/>
      <c r="K37" s="21" t="n"/>
      <c r="L37" s="21" t="n"/>
      <c r="M37" s="21" t="n"/>
      <c r="N37" s="21" t="n"/>
      <c r="O37" s="21" t="n"/>
      <c r="P37" s="21" t="n">
        <v>70517</v>
      </c>
      <c r="Q37" s="21" t="n">
        <v>70517</v>
      </c>
      <c r="R37" s="21">
        <f>IF(Q37="","",Q37*(1+in_GrowthRate)^(YEARFRAC(DATE(2024,12,31),in_AgeToDate)*IF(in_AgeToDate&lt;DATE(2024,12,31),-1,1)+1))</f>
        <v/>
      </c>
      <c r="S37" s="38" t="n"/>
      <c r="T37" s="43">
        <f>HYPERLINK("https://projects.propublica.org/nonprofits/organizations/870269232/202523119349302662/full","view filing")</f>
        <v/>
      </c>
    </row>
    <row r="38">
      <c r="A38" t="inlineStr">
        <is>
          <t>J Paul Getty Trust</t>
        </is>
      </c>
      <c r="B38" s="20" t="inlineStr">
        <is>
          <t>CA</t>
        </is>
      </c>
      <c r="C38" s="42" t="n">
        <v>9.880000000000001</v>
      </c>
      <c r="D38" t="inlineStr">
        <is>
          <t>Foundation</t>
        </is>
      </c>
      <c r="E38" s="20" t="n">
        <v>2025</v>
      </c>
      <c r="F38" s="20">
        <f>IF(AND(OR(in_Mode="All Funds",AND(C38&gt;=in_BandFloor,C38&lt;=in_BandCeiling,OR(in_Geography="National",COUNTIFS(lst_GeoPreset,in_Geography,lst_GeoState,B38)&gt;0,AND(in_Geography="Custom",ISNUMBER(SEARCH(B38,SUBSTITUTE(in_CustomStates," ",""))))),OR(AND(D38="Endowment",Inputs!$B$14="Y"),AND(D38="Foundation",Inputs!$B$15="Y"),AND(D38="Healthcare",Inputs!$B$16="Y"),AND(D38="Pension",Inputs!$B$17="Y"),AND(D38="OCIO",Inputs!$B$18="Y"),AND(D38="Other",Inputs!$B$19="Y")))),A38&lt;&gt;in_ClientOrg,NOT(AND(in_ExclHarvard="Y",ISNUMBER(SEARCH("Harvard",A38))))),"Y","")</f>
        <v/>
      </c>
      <c r="G38" t="inlineStr">
        <is>
          <t>Barbara Jesuele</t>
        </is>
      </c>
      <c r="H38" t="inlineStr">
        <is>
          <t>DEPUTY CHIEF INV OFFICER</t>
        </is>
      </c>
      <c r="I38" t="inlineStr">
        <is>
          <t>CIO</t>
        </is>
      </c>
      <c r="J38" s="21" t="n"/>
      <c r="K38" s="21" t="n"/>
      <c r="L38" s="21" t="n"/>
      <c r="M38" s="21" t="n"/>
      <c r="N38" s="21" t="n"/>
      <c r="O38" s="21" t="n">
        <v>272124</v>
      </c>
      <c r="P38" s="21" t="n">
        <v>1197855</v>
      </c>
      <c r="Q38" s="21" t="n">
        <v>1197855</v>
      </c>
      <c r="R38" s="21">
        <f>IF(Q38="","",Q38*(1+in_GrowthRate)^(YEARFRAC(DATE(2025,6,30),in_AgeToDate)*IF(in_AgeToDate&lt;DATE(2025,6,30),-1,1)+1))</f>
        <v/>
      </c>
      <c r="S38" s="38" t="n"/>
      <c r="T38" s="43">
        <f>HYPERLINK("https://projects.propublica.org/nonprofits/organizations/951790021/202611279349102996/full","view filing")</f>
        <v/>
      </c>
    </row>
    <row r="39">
      <c r="A39" t="inlineStr">
        <is>
          <t>J Paul Getty Trust</t>
        </is>
      </c>
      <c r="B39" s="20" t="inlineStr">
        <is>
          <t>CA</t>
        </is>
      </c>
      <c r="C39" s="42" t="n">
        <v>9.880000000000001</v>
      </c>
      <c r="D39" t="inlineStr">
        <is>
          <t>Foundation</t>
        </is>
      </c>
      <c r="E39" s="20" t="n">
        <v>2024</v>
      </c>
      <c r="F39" s="20" t="inlineStr"/>
      <c r="G39" t="inlineStr">
        <is>
          <t>Barbara Jesuele</t>
        </is>
      </c>
      <c r="H39" t="inlineStr">
        <is>
          <t>DEPUTY CHIEF INV OFFICER, ASST TREAS</t>
        </is>
      </c>
      <c r="I39" t="inlineStr">
        <is>
          <t>CIO</t>
        </is>
      </c>
      <c r="J39" s="21" t="n"/>
      <c r="K39" s="21" t="n"/>
      <c r="L39" s="21" t="n"/>
      <c r="M39" s="21" t="n"/>
      <c r="N39" s="21" t="n"/>
      <c r="O39" s="21" t="n">
        <v>1230039</v>
      </c>
      <c r="P39" s="21" t="n">
        <v>2452075</v>
      </c>
      <c r="Q39" s="21" t="n">
        <v>2452075</v>
      </c>
      <c r="R39" s="21">
        <f>IF(Q39="","",Q39*(1+in_GrowthRate)^(YEARFRAC(DATE(2024,6,30),in_AgeToDate)*IF(in_AgeToDate&lt;DATE(2024,6,30),-1,1)+1))</f>
        <v/>
      </c>
      <c r="S39" s="38" t="n"/>
      <c r="T39" s="43">
        <f>HYPERLINK("https://projects.propublica.org/nonprofits/organizations/951790021/202531359349102323/full","view filing")</f>
        <v/>
      </c>
    </row>
    <row r="40">
      <c r="A40" t="inlineStr">
        <is>
          <t>J Paul Getty Trust</t>
        </is>
      </c>
      <c r="B40" s="20" t="inlineStr">
        <is>
          <t>CA</t>
        </is>
      </c>
      <c r="C40" s="42" t="n">
        <v>9.880000000000001</v>
      </c>
      <c r="D40" t="inlineStr">
        <is>
          <t>Foundation</t>
        </is>
      </c>
      <c r="E40" s="20" t="n">
        <v>2024</v>
      </c>
      <c r="F40" s="20" t="inlineStr"/>
      <c r="G40" t="inlineStr">
        <is>
          <t>Katharine Krieger</t>
        </is>
      </c>
      <c r="H40" t="inlineStr">
        <is>
          <t>VP, TREASURER &amp; CIO</t>
        </is>
      </c>
      <c r="I40" t="inlineStr">
        <is>
          <t>CIO</t>
        </is>
      </c>
      <c r="J40" s="21" t="n"/>
      <c r="K40" s="21" t="n"/>
      <c r="L40" s="21" t="n"/>
      <c r="M40" s="21" t="n"/>
      <c r="N40" s="21" t="n"/>
      <c r="O40" s="21" t="n">
        <v>28586</v>
      </c>
      <c r="P40" s="21" t="n">
        <v>490124</v>
      </c>
      <c r="Q40" s="21" t="n">
        <v>490124</v>
      </c>
      <c r="R40" s="21">
        <f>IF(Q40="","",Q40*(1+in_GrowthRate)^(YEARFRAC(DATE(2024,6,30),in_AgeToDate)*IF(in_AgeToDate&lt;DATE(2024,6,30),-1,1)+1))</f>
        <v/>
      </c>
      <c r="S40" s="38" t="n"/>
      <c r="T40" s="43">
        <f>HYPERLINK("https://projects.propublica.org/nonprofits/organizations/951790021/202531359349102323/full","view filing")</f>
        <v/>
      </c>
    </row>
    <row r="41">
      <c r="A41" t="inlineStr">
        <is>
          <t>J Paul Getty Trust</t>
        </is>
      </c>
      <c r="B41" s="20" t="inlineStr">
        <is>
          <t>CA</t>
        </is>
      </c>
      <c r="C41" s="42" t="n">
        <v>9.880000000000001</v>
      </c>
      <c r="D41" t="inlineStr">
        <is>
          <t>Foundation</t>
        </is>
      </c>
      <c r="E41" s="20" t="n">
        <v>2023</v>
      </c>
      <c r="F41" s="20" t="inlineStr"/>
      <c r="G41" t="inlineStr">
        <is>
          <t>Barbara Jesuele</t>
        </is>
      </c>
      <c r="H41" t="inlineStr">
        <is>
          <t>DEPUTY CHIEF INV OFF</t>
        </is>
      </c>
      <c r="I41" t="inlineStr">
        <is>
          <t>CIO</t>
        </is>
      </c>
      <c r="J41" s="21" t="n"/>
      <c r="K41" s="21" t="n"/>
      <c r="L41" s="21" t="n"/>
      <c r="M41" s="21" t="n"/>
      <c r="N41" s="21" t="n"/>
      <c r="O41" s="21" t="n"/>
      <c r="P41" s="21" t="n">
        <v>771797</v>
      </c>
      <c r="Q41" s="21" t="n">
        <v>771797</v>
      </c>
      <c r="R41" s="21">
        <f>IF(Q41="","",Q41*(1+in_GrowthRate)^(YEARFRAC(DATE(2023,6,30),in_AgeToDate)*IF(in_AgeToDate&lt;DATE(2023,6,30),-1,1)+1))</f>
        <v/>
      </c>
      <c r="S41" s="38" t="n"/>
      <c r="T41" s="43">
        <f>HYPERLINK("https://projects.propublica.org/nonprofits/organizations/951790021/202421359349106107/full","view filing")</f>
        <v/>
      </c>
    </row>
    <row r="42">
      <c r="A42" t="inlineStr">
        <is>
          <t>Kansas State University Foundation</t>
        </is>
      </c>
      <c r="B42" s="20" t="inlineStr">
        <is>
          <t>KS</t>
        </is>
      </c>
      <c r="C42" s="42" t="n">
        <v>0.9</v>
      </c>
      <c r="D42" t="inlineStr">
        <is>
          <t>Endowment</t>
        </is>
      </c>
      <c r="E42" s="20" t="n">
        <v>2024</v>
      </c>
      <c r="F42" s="20" t="inlineStr"/>
      <c r="G42" t="inlineStr">
        <is>
          <t>Paul Chai</t>
        </is>
      </c>
      <c r="H42" t="inlineStr">
        <is>
          <t>VP FOR INVESTMENTS/CIO</t>
        </is>
      </c>
      <c r="I42" t="inlineStr">
        <is>
          <t>CIO</t>
        </is>
      </c>
      <c r="J42" s="21" t="n">
        <v>228904</v>
      </c>
      <c r="K42" s="21" t="n">
        <v>187200</v>
      </c>
      <c r="L42" s="21" t="n">
        <v>416104</v>
      </c>
      <c r="M42" s="21" t="n">
        <v>180</v>
      </c>
      <c r="N42" s="21" t="n">
        <v>23538</v>
      </c>
      <c r="O42" s="21" t="n">
        <v>33520</v>
      </c>
      <c r="P42" s="21" t="n">
        <v>473342</v>
      </c>
      <c r="Q42" s="21" t="n">
        <v>473342</v>
      </c>
      <c r="R42" s="21">
        <f>IF(Q42="","",Q42*(1+in_GrowthRate)^(YEARFRAC(DATE(2024,6,30),in_AgeToDate)*IF(in_AgeToDate&lt;DATE(2024,6,30),-1,1)+1))</f>
        <v/>
      </c>
      <c r="S42" s="38" t="n">
        <v>0.817810086324398</v>
      </c>
      <c r="T42" s="43">
        <f>HYPERLINK("https://projects.propublica.org/nonprofits/organizations/480667209/202541349349305449/full","view filing")</f>
        <v/>
      </c>
    </row>
    <row r="43">
      <c r="A43" t="inlineStr">
        <is>
          <t>Kansas State University Foundation</t>
        </is>
      </c>
      <c r="B43" s="20" t="inlineStr">
        <is>
          <t>KS</t>
        </is>
      </c>
      <c r="C43" s="42" t="n">
        <v>0.9</v>
      </c>
      <c r="D43" t="inlineStr">
        <is>
          <t>Endowment</t>
        </is>
      </c>
      <c r="E43" s="20" t="n">
        <v>2023</v>
      </c>
      <c r="F43" s="20" t="inlineStr"/>
      <c r="G43" t="inlineStr">
        <is>
          <t>Paul Chai</t>
        </is>
      </c>
      <c r="H43" t="inlineStr">
        <is>
          <t>VP FOR INVESTMENTS/CIO</t>
        </is>
      </c>
      <c r="I43" t="inlineStr">
        <is>
          <t>CIO</t>
        </is>
      </c>
      <c r="J43" s="21" t="n">
        <v>177599</v>
      </c>
      <c r="K43" s="21" t="n">
        <v>180000</v>
      </c>
      <c r="L43" s="21" t="n">
        <v>357599</v>
      </c>
      <c r="M43" s="21" t="n">
        <v>730</v>
      </c>
      <c r="N43" s="21" t="n">
        <v>18332</v>
      </c>
      <c r="O43" s="21" t="n">
        <v>29951</v>
      </c>
      <c r="P43" s="21" t="n">
        <v>406612</v>
      </c>
      <c r="Q43" s="21" t="n">
        <v>406612</v>
      </c>
      <c r="R43" s="21">
        <f>IF(Q43="","",Q43*(1+in_GrowthRate)^(YEARFRAC(DATE(2023,6,30),in_AgeToDate)*IF(in_AgeToDate&lt;DATE(2023,6,30),-1,1)+1))</f>
        <v/>
      </c>
      <c r="S43" s="38" t="n">
        <v>1.01351922026588</v>
      </c>
      <c r="T43" s="43">
        <f>HYPERLINK("https://projects.propublica.org/nonprofits/organizations/480667209/202411359349308191/full","view filing")</f>
        <v/>
      </c>
    </row>
    <row r="44">
      <c r="A44" t="inlineStr">
        <is>
          <t>Oklahoma State University Foundation</t>
        </is>
      </c>
      <c r="B44" s="20" t="inlineStr">
        <is>
          <t>OK</t>
        </is>
      </c>
      <c r="C44" s="42" t="n">
        <v>1.56</v>
      </c>
      <c r="D44" t="inlineStr">
        <is>
          <t>Endowment</t>
        </is>
      </c>
      <c r="E44" s="20" t="n">
        <v>2022</v>
      </c>
      <c r="F44" s="20" t="inlineStr"/>
      <c r="G44" t="inlineStr">
        <is>
          <t>Ryan Harms</t>
        </is>
      </c>
      <c r="H44" t="inlineStr">
        <is>
          <t>CHIEF INVESTMENT OFFICER</t>
        </is>
      </c>
      <c r="I44" t="inlineStr">
        <is>
          <t>CIO</t>
        </is>
      </c>
      <c r="J44" s="21" t="n"/>
      <c r="K44" s="21" t="n"/>
      <c r="L44" s="21" t="n"/>
      <c r="M44" s="21" t="n"/>
      <c r="N44" s="21" t="n"/>
      <c r="O44" s="21" t="n"/>
      <c r="P44" s="21" t="n">
        <v>378749</v>
      </c>
      <c r="Q44" s="21" t="n">
        <v>378749</v>
      </c>
      <c r="R44" s="21">
        <f>IF(Q44="","",Q44*(1+in_GrowthRate)^(YEARFRAC(DATE(2022,6,30),in_AgeToDate)*IF(in_AgeToDate&lt;DATE(2022,6,30),-1,1)+1))</f>
        <v/>
      </c>
      <c r="S44" s="38" t="n"/>
      <c r="T44" s="43">
        <f>HYPERLINK("https://projects.propublica.org/nonprofits/organizations/736097060/202311359349306096/full","view filing")</f>
        <v/>
      </c>
    </row>
    <row r="45">
      <c r="A45" t="inlineStr">
        <is>
          <t>Rainwater Charitable Foundation</t>
        </is>
      </c>
      <c r="B45" s="20" t="inlineStr">
        <is>
          <t>TX</t>
        </is>
      </c>
      <c r="C45" s="42" t="n">
        <v>1.03</v>
      </c>
      <c r="D45" t="inlineStr">
        <is>
          <t>Foundation</t>
        </is>
      </c>
      <c r="E45" s="20" t="n">
        <v>2023</v>
      </c>
      <c r="F45" s="20" t="inlineStr"/>
      <c r="G45" t="inlineStr">
        <is>
          <t>Randolph Kim</t>
        </is>
      </c>
      <c r="H45" t="inlineStr">
        <is>
          <t>CIO AND INVESTMENT MANAGER (TO 2/24/23</t>
        </is>
      </c>
      <c r="I45" t="inlineStr">
        <is>
          <t>CIO</t>
        </is>
      </c>
      <c r="J45" s="21" t="n"/>
      <c r="K45" s="21" t="n"/>
      <c r="L45" s="21" t="n"/>
      <c r="M45" s="21" t="n"/>
      <c r="N45" s="21" t="n"/>
      <c r="O45" s="21" t="n">
        <v>71367</v>
      </c>
      <c r="P45" s="21" t="n">
        <v>525462</v>
      </c>
      <c r="Q45" s="21" t="n">
        <v>525462</v>
      </c>
      <c r="R45" s="21">
        <f>IF(Q45="","",Q45*(1+in_GrowthRate)^(YEARFRAC(DATE(2023,12,31),in_AgeToDate)*IF(in_AgeToDate&lt;DATE(2023,12,31),-1,1)+1))</f>
        <v/>
      </c>
      <c r="S45" s="38" t="n"/>
      <c r="T45" s="43">
        <f>HYPERLINK("https://projects.propublica.org/nonprofits/organizations/800870036/202413199349103606/full","view filing")</f>
        <v/>
      </c>
    </row>
    <row r="46">
      <c r="A46" t="inlineStr">
        <is>
          <t>Rainwater Charitable Foundation</t>
        </is>
      </c>
      <c r="B46" s="20" t="inlineStr">
        <is>
          <t>TX</t>
        </is>
      </c>
      <c r="C46" s="42" t="n">
        <v>1.03</v>
      </c>
      <c r="D46" t="inlineStr">
        <is>
          <t>Foundation</t>
        </is>
      </c>
      <c r="E46" s="20" t="n">
        <v>2022</v>
      </c>
      <c r="F46" s="20" t="inlineStr"/>
      <c r="G46" t="inlineStr">
        <is>
          <t>Aaron Bigbee</t>
        </is>
      </c>
      <c r="H46" t="inlineStr">
        <is>
          <t>DEPUTY CIO</t>
        </is>
      </c>
      <c r="I46" t="inlineStr">
        <is>
          <t>Deputy CIO</t>
        </is>
      </c>
      <c r="J46" s="21" t="n"/>
      <c r="K46" s="21" t="n"/>
      <c r="L46" s="21" t="n"/>
      <c r="M46" s="21" t="n"/>
      <c r="N46" s="21" t="n"/>
      <c r="O46" s="21" t="n"/>
      <c r="P46" s="21" t="n">
        <v>565270</v>
      </c>
      <c r="Q46" s="21" t="n">
        <v>565270</v>
      </c>
      <c r="R46" s="21">
        <f>IF(Q46="","",Q46*(1+in_GrowthRate)^(YEARFRAC(DATE(2022,12,31),in_AgeToDate)*IF(in_AgeToDate&lt;DATE(2022,12,31),-1,1)+1))</f>
        <v/>
      </c>
      <c r="S46" s="38" t="n"/>
      <c r="T46" s="43">
        <f>HYPERLINK("https://projects.propublica.org/nonprofits/organizations/800870036/202313199349105406/full","view filing")</f>
        <v/>
      </c>
    </row>
    <row r="47">
      <c r="A47" t="inlineStr">
        <is>
          <t>Rockefeller Foundation</t>
        </is>
      </c>
      <c r="B47" s="20" t="inlineStr">
        <is>
          <t>NY</t>
        </is>
      </c>
      <c r="C47" s="42" t="n">
        <v>5.4</v>
      </c>
      <c r="D47" t="inlineStr">
        <is>
          <t>Foundation</t>
        </is>
      </c>
      <c r="E47" s="20" t="n">
        <v>2024</v>
      </c>
      <c r="F47" s="20">
        <f>IF(AND(OR(in_Mode="All Funds",AND(C47&gt;=in_BandFloor,C47&lt;=in_BandCeiling,OR(in_Geography="National",COUNTIFS(lst_GeoPreset,in_Geography,lst_GeoState,B47)&gt;0,AND(in_Geography="Custom",ISNUMBER(SEARCH(B47,SUBSTITUTE(in_CustomStates," ",""))))),OR(AND(D47="Endowment",Inputs!$B$14="Y"),AND(D47="Foundation",Inputs!$B$15="Y"),AND(D47="Healthcare",Inputs!$B$16="Y"),AND(D47="Pension",Inputs!$B$17="Y"),AND(D47="OCIO",Inputs!$B$18="Y"),AND(D47="Other",Inputs!$B$19="Y")))),A47&lt;&gt;in_ClientOrg,NOT(AND(in_ExclHarvard="Y",ISNUMBER(SEARCH("Harvard",A47))))),"Y","")</f>
        <v/>
      </c>
      <c r="G47" t="inlineStr">
        <is>
          <t>Douglass Coyle</t>
        </is>
      </c>
      <c r="H47" t="inlineStr">
        <is>
          <t>DEPUTY CHIEF INVESTM</t>
        </is>
      </c>
      <c r="I47" t="inlineStr">
        <is>
          <t>Deputy CIO</t>
        </is>
      </c>
      <c r="J47" s="21" t="n"/>
      <c r="K47" s="21" t="n"/>
      <c r="L47" s="21" t="n"/>
      <c r="M47" s="21" t="n"/>
      <c r="N47" s="21" t="n"/>
      <c r="O47" s="21" t="n"/>
      <c r="P47" s="21" t="n">
        <v>766304</v>
      </c>
      <c r="Q47" s="21" t="n">
        <v>766304</v>
      </c>
      <c r="R47" s="21">
        <f>IF(Q47="","",Q47*(1+in_GrowthRate)^(YEARFRAC(DATE(2024,12,31),in_AgeToDate)*IF(in_AgeToDate&lt;DATE(2024,12,31),-1,1)+1))</f>
        <v/>
      </c>
      <c r="S47" s="38" t="n"/>
      <c r="T47" s="43">
        <f>HYPERLINK("https://projects.propublica.org/nonprofits/organizations/131659629/202533189349104643/full","view filing")</f>
        <v/>
      </c>
    </row>
    <row r="48">
      <c r="A48" t="inlineStr">
        <is>
          <t>Rockefeller Foundation</t>
        </is>
      </c>
      <c r="B48" s="20" t="inlineStr">
        <is>
          <t>NY</t>
        </is>
      </c>
      <c r="C48" s="42" t="n">
        <v>5.4</v>
      </c>
      <c r="D48" t="inlineStr">
        <is>
          <t>Foundation</t>
        </is>
      </c>
      <c r="E48" s="20" t="n">
        <v>2023</v>
      </c>
      <c r="F48" s="20" t="inlineStr"/>
      <c r="G48" t="inlineStr">
        <is>
          <t>Douglass Coyle</t>
        </is>
      </c>
      <c r="H48" t="inlineStr">
        <is>
          <t>DEPUTY CHIEF INVESTM</t>
        </is>
      </c>
      <c r="I48" t="inlineStr">
        <is>
          <t>Deputy CIO</t>
        </is>
      </c>
      <c r="J48" s="21" t="n"/>
      <c r="K48" s="21" t="n"/>
      <c r="L48" s="21" t="n"/>
      <c r="M48" s="21" t="n"/>
      <c r="N48" s="21" t="n"/>
      <c r="O48" s="21" t="n"/>
      <c r="P48" s="21" t="n">
        <v>1310944</v>
      </c>
      <c r="Q48" s="21" t="n">
        <v>1310944</v>
      </c>
      <c r="R48" s="21">
        <f>IF(Q48="","",Q48*(1+in_GrowthRate)^(YEARFRAC(DATE(2023,12,31),in_AgeToDate)*IF(in_AgeToDate&lt;DATE(2023,12,31),-1,1)+1))</f>
        <v/>
      </c>
      <c r="S48" s="38" t="n"/>
      <c r="T48" s="43">
        <f>HYPERLINK("https://projects.propublica.org/nonprofits/organizations/131659629/202403139349100635/full","view filing")</f>
        <v/>
      </c>
    </row>
    <row r="49">
      <c r="A49" t="inlineStr">
        <is>
          <t>Rockefeller Foundation</t>
        </is>
      </c>
      <c r="B49" s="20" t="inlineStr">
        <is>
          <t>NY</t>
        </is>
      </c>
      <c r="C49" s="42" t="n">
        <v>5.4</v>
      </c>
      <c r="D49" t="inlineStr">
        <is>
          <t>Foundation</t>
        </is>
      </c>
      <c r="E49" s="20" t="n">
        <v>2022</v>
      </c>
      <c r="F49" s="20" t="inlineStr"/>
      <c r="G49" t="inlineStr">
        <is>
          <t>Douglass Coyle</t>
        </is>
      </c>
      <c r="H49" t="inlineStr">
        <is>
          <t>DEPUTY CHIEF INVESTM</t>
        </is>
      </c>
      <c r="I49" t="inlineStr">
        <is>
          <t>Deputy CIO</t>
        </is>
      </c>
      <c r="J49" s="21" t="n"/>
      <c r="K49" s="21" t="n"/>
      <c r="L49" s="21" t="n"/>
      <c r="M49" s="21" t="n"/>
      <c r="N49" s="21" t="n"/>
      <c r="O49" s="21" t="n"/>
      <c r="P49" s="21" t="n">
        <v>1372431</v>
      </c>
      <c r="Q49" s="21" t="n">
        <v>1372431</v>
      </c>
      <c r="R49" s="21">
        <f>IF(Q49="","",Q49*(1+in_GrowthRate)^(YEARFRAC(DATE(2022,12,31),in_AgeToDate)*IF(in_AgeToDate&lt;DATE(2022,12,31),-1,1)+1))</f>
        <v/>
      </c>
      <c r="S49" s="38" t="n"/>
      <c r="T49" s="43">
        <f>HYPERLINK("https://projects.propublica.org/nonprofits/organizations/131659629/202313189349101641/full","view filing")</f>
        <v/>
      </c>
    </row>
    <row r="50">
      <c r="A50" t="inlineStr">
        <is>
          <t>Rush University Medical Center</t>
        </is>
      </c>
      <c r="B50" s="20" t="inlineStr">
        <is>
          <t>IL</t>
        </is>
      </c>
      <c r="C50" s="42" t="n">
        <v>0.93</v>
      </c>
      <c r="D50" t="inlineStr">
        <is>
          <t>Healthcare</t>
        </is>
      </c>
      <c r="E50" s="20" t="n">
        <v>2023</v>
      </c>
      <c r="F50" s="20" t="inlineStr"/>
      <c r="G50" t="inlineStr">
        <is>
          <t>Jeff Gautney</t>
        </is>
      </c>
      <c r="H50" t="inlineStr">
        <is>
          <t>VP &amp; CIO</t>
        </is>
      </c>
      <c r="I50" t="inlineStr">
        <is>
          <t>CIO</t>
        </is>
      </c>
      <c r="J50" s="21" t="n">
        <v>531712</v>
      </c>
      <c r="K50" s="21" t="n">
        <v>115040</v>
      </c>
      <c r="L50" s="21" t="n">
        <v>646752</v>
      </c>
      <c r="M50" s="21" t="n">
        <v>3231</v>
      </c>
      <c r="N50" s="21" t="n">
        <v>87421</v>
      </c>
      <c r="O50" s="21" t="n">
        <v>29126</v>
      </c>
      <c r="P50" s="21" t="n">
        <v>766531</v>
      </c>
      <c r="Q50" s="21" t="n">
        <v>766531</v>
      </c>
      <c r="R50" s="21">
        <f>IF(Q50="","",Q50*(1+in_GrowthRate)^(YEARFRAC(DATE(2023,6,30),in_AgeToDate)*IF(in_AgeToDate&lt;DATE(2023,6,30),-1,1)+1))</f>
        <v/>
      </c>
      <c r="S50" s="38" t="n">
        <v>0.2163577274915744</v>
      </c>
      <c r="T50" s="43">
        <f>HYPERLINK("https://projects.propublica.org/nonprofits/organizations/362174823/202441349349305684/full","view filing")</f>
        <v/>
      </c>
    </row>
    <row r="51">
      <c r="A51" t="inlineStr">
        <is>
          <t>Texas Christian University</t>
        </is>
      </c>
      <c r="B51" s="20" t="inlineStr">
        <is>
          <t>TX</t>
        </is>
      </c>
      <c r="C51" s="42" t="n">
        <v>2.85</v>
      </c>
      <c r="D51" t="inlineStr">
        <is>
          <t>Endowment</t>
        </is>
      </c>
      <c r="E51" s="20" t="n">
        <v>2022</v>
      </c>
      <c r="F51" s="20" t="inlineStr"/>
      <c r="G51" t="inlineStr">
        <is>
          <t>Jason R Safran</t>
        </is>
      </c>
      <c r="H51" t="inlineStr">
        <is>
          <t>Chief Investment Officer</t>
        </is>
      </c>
      <c r="I51" t="inlineStr">
        <is>
          <t>CIO</t>
        </is>
      </c>
      <c r="J51" s="21" t="n">
        <v>375371</v>
      </c>
      <c r="K51" s="21" t="n">
        <v>107925</v>
      </c>
      <c r="L51" s="21" t="n">
        <v>483296</v>
      </c>
      <c r="M51" s="21" t="n">
        <v>70571</v>
      </c>
      <c r="N51" s="21" t="n">
        <v>29200</v>
      </c>
      <c r="O51" s="21" t="n">
        <v>33519</v>
      </c>
      <c r="P51" s="21" t="n">
        <v>616586</v>
      </c>
      <c r="Q51" s="21" t="n">
        <v>616586</v>
      </c>
      <c r="R51" s="21">
        <f>IF(Q51="","",Q51*(1+in_GrowthRate)^(YEARFRAC(DATE(2022,5,31),in_AgeToDate)*IF(in_AgeToDate&lt;DATE(2022,5,31),-1,1)+1))</f>
        <v/>
      </c>
      <c r="S51" s="38" t="n">
        <v>0.2875155512812657</v>
      </c>
      <c r="T51" s="43">
        <f>HYPERLINK("https://projects.propublica.org/nonprofits/organizations/750827465/202341019349301504/full","view filing")</f>
        <v/>
      </c>
    </row>
    <row r="52">
      <c r="A52" t="inlineStr">
        <is>
          <t>Texas Health Resources</t>
        </is>
      </c>
      <c r="B52" s="20" t="inlineStr">
        <is>
          <t>TX</t>
        </is>
      </c>
      <c r="C52" s="42" t="n">
        <v>7.87</v>
      </c>
      <c r="D52" t="inlineStr">
        <is>
          <t>Healthcare</t>
        </is>
      </c>
      <c r="E52" s="20" t="n">
        <v>2024</v>
      </c>
      <c r="F52" s="20">
        <f>IF(AND(OR(in_Mode="All Funds",AND(C52&gt;=in_BandFloor,C52&lt;=in_BandCeiling,OR(in_Geography="National",COUNTIFS(lst_GeoPreset,in_Geography,lst_GeoState,B52)&gt;0,AND(in_Geography="Custom",ISNUMBER(SEARCH(B52,SUBSTITUTE(in_CustomStates," ",""))))),OR(AND(D52="Endowment",Inputs!$B$14="Y"),AND(D52="Foundation",Inputs!$B$15="Y"),AND(D52="Healthcare",Inputs!$B$16="Y"),AND(D52="Pension",Inputs!$B$17="Y"),AND(D52="OCIO",Inputs!$B$18="Y"),AND(D52="Other",Inputs!$B$19="Y")))),A52&lt;&gt;in_ClientOrg,NOT(AND(in_ExclHarvard="Y",ISNUMBER(SEARCH("Harvard",A52))))),"Y","")</f>
        <v/>
      </c>
      <c r="G52" t="inlineStr">
        <is>
          <t>Reevessandra G</t>
        </is>
      </c>
      <c r="H52" t="inlineStr">
        <is>
          <t>VP Treas/Asst Chief Invest Off</t>
        </is>
      </c>
      <c r="I52" t="inlineStr">
        <is>
          <t>CIO</t>
        </is>
      </c>
      <c r="J52" s="21" t="n">
        <v>364002</v>
      </c>
      <c r="K52" s="21" t="n">
        <v>102599</v>
      </c>
      <c r="L52" s="21" t="n">
        <v>466601</v>
      </c>
      <c r="M52" s="21" t="n">
        <v>40570</v>
      </c>
      <c r="N52" s="21" t="n">
        <v>25875</v>
      </c>
      <c r="O52" s="21" t="n">
        <v>54761</v>
      </c>
      <c r="P52" s="21" t="n">
        <v>587807</v>
      </c>
      <c r="Q52" s="21" t="n">
        <v>587807</v>
      </c>
      <c r="R52" s="21">
        <f>IF(Q52="","",Q52*(1+in_GrowthRate)^(YEARFRAC(DATE(2024,12,31),in_AgeToDate)*IF(in_AgeToDate&lt;DATE(2024,12,31),-1,1)+1))</f>
        <v/>
      </c>
      <c r="S52" s="38" t="n">
        <v>0.2818638359129895</v>
      </c>
      <c r="T52" s="43">
        <f>HYPERLINK("https://projects.propublica.org/nonprofits/organizations/752702388/202543149349306069/full","view filing")</f>
        <v/>
      </c>
    </row>
    <row r="53">
      <c r="A53" t="inlineStr">
        <is>
          <t>Texas Health Resources</t>
        </is>
      </c>
      <c r="B53" s="20" t="inlineStr">
        <is>
          <t>TX</t>
        </is>
      </c>
      <c r="C53" s="42" t="n">
        <v>7.87</v>
      </c>
      <c r="D53" t="inlineStr">
        <is>
          <t>Healthcare</t>
        </is>
      </c>
      <c r="E53" s="20" t="n">
        <v>2023</v>
      </c>
      <c r="F53" s="20" t="inlineStr"/>
      <c r="G53" t="inlineStr">
        <is>
          <t>Reevessandra G</t>
        </is>
      </c>
      <c r="H53" t="inlineStr">
        <is>
          <t>VP Treas/Asst Chief Invest Off</t>
        </is>
      </c>
      <c r="I53" t="inlineStr">
        <is>
          <t>CIO</t>
        </is>
      </c>
      <c r="J53" s="21" t="n">
        <v>344919</v>
      </c>
      <c r="K53" s="21" t="n">
        <v>52565</v>
      </c>
      <c r="L53" s="21" t="n">
        <v>397484</v>
      </c>
      <c r="M53" s="21" t="n">
        <v>38953</v>
      </c>
      <c r="N53" s="21" t="n">
        <v>24750</v>
      </c>
      <c r="O53" s="21" t="n">
        <v>51836</v>
      </c>
      <c r="P53" s="21" t="n">
        <v>513023</v>
      </c>
      <c r="Q53" s="21" t="n">
        <v>513023</v>
      </c>
      <c r="R53" s="21">
        <f>IF(Q53="","",Q53*(1+in_GrowthRate)^(YEARFRAC(DATE(2023,12,31),in_AgeToDate)*IF(in_AgeToDate&lt;DATE(2023,12,31),-1,1)+1))</f>
        <v/>
      </c>
      <c r="S53" s="38" t="n">
        <v>0.1523980992638851</v>
      </c>
      <c r="T53" s="43">
        <f>HYPERLINK("https://projects.propublica.org/nonprofits/organizations/752702388/202403179349300125/full","view filing")</f>
        <v/>
      </c>
    </row>
    <row r="54">
      <c r="A54" t="inlineStr">
        <is>
          <t>Texas Health Resources</t>
        </is>
      </c>
      <c r="B54" s="20" t="inlineStr">
        <is>
          <t>TX</t>
        </is>
      </c>
      <c r="C54" s="42" t="n">
        <v>7.87</v>
      </c>
      <c r="D54" t="inlineStr">
        <is>
          <t>Healthcare</t>
        </is>
      </c>
      <c r="E54" s="20" t="n">
        <v>2022</v>
      </c>
      <c r="F54" s="20" t="inlineStr"/>
      <c r="G54" t="inlineStr">
        <is>
          <t>Reevessandra G</t>
        </is>
      </c>
      <c r="H54" t="inlineStr">
        <is>
          <t>VP Treas/Asst Chief Invest Off</t>
        </is>
      </c>
      <c r="I54" t="inlineStr">
        <is>
          <t>CIO</t>
        </is>
      </c>
      <c r="J54" s="21" t="n">
        <v>321893</v>
      </c>
      <c r="K54" s="21" t="n">
        <v>112809</v>
      </c>
      <c r="L54" s="21" t="n">
        <v>434702</v>
      </c>
      <c r="M54" s="21" t="n">
        <v>37488</v>
      </c>
      <c r="N54" s="21" t="n">
        <v>22875</v>
      </c>
      <c r="O54" s="21" t="n">
        <v>51214</v>
      </c>
      <c r="P54" s="21" t="n">
        <v>546279</v>
      </c>
      <c r="Q54" s="21" t="n">
        <v>546279</v>
      </c>
      <c r="R54" s="21">
        <f>IF(Q54="","",Q54*(1+in_GrowthRate)^(YEARFRAC(DATE(2022,12,31),in_AgeToDate)*IF(in_AgeToDate&lt;DATE(2022,12,31),-1,1)+1))</f>
        <v/>
      </c>
      <c r="S54" s="38" t="n">
        <v>0.3504549648485677</v>
      </c>
      <c r="T54" s="43">
        <f>HYPERLINK("https://projects.propublica.org/nonprofits/organizations/752702388/202313129349301911/full","view filing")</f>
        <v/>
      </c>
    </row>
    <row r="55">
      <c r="A55" t="inlineStr">
        <is>
          <t>The Administrators Of The Tulane Educational Fund</t>
        </is>
      </c>
      <c r="B55" s="20" t="inlineStr">
        <is>
          <t>LA</t>
        </is>
      </c>
      <c r="C55" s="42" t="n">
        <v>2.46</v>
      </c>
      <c r="D55" t="inlineStr">
        <is>
          <t>Endowment</t>
        </is>
      </c>
      <c r="E55" s="20" t="n">
        <v>2024</v>
      </c>
      <c r="F55" s="20" t="inlineStr"/>
      <c r="G55" t="inlineStr">
        <is>
          <t>Julia Mord</t>
        </is>
      </c>
      <c r="H55" t="inlineStr">
        <is>
          <t>Deputy Chief Investment Officer</t>
        </is>
      </c>
      <c r="I55" t="inlineStr">
        <is>
          <t>Deputy CIO</t>
        </is>
      </c>
      <c r="J55" s="21" t="n">
        <v>428000</v>
      </c>
      <c r="K55" s="21" t="n">
        <v>463000</v>
      </c>
      <c r="L55" s="21" t="n">
        <v>891000</v>
      </c>
      <c r="M55" s="21" t="n">
        <v>26000</v>
      </c>
      <c r="N55" s="21" t="n">
        <v>147000</v>
      </c>
      <c r="O55" s="21" t="n">
        <v>27000</v>
      </c>
      <c r="P55" s="21" t="n">
        <v>1091000</v>
      </c>
      <c r="Q55" s="21" t="n">
        <v>1091000</v>
      </c>
      <c r="R55" s="21">
        <f>IF(Q55="","",Q55*(1+in_GrowthRate)^(YEARFRAC(DATE(2024,6,30),in_AgeToDate)*IF(in_AgeToDate&lt;DATE(2024,6,30),-1,1)+1))</f>
        <v/>
      </c>
      <c r="S55" s="38" t="n">
        <v>1.081775700934579</v>
      </c>
      <c r="T55" s="43">
        <f>HYPERLINK("https://projects.propublica.org/nonprofits/organizations/720423889/202521359349304292/full","view filing")</f>
        <v/>
      </c>
    </row>
    <row r="56">
      <c r="A56" t="inlineStr">
        <is>
          <t>The Board Of Trustees Of The Leland Stanford Junior University</t>
        </is>
      </c>
      <c r="B56" s="20" t="inlineStr">
        <is>
          <t>CA</t>
        </is>
      </c>
      <c r="C56" s="42" t="n">
        <v>40.79</v>
      </c>
      <c r="D56" t="inlineStr">
        <is>
          <t>Endowment</t>
        </is>
      </c>
      <c r="E56" s="20" t="n">
        <v>2024</v>
      </c>
      <c r="F56" s="20" t="inlineStr"/>
      <c r="G56" t="inlineStr">
        <is>
          <t>Jay Kang</t>
        </is>
      </c>
      <c r="H56" t="inlineStr">
        <is>
          <t>SR. MD, SMC</t>
        </is>
      </c>
      <c r="I56" t="inlineStr">
        <is>
          <t>Managing Director</t>
        </is>
      </c>
      <c r="J56" s="21" t="n">
        <v>812211</v>
      </c>
      <c r="K56" s="21" t="n">
        <v>1556250</v>
      </c>
      <c r="L56" s="21" t="n">
        <v>2368461</v>
      </c>
      <c r="M56" s="21" t="n">
        <v>610158</v>
      </c>
      <c r="N56" s="21" t="n">
        <v>374659</v>
      </c>
      <c r="O56" s="21" t="n">
        <v>55833</v>
      </c>
      <c r="P56" s="21" t="n">
        <v>3409111</v>
      </c>
      <c r="Q56" s="21" t="n">
        <v>3126557</v>
      </c>
      <c r="R56" s="21">
        <f>IF(Q56="","",Q56*(1+in_GrowthRate)^(YEARFRAC(DATE(2024,8,31),in_AgeToDate)*IF(in_AgeToDate&lt;DATE(2024,8,31),-1,1)+1))</f>
        <v/>
      </c>
      <c r="S56" s="38" t="n">
        <v>1.916066145373554</v>
      </c>
      <c r="T56" s="43">
        <f>HYPERLINK("https://projects.propublica.org/nonprofits/organizations/941156365/202501969349302135/full","view filing")</f>
        <v/>
      </c>
    </row>
    <row r="57">
      <c r="A57" t="inlineStr">
        <is>
          <t>The Board Of Trustees Of The Leland Stanford Junior University</t>
        </is>
      </c>
      <c r="B57" s="20" t="inlineStr">
        <is>
          <t>CA</t>
        </is>
      </c>
      <c r="C57" s="42" t="n">
        <v>40.79</v>
      </c>
      <c r="D57" t="inlineStr">
        <is>
          <t>Endowment</t>
        </is>
      </c>
      <c r="E57" s="20" t="n">
        <v>2023</v>
      </c>
      <c r="F57" s="20" t="inlineStr"/>
      <c r="G57" t="inlineStr">
        <is>
          <t>Jay Kang</t>
        </is>
      </c>
      <c r="H57" t="inlineStr">
        <is>
          <t>SR. MD, SMC</t>
        </is>
      </c>
      <c r="I57" t="inlineStr">
        <is>
          <t>Managing Director</t>
        </is>
      </c>
      <c r="J57" s="21" t="n">
        <v>778536</v>
      </c>
      <c r="K57" s="21" t="n">
        <v>1367000</v>
      </c>
      <c r="L57" s="21" t="n">
        <v>2145536</v>
      </c>
      <c r="M57" s="21" t="n">
        <v>530083</v>
      </c>
      <c r="N57" s="21" t="n">
        <v>338211</v>
      </c>
      <c r="O57" s="21" t="n">
        <v>48026</v>
      </c>
      <c r="P57" s="21" t="n">
        <v>3061856</v>
      </c>
      <c r="Q57" s="21" t="n">
        <v>2903530</v>
      </c>
      <c r="R57" s="21">
        <f>IF(Q57="","",Q57*(1+in_GrowthRate)^(YEARFRAC(DATE(2023,8,31),in_AgeToDate)*IF(in_AgeToDate&lt;DATE(2023,8,31),-1,1)+1))</f>
        <v/>
      </c>
      <c r="S57" s="38" t="n">
        <v>1.75585971618525</v>
      </c>
      <c r="T57" s="43">
        <f>HYPERLINK("https://projects.propublica.org/nonprofits/organizations/941156365/202431949349300033/full","view filing")</f>
        <v/>
      </c>
    </row>
    <row r="58">
      <c r="A58" t="inlineStr">
        <is>
          <t>The Board Of Trustees Of The Leland Stanford Junior University</t>
        </is>
      </c>
      <c r="B58" s="20" t="inlineStr">
        <is>
          <t>CA</t>
        </is>
      </c>
      <c r="C58" s="42" t="n">
        <v>40.79</v>
      </c>
      <c r="D58" t="inlineStr">
        <is>
          <t>Endowment</t>
        </is>
      </c>
      <c r="E58" s="20" t="n">
        <v>2022</v>
      </c>
      <c r="F58" s="20" t="inlineStr"/>
      <c r="G58" t="inlineStr">
        <is>
          <t>Jay Kang</t>
        </is>
      </c>
      <c r="H58" t="inlineStr">
        <is>
          <t>SR. MD, SMC</t>
        </is>
      </c>
      <c r="I58" t="inlineStr">
        <is>
          <t>Managing Director</t>
        </is>
      </c>
      <c r="J58" s="21" t="n">
        <v>711155</v>
      </c>
      <c r="K58" s="21" t="n">
        <v>1361000</v>
      </c>
      <c r="L58" s="21" t="n">
        <v>2072155</v>
      </c>
      <c r="M58" s="21" t="n">
        <v>472705</v>
      </c>
      <c r="N58" s="21" t="n">
        <v>259781</v>
      </c>
      <c r="O58" s="21" t="n">
        <v>46320</v>
      </c>
      <c r="P58" s="21" t="n">
        <v>2850961</v>
      </c>
      <c r="Q58" s="21" t="n">
        <v>2736415</v>
      </c>
      <c r="R58" s="21">
        <f>IF(Q58="","",Q58*(1+in_GrowthRate)^(YEARFRAC(DATE(2022,8,31),in_AgeToDate)*IF(in_AgeToDate&lt;DATE(2022,8,31),-1,1)+1))</f>
        <v/>
      </c>
      <c r="S58" s="38" t="n">
        <v>1.913788133388642</v>
      </c>
      <c r="T58" s="43">
        <f>HYPERLINK("https://projects.propublica.org/nonprofits/organizations/941156365/202331959349301318/full","view filing")</f>
        <v/>
      </c>
    </row>
    <row r="59">
      <c r="A59" t="inlineStr">
        <is>
          <t>The Colorado Health Foundation</t>
        </is>
      </c>
      <c r="B59" s="20" t="inlineStr">
        <is>
          <t>CO</t>
        </is>
      </c>
      <c r="C59" s="42" t="n">
        <v>2.69</v>
      </c>
      <c r="D59" t="inlineStr">
        <is>
          <t>Healthcare</t>
        </is>
      </c>
      <c r="E59" s="20" t="n">
        <v>2022</v>
      </c>
      <c r="F59" s="20" t="inlineStr"/>
      <c r="G59" t="inlineStr">
        <is>
          <t>Stanford Willie Outgoing</t>
        </is>
      </c>
      <c r="H59" t="inlineStr">
        <is>
          <t>CHIEF INVESTMENT OFFICER</t>
        </is>
      </c>
      <c r="I59" t="inlineStr">
        <is>
          <t>CIO</t>
        </is>
      </c>
      <c r="J59" s="21" t="n"/>
      <c r="K59" s="21" t="n"/>
      <c r="L59" s="21" t="n"/>
      <c r="M59" s="21" t="n"/>
      <c r="N59" s="21" t="n"/>
      <c r="O59" s="21" t="n">
        <v>30766</v>
      </c>
      <c r="P59" s="21" t="n">
        <v>259879</v>
      </c>
      <c r="Q59" s="21" t="n">
        <v>259879</v>
      </c>
      <c r="R59" s="21">
        <f>IF(Q59="","",Q59*(1+in_GrowthRate)^(YEARFRAC(DATE(2022,12,31),in_AgeToDate)*IF(in_AgeToDate&lt;DATE(2022,12,31),-1,1)+1))</f>
        <v/>
      </c>
      <c r="S59" s="38" t="n"/>
      <c r="T59" s="43">
        <f>HYPERLINK("https://projects.propublica.org/nonprofits/organizations/742568941/202303199349105775/full","view filing")</f>
        <v/>
      </c>
    </row>
    <row r="60">
      <c r="A60" t="inlineStr">
        <is>
          <t>The Trustees Of Grinnell College</t>
        </is>
      </c>
      <c r="B60" s="20" t="inlineStr">
        <is>
          <t>IA</t>
        </is>
      </c>
      <c r="C60" s="42" t="n">
        <v>2.85</v>
      </c>
      <c r="D60" t="inlineStr">
        <is>
          <t>Endowment</t>
        </is>
      </c>
      <c r="E60" s="20" t="n">
        <v>2025</v>
      </c>
      <c r="F60" s="20">
        <f>IF(AND(OR(in_Mode="All Funds",AND(C60&gt;=in_BandFloor,C60&lt;=in_BandCeiling,OR(in_Geography="National",COUNTIFS(lst_GeoPreset,in_Geography,lst_GeoState,B60)&gt;0,AND(in_Geography="Custom",ISNUMBER(SEARCH(B60,SUBSTITUTE(in_CustomStates," ",""))))),OR(AND(D60="Endowment",Inputs!$B$14="Y"),AND(D60="Foundation",Inputs!$B$15="Y"),AND(D60="Healthcare",Inputs!$B$16="Y"),AND(D60="Pension",Inputs!$B$17="Y"),AND(D60="OCIO",Inputs!$B$18="Y"),AND(D60="Other",Inputs!$B$19="Y")))),A60&lt;&gt;in_ClientOrg,NOT(AND(in_ExclHarvard="Y",ISNUMBER(SEARCH("Harvard",A60))))),"Y","")</f>
        <v/>
      </c>
      <c r="G60" t="inlineStr">
        <is>
          <t>Valbona Schwab</t>
        </is>
      </c>
      <c r="H60" t="inlineStr">
        <is>
          <t>DEPUTY CHIEF INVESTMENT OFFICER</t>
        </is>
      </c>
      <c r="I60" t="inlineStr">
        <is>
          <t>Deputy CIO</t>
        </is>
      </c>
      <c r="J60" s="21" t="n">
        <v>426215</v>
      </c>
      <c r="K60" s="21" t="n">
        <v>303178</v>
      </c>
      <c r="L60" s="21" t="n">
        <v>729393</v>
      </c>
      <c r="M60" s="21" t="n">
        <v>966</v>
      </c>
      <c r="N60" s="21" t="n">
        <v>34500</v>
      </c>
      <c r="O60" s="21" t="n">
        <v>86976</v>
      </c>
      <c r="P60" s="21" t="n">
        <v>851835</v>
      </c>
      <c r="Q60" s="21" t="n">
        <v>851835</v>
      </c>
      <c r="R60" s="21">
        <f>IF(Q60="","",Q60*(1+in_GrowthRate)^(YEARFRAC(DATE(2025,6,30),in_AgeToDate)*IF(in_AgeToDate&lt;DATE(2025,6,30),-1,1)+1))</f>
        <v/>
      </c>
      <c r="S60" s="38" t="n">
        <v>0.7113264432270099</v>
      </c>
      <c r="T60" s="43">
        <f>HYPERLINK("https://projects.propublica.org/nonprofits/organizations/420680387/202631269349301868/full","view filing")</f>
        <v/>
      </c>
    </row>
    <row r="61">
      <c r="A61" t="inlineStr">
        <is>
          <t>The Trustees Of Grinnell College</t>
        </is>
      </c>
      <c r="B61" s="20" t="inlineStr">
        <is>
          <t>IA</t>
        </is>
      </c>
      <c r="C61" s="42" t="n">
        <v>2.85</v>
      </c>
      <c r="D61" t="inlineStr">
        <is>
          <t>Endowment</t>
        </is>
      </c>
      <c r="E61" s="20" t="n">
        <v>2024</v>
      </c>
      <c r="F61" s="20" t="inlineStr"/>
      <c r="G61" t="inlineStr">
        <is>
          <t>Valbona Schwab</t>
        </is>
      </c>
      <c r="H61" t="inlineStr">
        <is>
          <t>DEPUTY CHIEF INVESTMENT OFFICER</t>
        </is>
      </c>
      <c r="I61" t="inlineStr">
        <is>
          <t>Deputy CIO</t>
        </is>
      </c>
      <c r="J61" s="21" t="n">
        <v>414426</v>
      </c>
      <c r="K61" s="21" t="n">
        <v>204690</v>
      </c>
      <c r="L61" s="21" t="n">
        <v>619116</v>
      </c>
      <c r="M61" s="21" t="n">
        <v>630</v>
      </c>
      <c r="N61" s="21" t="n">
        <v>33000</v>
      </c>
      <c r="O61" s="21" t="n">
        <v>28078</v>
      </c>
      <c r="P61" s="21" t="n">
        <v>680824</v>
      </c>
      <c r="Q61" s="21" t="n">
        <v>680824</v>
      </c>
      <c r="R61" s="21">
        <f>IF(Q61="","",Q61*(1+in_GrowthRate)^(YEARFRAC(DATE(2024,6,30),in_AgeToDate)*IF(in_AgeToDate&lt;DATE(2024,6,30),-1,1)+1))</f>
        <v/>
      </c>
      <c r="S61" s="38" t="n">
        <v>0.4939120615019328</v>
      </c>
      <c r="T61" s="43">
        <f>HYPERLINK("https://projects.propublica.org/nonprofits/organizations/420680387/202511289349300406/full","view filing")</f>
        <v/>
      </c>
    </row>
    <row r="62">
      <c r="A62" t="inlineStr">
        <is>
          <t>The Trustees Of Grinnell College</t>
        </is>
      </c>
      <c r="B62" s="20" t="inlineStr">
        <is>
          <t>IA</t>
        </is>
      </c>
      <c r="C62" s="42" t="n">
        <v>2.85</v>
      </c>
      <c r="D62" t="inlineStr">
        <is>
          <t>Endowment</t>
        </is>
      </c>
      <c r="E62" s="20" t="n">
        <v>2023</v>
      </c>
      <c r="F62" s="20" t="inlineStr"/>
      <c r="G62" t="inlineStr">
        <is>
          <t>Valbona Schwab</t>
        </is>
      </c>
      <c r="H62" t="inlineStr">
        <is>
          <t>DEPUTY CHIEF INVESTMENT OFFICER</t>
        </is>
      </c>
      <c r="I62" t="inlineStr">
        <is>
          <t>Deputy CIO</t>
        </is>
      </c>
      <c r="J62" s="21" t="n">
        <v>401950</v>
      </c>
      <c r="K62" s="21" t="n">
        <v>200000</v>
      </c>
      <c r="L62" s="21" t="n">
        <v>601950</v>
      </c>
      <c r="M62" s="21" t="n">
        <v>630</v>
      </c>
      <c r="N62" s="21" t="n">
        <v>23800</v>
      </c>
      <c r="O62" s="21" t="n">
        <v>26331</v>
      </c>
      <c r="P62" s="21" t="n">
        <v>652711</v>
      </c>
      <c r="Q62" s="21" t="n">
        <v>652711</v>
      </c>
      <c r="R62" s="21">
        <f>IF(Q62="","",Q62*(1+in_GrowthRate)^(YEARFRAC(DATE(2023,6,30),in_AgeToDate)*IF(in_AgeToDate&lt;DATE(2023,6,30),-1,1)+1))</f>
        <v/>
      </c>
      <c r="S62" s="38" t="n">
        <v>0.4975743251648215</v>
      </c>
      <c r="T62" s="43">
        <f>HYPERLINK("https://projects.propublica.org/nonprofits/organizations/420680387/202441309349301774/full","view filing")</f>
        <v/>
      </c>
    </row>
    <row r="63">
      <c r="A63" t="inlineStr">
        <is>
          <t>The University Of Texas Texas A M Investment Management Company</t>
        </is>
      </c>
      <c r="B63" s="20" t="inlineStr">
        <is>
          <t>TX</t>
        </is>
      </c>
      <c r="C63" s="42" t="n">
        <v>67.84</v>
      </c>
      <c r="D63" t="inlineStr">
        <is>
          <t>Endowment</t>
        </is>
      </c>
      <c r="E63" s="20" t="n">
        <v>2024</v>
      </c>
      <c r="F63" s="20" t="inlineStr"/>
      <c r="G63" t="inlineStr">
        <is>
          <t>Thomas Britton Harris Iv</t>
        </is>
      </c>
      <c r="H63" t="inlineStr">
        <is>
          <t>PRESIDENT AND CHIEF EXECUTIVE OFFICER</t>
        </is>
      </c>
      <c r="I63" t="inlineStr">
        <is>
          <t>CEO (Inv Entity)</t>
        </is>
      </c>
      <c r="J63" s="21" t="n">
        <v>549700</v>
      </c>
      <c r="K63" s="21" t="n">
        <v>2167359</v>
      </c>
      <c r="L63" s="21" t="n">
        <v>2717059</v>
      </c>
      <c r="M63" s="21" t="n">
        <v>1299</v>
      </c>
      <c r="N63" s="21" t="n">
        <v>28050</v>
      </c>
      <c r="O63" s="21" t="n">
        <v>12149</v>
      </c>
      <c r="P63" s="21" t="n">
        <v>2758557</v>
      </c>
      <c r="Q63" s="21" t="n">
        <v>591198</v>
      </c>
      <c r="R63" s="21">
        <f>IF(Q63="","",Q63*(1+in_GrowthRate)^(YEARFRAC(DATE(2024,8,31),in_AgeToDate)*IF(in_AgeToDate&lt;DATE(2024,8,31),-1,1)+1))</f>
        <v/>
      </c>
      <c r="S63" s="38" t="n">
        <v>3.942803347280335</v>
      </c>
      <c r="T63" s="43">
        <f>HYPERLINK("https://projects.propublica.org/nonprofits/organizations/742765082/202541899349300034/full","view filing")</f>
        <v/>
      </c>
    </row>
    <row r="64">
      <c r="A64" t="inlineStr">
        <is>
          <t>The University Of Texas Texas A M Investment Management Company</t>
        </is>
      </c>
      <c r="B64" s="20" t="inlineStr">
        <is>
          <t>TX</t>
        </is>
      </c>
      <c r="C64" s="42" t="n">
        <v>67.84</v>
      </c>
      <c r="D64" t="inlineStr">
        <is>
          <t>Endowment</t>
        </is>
      </c>
      <c r="E64" s="20" t="n">
        <v>2023</v>
      </c>
      <c r="F64" s="20" t="inlineStr"/>
      <c r="G64" t="inlineStr">
        <is>
          <t>Richard L Hall</t>
        </is>
      </c>
      <c r="H64" t="inlineStr">
        <is>
          <t>PRESIDENT, CHIEF EXECUTIVE OFFICER AND CHIEF INVESTMENT OFFICER</t>
        </is>
      </c>
      <c r="I64" t="inlineStr">
        <is>
          <t>CIO</t>
        </is>
      </c>
      <c r="J64" s="21" t="n">
        <v>678565</v>
      </c>
      <c r="K64" s="21" t="n">
        <v>938264</v>
      </c>
      <c r="L64" s="21" t="n">
        <v>1616829</v>
      </c>
      <c r="M64" s="21" t="n">
        <v>2939</v>
      </c>
      <c r="N64" s="21" t="n">
        <v>1749960</v>
      </c>
      <c r="O64" s="21" t="n">
        <v>9871</v>
      </c>
      <c r="P64" s="21" t="n">
        <v>3379599</v>
      </c>
      <c r="Q64" s="21" t="n">
        <v>2448708</v>
      </c>
      <c r="R64" s="21">
        <f>IF(Q64="","",Q64*(1+in_GrowthRate)^(YEARFRAC(DATE(2023,8,31),in_AgeToDate)*IF(in_AgeToDate&lt;DATE(2023,8,31),-1,1)+1))</f>
        <v/>
      </c>
      <c r="S64" s="38" t="n">
        <v>1.382717941538393</v>
      </c>
      <c r="T64" s="43">
        <f>HYPERLINK("https://projects.propublica.org/nonprofits/organizations/742765082/202421919349300237/full","view filing")</f>
        <v/>
      </c>
    </row>
    <row r="65">
      <c r="A65" t="inlineStr">
        <is>
          <t>The University Of Texas Texas A M Investment Management Company</t>
        </is>
      </c>
      <c r="B65" s="20" t="inlineStr">
        <is>
          <t>TX</t>
        </is>
      </c>
      <c r="C65" s="42" t="n">
        <v>67.84</v>
      </c>
      <c r="D65" t="inlineStr">
        <is>
          <t>Endowment</t>
        </is>
      </c>
      <c r="E65" s="20" t="n">
        <v>2022</v>
      </c>
      <c r="F65" s="20" t="inlineStr"/>
      <c r="G65" t="inlineStr">
        <is>
          <t>Richard L Hall</t>
        </is>
      </c>
      <c r="H65" t="inlineStr">
        <is>
          <t>CHIEF INVESTMENT OFFICER</t>
        </is>
      </c>
      <c r="I65" t="inlineStr">
        <is>
          <t>CIO</t>
        </is>
      </c>
      <c r="J65" s="21" t="n">
        <v>635168</v>
      </c>
      <c r="K65" s="21" t="n">
        <v>1996247</v>
      </c>
      <c r="L65" s="21" t="n">
        <v>2631415</v>
      </c>
      <c r="M65" s="21" t="n">
        <v>2639</v>
      </c>
      <c r="N65" s="21" t="n">
        <v>2368278</v>
      </c>
      <c r="O65" s="21" t="n">
        <v>16607</v>
      </c>
      <c r="P65" s="21" t="n">
        <v>5018939</v>
      </c>
      <c r="Q65" s="21" t="n">
        <v>3181829</v>
      </c>
      <c r="R65" s="21">
        <f>IF(Q65="","",Q65*(1+in_GrowthRate)^(YEARFRAC(DATE(2022,8,31),in_AgeToDate)*IF(in_AgeToDate&lt;DATE(2022,8,31),-1,1)+1))</f>
        <v/>
      </c>
      <c r="S65" s="38" t="n">
        <v>3.142864564965489</v>
      </c>
      <c r="T65" s="43">
        <f>HYPERLINK("https://projects.propublica.org/nonprofits/organizations/742765082/202331879349300948/full","view filing")</f>
        <v/>
      </c>
    </row>
    <row r="66">
      <c r="A66" t="inlineStr">
        <is>
          <t>Trustees Of Dartmouth College</t>
        </is>
      </c>
      <c r="B66" s="20" t="inlineStr">
        <is>
          <t>NH</t>
        </is>
      </c>
      <c r="C66" s="42" t="n">
        <v>8.960000000000001</v>
      </c>
      <c r="D66" t="inlineStr">
        <is>
          <t>Endowment</t>
        </is>
      </c>
      <c r="E66" s="20" t="n">
        <v>2025</v>
      </c>
      <c r="F66" s="20">
        <f>IF(AND(OR(in_Mode="All Funds",AND(C66&gt;=in_BandFloor,C66&lt;=in_BandCeiling,OR(in_Geography="National",COUNTIFS(lst_GeoPreset,in_Geography,lst_GeoState,B66)&gt;0,AND(in_Geography="Custom",ISNUMBER(SEARCH(B66,SUBSTITUTE(in_CustomStates," ",""))))),OR(AND(D66="Endowment",Inputs!$B$14="Y"),AND(D66="Foundation",Inputs!$B$15="Y"),AND(D66="Healthcare",Inputs!$B$16="Y"),AND(D66="Pension",Inputs!$B$17="Y"),AND(D66="OCIO",Inputs!$B$18="Y"),AND(D66="Other",Inputs!$B$19="Y")))),A66&lt;&gt;in_ClientOrg,NOT(AND(in_ExclHarvard="Y",ISNUMBER(SEARCH("Harvard",A66))))),"Y","")</f>
        <v/>
      </c>
      <c r="G66" t="inlineStr">
        <is>
          <t>Kelsey Morgan</t>
        </is>
      </c>
      <c r="H66" t="inlineStr">
        <is>
          <t>Chief Investment Officer</t>
        </is>
      </c>
      <c r="I66" t="inlineStr">
        <is>
          <t>CIO</t>
        </is>
      </c>
      <c r="J66" s="21" t="n">
        <v>842170</v>
      </c>
      <c r="K66" s="21" t="n">
        <v>1193093</v>
      </c>
      <c r="L66" s="21" t="n">
        <v>2035263</v>
      </c>
      <c r="M66" s="21" t="n">
        <v>1159</v>
      </c>
      <c r="N66" s="21" t="n">
        <v>31050</v>
      </c>
      <c r="O66" s="21" t="n">
        <v>20271</v>
      </c>
      <c r="P66" s="21" t="n">
        <v>2087743</v>
      </c>
      <c r="Q66" s="21" t="n">
        <v>2087743</v>
      </c>
      <c r="R66" s="21">
        <f>IF(Q66="","",Q66*(1+in_GrowthRate)^(YEARFRAC(DATE(2025,6,30),in_AgeToDate)*IF(in_AgeToDate&lt;DATE(2025,6,30),-1,1)+1))</f>
        <v/>
      </c>
      <c r="S66" s="38" t="n">
        <v>1.416689029530855</v>
      </c>
      <c r="T66" s="43">
        <f>HYPERLINK("https://projects.propublica.org/nonprofits/organizations/20222111/202631339349300048/full","view filing")</f>
        <v/>
      </c>
    </row>
    <row r="67">
      <c r="A67" t="inlineStr">
        <is>
          <t>Trustees Of Dartmouth College</t>
        </is>
      </c>
      <c r="B67" s="20" t="inlineStr">
        <is>
          <t>NH</t>
        </is>
      </c>
      <c r="C67" s="42" t="n">
        <v>8.960000000000001</v>
      </c>
      <c r="D67" t="inlineStr">
        <is>
          <t>Endowment</t>
        </is>
      </c>
      <c r="E67" s="20" t="n">
        <v>2024</v>
      </c>
      <c r="F67" s="20" t="inlineStr"/>
      <c r="G67" t="inlineStr">
        <is>
          <t>Kelsey Morgan</t>
        </is>
      </c>
      <c r="H67" t="inlineStr">
        <is>
          <t>Chief Investment Officer</t>
        </is>
      </c>
      <c r="I67" t="inlineStr">
        <is>
          <t>CIO</t>
        </is>
      </c>
      <c r="J67" s="21" t="n">
        <v>830191</v>
      </c>
      <c r="K67" s="21" t="n">
        <v>1123500</v>
      </c>
      <c r="L67" s="21" t="n">
        <v>1953691</v>
      </c>
      <c r="M67" s="21" t="n">
        <v>1159</v>
      </c>
      <c r="N67" s="21" t="n">
        <v>29700</v>
      </c>
      <c r="O67" s="21" t="n">
        <v>19479</v>
      </c>
      <c r="P67" s="21" t="n">
        <v>2004029</v>
      </c>
      <c r="Q67" s="21" t="n">
        <v>2004029</v>
      </c>
      <c r="R67" s="21">
        <f>IF(Q67="","",Q67*(1+in_GrowthRate)^(YEARFRAC(DATE(2024,6,30),in_AgeToDate)*IF(in_AgeToDate&lt;DATE(2024,6,30),-1,1)+1))</f>
        <v/>
      </c>
      <c r="S67" s="38" t="n">
        <v>1.353303035084697</v>
      </c>
      <c r="T67" s="43">
        <f>HYPERLINK("https://projects.propublica.org/nonprofits/organizations/20222111/202501339349306270/full","view filing")</f>
        <v/>
      </c>
    </row>
    <row r="68">
      <c r="A68" t="inlineStr">
        <is>
          <t>Trustees Of Dartmouth College</t>
        </is>
      </c>
      <c r="B68" s="20" t="inlineStr">
        <is>
          <t>NH</t>
        </is>
      </c>
      <c r="C68" s="42" t="n">
        <v>8.960000000000001</v>
      </c>
      <c r="D68" t="inlineStr">
        <is>
          <t>Endowment</t>
        </is>
      </c>
      <c r="E68" s="20" t="n">
        <v>2023</v>
      </c>
      <c r="F68" s="20" t="inlineStr"/>
      <c r="G68" t="inlineStr">
        <is>
          <t>Kelsey Morgan</t>
        </is>
      </c>
      <c r="H68" t="inlineStr">
        <is>
          <t>Chief Investment Officer</t>
        </is>
      </c>
      <c r="I68" t="inlineStr">
        <is>
          <t>CIO</t>
        </is>
      </c>
      <c r="J68" s="21" t="n">
        <v>796445</v>
      </c>
      <c r="K68" s="21" t="n">
        <v>1110000</v>
      </c>
      <c r="L68" s="21" t="n">
        <v>1906445</v>
      </c>
      <c r="M68" s="21" t="n">
        <v>1159</v>
      </c>
      <c r="N68" s="21" t="n">
        <v>27450</v>
      </c>
      <c r="O68" s="21" t="n">
        <v>18449</v>
      </c>
      <c r="P68" s="21" t="n">
        <v>1953503</v>
      </c>
      <c r="Q68" s="21" t="n">
        <v>1953503</v>
      </c>
      <c r="R68" s="21">
        <f>IF(Q68="","",Q68*(1+in_GrowthRate)^(YEARFRAC(DATE(2023,6,30),in_AgeToDate)*IF(in_AgeToDate&lt;DATE(2023,6,30),-1,1)+1))</f>
        <v/>
      </c>
      <c r="S68" s="38" t="n">
        <v>1.393693224265329</v>
      </c>
      <c r="T68" s="43">
        <f>HYPERLINK("https://projects.propublica.org/nonprofits/organizations/20222111/202441359349306269/full","view filing")</f>
        <v/>
      </c>
    </row>
    <row r="69">
      <c r="A69" t="inlineStr">
        <is>
          <t>Trustees Of Dartmouth College</t>
        </is>
      </c>
      <c r="B69" s="20" t="inlineStr">
        <is>
          <t>NH</t>
        </is>
      </c>
      <c r="C69" s="42" t="n">
        <v>8.960000000000001</v>
      </c>
      <c r="D69" t="inlineStr">
        <is>
          <t>Endowment</t>
        </is>
      </c>
      <c r="E69" s="20" t="n">
        <v>2022</v>
      </c>
      <c r="F69" s="20" t="inlineStr"/>
      <c r="G69" t="inlineStr">
        <is>
          <t>Kelsey Morgan</t>
        </is>
      </c>
      <c r="H69" t="inlineStr">
        <is>
          <t>Chief Investment Officer</t>
        </is>
      </c>
      <c r="I69" t="inlineStr">
        <is>
          <t>CIO</t>
        </is>
      </c>
      <c r="J69" s="21" t="n">
        <v>726364</v>
      </c>
      <c r="K69" s="21" t="n">
        <v>1032750</v>
      </c>
      <c r="L69" s="21" t="n">
        <v>1759114</v>
      </c>
      <c r="M69" s="21" t="n">
        <v>1159</v>
      </c>
      <c r="N69" s="21" t="n">
        <v>26100</v>
      </c>
      <c r="O69" s="21" t="n">
        <v>18349</v>
      </c>
      <c r="P69" s="21" t="n">
        <v>1804722</v>
      </c>
      <c r="Q69" s="21" t="n">
        <v>1804722</v>
      </c>
      <c r="R69" s="21">
        <f>IF(Q69="","",Q69*(1+in_GrowthRate)^(YEARFRAC(DATE(2022,6,30),in_AgeToDate)*IF(in_AgeToDate&lt;DATE(2022,6,30),-1,1)+1))</f>
        <v/>
      </c>
      <c r="S69" s="38" t="n">
        <v>1.421807798844656</v>
      </c>
      <c r="T69" s="43">
        <f>HYPERLINK("https://projects.propublica.org/nonprofits/organizations/20222111/202311329349301631/full","view filing")</f>
        <v/>
      </c>
    </row>
    <row r="70">
      <c r="A70" t="inlineStr">
        <is>
          <t>Trustees Of Hamilton College</t>
        </is>
      </c>
      <c r="B70" s="20" t="inlineStr">
        <is>
          <t>NY</t>
        </is>
      </c>
      <c r="C70" s="42" t="n">
        <v>1.5</v>
      </c>
      <c r="D70" t="inlineStr">
        <is>
          <t>Endowment</t>
        </is>
      </c>
      <c r="E70" s="20" t="n">
        <v>2025</v>
      </c>
      <c r="F70" s="20">
        <f>IF(AND(OR(in_Mode="All Funds",AND(C70&gt;=in_BandFloor,C70&lt;=in_BandCeiling,OR(in_Geography="National",COUNTIFS(lst_GeoPreset,in_Geography,lst_GeoState,B70)&gt;0,AND(in_Geography="Custom",ISNUMBER(SEARCH(B70,SUBSTITUTE(in_CustomStates," ",""))))),OR(AND(D70="Endowment",Inputs!$B$14="Y"),AND(D70="Foundation",Inputs!$B$15="Y"),AND(D70="Healthcare",Inputs!$B$16="Y"),AND(D70="Pension",Inputs!$B$17="Y"),AND(D70="OCIO",Inputs!$B$18="Y"),AND(D70="Other",Inputs!$B$19="Y")))),A70&lt;&gt;in_ClientOrg,NOT(AND(in_ExclHarvard="Y",ISNUMBER(SEARCH("Harvard",A70))))),"Y","")</f>
        <v/>
      </c>
      <c r="G70" t="inlineStr">
        <is>
          <t>Kathleen Khadder</t>
        </is>
      </c>
      <c r="H70" t="inlineStr">
        <is>
          <t>Deputy Chief Investment Officer</t>
        </is>
      </c>
      <c r="I70" t="inlineStr">
        <is>
          <t>Deputy CIO</t>
        </is>
      </c>
      <c r="J70" s="21" t="n">
        <v>400000</v>
      </c>
      <c r="K70" s="21" t="n">
        <v>350000</v>
      </c>
      <c r="L70" s="21" t="n">
        <v>750000</v>
      </c>
      <c r="M70" s="21" t="n">
        <v>1378</v>
      </c>
      <c r="N70" s="21" t="n"/>
      <c r="O70" s="21" t="n">
        <v>3074</v>
      </c>
      <c r="P70" s="21" t="n">
        <v>754452</v>
      </c>
      <c r="Q70" s="21" t="n">
        <v>754452</v>
      </c>
      <c r="R70" s="21">
        <f>IF(Q70="","",Q70*(1+in_GrowthRate)^(YEARFRAC(DATE(2025,6,30),in_AgeToDate)*IF(in_AgeToDate&lt;DATE(2025,6,30),-1,1)+1))</f>
        <v/>
      </c>
      <c r="S70" s="38" t="n">
        <v>0.875</v>
      </c>
      <c r="T70" s="43">
        <f>HYPERLINK("https://projects.propublica.org/nonprofits/organizations/150532200/202641339349306889/full","view filing")</f>
        <v/>
      </c>
    </row>
    <row r="71">
      <c r="A71" t="inlineStr">
        <is>
          <t>Trustees Of Mount Holyoke College</t>
        </is>
      </c>
      <c r="B71" s="20" t="inlineStr">
        <is>
          <t>MA</t>
        </is>
      </c>
      <c r="C71" s="42" t="n">
        <v>1.18</v>
      </c>
      <c r="D71" t="inlineStr">
        <is>
          <t>Endowment</t>
        </is>
      </c>
      <c r="E71" s="20" t="n">
        <v>2025</v>
      </c>
      <c r="F71" s="20">
        <f>IF(AND(OR(in_Mode="All Funds",AND(C71&gt;=in_BandFloor,C71&lt;=in_BandCeiling,OR(in_Geography="National",COUNTIFS(lst_GeoPreset,in_Geography,lst_GeoState,B71)&gt;0,AND(in_Geography="Custom",ISNUMBER(SEARCH(B71,SUBSTITUTE(in_CustomStates," ",""))))),OR(AND(D71="Endowment",Inputs!$B$14="Y"),AND(D71="Foundation",Inputs!$B$15="Y"),AND(D71="Healthcare",Inputs!$B$16="Y"),AND(D71="Pension",Inputs!$B$17="Y"),AND(D71="OCIO",Inputs!$B$18="Y"),AND(D71="Other",Inputs!$B$19="Y")))),A71&lt;&gt;in_ClientOrg,NOT(AND(in_ExclHarvard="Y",ISNUMBER(SEARCH("Harvard",A71))))),"Y","")</f>
        <v/>
      </c>
      <c r="G71" t="inlineStr">
        <is>
          <t>Alexander Wirth-Cauchon</t>
        </is>
      </c>
      <c r="H71" t="inlineStr">
        <is>
          <t>CIO &amp; EXEC DIR OF LITS</t>
        </is>
      </c>
      <c r="I71" t="inlineStr">
        <is>
          <t>CIO</t>
        </is>
      </c>
      <c r="J71" s="21" t="n">
        <v>223865</v>
      </c>
      <c r="K71" s="21" t="n">
        <v>10000</v>
      </c>
      <c r="L71" s="21" t="n">
        <v>233865</v>
      </c>
      <c r="M71" s="21" t="n"/>
      <c r="N71" s="21" t="n">
        <v>25384</v>
      </c>
      <c r="O71" s="21" t="n">
        <v>29948</v>
      </c>
      <c r="P71" s="21" t="n">
        <v>289197</v>
      </c>
      <c r="Q71" s="21" t="n">
        <v>289197</v>
      </c>
      <c r="R71" s="21">
        <f>IF(Q71="","",Q71*(1+in_GrowthRate)^(YEARFRAC(DATE(2025,6,30),in_AgeToDate)*IF(in_AgeToDate&lt;DATE(2025,6,30),-1,1)+1))</f>
        <v/>
      </c>
      <c r="S71" s="38" t="n">
        <v>0.04466977866124673</v>
      </c>
      <c r="T71" s="43">
        <f>HYPERLINK("https://projects.propublica.org/nonprofits/organizations/42103578/202611359349306066/full","view filing")</f>
        <v/>
      </c>
    </row>
    <row r="72">
      <c r="A72" t="inlineStr">
        <is>
          <t>University Of Chicago</t>
        </is>
      </c>
      <c r="B72" s="20" t="inlineStr">
        <is>
          <t>IL</t>
        </is>
      </c>
      <c r="C72" s="42" t="n">
        <v>10.62</v>
      </c>
      <c r="D72" t="inlineStr">
        <is>
          <t>Endowment</t>
        </is>
      </c>
      <c r="E72" s="20" t="n">
        <v>2022</v>
      </c>
      <c r="F72" s="20" t="inlineStr"/>
      <c r="G72" t="inlineStr">
        <is>
          <t>Andy Ward</t>
        </is>
      </c>
      <c r="H72" t="inlineStr">
        <is>
          <t>VP AND CHIEF INVEST. OFFICER</t>
        </is>
      </c>
      <c r="I72" t="inlineStr">
        <is>
          <t>CIO</t>
        </is>
      </c>
      <c r="J72" s="21" t="n"/>
      <c r="K72" s="21" t="n"/>
      <c r="L72" s="21" t="n"/>
      <c r="M72" s="21" t="n"/>
      <c r="N72" s="21" t="n"/>
      <c r="O72" s="21" t="n"/>
      <c r="P72" s="21" t="n">
        <v>148687</v>
      </c>
      <c r="Q72" s="21" t="n">
        <v>148687</v>
      </c>
      <c r="R72" s="21">
        <f>IF(Q72="","",Q72*(1+in_GrowthRate)^(YEARFRAC(DATE(2022,6,30),in_AgeToDate)*IF(in_AgeToDate&lt;DATE(2022,6,30),-1,1)+1))</f>
        <v/>
      </c>
      <c r="S72" s="38" t="n"/>
      <c r="T72" s="43">
        <f>HYPERLINK("https://projects.propublica.org/nonprofits/organizations/362177139/202321329349307887/full","view filing")</f>
        <v/>
      </c>
    </row>
    <row r="73">
      <c r="A73" t="inlineStr">
        <is>
          <t>University Of Florida Investment Corporation</t>
        </is>
      </c>
      <c r="B73" s="20" t="inlineStr">
        <is>
          <t>FL</t>
        </is>
      </c>
      <c r="C73" s="42" t="n">
        <v>2.45</v>
      </c>
      <c r="D73" t="inlineStr">
        <is>
          <t>Endowment</t>
        </is>
      </c>
      <c r="E73" s="20" t="n">
        <v>2025</v>
      </c>
      <c r="F73" s="20">
        <f>IF(AND(OR(in_Mode="All Funds",AND(C73&gt;=in_BandFloor,C73&lt;=in_BandCeiling,OR(in_Geography="National",COUNTIFS(lst_GeoPreset,in_Geography,lst_GeoState,B73)&gt;0,AND(in_Geography="Custom",ISNUMBER(SEARCH(B73,SUBSTITUTE(in_CustomStates," ",""))))),OR(AND(D73="Endowment",Inputs!$B$14="Y"),AND(D73="Foundation",Inputs!$B$15="Y"),AND(D73="Healthcare",Inputs!$B$16="Y"),AND(D73="Pension",Inputs!$B$17="Y"),AND(D73="OCIO",Inputs!$B$18="Y"),AND(D73="Other",Inputs!$B$19="Y")))),A73&lt;&gt;in_ClientOrg,NOT(AND(in_ExclHarvard="Y",ISNUMBER(SEARCH("Harvard",A73))))),"Y","")</f>
        <v/>
      </c>
      <c r="G73" t="inlineStr">
        <is>
          <t>Brian C Mawdsley</t>
        </is>
      </c>
      <c r="H73" t="inlineStr">
        <is>
          <t>DEPUTY CIO</t>
        </is>
      </c>
      <c r="I73" t="inlineStr">
        <is>
          <t>Deputy CIO</t>
        </is>
      </c>
      <c r="J73" s="21" t="n">
        <v>442928</v>
      </c>
      <c r="K73" s="21" t="n">
        <v>360066</v>
      </c>
      <c r="L73" s="21" t="n">
        <v>802994</v>
      </c>
      <c r="M73" s="21" t="n">
        <v>1458</v>
      </c>
      <c r="N73" s="21" t="n">
        <v>122231</v>
      </c>
      <c r="O73" s="21" t="n">
        <v>22268</v>
      </c>
      <c r="P73" s="21" t="n">
        <v>948951</v>
      </c>
      <c r="Q73" s="21" t="n">
        <v>948951</v>
      </c>
      <c r="R73" s="21">
        <f>IF(Q73="","",Q73*(1+in_GrowthRate)^(YEARFRAC(DATE(2025,6,30),in_AgeToDate)*IF(in_AgeToDate&lt;DATE(2025,6,30),-1,1)+1))</f>
        <v/>
      </c>
      <c r="S73" s="38" t="n">
        <v>0.8129221905140339</v>
      </c>
      <c r="T73" s="43">
        <f>HYPERLINK("https://projects.propublica.org/nonprofits/organizations/201226494/202610979349301311/full","view filing")</f>
        <v/>
      </c>
    </row>
    <row r="74">
      <c r="A74" t="inlineStr">
        <is>
          <t>University Of Florida Investment Corporation</t>
        </is>
      </c>
      <c r="B74" s="20" t="inlineStr">
        <is>
          <t>FL</t>
        </is>
      </c>
      <c r="C74" s="42" t="n">
        <v>2.45</v>
      </c>
      <c r="D74" t="inlineStr">
        <is>
          <t>Endowment</t>
        </is>
      </c>
      <c r="E74" s="20" t="n">
        <v>2024</v>
      </c>
      <c r="F74" s="20" t="inlineStr"/>
      <c r="G74" t="inlineStr">
        <is>
          <t>Brian C Mawdsley</t>
        </is>
      </c>
      <c r="H74" t="inlineStr">
        <is>
          <t>DEPUTY CIO</t>
        </is>
      </c>
      <c r="I74" t="inlineStr">
        <is>
          <t>Deputy CIO</t>
        </is>
      </c>
      <c r="J74" s="21" t="n">
        <v>426354</v>
      </c>
      <c r="K74" s="21" t="n">
        <v>453585</v>
      </c>
      <c r="L74" s="21" t="n">
        <v>879939</v>
      </c>
      <c r="M74" s="21" t="n">
        <v>1458</v>
      </c>
      <c r="N74" s="21" t="n">
        <v>161533</v>
      </c>
      <c r="O74" s="21" t="n">
        <v>21576</v>
      </c>
      <c r="P74" s="21" t="n">
        <v>1064506</v>
      </c>
      <c r="Q74" s="21" t="n">
        <v>1064506</v>
      </c>
      <c r="R74" s="21">
        <f>IF(Q74="","",Q74*(1+in_GrowthRate)^(YEARFRAC(DATE(2024,6,30),in_AgeToDate)*IF(in_AgeToDate&lt;DATE(2024,6,30),-1,1)+1))</f>
        <v/>
      </c>
      <c r="S74" s="38" t="n">
        <v>1.063869460589088</v>
      </c>
      <c r="T74" s="43">
        <f>HYPERLINK("https://projects.propublica.org/nonprofits/organizations/201226494/202531269349300703/full","view filing")</f>
        <v/>
      </c>
    </row>
    <row r="75">
      <c r="A75" t="inlineStr">
        <is>
          <t>University Of Florida Investment Corporation</t>
        </is>
      </c>
      <c r="B75" s="20" t="inlineStr">
        <is>
          <t>FL</t>
        </is>
      </c>
      <c r="C75" s="42" t="n">
        <v>2.45</v>
      </c>
      <c r="D75" t="inlineStr">
        <is>
          <t>Endowment</t>
        </is>
      </c>
      <c r="E75" s="20" t="n">
        <v>2023</v>
      </c>
      <c r="F75" s="20" t="inlineStr"/>
      <c r="G75" t="inlineStr">
        <is>
          <t>Brian C Mawdsley</t>
        </is>
      </c>
      <c r="H75" t="inlineStr">
        <is>
          <t>DEPUTY CIO</t>
        </is>
      </c>
      <c r="I75" t="inlineStr">
        <is>
          <t>Deputy CIO</t>
        </is>
      </c>
      <c r="J75" s="21" t="n">
        <v>406694</v>
      </c>
      <c r="K75" s="21" t="n">
        <v>542807</v>
      </c>
      <c r="L75" s="21" t="n">
        <v>949501</v>
      </c>
      <c r="M75" s="21" t="n">
        <v>1458</v>
      </c>
      <c r="N75" s="21" t="n">
        <v>181781</v>
      </c>
      <c r="O75" s="21" t="n">
        <v>20046</v>
      </c>
      <c r="P75" s="21" t="n">
        <v>1152786</v>
      </c>
      <c r="Q75" s="21" t="n">
        <v>1152786</v>
      </c>
      <c r="R75" s="21">
        <f>IF(Q75="","",Q75*(1+in_GrowthRate)^(YEARFRAC(DATE(2023,6,30),in_AgeToDate)*IF(in_AgeToDate&lt;DATE(2023,6,30),-1,1)+1))</f>
        <v/>
      </c>
      <c r="S75" s="38" t="n">
        <v>1.334681603367643</v>
      </c>
      <c r="T75" s="43">
        <f>HYPERLINK("https://projects.propublica.org/nonprofits/organizations/201226494/202411289349300746/full","view filing")</f>
        <v/>
      </c>
    </row>
    <row r="76">
      <c r="A76" t="inlineStr">
        <is>
          <t>University Of Florida Investment Corporation</t>
        </is>
      </c>
      <c r="B76" s="20" t="inlineStr">
        <is>
          <t>FL</t>
        </is>
      </c>
      <c r="C76" s="42" t="n">
        <v>2.45</v>
      </c>
      <c r="D76" t="inlineStr">
        <is>
          <t>Endowment</t>
        </is>
      </c>
      <c r="E76" s="20" t="n">
        <v>2022</v>
      </c>
      <c r="F76" s="20" t="inlineStr"/>
      <c r="G76" t="inlineStr">
        <is>
          <t>Brian Mawdsley</t>
        </is>
      </c>
      <c r="H76" t="inlineStr">
        <is>
          <t>DEPUTY CIO</t>
        </is>
      </c>
      <c r="I76" t="inlineStr">
        <is>
          <t>Deputy CIO</t>
        </is>
      </c>
      <c r="J76" s="21" t="n">
        <v>387616</v>
      </c>
      <c r="K76" s="21" t="n">
        <v>351071</v>
      </c>
      <c r="L76" s="21" t="n">
        <v>738687</v>
      </c>
      <c r="M76" s="21" t="n">
        <v>1458</v>
      </c>
      <c r="N76" s="21" t="n">
        <v>122241</v>
      </c>
      <c r="O76" s="21" t="n">
        <v>19120</v>
      </c>
      <c r="P76" s="21" t="n">
        <v>881506</v>
      </c>
      <c r="Q76" s="21" t="n">
        <v>881506</v>
      </c>
      <c r="R76" s="21">
        <f>IF(Q76="","",Q76*(1+in_GrowthRate)^(YEARFRAC(DATE(2022,6,30),in_AgeToDate)*IF(in_AgeToDate&lt;DATE(2022,6,30),-1,1)+1))</f>
        <v/>
      </c>
      <c r="S76" s="38" t="n">
        <v>0.9057185461900438</v>
      </c>
      <c r="T76" s="43">
        <f>HYPERLINK("https://projects.propublica.org/nonprofits/organizations/201226494/202301259349301825/full","view filing")</f>
        <v/>
      </c>
    </row>
    <row r="77">
      <c r="A77" t="inlineStr">
        <is>
          <t>University Of Minnesota Foundation Investment Advisors</t>
        </is>
      </c>
      <c r="B77" s="20" t="inlineStr">
        <is>
          <t>MN</t>
        </is>
      </c>
      <c r="C77" s="42" t="n">
        <v>5.2</v>
      </c>
      <c r="D77" t="inlineStr">
        <is>
          <t>Endowment</t>
        </is>
      </c>
      <c r="E77" s="20" t="n">
        <v>2024</v>
      </c>
      <c r="F77" s="20" t="inlineStr"/>
      <c r="G77" t="inlineStr">
        <is>
          <t>Douglas J Gorence</t>
        </is>
      </c>
      <c r="H77" t="inlineStr">
        <is>
          <t>CHIEF INVESTMENT OFFICER EMERITUS</t>
        </is>
      </c>
      <c r="I77" t="inlineStr">
        <is>
          <t>CIO</t>
        </is>
      </c>
      <c r="J77" s="21" t="n">
        <v>374120</v>
      </c>
      <c r="K77" s="21" t="n">
        <v>291450</v>
      </c>
      <c r="L77" s="21" t="n">
        <v>665570</v>
      </c>
      <c r="M77" s="21" t="n">
        <v>489687</v>
      </c>
      <c r="N77" s="21" t="n">
        <v>39600</v>
      </c>
      <c r="O77" s="21" t="n">
        <v>1925</v>
      </c>
      <c r="P77" s="21" t="n">
        <v>1196782</v>
      </c>
      <c r="Q77" s="21" t="n">
        <v>707857</v>
      </c>
      <c r="R77" s="21">
        <f>IF(Q77="","",Q77*(1+in_GrowthRate)^(YEARFRAC(DATE(2024,6,30),in_AgeToDate)*IF(in_AgeToDate&lt;DATE(2024,6,30),-1,1)+1))</f>
        <v/>
      </c>
      <c r="S77" s="38" t="n">
        <v>0.7790281193200043</v>
      </c>
      <c r="T77" s="43">
        <f>HYPERLINK("https://projects.propublica.org/nonprofits/organizations/411931343/202500879349301200/full","view filing")</f>
        <v/>
      </c>
    </row>
    <row r="78">
      <c r="A78" t="inlineStr">
        <is>
          <t>University Of Minnesota Foundation Investment Advisors</t>
        </is>
      </c>
      <c r="B78" s="20" t="inlineStr">
        <is>
          <t>MN</t>
        </is>
      </c>
      <c r="C78" s="42" t="n">
        <v>5.2</v>
      </c>
      <c r="D78" t="inlineStr">
        <is>
          <t>Endowment</t>
        </is>
      </c>
      <c r="E78" s="20" t="n">
        <v>2022</v>
      </c>
      <c r="F78" s="20" t="inlineStr"/>
      <c r="G78" t="inlineStr">
        <is>
          <t>Andrew J Behrens</t>
        </is>
      </c>
      <c r="H78" t="inlineStr">
        <is>
          <t>Chief Investment Officer</t>
        </is>
      </c>
      <c r="I78" t="inlineStr">
        <is>
          <t>CIO</t>
        </is>
      </c>
      <c r="J78" s="21" t="n">
        <v>371667</v>
      </c>
      <c r="K78" s="21" t="n">
        <v>327653</v>
      </c>
      <c r="L78" s="21" t="n">
        <v>699320</v>
      </c>
      <c r="M78" s="21" t="n">
        <v>54</v>
      </c>
      <c r="N78" s="21" t="n">
        <v>34800</v>
      </c>
      <c r="O78" s="21" t="n"/>
      <c r="P78" s="21" t="n">
        <v>734174</v>
      </c>
      <c r="Q78" s="21" t="n">
        <v>734174</v>
      </c>
      <c r="R78" s="21">
        <f>IF(Q78="","",Q78*(1+in_GrowthRate)^(YEARFRAC(DATE(2022,6,30),in_AgeToDate)*IF(in_AgeToDate&lt;DATE(2022,6,30),-1,1)+1))</f>
        <v/>
      </c>
      <c r="S78" s="38" t="n">
        <v>0.8815767878235087</v>
      </c>
      <c r="T78" s="43">
        <f>HYPERLINK("https://projects.propublica.org/nonprofits/organizations/411931343/202340739349300819/full","view filing")</f>
        <v/>
      </c>
    </row>
    <row r="79">
      <c r="A79" t="inlineStr">
        <is>
          <t>University Of Oklahoma Foundation Inc</t>
        </is>
      </c>
      <c r="B79" s="20" t="inlineStr">
        <is>
          <t>OK</t>
        </is>
      </c>
      <c r="C79" s="42" t="n">
        <v>2.74</v>
      </c>
      <c r="D79" t="inlineStr">
        <is>
          <t>Endowment</t>
        </is>
      </c>
      <c r="E79" s="20" t="n">
        <v>2025</v>
      </c>
      <c r="F79" s="20">
        <f>IF(AND(OR(in_Mode="All Funds",AND(C79&gt;=in_BandFloor,C79&lt;=in_BandCeiling,OR(in_Geography="National",COUNTIFS(lst_GeoPreset,in_Geography,lst_GeoState,B79)&gt;0,AND(in_Geography="Custom",ISNUMBER(SEARCH(B79,SUBSTITUTE(in_CustomStates," ",""))))),OR(AND(D79="Endowment",Inputs!$B$14="Y"),AND(D79="Foundation",Inputs!$B$15="Y"),AND(D79="Healthcare",Inputs!$B$16="Y"),AND(D79="Pension",Inputs!$B$17="Y"),AND(D79="OCIO",Inputs!$B$18="Y"),AND(D79="Other",Inputs!$B$19="Y")))),A79&lt;&gt;in_ClientOrg,NOT(AND(in_ExclHarvard="Y",ISNUMBER(SEARCH("Harvard",A79))))),"Y","")</f>
        <v/>
      </c>
      <c r="G79" t="inlineStr">
        <is>
          <t>Eugene Lohmeyer</t>
        </is>
      </c>
      <c r="H79" t="inlineStr">
        <is>
          <t>DEPUTY CHIEF INVESTMENT OFFICER</t>
        </is>
      </c>
      <c r="I79" t="inlineStr">
        <is>
          <t>Deputy CIO</t>
        </is>
      </c>
      <c r="J79" s="21" t="n">
        <v>395992</v>
      </c>
      <c r="K79" s="21" t="n">
        <v>235673</v>
      </c>
      <c r="L79" s="21" t="n">
        <v>631665</v>
      </c>
      <c r="M79" s="21" t="n"/>
      <c r="N79" s="21" t="n">
        <v>45150</v>
      </c>
      <c r="O79" s="21" t="n">
        <v>12314</v>
      </c>
      <c r="P79" s="21" t="n">
        <v>689129</v>
      </c>
      <c r="Q79" s="21" t="n">
        <v>689129</v>
      </c>
      <c r="R79" s="21">
        <f>IF(Q79="","",Q79*(1+in_GrowthRate)^(YEARFRAC(DATE(2025,6,30),in_AgeToDate)*IF(in_AgeToDate&lt;DATE(2025,6,30),-1,1)+1))</f>
        <v/>
      </c>
      <c r="S79" s="38" t="n">
        <v>0.5951458615325562</v>
      </c>
      <c r="T79" s="43">
        <f>HYPERLINK("https://projects.propublica.org/nonprofits/organizations/736091755/202641349349309284/full","view filing")</f>
        <v/>
      </c>
    </row>
    <row r="80">
      <c r="A80" t="inlineStr">
        <is>
          <t>University Of Oklahoma Foundation Inc</t>
        </is>
      </c>
      <c r="B80" s="20" t="inlineStr">
        <is>
          <t>OK</t>
        </is>
      </c>
      <c r="C80" s="42" t="n">
        <v>2.74</v>
      </c>
      <c r="D80" t="inlineStr">
        <is>
          <t>Endowment</t>
        </is>
      </c>
      <c r="E80" s="20" t="n">
        <v>2024</v>
      </c>
      <c r="F80" s="20" t="inlineStr"/>
      <c r="G80" t="inlineStr">
        <is>
          <t>Eugene Lohmeyer</t>
        </is>
      </c>
      <c r="H80" t="inlineStr">
        <is>
          <t>DEPUTY CHIEF INVESTMENT OFFICER</t>
        </is>
      </c>
      <c r="I80" t="inlineStr">
        <is>
          <t>Deputy CIO</t>
        </is>
      </c>
      <c r="J80" s="21" t="n">
        <v>271025</v>
      </c>
      <c r="K80" s="21" t="n">
        <v>105907</v>
      </c>
      <c r="L80" s="21" t="n">
        <v>376932</v>
      </c>
      <c r="M80" s="21" t="n"/>
      <c r="N80" s="21" t="n">
        <v>36750</v>
      </c>
      <c r="O80" s="21" t="n">
        <v>9297</v>
      </c>
      <c r="P80" s="21" t="n">
        <v>422979</v>
      </c>
      <c r="Q80" s="21" t="n">
        <v>422979</v>
      </c>
      <c r="R80" s="21">
        <f>IF(Q80="","",Q80*(1+in_GrowthRate)^(YEARFRAC(DATE(2024,6,30),in_AgeToDate)*IF(in_AgeToDate&lt;DATE(2024,6,30),-1,1)+1))</f>
        <v/>
      </c>
      <c r="S80" s="38" t="n">
        <v>0.3907646896042801</v>
      </c>
      <c r="T80" s="43">
        <f>HYPERLINK("https://projects.propublica.org/nonprofits/organizations/736091755/202531349349311293/full","view filing")</f>
        <v/>
      </c>
    </row>
    <row r="81">
      <c r="A81" t="inlineStr">
        <is>
          <t>University Of Oklahoma Foundation Inc</t>
        </is>
      </c>
      <c r="B81" s="20" t="inlineStr">
        <is>
          <t>OK</t>
        </is>
      </c>
      <c r="C81" s="42" t="n">
        <v>2.74</v>
      </c>
      <c r="D81" t="inlineStr">
        <is>
          <t>Endowment</t>
        </is>
      </c>
      <c r="E81" s="20" t="n">
        <v>2023</v>
      </c>
      <c r="F81" s="20" t="inlineStr"/>
      <c r="G81" t="inlineStr">
        <is>
          <t>Eugene Lohmeyer</t>
        </is>
      </c>
      <c r="H81" t="inlineStr">
        <is>
          <t>DEPUTY CHIEF INVESTMENT OFFICER</t>
        </is>
      </c>
      <c r="I81" t="inlineStr">
        <is>
          <t>Deputy CIO</t>
        </is>
      </c>
      <c r="J81" s="21" t="n">
        <v>174923</v>
      </c>
      <c r="K81" s="21" t="n">
        <v>200000</v>
      </c>
      <c r="L81" s="21" t="n">
        <v>374923</v>
      </c>
      <c r="M81" s="21" t="n">
        <v>66898</v>
      </c>
      <c r="N81" s="21" t="n">
        <v>23565</v>
      </c>
      <c r="O81" s="21" t="n">
        <v>6934</v>
      </c>
      <c r="P81" s="21" t="n">
        <v>472320</v>
      </c>
      <c r="Q81" s="21" t="n">
        <v>472320</v>
      </c>
      <c r="R81" s="21">
        <f>IF(Q81="","",Q81*(1+in_GrowthRate)^(YEARFRAC(DATE(2023,6,30),in_AgeToDate)*IF(in_AgeToDate&lt;DATE(2023,6,30),-1,1)+1))</f>
        <v/>
      </c>
      <c r="S81" s="38" t="n">
        <v>1.143360221354539</v>
      </c>
      <c r="T81" s="43">
        <f>HYPERLINK("https://projects.propublica.org/nonprofits/organizations/736091755/202431369349315558/full","view filing")</f>
        <v/>
      </c>
    </row>
    <row r="82">
      <c r="A82" t="inlineStr">
        <is>
          <t>University Of Oklahoma Foundation Inc</t>
        </is>
      </c>
      <c r="B82" s="20" t="inlineStr">
        <is>
          <t>OK</t>
        </is>
      </c>
      <c r="C82" s="42" t="n">
        <v>2.74</v>
      </c>
      <c r="D82" t="inlineStr">
        <is>
          <t>Endowment</t>
        </is>
      </c>
      <c r="E82" s="20" t="n">
        <v>2022</v>
      </c>
      <c r="F82" s="20" t="inlineStr"/>
      <c r="G82" t="inlineStr">
        <is>
          <t>Eugene Lohmeyer</t>
        </is>
      </c>
      <c r="H82" t="inlineStr">
        <is>
          <t>DEPUTY CHIEF INVESTMENT OFFICER</t>
        </is>
      </c>
      <c r="I82" t="inlineStr">
        <is>
          <t>Deputy CIO</t>
        </is>
      </c>
      <c r="J82" s="21" t="n">
        <v>312950</v>
      </c>
      <c r="K82" s="21" t="n">
        <v>194835</v>
      </c>
      <c r="L82" s="21" t="n">
        <v>507785</v>
      </c>
      <c r="M82" s="21" t="n">
        <v>11923</v>
      </c>
      <c r="N82" s="21" t="n">
        <v>38000</v>
      </c>
      <c r="O82" s="21" t="n">
        <v>12931</v>
      </c>
      <c r="P82" s="21" t="n">
        <v>570639</v>
      </c>
      <c r="Q82" s="21" t="n">
        <v>570639</v>
      </c>
      <c r="R82" s="21">
        <f>IF(Q82="","",Q82*(1+in_GrowthRate)^(YEARFRAC(DATE(2022,6,30),in_AgeToDate)*IF(in_AgeToDate&lt;DATE(2022,6,30),-1,1)+1))</f>
        <v/>
      </c>
      <c r="S82" s="38" t="n">
        <v>0.6225754912925388</v>
      </c>
      <c r="T82" s="43">
        <f>HYPERLINK("https://projects.propublica.org/nonprofits/organizations/736091755/202341329349300124/full","view filing")</f>
        <v/>
      </c>
    </row>
    <row r="83">
      <c r="A83" t="inlineStr">
        <is>
          <t>University Of Richmond</t>
        </is>
      </c>
      <c r="B83" s="20" t="inlineStr">
        <is>
          <t>VA</t>
        </is>
      </c>
      <c r="C83" s="42" t="n">
        <v>5.9</v>
      </c>
      <c r="D83" t="inlineStr">
        <is>
          <t>Endowment</t>
        </is>
      </c>
      <c r="E83" s="20" t="n">
        <v>2025</v>
      </c>
      <c r="F83" s="20">
        <f>IF(AND(OR(in_Mode="All Funds",AND(C83&gt;=in_BandFloor,C83&lt;=in_BandCeiling,OR(in_Geography="National",COUNTIFS(lst_GeoPreset,in_Geography,lst_GeoState,B83)&gt;0,AND(in_Geography="Custom",ISNUMBER(SEARCH(B83,SUBSTITUTE(in_CustomStates," ",""))))),OR(AND(D83="Endowment",Inputs!$B$14="Y"),AND(D83="Foundation",Inputs!$B$15="Y"),AND(D83="Healthcare",Inputs!$B$16="Y"),AND(D83="Pension",Inputs!$B$17="Y"),AND(D83="OCIO",Inputs!$B$18="Y"),AND(D83="Other",Inputs!$B$19="Y")))),A83&lt;&gt;in_ClientOrg,NOT(AND(in_ExclHarvard="Y",ISNUMBER(SEARCH("Harvard",A83))))),"Y","")</f>
        <v/>
      </c>
      <c r="G83" t="inlineStr">
        <is>
          <t>Karen Welch</t>
        </is>
      </c>
      <c r="H83" t="inlineStr">
        <is>
          <t>DEPUTY CIO, SMC</t>
        </is>
      </c>
      <c r="I83" t="inlineStr">
        <is>
          <t>Deputy CIO</t>
        </is>
      </c>
      <c r="J83" s="21" t="n">
        <v>514446</v>
      </c>
      <c r="K83" s="21" t="n">
        <v>413688</v>
      </c>
      <c r="L83" s="21" t="n">
        <v>928134</v>
      </c>
      <c r="M83" s="21" t="n">
        <v>6948</v>
      </c>
      <c r="N83" s="21" t="n">
        <v>34500</v>
      </c>
      <c r="O83" s="21" t="n">
        <v>32750</v>
      </c>
      <c r="P83" s="21" t="n">
        <v>1002332</v>
      </c>
      <c r="Q83" s="21" t="n">
        <v>1002332</v>
      </c>
      <c r="R83" s="21">
        <f>IF(Q83="","",Q83*(1+in_GrowthRate)^(YEARFRAC(DATE(2025,6,30),in_AgeToDate)*IF(in_AgeToDate&lt;DATE(2025,6,30),-1,1)+1))</f>
        <v/>
      </c>
      <c r="S83" s="38" t="n">
        <v>0.8041427088557399</v>
      </c>
      <c r="T83" s="43">
        <f>HYPERLINK("https://projects.propublica.org/nonprofits/organizations/540505965/202621349349310067/full","view filing")</f>
        <v/>
      </c>
    </row>
    <row r="84">
      <c r="A84" t="inlineStr">
        <is>
          <t>University Of Richmond</t>
        </is>
      </c>
      <c r="B84" s="20" t="inlineStr">
        <is>
          <t>VA</t>
        </is>
      </c>
      <c r="C84" s="42" t="n">
        <v>5.9</v>
      </c>
      <c r="D84" t="inlineStr">
        <is>
          <t>Endowment</t>
        </is>
      </c>
      <c r="E84" s="20" t="n">
        <v>2024</v>
      </c>
      <c r="F84" s="20" t="inlineStr"/>
      <c r="G84" t="inlineStr">
        <is>
          <t>Karen Welch</t>
        </is>
      </c>
      <c r="H84" t="inlineStr">
        <is>
          <t>DEPUTY CIO, SMC</t>
        </is>
      </c>
      <c r="I84" t="inlineStr">
        <is>
          <t>Deputy CIO</t>
        </is>
      </c>
      <c r="J84" s="21" t="n">
        <v>473181</v>
      </c>
      <c r="K84" s="21" t="n">
        <v>792581</v>
      </c>
      <c r="L84" s="21" t="n">
        <v>1265762</v>
      </c>
      <c r="M84" s="21" t="n">
        <v>6863</v>
      </c>
      <c r="N84" s="21" t="n">
        <v>33000</v>
      </c>
      <c r="O84" s="21" t="n">
        <v>27384</v>
      </c>
      <c r="P84" s="21" t="n">
        <v>1333009</v>
      </c>
      <c r="Q84" s="21" t="n">
        <v>1333009</v>
      </c>
      <c r="R84" s="21">
        <f>IF(Q84="","",Q84*(1+in_GrowthRate)^(YEARFRAC(DATE(2024,6,30),in_AgeToDate)*IF(in_AgeToDate&lt;DATE(2024,6,30),-1,1)+1))</f>
        <v/>
      </c>
      <c r="S84" s="38" t="n">
        <v>1.675005970231265</v>
      </c>
      <c r="T84" s="43">
        <f>HYPERLINK("https://projects.propublica.org/nonprofits/organizations/540505965/202511339349306036/full","view filing")</f>
        <v/>
      </c>
    </row>
    <row r="85">
      <c r="A85" t="inlineStr">
        <is>
          <t>University Of Richmond</t>
        </is>
      </c>
      <c r="B85" s="20" t="inlineStr">
        <is>
          <t>VA</t>
        </is>
      </c>
      <c r="C85" s="42" t="n">
        <v>5.9</v>
      </c>
      <c r="D85" t="inlineStr">
        <is>
          <t>Endowment</t>
        </is>
      </c>
      <c r="E85" s="20" t="n">
        <v>2022</v>
      </c>
      <c r="F85" s="20" t="inlineStr"/>
      <c r="G85" t="inlineStr">
        <is>
          <t>William Mclean</t>
        </is>
      </c>
      <c r="H85" t="inlineStr">
        <is>
          <t>PRESIDENT AND CIO, SMC</t>
        </is>
      </c>
      <c r="I85" t="inlineStr">
        <is>
          <t>CIO</t>
        </is>
      </c>
      <c r="J85" s="21" t="n">
        <v>895248</v>
      </c>
      <c r="K85" s="21" t="n"/>
      <c r="L85" s="21" t="n">
        <v>895248</v>
      </c>
      <c r="M85" s="21" t="n">
        <v>15210</v>
      </c>
      <c r="N85" s="21" t="n">
        <v>29101</v>
      </c>
      <c r="O85" s="21" t="n">
        <v>17139</v>
      </c>
      <c r="P85" s="21" t="n">
        <v>956698</v>
      </c>
      <c r="Q85" s="21" t="n">
        <v>956698</v>
      </c>
      <c r="R85" s="21">
        <f>IF(Q85="","",Q85*(1+in_GrowthRate)^(YEARFRAC(DATE(2022,6,30),in_AgeToDate)*IF(in_AgeToDate&lt;DATE(2022,6,30),-1,1)+1))</f>
        <v/>
      </c>
      <c r="S85" s="38" t="n">
        <v>0</v>
      </c>
      <c r="T85" s="43">
        <f>HYPERLINK("https://projects.propublica.org/nonprofits/organizations/540505965/202331359349300218/full","view filing")</f>
        <v/>
      </c>
    </row>
    <row r="86">
      <c r="A86" t="inlineStr">
        <is>
          <t>University Of Wisconsin Foundation</t>
        </is>
      </c>
      <c r="B86" s="20" t="inlineStr">
        <is>
          <t>WI</t>
        </is>
      </c>
      <c r="C86" s="42" t="n">
        <v>4.92</v>
      </c>
      <c r="D86" t="inlineStr">
        <is>
          <t>Endowment</t>
        </is>
      </c>
      <c r="E86" s="20" t="n">
        <v>2025</v>
      </c>
      <c r="F86" s="20">
        <f>IF(AND(OR(in_Mode="All Funds",AND(C86&gt;=in_BandFloor,C86&lt;=in_BandCeiling,OR(in_Geography="National",COUNTIFS(lst_GeoPreset,in_Geography,lst_GeoState,B86)&gt;0,AND(in_Geography="Custom",ISNUMBER(SEARCH(B86,SUBSTITUTE(in_CustomStates," ",""))))),OR(AND(D86="Endowment",Inputs!$B$14="Y"),AND(D86="Foundation",Inputs!$B$15="Y"),AND(D86="Healthcare",Inputs!$B$16="Y"),AND(D86="Pension",Inputs!$B$17="Y"),AND(D86="OCIO",Inputs!$B$18="Y"),AND(D86="Other",Inputs!$B$19="Y")))),A86&lt;&gt;in_ClientOrg,NOT(AND(in_ExclHarvard="Y",ISNUMBER(SEARCH("Harvard",A86))))),"Y","")</f>
        <v/>
      </c>
      <c r="G86" t="inlineStr">
        <is>
          <t>Christopher A Moore</t>
        </is>
      </c>
      <c r="H86" t="inlineStr">
        <is>
          <t>DEPUTY CHIEF INVESTMENT OFFICER</t>
        </is>
      </c>
      <c r="I86" t="inlineStr">
        <is>
          <t>Deputy CIO</t>
        </is>
      </c>
      <c r="J86" s="21" t="n">
        <v>531347</v>
      </c>
      <c r="K86" s="21" t="n">
        <v>462522</v>
      </c>
      <c r="L86" s="21" t="n">
        <v>993869</v>
      </c>
      <c r="M86" s="21" t="n">
        <v>690</v>
      </c>
      <c r="N86" s="21" t="n">
        <v>34500</v>
      </c>
      <c r="O86" s="21" t="n">
        <v>20698</v>
      </c>
      <c r="P86" s="21" t="n">
        <v>1049757</v>
      </c>
      <c r="Q86" s="21" t="n">
        <v>1049757</v>
      </c>
      <c r="R86" s="21">
        <f>IF(Q86="","",Q86*(1+in_GrowthRate)^(YEARFRAC(DATE(2025,6,30),in_AgeToDate)*IF(in_AgeToDate&lt;DATE(2025,6,30),-1,1)+1))</f>
        <v/>
      </c>
      <c r="S86" s="38" t="n">
        <v>0.8704707093481284</v>
      </c>
      <c r="T86" s="43">
        <f>HYPERLINK("https://projects.propublica.org/nonprofits/organizations/390743975/202601359349303645/full","view filing")</f>
        <v/>
      </c>
    </row>
    <row r="87">
      <c r="A87" t="inlineStr">
        <is>
          <t>University Of Wisconsin Foundation</t>
        </is>
      </c>
      <c r="B87" s="20" t="inlineStr">
        <is>
          <t>WI</t>
        </is>
      </c>
      <c r="C87" s="42" t="n">
        <v>4.92</v>
      </c>
      <c r="D87" t="inlineStr">
        <is>
          <t>Endowment</t>
        </is>
      </c>
      <c r="E87" s="20" t="n">
        <v>2024</v>
      </c>
      <c r="F87" s="20" t="inlineStr"/>
      <c r="G87" t="inlineStr">
        <is>
          <t>Christopher A Moore</t>
        </is>
      </c>
      <c r="H87" t="inlineStr">
        <is>
          <t>DEPUTY CHIEF INVESTMENT OFFICER</t>
        </is>
      </c>
      <c r="I87" t="inlineStr">
        <is>
          <t>Deputy CIO</t>
        </is>
      </c>
      <c r="J87" s="21" t="n">
        <v>491017</v>
      </c>
      <c r="K87" s="21" t="n">
        <v>355180</v>
      </c>
      <c r="L87" s="21" t="n">
        <v>846197</v>
      </c>
      <c r="M87" s="21" t="n">
        <v>690</v>
      </c>
      <c r="N87" s="21" t="n">
        <v>33000</v>
      </c>
      <c r="O87" s="21" t="n">
        <v>19456</v>
      </c>
      <c r="P87" s="21" t="n">
        <v>899343</v>
      </c>
      <c r="Q87" s="21" t="n">
        <v>899343</v>
      </c>
      <c r="R87" s="21">
        <f>IF(Q87="","",Q87*(1+in_GrowthRate)^(YEARFRAC(DATE(2024,6,30),in_AgeToDate)*IF(in_AgeToDate&lt;DATE(2024,6,30),-1,1)+1))</f>
        <v/>
      </c>
      <c r="S87" s="38" t="n">
        <v>0.7233558104912865</v>
      </c>
      <c r="T87" s="43">
        <f>HYPERLINK("https://projects.propublica.org/nonprofits/organizations/390743975/202511339349302751/full","view filing")</f>
        <v/>
      </c>
    </row>
    <row r="88">
      <c r="A88" t="inlineStr">
        <is>
          <t>University Of Wisconsin Foundation</t>
        </is>
      </c>
      <c r="B88" s="20" t="inlineStr">
        <is>
          <t>WI</t>
        </is>
      </c>
      <c r="C88" s="42" t="n">
        <v>4.92</v>
      </c>
      <c r="D88" t="inlineStr">
        <is>
          <t>Endowment</t>
        </is>
      </c>
      <c r="E88" s="20" t="n">
        <v>2023</v>
      </c>
      <c r="F88" s="20" t="inlineStr"/>
      <c r="G88" t="inlineStr">
        <is>
          <t>Christopher A Moore</t>
        </is>
      </c>
      <c r="H88" t="inlineStr">
        <is>
          <t>DEPUTY CHIEF INVESTMENT OFFICER</t>
        </is>
      </c>
      <c r="I88" t="inlineStr">
        <is>
          <t>Deputy CIO</t>
        </is>
      </c>
      <c r="J88" s="21" t="n">
        <v>451131</v>
      </c>
      <c r="K88" s="21" t="n">
        <v>157500</v>
      </c>
      <c r="L88" s="21" t="n">
        <v>608631</v>
      </c>
      <c r="M88" s="21" t="n">
        <v>450</v>
      </c>
      <c r="N88" s="21" t="n">
        <v>1950</v>
      </c>
      <c r="O88" s="21" t="n">
        <v>18299</v>
      </c>
      <c r="P88" s="21" t="n">
        <v>629330</v>
      </c>
      <c r="Q88" s="21" t="n">
        <v>629330</v>
      </c>
      <c r="R88" s="21">
        <f>IF(Q88="","",Q88*(1+in_GrowthRate)^(YEARFRAC(DATE(2023,6,30),in_AgeToDate)*IF(in_AgeToDate&lt;DATE(2023,6,30),-1,1)+1))</f>
        <v/>
      </c>
      <c r="S88" s="38" t="n">
        <v>0.3491225386861023</v>
      </c>
      <c r="T88" s="43">
        <f>HYPERLINK("https://projects.propublica.org/nonprofits/organizations/390743975/202411349349307346/full","view filing")</f>
        <v/>
      </c>
    </row>
    <row r="89">
      <c r="A89" t="inlineStr">
        <is>
          <t>Vcu Investment Management Company</t>
        </is>
      </c>
      <c r="B89" s="20" t="inlineStr">
        <is>
          <t>VA</t>
        </is>
      </c>
      <c r="C89" s="42" t="n">
        <v>2.89</v>
      </c>
      <c r="D89" t="inlineStr">
        <is>
          <t>Endowment</t>
        </is>
      </c>
      <c r="E89" s="20" t="n">
        <v>2024</v>
      </c>
      <c r="F89" s="20" t="inlineStr"/>
      <c r="G89" t="inlineStr">
        <is>
          <t>Bruce Macdonald</t>
        </is>
      </c>
      <c r="H89" t="inlineStr">
        <is>
          <t>CIO</t>
        </is>
      </c>
      <c r="I89" t="inlineStr">
        <is>
          <t>CIO</t>
        </is>
      </c>
      <c r="J89" s="21" t="n">
        <v>468600</v>
      </c>
      <c r="K89" s="21" t="n">
        <v>448500</v>
      </c>
      <c r="L89" s="21" t="n">
        <v>917100</v>
      </c>
      <c r="M89" s="21" t="n"/>
      <c r="N89" s="21" t="n"/>
      <c r="O89" s="21" t="n">
        <v>41321</v>
      </c>
      <c r="P89" s="21" t="n">
        <v>958421</v>
      </c>
      <c r="Q89" s="21" t="n">
        <v>958421</v>
      </c>
      <c r="R89" s="21">
        <f>IF(Q89="","",Q89*(1+in_GrowthRate)^(YEARFRAC(DATE(2024,6,30),in_AgeToDate)*IF(in_AgeToDate&lt;DATE(2024,6,30),-1,1)+1))</f>
        <v/>
      </c>
      <c r="S89" s="38" t="n">
        <v>0.9571062740076824</v>
      </c>
      <c r="T89" s="43">
        <f>HYPERLINK("https://projects.propublica.org/nonprofits/organizations/474815851/202433139349303493/full","view filing")</f>
        <v/>
      </c>
    </row>
    <row r="90">
      <c r="A90" t="inlineStr">
        <is>
          <t>Vcu Investment Management Company</t>
        </is>
      </c>
      <c r="B90" s="20" t="inlineStr">
        <is>
          <t>VA</t>
        </is>
      </c>
      <c r="C90" s="42" t="n">
        <v>2.89</v>
      </c>
      <c r="D90" t="inlineStr">
        <is>
          <t>Endowment</t>
        </is>
      </c>
      <c r="E90" s="20" t="n">
        <v>2023</v>
      </c>
      <c r="F90" s="20" t="inlineStr"/>
      <c r="G90" t="inlineStr">
        <is>
          <t>Bruce Macdonald</t>
        </is>
      </c>
      <c r="H90" t="inlineStr">
        <is>
          <t>CIO</t>
        </is>
      </c>
      <c r="I90" t="inlineStr">
        <is>
          <t>CIO</t>
        </is>
      </c>
      <c r="J90" s="21" t="n">
        <v>427225</v>
      </c>
      <c r="K90" s="21" t="n">
        <v>297000</v>
      </c>
      <c r="L90" s="21" t="n">
        <v>724225</v>
      </c>
      <c r="M90" s="21" t="n"/>
      <c r="N90" s="21" t="n"/>
      <c r="O90" s="21" t="n">
        <v>41292</v>
      </c>
      <c r="P90" s="21" t="n">
        <v>765517</v>
      </c>
      <c r="Q90" s="21" t="n">
        <v>765517</v>
      </c>
      <c r="R90" s="21">
        <f>IF(Q90="","",Q90*(1+in_GrowthRate)^(YEARFRAC(DATE(2023,6,30),in_AgeToDate)*IF(in_AgeToDate&lt;DATE(2023,6,30),-1,1)+1))</f>
        <v/>
      </c>
      <c r="S90" s="38" t="n">
        <v>0.6951840365147171</v>
      </c>
      <c r="T90" s="43">
        <f>HYPERLINK("https://projects.propublica.org/nonprofits/organizations/474815851/202313149349304216/full","view filing")</f>
        <v/>
      </c>
    </row>
    <row r="91">
      <c r="A91" t="inlineStr">
        <is>
          <t>Villanova University</t>
        </is>
      </c>
      <c r="B91" s="20" t="inlineStr">
        <is>
          <t>PA</t>
        </is>
      </c>
      <c r="C91" s="42" t="n">
        <v>1.47</v>
      </c>
      <c r="D91" t="inlineStr">
        <is>
          <t>Endowment</t>
        </is>
      </c>
      <c r="E91" s="20" t="n">
        <v>2025</v>
      </c>
      <c r="F91" s="20">
        <f>IF(AND(OR(in_Mode="All Funds",AND(C91&gt;=in_BandFloor,C91&lt;=in_BandCeiling,OR(in_Geography="National",COUNTIFS(lst_GeoPreset,in_Geography,lst_GeoState,B91)&gt;0,AND(in_Geography="Custom",ISNUMBER(SEARCH(B91,SUBSTITUTE(in_CustomStates," ",""))))),OR(AND(D91="Endowment",Inputs!$B$14="Y"),AND(D91="Foundation",Inputs!$B$15="Y"),AND(D91="Healthcare",Inputs!$B$16="Y"),AND(D91="Pension",Inputs!$B$17="Y"),AND(D91="OCIO",Inputs!$B$18="Y"),AND(D91="Other",Inputs!$B$19="Y")))),A91&lt;&gt;in_ClientOrg,NOT(AND(in_ExclHarvard="Y",ISNUMBER(SEARCH("Harvard",A91))))),"Y","")</f>
        <v/>
      </c>
      <c r="G91" t="inlineStr">
        <is>
          <t>Tej M Patel</t>
        </is>
      </c>
      <c r="H91" t="inlineStr">
        <is>
          <t>VP &amp; CIO</t>
        </is>
      </c>
      <c r="I91" t="inlineStr">
        <is>
          <t>CIO</t>
        </is>
      </c>
      <c r="J91" s="21" t="n"/>
      <c r="K91" s="21" t="n"/>
      <c r="L91" s="21" t="n"/>
      <c r="M91" s="21" t="n"/>
      <c r="N91" s="21" t="n"/>
      <c r="O91" s="21" t="n"/>
      <c r="P91" s="21" t="n">
        <v>140449</v>
      </c>
      <c r="Q91" s="21" t="n">
        <v>140449</v>
      </c>
      <c r="R91" s="21">
        <f>IF(Q91="","",Q91*(1+in_GrowthRate)^(YEARFRAC(DATE(2025,5,31),in_AgeToDate)*IF(in_AgeToDate&lt;DATE(2025,5,31),-1,1)+1))</f>
        <v/>
      </c>
      <c r="S91" s="38" t="n"/>
      <c r="T91" s="43">
        <f>HYPERLINK("https://projects.propublica.org/nonprofits/organizations/231352688/202641059349301969/full","view filing")</f>
        <v/>
      </c>
    </row>
    <row r="92">
      <c r="A92" t="inlineStr">
        <is>
          <t>Villanova University</t>
        </is>
      </c>
      <c r="B92" s="20" t="inlineStr">
        <is>
          <t>PA</t>
        </is>
      </c>
      <c r="C92" s="42" t="n">
        <v>1.47</v>
      </c>
      <c r="D92" t="inlineStr">
        <is>
          <t>Endowment</t>
        </is>
      </c>
      <c r="E92" s="20" t="n">
        <v>2022</v>
      </c>
      <c r="F92" s="20" t="inlineStr"/>
      <c r="G92" t="inlineStr">
        <is>
          <t>Ms Kelly Doney</t>
        </is>
      </c>
      <c r="H92" t="inlineStr">
        <is>
          <t>VP AND CIO</t>
        </is>
      </c>
      <c r="I92" t="inlineStr">
        <is>
          <t>CIO</t>
        </is>
      </c>
      <c r="J92" s="21" t="n">
        <v>330550</v>
      </c>
      <c r="K92" s="21" t="n"/>
      <c r="L92" s="21" t="n">
        <v>330550</v>
      </c>
      <c r="M92" s="21" t="n">
        <v>10000</v>
      </c>
      <c r="N92" s="21" t="n">
        <v>23004</v>
      </c>
      <c r="O92" s="21" t="n">
        <v>6210</v>
      </c>
      <c r="P92" s="21" t="n">
        <v>369764</v>
      </c>
      <c r="Q92" s="21" t="n">
        <v>369764</v>
      </c>
      <c r="R92" s="21">
        <f>IF(Q92="","",Q92*(1+in_GrowthRate)^(YEARFRAC(DATE(2022,5,31),in_AgeToDate)*IF(in_AgeToDate&lt;DATE(2022,5,31),-1,1)+1))</f>
        <v/>
      </c>
      <c r="S92" s="38" t="n">
        <v>0</v>
      </c>
      <c r="T92" s="43">
        <f>HYPERLINK("https://projects.propublica.org/nonprofits/organizations/231352688/202321049349301727/full","view filing")</f>
        <v/>
      </c>
    </row>
    <row r="93">
      <c r="A93" t="inlineStr">
        <is>
          <t>Washington University</t>
        </is>
      </c>
      <c r="B93" s="20" t="inlineStr">
        <is>
          <t>MO</t>
        </is>
      </c>
      <c r="C93" s="42" t="n">
        <v>13.3</v>
      </c>
      <c r="D93" t="inlineStr">
        <is>
          <t>Endowment</t>
        </is>
      </c>
      <c r="E93" s="20" t="n">
        <v>2025</v>
      </c>
      <c r="F93" s="20">
        <f>IF(AND(OR(in_Mode="All Funds",AND(C93&gt;=in_BandFloor,C93&lt;=in_BandCeiling,OR(in_Geography="National",COUNTIFS(lst_GeoPreset,in_Geography,lst_GeoState,B93)&gt;0,AND(in_Geography="Custom",ISNUMBER(SEARCH(B93,SUBSTITUTE(in_CustomStates," ",""))))),OR(AND(D93="Endowment",Inputs!$B$14="Y"),AND(D93="Foundation",Inputs!$B$15="Y"),AND(D93="Healthcare",Inputs!$B$16="Y"),AND(D93="Pension",Inputs!$B$17="Y"),AND(D93="OCIO",Inputs!$B$18="Y"),AND(D93="Other",Inputs!$B$19="Y")))),A93&lt;&gt;in_ClientOrg,NOT(AND(in_ExclHarvard="Y",ISNUMBER(SEARCH("Harvard",A93))))),"Y","")</f>
        <v/>
      </c>
      <c r="G93" t="inlineStr">
        <is>
          <t>Andrew Choquette</t>
        </is>
      </c>
      <c r="H93" t="inlineStr">
        <is>
          <t>DEP CHIEF INVESTMENT OFFICER</t>
        </is>
      </c>
      <c r="I93" t="inlineStr">
        <is>
          <t>Deputy CIO</t>
        </is>
      </c>
      <c r="J93" s="21" t="n">
        <v>718740</v>
      </c>
      <c r="K93" s="21" t="n">
        <v>3612883</v>
      </c>
      <c r="L93" s="21" t="n">
        <v>4331623</v>
      </c>
      <c r="M93" s="21" t="n">
        <v>67357</v>
      </c>
      <c r="N93" s="21" t="n">
        <v>537460</v>
      </c>
      <c r="O93" s="21" t="n">
        <v>36827</v>
      </c>
      <c r="P93" s="21" t="n">
        <v>4973267</v>
      </c>
      <c r="Q93" s="21" t="n">
        <v>4726333</v>
      </c>
      <c r="R93" s="21">
        <f>IF(Q93="","",Q93*(1+in_GrowthRate)^(YEARFRAC(DATE(2025,6,30),in_AgeToDate)*IF(in_AgeToDate&lt;DATE(2025,6,30),-1,1)+1))</f>
        <v/>
      </c>
      <c r="S93" s="38" t="n">
        <v>5.026689762640176</v>
      </c>
      <c r="T93" s="43">
        <f>HYPERLINK("https://projects.propublica.org/nonprofits/organizations/430653611/202641359349315719/full","view filing")</f>
        <v/>
      </c>
    </row>
    <row r="94">
      <c r="A94" t="inlineStr">
        <is>
          <t>Washington University</t>
        </is>
      </c>
      <c r="B94" s="20" t="inlineStr">
        <is>
          <t>MO</t>
        </is>
      </c>
      <c r="C94" s="42" t="n">
        <v>13.3</v>
      </c>
      <c r="D94" t="inlineStr">
        <is>
          <t>Endowment</t>
        </is>
      </c>
      <c r="E94" s="20" t="n">
        <v>2024</v>
      </c>
      <c r="F94" s="20" t="inlineStr"/>
      <c r="G94" t="inlineStr">
        <is>
          <t>Andrew Choquette</t>
        </is>
      </c>
      <c r="H94" t="inlineStr">
        <is>
          <t>DEP CHIEF INVESTMENT OFFICER</t>
        </is>
      </c>
      <c r="I94" t="inlineStr">
        <is>
          <t>Deputy CIO</t>
        </is>
      </c>
      <c r="J94" s="21" t="n">
        <v>695192</v>
      </c>
      <c r="K94" s="21" t="n">
        <v>3110520</v>
      </c>
      <c r="L94" s="21" t="n">
        <v>3805712</v>
      </c>
      <c r="M94" s="21" t="n">
        <v>23776</v>
      </c>
      <c r="N94" s="21" t="n">
        <v>475812</v>
      </c>
      <c r="O94" s="21" t="n">
        <v>27603</v>
      </c>
      <c r="P94" s="21" t="n">
        <v>4332903</v>
      </c>
      <c r="Q94" s="21" t="n">
        <v>4332903</v>
      </c>
      <c r="R94" s="21">
        <f>IF(Q94="","",Q94*(1+in_GrowthRate)^(YEARFRAC(DATE(2024,6,30),in_AgeToDate)*IF(in_AgeToDate&lt;DATE(2024,6,30),-1,1)+1))</f>
        <v/>
      </c>
      <c r="S94" s="38" t="n">
        <v>4.474332270797133</v>
      </c>
      <c r="T94" s="43">
        <f>HYPERLINK("https://projects.propublica.org/nonprofits/organizations/430653611/202531349349312818/full","view filing")</f>
        <v/>
      </c>
    </row>
    <row r="95">
      <c r="A95" t="inlineStr">
        <is>
          <t>Washington University</t>
        </is>
      </c>
      <c r="B95" s="20" t="inlineStr">
        <is>
          <t>MO</t>
        </is>
      </c>
      <c r="C95" s="42" t="n">
        <v>13.3</v>
      </c>
      <c r="D95" t="inlineStr">
        <is>
          <t>Endowment</t>
        </is>
      </c>
      <c r="E95" s="20" t="n">
        <v>2023</v>
      </c>
      <c r="F95" s="20" t="inlineStr"/>
      <c r="G95" t="inlineStr">
        <is>
          <t>Andrew Choquette</t>
        </is>
      </c>
      <c r="H95" t="inlineStr">
        <is>
          <t>DEP CHIEF INVESTMENT OFFICER</t>
        </is>
      </c>
      <c r="I95" t="inlineStr">
        <is>
          <t>Deputy CIO</t>
        </is>
      </c>
      <c r="J95" s="21" t="n">
        <v>677782</v>
      </c>
      <c r="K95" s="21" t="n">
        <v>3041776</v>
      </c>
      <c r="L95" s="21" t="n">
        <v>3719558</v>
      </c>
      <c r="M95" s="21" t="n">
        <v>21469</v>
      </c>
      <c r="N95" s="21" t="n">
        <v>21350</v>
      </c>
      <c r="O95" s="21" t="n">
        <v>25869</v>
      </c>
      <c r="P95" s="21" t="n">
        <v>3788246</v>
      </c>
      <c r="Q95" s="21" t="n">
        <v>3788246</v>
      </c>
      <c r="R95" s="21">
        <f>IF(Q95="","",Q95*(1+in_GrowthRate)^(YEARFRAC(DATE(2023,6,30),in_AgeToDate)*IF(in_AgeToDate&lt;DATE(2023,6,30),-1,1)+1))</f>
        <v/>
      </c>
      <c r="S95" s="38" t="n">
        <v>4.487838272482893</v>
      </c>
      <c r="T95" s="43">
        <f>HYPERLINK("https://projects.propublica.org/nonprofits/organizations/430653611/202421359349312512/full","view filing")</f>
        <v/>
      </c>
    </row>
    <row r="96">
      <c r="A96" t="inlineStr">
        <is>
          <t>Washington University</t>
        </is>
      </c>
      <c r="B96" s="20" t="inlineStr">
        <is>
          <t>MO</t>
        </is>
      </c>
      <c r="C96" s="42" t="n">
        <v>13.3</v>
      </c>
      <c r="D96" t="inlineStr">
        <is>
          <t>Endowment</t>
        </is>
      </c>
      <c r="E96" s="20" t="n">
        <v>2023</v>
      </c>
      <c r="F96" s="20" t="inlineStr"/>
      <c r="G96" t="inlineStr">
        <is>
          <t>Jessie Minton</t>
        </is>
      </c>
      <c r="H96" t="inlineStr">
        <is>
          <t>VC &amp; CIO (ASOF 4/22)</t>
        </is>
      </c>
      <c r="I96" t="inlineStr">
        <is>
          <t>CIO</t>
        </is>
      </c>
      <c r="J96" s="21" t="n">
        <v>472197</v>
      </c>
      <c r="K96" s="21" t="n">
        <v>100000</v>
      </c>
      <c r="L96" s="21" t="n">
        <v>572197</v>
      </c>
      <c r="M96" s="21" t="n">
        <v>5244</v>
      </c>
      <c r="N96" s="21" t="n"/>
      <c r="O96" s="21" t="n">
        <v>13326</v>
      </c>
      <c r="P96" s="21" t="n">
        <v>590767</v>
      </c>
      <c r="Q96" s="21" t="n">
        <v>590767</v>
      </c>
      <c r="R96" s="21">
        <f>IF(Q96="","",Q96*(1+in_GrowthRate)^(YEARFRAC(DATE(2023,6,30),in_AgeToDate)*IF(in_AgeToDate&lt;DATE(2023,6,30),-1,1)+1))</f>
        <v/>
      </c>
      <c r="S96" s="38" t="n">
        <v>0.2117760172131547</v>
      </c>
      <c r="T96" s="43">
        <f>HYPERLINK("https://projects.propublica.org/nonprofits/organizations/430653611/202421359349312512/full","view filing")</f>
        <v/>
      </c>
    </row>
    <row r="97">
      <c r="A97" t="inlineStr">
        <is>
          <t>Washington University</t>
        </is>
      </c>
      <c r="B97" s="20" t="inlineStr">
        <is>
          <t>MO</t>
        </is>
      </c>
      <c r="C97" s="42" t="n">
        <v>13.3</v>
      </c>
      <c r="D97" t="inlineStr">
        <is>
          <t>Endowment</t>
        </is>
      </c>
      <c r="E97" s="20" t="n">
        <v>2022</v>
      </c>
      <c r="F97" s="20" t="inlineStr"/>
      <c r="G97" t="inlineStr">
        <is>
          <t>Andrew Choquette</t>
        </is>
      </c>
      <c r="H97" t="inlineStr">
        <is>
          <t>DEP CHIEF INVESTMENT OFFICER</t>
        </is>
      </c>
      <c r="I97" t="inlineStr">
        <is>
          <t>Deputy CIO</t>
        </is>
      </c>
      <c r="J97" s="21" t="n">
        <v>643617</v>
      </c>
      <c r="K97" s="21" t="n">
        <v>2883941</v>
      </c>
      <c r="L97" s="21" t="n">
        <v>3527558</v>
      </c>
      <c r="M97" s="21" t="n">
        <v>20250</v>
      </c>
      <c r="N97" s="21" t="n">
        <v>20300</v>
      </c>
      <c r="O97" s="21" t="n">
        <v>46636</v>
      </c>
      <c r="P97" s="21" t="n">
        <v>3614744</v>
      </c>
      <c r="Q97" s="21" t="n">
        <v>3614744</v>
      </c>
      <c r="R97" s="21">
        <f>IF(Q97="","",Q97*(1+in_GrowthRate)^(YEARFRAC(DATE(2022,6,30),in_AgeToDate)*IF(in_AgeToDate&lt;DATE(2022,6,30),-1,1)+1))</f>
        <v/>
      </c>
      <c r="S97" s="38" t="n">
        <v>4.480834098539971</v>
      </c>
      <c r="T97" s="43">
        <f>HYPERLINK("https://projects.propublica.org/nonprofits/organizations/430653611/202321359349319812/full","view filing")</f>
        <v/>
      </c>
    </row>
    <row r="98">
      <c r="A98" t="inlineStr">
        <is>
          <t>Wellesley College</t>
        </is>
      </c>
      <c r="B98" s="20" t="inlineStr">
        <is>
          <t>MA</t>
        </is>
      </c>
      <c r="C98" s="42" t="n">
        <v>3.19</v>
      </c>
      <c r="D98" t="inlineStr">
        <is>
          <t>Endowment</t>
        </is>
      </c>
      <c r="E98" s="20" t="n">
        <v>2025</v>
      </c>
      <c r="F98" s="20">
        <f>IF(AND(OR(in_Mode="All Funds",AND(C98&gt;=in_BandFloor,C98&lt;=in_BandCeiling,OR(in_Geography="National",COUNTIFS(lst_GeoPreset,in_Geography,lst_GeoState,B98)&gt;0,AND(in_Geography="Custom",ISNUMBER(SEARCH(B98,SUBSTITUTE(in_CustomStates," ",""))))),OR(AND(D98="Endowment",Inputs!$B$14="Y"),AND(D98="Foundation",Inputs!$B$15="Y"),AND(D98="Healthcare",Inputs!$B$16="Y"),AND(D98="Pension",Inputs!$B$17="Y"),AND(D98="OCIO",Inputs!$B$18="Y"),AND(D98="Other",Inputs!$B$19="Y")))),A98&lt;&gt;in_ClientOrg,NOT(AND(in_ExclHarvard="Y",ISNUMBER(SEARCH("Harvard",A98))))),"Y","")</f>
        <v/>
      </c>
      <c r="G98" t="inlineStr">
        <is>
          <t>Rose C Carpenter</t>
        </is>
      </c>
      <c r="H98" t="inlineStr">
        <is>
          <t>Deputy CIO</t>
        </is>
      </c>
      <c r="I98" t="inlineStr">
        <is>
          <t>Deputy CIO</t>
        </is>
      </c>
      <c r="J98" s="21" t="n">
        <v>575960</v>
      </c>
      <c r="K98" s="21" t="n">
        <v>450000</v>
      </c>
      <c r="L98" s="21" t="n">
        <v>1025960</v>
      </c>
      <c r="M98" s="21" t="n">
        <v>480</v>
      </c>
      <c r="N98" s="21" t="n">
        <v>141105</v>
      </c>
      <c r="O98" s="21" t="n">
        <v>32975</v>
      </c>
      <c r="P98" s="21" t="n">
        <v>1200520</v>
      </c>
      <c r="Q98" s="21" t="n">
        <v>1200520</v>
      </c>
      <c r="R98" s="21">
        <f>IF(Q98="","",Q98*(1+in_GrowthRate)^(YEARFRAC(DATE(2025,6,30),in_AgeToDate)*IF(in_AgeToDate&lt;DATE(2025,6,30),-1,1)+1))</f>
        <v/>
      </c>
      <c r="S98" s="38" t="n">
        <v>0.7813042572400861</v>
      </c>
      <c r="T98" s="43">
        <f>HYPERLINK("https://projects.propublica.org/nonprofits/organizations/42103637/202601359349304805/full","view filing")</f>
        <v/>
      </c>
    </row>
    <row r="99">
      <c r="A99" t="inlineStr">
        <is>
          <t>Wellesley College</t>
        </is>
      </c>
      <c r="B99" s="20" t="inlineStr">
        <is>
          <t>MA</t>
        </is>
      </c>
      <c r="C99" s="42" t="n">
        <v>3.19</v>
      </c>
      <c r="D99" t="inlineStr">
        <is>
          <t>Endowment</t>
        </is>
      </c>
      <c r="E99" s="20" t="n">
        <v>2024</v>
      </c>
      <c r="F99" s="20" t="inlineStr"/>
      <c r="G99" t="inlineStr">
        <is>
          <t>Rose C Carpenter</t>
        </is>
      </c>
      <c r="H99" t="inlineStr">
        <is>
          <t>DEPUTY CIO</t>
        </is>
      </c>
      <c r="I99" t="inlineStr">
        <is>
          <t>Deputy CIO</t>
        </is>
      </c>
      <c r="J99" s="21" t="n">
        <v>547619</v>
      </c>
      <c r="K99" s="21" t="n">
        <v>439385</v>
      </c>
      <c r="L99" s="21" t="n">
        <v>987004</v>
      </c>
      <c r="M99" s="21" t="n">
        <v>480</v>
      </c>
      <c r="N99" s="21" t="n">
        <v>34650</v>
      </c>
      <c r="O99" s="21" t="n">
        <v>29470</v>
      </c>
      <c r="P99" s="21" t="n">
        <v>1051604</v>
      </c>
      <c r="Q99" s="21" t="n">
        <v>1051604</v>
      </c>
      <c r="R99" s="21">
        <f>IF(Q99="","",Q99*(1+in_GrowthRate)^(YEARFRAC(DATE(2024,6,30),in_AgeToDate)*IF(in_AgeToDate&lt;DATE(2024,6,30),-1,1)+1))</f>
        <v/>
      </c>
      <c r="S99" s="38" t="n">
        <v>0.8023552871613293</v>
      </c>
      <c r="T99" s="43">
        <f>HYPERLINK("https://projects.propublica.org/nonprofits/organizations/42103637/202511349349304996/full","view filing")</f>
        <v/>
      </c>
    </row>
    <row r="100">
      <c r="A100" t="inlineStr">
        <is>
          <t>Wellesley College</t>
        </is>
      </c>
      <c r="B100" s="20" t="inlineStr">
        <is>
          <t>MA</t>
        </is>
      </c>
      <c r="C100" s="42" t="n">
        <v>3.19</v>
      </c>
      <c r="D100" t="inlineStr">
        <is>
          <t>Endowment</t>
        </is>
      </c>
      <c r="E100" s="20" t="n">
        <v>2023</v>
      </c>
      <c r="F100" s="20" t="inlineStr"/>
      <c r="G100" t="inlineStr">
        <is>
          <t>Rose C Carpenter</t>
        </is>
      </c>
      <c r="H100" t="inlineStr">
        <is>
          <t>MANAGING DIRECTOR TO DEPUTY CIO</t>
        </is>
      </c>
      <c r="I100" t="inlineStr">
        <is>
          <t>Deputy CIO</t>
        </is>
      </c>
      <c r="J100" s="21" t="n">
        <v>490568</v>
      </c>
      <c r="K100" s="21" t="n">
        <v>497447</v>
      </c>
      <c r="L100" s="21" t="n">
        <v>988015</v>
      </c>
      <c r="M100" s="21" t="n">
        <v>480</v>
      </c>
      <c r="N100" s="21" t="n">
        <v>32025</v>
      </c>
      <c r="O100" s="21" t="n">
        <v>27809</v>
      </c>
      <c r="P100" s="21" t="n">
        <v>1048329</v>
      </c>
      <c r="Q100" s="21" t="n">
        <v>1048329</v>
      </c>
      <c r="R100" s="21">
        <f>IF(Q100="","",Q100*(1+in_GrowthRate)^(YEARFRAC(DATE(2023,6,30),in_AgeToDate)*IF(in_AgeToDate&lt;DATE(2023,6,30),-1,1)+1))</f>
        <v/>
      </c>
      <c r="S100" s="38" t="n">
        <v>1.014022520832994</v>
      </c>
      <c r="T100" s="43">
        <f>HYPERLINK("https://projects.propublica.org/nonprofits/organizations/42103637/202441359349302624/full","view filing")</f>
        <v/>
      </c>
    </row>
    <row r="101">
      <c r="A101" t="inlineStr">
        <is>
          <t>Wellesley College</t>
        </is>
      </c>
      <c r="B101" s="20" t="inlineStr">
        <is>
          <t>MA</t>
        </is>
      </c>
      <c r="C101" s="42" t="n">
        <v>3.19</v>
      </c>
      <c r="D101" t="inlineStr">
        <is>
          <t>Endowment</t>
        </is>
      </c>
      <c r="E101" s="20" t="n">
        <v>2022</v>
      </c>
      <c r="F101" s="20" t="inlineStr"/>
      <c r="G101" t="inlineStr">
        <is>
          <t>Rose C Carpenter</t>
        </is>
      </c>
      <c r="H101" t="inlineStr">
        <is>
          <t>MANAGING DIRECTOR TO DEPUTY CIO</t>
        </is>
      </c>
      <c r="I101" t="inlineStr">
        <is>
          <t>Deputy CIO</t>
        </is>
      </c>
      <c r="J101" s="21" t="n">
        <v>413462</v>
      </c>
      <c r="K101" s="21" t="n">
        <v>530000</v>
      </c>
      <c r="L101" s="21" t="n">
        <v>943462</v>
      </c>
      <c r="M101" s="21" t="n">
        <v>450</v>
      </c>
      <c r="N101" s="21" t="n">
        <v>26100</v>
      </c>
      <c r="O101" s="21" t="n">
        <v>31704</v>
      </c>
      <c r="P101" s="21" t="n">
        <v>1001716</v>
      </c>
      <c r="Q101" s="21" t="n">
        <v>1001716</v>
      </c>
      <c r="R101" s="21">
        <f>IF(Q101="","",Q101*(1+in_GrowthRate)^(YEARFRAC(DATE(2022,6,30),in_AgeToDate)*IF(in_AgeToDate&lt;DATE(2022,6,30),-1,1)+1))</f>
        <v/>
      </c>
      <c r="S101" s="38" t="n">
        <v>1.281859034203869</v>
      </c>
      <c r="T101" s="43">
        <f>HYPERLINK("https://projects.propublica.org/nonprofits/organizations/42103637/202331359349311153/full","view filing")</f>
        <v/>
      </c>
    </row>
    <row r="102">
      <c r="A102" t="inlineStr">
        <is>
          <t>William &amp; Flora Hewlett Foundation</t>
        </is>
      </c>
      <c r="B102" s="20" t="inlineStr">
        <is>
          <t>CA</t>
        </is>
      </c>
      <c r="C102" s="42" t="n">
        <v>13.18</v>
      </c>
      <c r="D102" t="inlineStr">
        <is>
          <t>Foundation</t>
        </is>
      </c>
      <c r="E102" s="20" t="n">
        <v>2024</v>
      </c>
      <c r="F102" s="20">
        <f>IF(AND(OR(in_Mode="All Funds",AND(C102&gt;=in_BandFloor,C102&lt;=in_BandCeiling,OR(in_Geography="National",COUNTIFS(lst_GeoPreset,in_Geography,lst_GeoState,B102)&gt;0,AND(in_Geography="Custom",ISNUMBER(SEARCH(B102,SUBSTITUTE(in_CustomStates," ",""))))),OR(AND(D102="Endowment",Inputs!$B$14="Y"),AND(D102="Foundation",Inputs!$B$15="Y"),AND(D102="Healthcare",Inputs!$B$16="Y"),AND(D102="Pension",Inputs!$B$17="Y"),AND(D102="OCIO",Inputs!$B$18="Y"),AND(D102="Other",Inputs!$B$19="Y")))),A102&lt;&gt;in_ClientOrg,NOT(AND(in_ExclHarvard="Y",ISNUMBER(SEARCH("Harvard",A102))))),"Y","")</f>
        <v/>
      </c>
      <c r="G102" t="inlineStr">
        <is>
          <t>Brett Johnson</t>
        </is>
      </c>
      <c r="H102" t="inlineStr">
        <is>
          <t>DPTY CIO &amp; DIR PI</t>
        </is>
      </c>
      <c r="I102" t="inlineStr">
        <is>
          <t>CIO</t>
        </is>
      </c>
      <c r="J102" s="21" t="n"/>
      <c r="K102" s="21" t="n"/>
      <c r="L102" s="21" t="n"/>
      <c r="M102" s="21" t="n"/>
      <c r="N102" s="21" t="n"/>
      <c r="O102" s="21" t="n"/>
      <c r="P102" s="21" t="n">
        <v>2725075</v>
      </c>
      <c r="Q102" s="21" t="n">
        <v>2725075</v>
      </c>
      <c r="R102" s="21">
        <f>IF(Q102="","",Q102*(1+in_GrowthRate)^(YEARFRAC(DATE(2024,12,31),in_AgeToDate)*IF(in_AgeToDate&lt;DATE(2024,12,31),-1,1)+1))</f>
        <v/>
      </c>
      <c r="S102" s="38" t="n"/>
      <c r="T102" s="43">
        <f>HYPERLINK("https://projects.propublica.org/nonprofits/organizations/941655673/202523189349102727/full","view filing")</f>
        <v/>
      </c>
    </row>
    <row r="103">
      <c r="A103" t="inlineStr">
        <is>
          <t>William &amp; Flora Hewlett Foundation</t>
        </is>
      </c>
      <c r="B103" s="20" t="inlineStr">
        <is>
          <t>CA</t>
        </is>
      </c>
      <c r="C103" s="42" t="n">
        <v>13.18</v>
      </c>
      <c r="D103" t="inlineStr">
        <is>
          <t>Foundation</t>
        </is>
      </c>
      <c r="E103" s="20" t="n">
        <v>2023</v>
      </c>
      <c r="F103" s="20" t="inlineStr"/>
      <c r="G103" t="inlineStr">
        <is>
          <t>Brett Johnson</t>
        </is>
      </c>
      <c r="H103" t="inlineStr">
        <is>
          <t>DPTY CIO&amp;DIR PUB INV</t>
        </is>
      </c>
      <c r="I103" t="inlineStr">
        <is>
          <t>CIO</t>
        </is>
      </c>
      <c r="J103" s="21" t="n"/>
      <c r="K103" s="21" t="n"/>
      <c r="L103" s="21" t="n"/>
      <c r="M103" s="21" t="n"/>
      <c r="N103" s="21" t="n"/>
      <c r="O103" s="21" t="n"/>
      <c r="P103" s="21" t="n">
        <v>2667519</v>
      </c>
      <c r="Q103" s="21" t="n">
        <v>2667519</v>
      </c>
      <c r="R103" s="21">
        <f>IF(Q103="","",Q103*(1+in_GrowthRate)^(YEARFRAC(DATE(2023,12,31),in_AgeToDate)*IF(in_AgeToDate&lt;DATE(2023,12,31),-1,1)+1))</f>
        <v/>
      </c>
      <c r="S103" s="38" t="n"/>
      <c r="T103" s="43">
        <f>HYPERLINK("https://projects.propublica.org/nonprofits/organizations/941655673/202403169349102865/full","view filing")</f>
        <v/>
      </c>
    </row>
    <row r="104">
      <c r="A104" t="inlineStr">
        <is>
          <t>William &amp; Flora Hewlett Foundation</t>
        </is>
      </c>
      <c r="B104" s="20" t="inlineStr">
        <is>
          <t>CA</t>
        </is>
      </c>
      <c r="C104" s="42" t="n">
        <v>13.18</v>
      </c>
      <c r="D104" t="inlineStr">
        <is>
          <t>Foundation</t>
        </is>
      </c>
      <c r="E104" s="20" t="n">
        <v>2022</v>
      </c>
      <c r="F104" s="20" t="inlineStr"/>
      <c r="G104" t="inlineStr">
        <is>
          <t>Brett Johnson</t>
        </is>
      </c>
      <c r="H104" t="inlineStr">
        <is>
          <t>MD/CIO &amp; DIR,PUB INV</t>
        </is>
      </c>
      <c r="I104" t="inlineStr">
        <is>
          <t>CIO</t>
        </is>
      </c>
      <c r="J104" s="21" t="n"/>
      <c r="K104" s="21" t="n"/>
      <c r="L104" s="21" t="n"/>
      <c r="M104" s="21" t="n"/>
      <c r="N104" s="21" t="n"/>
      <c r="O104" s="21" t="n"/>
      <c r="P104" s="21" t="n">
        <v>2702542</v>
      </c>
      <c r="Q104" s="21" t="n">
        <v>2702542</v>
      </c>
      <c r="R104" s="21">
        <f>IF(Q104="","",Q104*(1+in_GrowthRate)^(YEARFRAC(DATE(2022,12,31),in_AgeToDate)*IF(in_AgeToDate&lt;DATE(2022,12,31),-1,1)+1))</f>
        <v/>
      </c>
      <c r="S104" s="38" t="n"/>
      <c r="T104" s="43">
        <f>HYPERLINK("https://projects.propublica.org/nonprofits/organizations/941655673/202343179349104459/full","view filing")</f>
        <v/>
      </c>
    </row>
    <row r="105">
      <c r="A105" t="inlineStr">
        <is>
          <t>Williams College</t>
        </is>
      </c>
      <c r="B105" s="20" t="inlineStr">
        <is>
          <t>MA</t>
        </is>
      </c>
      <c r="C105" s="42" t="n">
        <v>3.93</v>
      </c>
      <c r="D105" t="inlineStr">
        <is>
          <t>Endowment</t>
        </is>
      </c>
      <c r="E105" s="20" t="n">
        <v>2023</v>
      </c>
      <c r="F105" s="20" t="inlineStr"/>
      <c r="G105" t="inlineStr">
        <is>
          <t>Abigail Wattley</t>
        </is>
      </c>
      <c r="H105" t="inlineStr">
        <is>
          <t>DEPUTY CHIEF INVESTMENT OFFICER</t>
        </is>
      </c>
      <c r="I105" t="inlineStr">
        <is>
          <t>Deputy CIO</t>
        </is>
      </c>
      <c r="J105" s="21" t="n">
        <v>428536</v>
      </c>
      <c r="K105" s="21" t="n">
        <v>162283</v>
      </c>
      <c r="L105" s="21" t="n">
        <v>590819</v>
      </c>
      <c r="M105" s="21" t="n"/>
      <c r="N105" s="21" t="n">
        <v>36283</v>
      </c>
      <c r="O105" s="21" t="n">
        <v>392</v>
      </c>
      <c r="P105" s="21" t="n">
        <v>627494</v>
      </c>
      <c r="Q105" s="21" t="n">
        <v>465211</v>
      </c>
      <c r="R105" s="21">
        <f>IF(Q105="","",Q105*(1+in_GrowthRate)^(YEARFRAC(DATE(2023,6,30),in_AgeToDate)*IF(in_AgeToDate&lt;DATE(2023,6,30),-1,1)+1))</f>
        <v/>
      </c>
      <c r="S105" s="38" t="n">
        <v>0.3786916385087834</v>
      </c>
      <c r="T105" s="43">
        <f>HYPERLINK("https://projects.propublica.org/nonprofits/organizations/42104847/202431359349305018/full","view filing")</f>
        <v/>
      </c>
    </row>
    <row r="106">
      <c r="A106" t="inlineStr">
        <is>
          <t>Wisconsin Alumni Research Foundation</t>
        </is>
      </c>
      <c r="B106" s="20" t="inlineStr">
        <is>
          <t>WI</t>
        </is>
      </c>
      <c r="C106" s="42" t="n">
        <v>3.4</v>
      </c>
      <c r="D106" t="inlineStr">
        <is>
          <t>Foundation</t>
        </is>
      </c>
      <c r="E106" s="20" t="n">
        <v>2025</v>
      </c>
      <c r="F106" s="20">
        <f>IF(AND(OR(in_Mode="All Funds",AND(C106&gt;=in_BandFloor,C106&lt;=in_BandCeiling,OR(in_Geography="National",COUNTIFS(lst_GeoPreset,in_Geography,lst_GeoState,B106)&gt;0,AND(in_Geography="Custom",ISNUMBER(SEARCH(B106,SUBSTITUTE(in_CustomStates," ",""))))),OR(AND(D106="Endowment",Inputs!$B$14="Y"),AND(D106="Foundation",Inputs!$B$15="Y"),AND(D106="Healthcare",Inputs!$B$16="Y"),AND(D106="Pension",Inputs!$B$17="Y"),AND(D106="OCIO",Inputs!$B$18="Y"),AND(D106="Other",Inputs!$B$19="Y")))),A106&lt;&gt;in_ClientOrg,NOT(AND(in_ExclHarvard="Y",ISNUMBER(SEARCH("Harvard",A106))))),"Y","")</f>
        <v/>
      </c>
      <c r="G106" t="inlineStr">
        <is>
          <t>Alain Hung</t>
        </is>
      </c>
      <c r="H106" t="inlineStr">
        <is>
          <t>DEPUTY CHIEF INVESTMENT OFFICER</t>
        </is>
      </c>
      <c r="I106" t="inlineStr">
        <is>
          <t>Deputy CIO</t>
        </is>
      </c>
      <c r="J106" s="21" t="n">
        <v>421514</v>
      </c>
      <c r="K106" s="21" t="n">
        <v>105687</v>
      </c>
      <c r="L106" s="21" t="n">
        <v>527201</v>
      </c>
      <c r="M106" s="21" t="n"/>
      <c r="N106" s="21" t="n">
        <v>160946</v>
      </c>
      <c r="O106" s="21" t="n">
        <v>37662</v>
      </c>
      <c r="P106" s="21" t="n">
        <v>725809</v>
      </c>
      <c r="Q106" s="21" t="n">
        <v>725809</v>
      </c>
      <c r="R106" s="21">
        <f>IF(Q106="","",Q106*(1+in_GrowthRate)^(YEARFRAC(DATE(2025,6,30),in_AgeToDate)*IF(in_AgeToDate&lt;DATE(2025,6,30),-1,1)+1))</f>
        <v/>
      </c>
      <c r="S106" s="38" t="n">
        <v>0.2507318855364234</v>
      </c>
      <c r="T106" s="43">
        <f>HYPERLINK("https://projects.propublica.org/nonprofits/organizations/390833612/202533159349304918/full","view filing")</f>
        <v/>
      </c>
    </row>
    <row r="107">
      <c r="A107" t="inlineStr">
        <is>
          <t>Wisconsin Alumni Research Foundation</t>
        </is>
      </c>
      <c r="B107" s="20" t="inlineStr">
        <is>
          <t>WI</t>
        </is>
      </c>
      <c r="C107" s="42" t="n">
        <v>3.4</v>
      </c>
      <c r="D107" t="inlineStr">
        <is>
          <t>Foundation</t>
        </is>
      </c>
      <c r="E107" s="20" t="n">
        <v>2024</v>
      </c>
      <c r="F107" s="20" t="inlineStr"/>
      <c r="G107" t="inlineStr">
        <is>
          <t>Alain Hung</t>
        </is>
      </c>
      <c r="H107" t="inlineStr">
        <is>
          <t>DEPUTY CHIEF INVESTMENT OFFICER</t>
        </is>
      </c>
      <c r="I107" t="inlineStr">
        <is>
          <t>Deputy CIO</t>
        </is>
      </c>
      <c r="J107" s="21" t="n">
        <v>401541</v>
      </c>
      <c r="K107" s="21" t="n">
        <v>106115</v>
      </c>
      <c r="L107" s="21" t="n">
        <v>507656</v>
      </c>
      <c r="M107" s="21" t="n"/>
      <c r="N107" s="21" t="n">
        <v>32500</v>
      </c>
      <c r="O107" s="21" t="n">
        <v>44290</v>
      </c>
      <c r="P107" s="21" t="n">
        <v>584446</v>
      </c>
      <c r="Q107" s="21" t="n">
        <v>584446</v>
      </c>
      <c r="R107" s="21">
        <f>IF(Q107="","",Q107*(1+in_GrowthRate)^(YEARFRAC(DATE(2024,6,30),in_AgeToDate)*IF(in_AgeToDate&lt;DATE(2024,6,30),-1,1)+1))</f>
        <v/>
      </c>
      <c r="S107" s="38" t="n">
        <v>0.2642694021283007</v>
      </c>
      <c r="T107" s="43">
        <f>HYPERLINK("https://projects.propublica.org/nonprofits/organizations/390833612/202443139349304264/full","view filing")</f>
        <v/>
      </c>
    </row>
    <row r="108">
      <c r="A108" t="inlineStr">
        <is>
          <t>Wisconsin Alumni Research Foundation</t>
        </is>
      </c>
      <c r="B108" s="20" t="inlineStr">
        <is>
          <t>WI</t>
        </is>
      </c>
      <c r="C108" s="42" t="n">
        <v>3.4</v>
      </c>
      <c r="D108" t="inlineStr">
        <is>
          <t>Foundation</t>
        </is>
      </c>
      <c r="E108" s="20" t="n">
        <v>2023</v>
      </c>
      <c r="F108" s="20" t="inlineStr"/>
      <c r="G108" t="inlineStr">
        <is>
          <t>Alain Hung</t>
        </is>
      </c>
      <c r="H108" t="inlineStr">
        <is>
          <t>DEPUTY CHIEF INVESTMENT OFFICER</t>
        </is>
      </c>
      <c r="I108" t="inlineStr">
        <is>
          <t>Deputy CIO</t>
        </is>
      </c>
      <c r="J108" s="21" t="n">
        <v>386560</v>
      </c>
      <c r="K108" s="21" t="n">
        <v>150518</v>
      </c>
      <c r="L108" s="21" t="n">
        <v>537078</v>
      </c>
      <c r="M108" s="21" t="n"/>
      <c r="N108" s="21" t="n">
        <v>-138860</v>
      </c>
      <c r="O108" s="21" t="n">
        <v>44163</v>
      </c>
      <c r="P108" s="21" t="n">
        <v>442381</v>
      </c>
      <c r="Q108" s="21" t="n">
        <v>442381</v>
      </c>
      <c r="R108" s="21">
        <f>IF(Q108="","",Q108*(1+in_GrowthRate)^(YEARFRAC(DATE(2023,6,30),in_AgeToDate)*IF(in_AgeToDate&lt;DATE(2023,6,30),-1,1)+1))</f>
        <v/>
      </c>
      <c r="S108" s="38" t="n">
        <v>0.3893781043046358</v>
      </c>
      <c r="T108" s="43">
        <f>HYPERLINK("https://projects.propublica.org/nonprofits/organizations/390833612/202303069349302940/full","view filing")</f>
        <v/>
      </c>
    </row>
    <row r="109">
      <c r="A109" t="inlineStr">
        <is>
          <t>Wisconsin Alumni Research Foundation</t>
        </is>
      </c>
      <c r="B109" s="20" t="inlineStr">
        <is>
          <t>WI</t>
        </is>
      </c>
      <c r="C109" s="42" t="n">
        <v>3.4</v>
      </c>
      <c r="D109" t="inlineStr">
        <is>
          <t>Foundation</t>
        </is>
      </c>
      <c r="E109" s="20" t="n">
        <v>2022</v>
      </c>
      <c r="F109" s="20" t="inlineStr"/>
      <c r="G109" t="inlineStr">
        <is>
          <t>Alain Hung</t>
        </is>
      </c>
      <c r="H109" t="inlineStr">
        <is>
          <t>DEPUTY CHIEF INVESTMENT OFFICER</t>
        </is>
      </c>
      <c r="I109" t="inlineStr">
        <is>
          <t>Deputy CIO</t>
        </is>
      </c>
      <c r="J109" s="21" t="n">
        <v>374114</v>
      </c>
      <c r="K109" s="21" t="n">
        <v>147000</v>
      </c>
      <c r="L109" s="21" t="n">
        <v>521114</v>
      </c>
      <c r="M109" s="21" t="n"/>
      <c r="N109" s="21" t="n">
        <v>255895</v>
      </c>
      <c r="O109" s="21" t="n">
        <v>42484</v>
      </c>
      <c r="P109" s="21" t="n">
        <v>819493</v>
      </c>
      <c r="Q109" s="21" t="n">
        <v>819493</v>
      </c>
      <c r="R109" s="21">
        <f>IF(Q109="","",Q109*(1+in_GrowthRate)^(YEARFRAC(DATE(2022,6,30),in_AgeToDate)*IF(in_AgeToDate&lt;DATE(2022,6,30),-1,1)+1))</f>
        <v/>
      </c>
      <c r="S109" s="38" t="n">
        <v>0.3929283587355726</v>
      </c>
      <c r="T109" s="43">
        <f>HYPERLINK("https://projects.propublica.org/nonprofits/organizations/390833612/202223149349304647/full","view filing")</f>
        <v/>
      </c>
    </row>
    <row r="110">
      <c r="A110" t="inlineStr">
        <is>
          <t>Young Mens Christian Association Retirement Fund</t>
        </is>
      </c>
      <c r="B110" s="20" t="inlineStr">
        <is>
          <t>NY</t>
        </is>
      </c>
      <c r="C110" s="42" t="n">
        <v>9.75</v>
      </c>
      <c r="D110" t="inlineStr">
        <is>
          <t>Pension</t>
        </is>
      </c>
      <c r="E110" s="20" t="n">
        <v>2025</v>
      </c>
      <c r="F110" s="20">
        <f>IF(AND(OR(in_Mode="All Funds",AND(C110&gt;=in_BandFloor,C110&lt;=in_BandCeiling,OR(in_Geography="National",COUNTIFS(lst_GeoPreset,in_Geography,lst_GeoState,B110)&gt;0,AND(in_Geography="Custom",ISNUMBER(SEARCH(B110,SUBSTITUTE(in_CustomStates," ",""))))),OR(AND(D110="Endowment",Inputs!$B$14="Y"),AND(D110="Foundation",Inputs!$B$15="Y"),AND(D110="Healthcare",Inputs!$B$16="Y"),AND(D110="Pension",Inputs!$B$17="Y"),AND(D110="OCIO",Inputs!$B$18="Y"),AND(D110="Other",Inputs!$B$19="Y")))),A110&lt;&gt;in_ClientOrg,NOT(AND(in_ExclHarvard="Y",ISNUMBER(SEARCH("Harvard",A110))))),"Y","")</f>
        <v/>
      </c>
      <c r="G110" t="inlineStr">
        <is>
          <t>Mark Sinni</t>
        </is>
      </c>
      <c r="H110" t="inlineStr">
        <is>
          <t>DEPUTY CHIEF INVESTMENT OFFICER</t>
        </is>
      </c>
      <c r="I110" t="inlineStr">
        <is>
          <t>Deputy CIO</t>
        </is>
      </c>
      <c r="J110" s="21" t="n">
        <v>670554</v>
      </c>
      <c r="K110" s="21" t="n">
        <v>630000</v>
      </c>
      <c r="L110" s="21" t="n">
        <v>1300554</v>
      </c>
      <c r="M110" s="21" t="n">
        <v>486</v>
      </c>
      <c r="N110" s="21" t="n">
        <v>64400</v>
      </c>
      <c r="O110" s="21" t="n">
        <v>18174</v>
      </c>
      <c r="P110" s="21" t="n">
        <v>1383614</v>
      </c>
      <c r="Q110" s="21" t="n">
        <v>1383614</v>
      </c>
      <c r="R110" s="21">
        <f>IF(Q110="","",Q110*(1+in_GrowthRate)^(YEARFRAC(DATE(2025,6,30),in_AgeToDate)*IF(in_AgeToDate&lt;DATE(2025,6,30),-1,1)+1))</f>
        <v/>
      </c>
      <c r="S110" s="38" t="n">
        <v>0.9395216492631466</v>
      </c>
      <c r="T110" s="43">
        <f>HYPERLINK("https://projects.propublica.org/nonprofits/organizations/135562401/202513179349310251/full","view filing")</f>
        <v/>
      </c>
    </row>
    <row r="111">
      <c r="A111" t="inlineStr">
        <is>
          <t>Young Mens Christian Association Retirement Fund</t>
        </is>
      </c>
      <c r="B111" s="20" t="inlineStr">
        <is>
          <t>NY</t>
        </is>
      </c>
      <c r="C111" s="42" t="n">
        <v>9.75</v>
      </c>
      <c r="D111" t="inlineStr">
        <is>
          <t>Pension</t>
        </is>
      </c>
      <c r="E111" s="20" t="n">
        <v>2024</v>
      </c>
      <c r="F111" s="20" t="inlineStr"/>
      <c r="G111" t="inlineStr">
        <is>
          <t>Mark Sinni</t>
        </is>
      </c>
      <c r="H111" t="inlineStr">
        <is>
          <t>DEPUTY CHIEF INVESTMENT OFFICER</t>
        </is>
      </c>
      <c r="I111" t="inlineStr">
        <is>
          <t>Deputy CIO</t>
        </is>
      </c>
      <c r="J111" s="21" t="n">
        <v>641395</v>
      </c>
      <c r="K111" s="21" t="n">
        <v>610000</v>
      </c>
      <c r="L111" s="21" t="n">
        <v>1251395</v>
      </c>
      <c r="M111" s="21" t="n">
        <v>506</v>
      </c>
      <c r="N111" s="21" t="n">
        <v>62100</v>
      </c>
      <c r="O111" s="21" t="n">
        <v>15626</v>
      </c>
      <c r="P111" s="21" t="n">
        <v>1329627</v>
      </c>
      <c r="Q111" s="21" t="n">
        <v>1329627</v>
      </c>
      <c r="R111" s="21">
        <f>IF(Q111="","",Q111*(1+in_GrowthRate)^(YEARFRAC(DATE(2024,6,30),in_AgeToDate)*IF(in_AgeToDate&lt;DATE(2024,6,30),-1,1)+1))</f>
        <v/>
      </c>
      <c r="S111" s="38" t="n">
        <v>0.95105200383539</v>
      </c>
      <c r="T111" s="43">
        <f>HYPERLINK("https://projects.propublica.org/nonprofits/organizations/135562401/202403189349304075/full","view filing")</f>
        <v/>
      </c>
    </row>
    <row r="112">
      <c r="A112" t="inlineStr">
        <is>
          <t>Young Mens Christian Association Retirement Fund</t>
        </is>
      </c>
      <c r="B112" s="20" t="inlineStr">
        <is>
          <t>NY</t>
        </is>
      </c>
      <c r="C112" s="42" t="n">
        <v>9.75</v>
      </c>
      <c r="D112" t="inlineStr">
        <is>
          <t>Pension</t>
        </is>
      </c>
      <c r="E112" s="20" t="n">
        <v>2023</v>
      </c>
      <c r="F112" s="20" t="inlineStr"/>
      <c r="G112" t="inlineStr">
        <is>
          <t>Mark Sinni</t>
        </is>
      </c>
      <c r="H112" t="inlineStr">
        <is>
          <t>DEPUTY CHIEF INVESTMENT OFFICER</t>
        </is>
      </c>
      <c r="I112" t="inlineStr">
        <is>
          <t>Deputy CIO</t>
        </is>
      </c>
      <c r="J112" s="21" t="n">
        <v>584829</v>
      </c>
      <c r="K112" s="21" t="n">
        <v>440309</v>
      </c>
      <c r="L112" s="21" t="n">
        <v>1025138</v>
      </c>
      <c r="M112" s="21" t="n">
        <v>467</v>
      </c>
      <c r="N112" s="21" t="n">
        <v>57100</v>
      </c>
      <c r="O112" s="21" t="n">
        <v>22623</v>
      </c>
      <c r="P112" s="21" t="n">
        <v>1105328</v>
      </c>
      <c r="Q112" s="21" t="n">
        <v>1105328</v>
      </c>
      <c r="R112" s="21">
        <f>IF(Q112="","",Q112*(1+in_GrowthRate)^(YEARFRAC(DATE(2023,6,30),in_AgeToDate)*IF(in_AgeToDate&lt;DATE(2023,6,30),-1,1)+1))</f>
        <v/>
      </c>
      <c r="S112" s="38" t="n">
        <v>0.7528850313510445</v>
      </c>
      <c r="T112" s="43">
        <f>HYPERLINK("https://projects.propublica.org/nonprofits/organizations/135562401/202303189349310585/full","view filing")</f>
        <v/>
      </c>
    </row>
    <row r="113"/>
  </sheetData>
  <autoFilter ref="A24:T112"/>
  <printOptions horizontalCentered="1"/>
  <pageMargins left="0.75" right="0.75" top="1" bottom="1" header="0.5" footer="0.5"/>
  <pageSetup orientation="landscape" fitToHeight="0" fitToWidth="1"/>
  <headerFooter>
    <oddHeader/>
    <oddFooter>&amp;LMichael Oak Advisors&amp;R&amp;P of &amp;N</oddFooter>
    <evenHeader/>
    <evenFooter/>
    <firstHeader/>
    <firstFooter/>
  </headerFooter>
</worksheet>
</file>

<file path=xl/worksheets/sheet5.xml><?xml version="1.0" encoding="utf-8"?>
<worksheet xmlns="http://schemas.openxmlformats.org/spreadsheetml/2006/main">
  <sheetPr>
    <tabColor rgb="002E7D8F"/>
    <outlinePr summaryBelow="1" summaryRight="1"/>
    <pageSetUpPr fitToPage="1"/>
  </sheetPr>
  <dimension ref="A1:T424"/>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34" customWidth="1" min="1" max="1"/>
    <col width="15" customWidth="1" min="2" max="2"/>
    <col width="12" customWidth="1" min="3" max="3"/>
    <col width="14" customWidth="1" min="4" max="4"/>
    <col width="12" customWidth="1" min="5" max="5"/>
    <col width="12" customWidth="1" min="6" max="6"/>
    <col width="24" customWidth="1" min="7" max="7"/>
    <col width="32"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s>
  <sheetData>
    <row r="1">
      <c r="A1" s="1" t="inlineStr">
        <is>
          <t>Managing Director</t>
        </is>
      </c>
    </row>
    <row r="2">
      <c r="A2" s="19" t="inlineStr">
        <is>
          <t>Investments</t>
        </is>
      </c>
    </row>
    <row r="3">
      <c r="A3" s="19">
        <f>Summary!$A$5&amp;""</f>
        <v/>
      </c>
    </row>
    <row r="4">
      <c r="A4" s="2">
        <f>IF(Inputs!$B$21="","Select your organization on Inputs to compare.","Your organization: "&amp;Inputs!$B$21&amp;", excluded from the market columns.")</f>
        <v/>
      </c>
    </row>
    <row r="5">
      <c r="A5" s="34">
        <f>IF($I13&gt;=2,"","Too few people for a market statistic at this filter: "&amp;$I13&amp;" at "&amp;$H13&amp;" organization(s). Records below.")</f>
        <v/>
      </c>
      <c r="C5" s="2" t="inlineStr">
        <is>
          <t>Market</t>
        </is>
      </c>
      <c r="J5" s="2" t="inlineStr">
        <is>
          <t>Your organization</t>
        </is>
      </c>
      <c r="N5" s="2" t="inlineStr">
        <is>
          <t>Estimated (1)</t>
        </is>
      </c>
    </row>
    <row r="6" ht="20" customHeight="1">
      <c r="A6" s="35" t="inlineStr"/>
      <c r="B6" s="35" t="inlineStr">
        <is>
          <t>basis</t>
        </is>
      </c>
      <c r="C6" s="35" t="inlineStr">
        <is>
          <t>P25</t>
        </is>
      </c>
      <c r="D6" s="35" t="inlineStr">
        <is>
          <t>P50</t>
        </is>
      </c>
      <c r="E6" s="35" t="inlineStr">
        <is>
          <t>P75</t>
        </is>
      </c>
      <c r="F6" s="35" t="inlineStr">
        <is>
          <t>P90</t>
        </is>
      </c>
      <c r="G6" s="35" t="inlineStr">
        <is>
          <t>Average</t>
        </is>
      </c>
      <c r="H6" s="35" t="inlineStr">
        <is>
          <t>#Orgs</t>
        </is>
      </c>
      <c r="I6" s="35" t="inlineStr">
        <is>
          <t>#People</t>
        </is>
      </c>
      <c r="J6" s="36" t="inlineStr">
        <is>
          <t>Value</t>
        </is>
      </c>
      <c r="K6" s="36" t="inlineStr">
        <is>
          <t>vs P50</t>
        </is>
      </c>
      <c r="L6" s="36" t="inlineStr">
        <is>
          <t>Percentile</t>
        </is>
      </c>
      <c r="M6" s="36" t="inlineStr">
        <is>
          <t>#People</t>
        </is>
      </c>
      <c r="N6" s="35" t="inlineStr">
        <is>
          <t>Est. P25</t>
        </is>
      </c>
      <c r="O6" s="35" t="inlineStr">
        <is>
          <t>Est. P75</t>
        </is>
      </c>
      <c r="P6" s="35" t="inlineStr">
        <is>
          <t>Est. P90</t>
        </is>
      </c>
    </row>
    <row r="7">
      <c r="A7" s="2" t="inlineStr">
        <is>
          <t>Base salary</t>
        </is>
      </c>
      <c r="B7" s="19" t="inlineStr">
        <is>
          <t>Schedule J only</t>
        </is>
      </c>
      <c r="C7" s="21">
        <f>IF($I7&gt;=k_MinQuartile,MROUND(_xlfn.PERCENTILE.INC(_xlfn._xlws.FILTER(Records[(B)(i) Base],(Records[Role Group]="Managing Director")*(Records[Include]="Y")*(Records[Total Cash]&lt;&gt;"")),0.25),k_RoundTo),"")</f>
        <v/>
      </c>
      <c r="D7" s="22">
        <f>IF($I7&gt;=k_MinMedian,MROUND(_xlfn.PERCENTILE.INC(_xlfn._xlws.FILTER(Records[(B)(i) Base],(Records[Role Group]="Managing Director")*(Records[Include]="Y")*(Records[Total Cash]&lt;&gt;"")),0.5),k_RoundTo),"")</f>
        <v/>
      </c>
      <c r="E7" s="21">
        <f>IF($I7&gt;=k_MinQuartile,MROUND(_xlfn.PERCENTILE.INC(_xlfn._xlws.FILTER(Records[(B)(i) Base],(Records[Role Group]="Managing Director")*(Records[Include]="Y")*(Records[Total Cash]&lt;&gt;"")),0.75),k_RoundTo),"")</f>
        <v/>
      </c>
      <c r="F7" s="21">
        <f>IF($I7&gt;=k_MinQuartile,MROUND(_xlfn.PERCENTILE.INC(_xlfn._xlws.FILTER(Records[(B)(i) Base],(Records[Role Group]="Managing Director")*(Records[Include]="Y")*(Records[Total Cash]&lt;&gt;"")),0.9),k_RoundTo),"")</f>
        <v/>
      </c>
      <c r="G7" s="21">
        <f>IF($I7&gt;=k_MinMedian,MROUND(AVERAGE(_xlfn._xlws.FILTER(Records[(B)(i) Base],(Records[Role Group]="Managing Director")*(Records[Include]="Y")*(Records[Total Cash]&lt;&gt;""))),k_RoundTo),"")</f>
        <v/>
      </c>
      <c r="H7" s="20">
        <f>IFERROR(SUMPRODUCT(((Records[Role Group]="Managing Director")*(Records[Include]="Y")*(Records[Total Cash]&lt;&gt;""))/(COUNTIFS(Records[Organization],Records[Organization]&amp;"",Records[Role Group],"Managing Director",Records[Include],"Y")+(COUNTIFS(Records[Organization],Records[Organization]&amp;"",Records[Role Group],"Managing Director",Records[Include],"Y")=0))),0)</f>
        <v/>
      </c>
      <c r="I7" s="20">
        <f>SUMPRODUCT((Records[Role Group]="Managing Director")*(Records[Include]="Y")*(Records[Total Cash]&lt;&gt;""))</f>
        <v/>
      </c>
      <c r="J7" s="23">
        <f>IF(Inputs!$B$21="","",IFERROR(MAX(_xlfn._xlws.FILTER(Records[(B)(i) Base],(Records[Role Group]="Managing Director")*(Records[Organization]=Inputs!$B$21)*(Records[Most Recent]="Y")*(Records[Total Cash]&lt;&gt;""))),""))</f>
        <v/>
      </c>
      <c r="K7" s="24">
        <f>IF(OR($J7="",$D7=""),"",$J7/$D7-1)</f>
        <v/>
      </c>
      <c r="L7" s="25">
        <f>IF($I7&gt;=k_MinQuartile,IF(OR($J7="",$J7=0),"",IFERROR(PERCENTRANK.INC(_xlfn._xlws.FILTER(Records[(B)(i) Base],(Records[Role Group]="Managing Director")*(Records[Include]="Y")*(Records[Total Cash]&lt;&gt;"")),$J7,4),"")),"")</f>
        <v/>
      </c>
      <c r="M7" s="37">
        <f>IF(Inputs!$B$21="","",SUMPRODUCT((Records[Role Group]="Managing Director")*(Records[Organization]=Inputs!$B$21)*(Records[Most Recent]="Y")*(Records[Total Cash]&lt;&gt;"")))</f>
        <v/>
      </c>
      <c r="N7" s="26">
        <f>IF(AND($I7&gt;=k_MinMedian,$I7&lt;k_MinQuartile,$D7&lt;&gt;""),MROUND($D7*k_Est_base_staff_25,k_RoundTo),"")</f>
        <v/>
      </c>
      <c r="O7" s="26">
        <f>IF(AND($I7&gt;=k_MinMedian,$I7&lt;k_MinQuartile,$D7&lt;&gt;""),MROUND($D7*k_Est_base_staff_75,k_RoundTo),"")</f>
        <v/>
      </c>
      <c r="P7" s="26">
        <f>IF(AND($I7&gt;=k_MinMedian,$I7&lt;k_MinQuartile,$D7&lt;&gt;""),MROUND($D7*k_Est_base_staff_90,k_RoundTo),"")</f>
        <v/>
      </c>
    </row>
    <row r="8">
      <c r="A8" s="2" t="inlineStr">
        <is>
          <t>Incentive / bonus</t>
        </is>
      </c>
      <c r="B8" s="19" t="inlineStr">
        <is>
          <t>Schedule J only</t>
        </is>
      </c>
      <c r="C8" s="21">
        <f>IF($I8&gt;=k_MinQuartile,MROUND(_xlfn.PERCENTILE.INC(_xlfn._xlws.FILTER(Records[(B)(ii) Bonus],(Records[Role Group]="Managing Director")*(Records[Include]="Y")*(Records[Total Cash]&lt;&gt;"")),0.25),k_RoundTo),"")</f>
        <v/>
      </c>
      <c r="D8" s="22">
        <f>IF($I8&gt;=k_MinMedian,MROUND(_xlfn.PERCENTILE.INC(_xlfn._xlws.FILTER(Records[(B)(ii) Bonus],(Records[Role Group]="Managing Director")*(Records[Include]="Y")*(Records[Total Cash]&lt;&gt;"")),0.5),k_RoundTo),"")</f>
        <v/>
      </c>
      <c r="E8" s="21">
        <f>IF($I8&gt;=k_MinQuartile,MROUND(_xlfn.PERCENTILE.INC(_xlfn._xlws.FILTER(Records[(B)(ii) Bonus],(Records[Role Group]="Managing Director")*(Records[Include]="Y")*(Records[Total Cash]&lt;&gt;"")),0.75),k_RoundTo),"")</f>
        <v/>
      </c>
      <c r="F8" s="21">
        <f>IF($I8&gt;=k_MinQuartile,MROUND(_xlfn.PERCENTILE.INC(_xlfn._xlws.FILTER(Records[(B)(ii) Bonus],(Records[Role Group]="Managing Director")*(Records[Include]="Y")*(Records[Total Cash]&lt;&gt;"")),0.9),k_RoundTo),"")</f>
        <v/>
      </c>
      <c r="G8" s="21">
        <f>IF($I8&gt;=k_MinMedian,MROUND(AVERAGE(_xlfn._xlws.FILTER(Records[(B)(ii) Bonus],(Records[Role Group]="Managing Director")*(Records[Include]="Y")*(Records[Total Cash]&lt;&gt;""))),k_RoundTo),"")</f>
        <v/>
      </c>
      <c r="H8" s="20">
        <f>IFERROR(SUMPRODUCT(((Records[Role Group]="Managing Director")*(Records[Include]="Y")*(Records[Total Cash]&lt;&gt;""))/(COUNTIFS(Records[Organization],Records[Organization]&amp;"",Records[Role Group],"Managing Director",Records[Include],"Y")+(COUNTIFS(Records[Organization],Records[Organization]&amp;"",Records[Role Group],"Managing Director",Records[Include],"Y")=0))),0)</f>
        <v/>
      </c>
      <c r="I8" s="20">
        <f>SUMPRODUCT((Records[Role Group]="Managing Director")*(Records[Include]="Y")*(Records[Total Cash]&lt;&gt;""))</f>
        <v/>
      </c>
      <c r="J8" s="23">
        <f>IF(Inputs!$B$21="","",IFERROR(MAX(_xlfn._xlws.FILTER(Records[(B)(ii) Bonus],(Records[Role Group]="Managing Director")*(Records[Organization]=Inputs!$B$21)*(Records[Most Recent]="Y")*(Records[Total Cash]&lt;&gt;""))),""))</f>
        <v/>
      </c>
      <c r="K8" s="24">
        <f>IF(OR($J8="",$D8=""),"",$J8/$D8-1)</f>
        <v/>
      </c>
      <c r="L8" s="25">
        <f>IF($I8&gt;=k_MinQuartile,IF(OR($J8="",$J8=0),"",IFERROR(PERCENTRANK.INC(_xlfn._xlws.FILTER(Records[(B)(ii) Bonus],(Records[Role Group]="Managing Director")*(Records[Include]="Y")*(Records[Total Cash]&lt;&gt;"")),$J8,4),"")),"")</f>
        <v/>
      </c>
      <c r="M8" s="37">
        <f>IF(Inputs!$B$21="","",SUMPRODUCT((Records[Role Group]="Managing Director")*(Records[Organization]=Inputs!$B$21)*(Records[Most Recent]="Y")*(Records[Total Cash]&lt;&gt;"")))</f>
        <v/>
      </c>
    </row>
    <row r="9">
      <c r="A9" s="2" t="inlineStr">
        <is>
          <t>Total cash</t>
        </is>
      </c>
      <c r="B9" s="19" t="inlineStr">
        <is>
          <t>all filers</t>
        </is>
      </c>
      <c r="C9" s="21">
        <f>IF($I9&gt;=k_MinQuartile,MROUND(_xlfn.PERCENTILE.INC(_xlfn._xlws.FILTER(Records[Total Cash],(Records[Role Group]="Managing Director")*(Records[Include]="Y")*(Records[Total Cash]&gt;0)),0.25),k_RoundTo),"")</f>
        <v/>
      </c>
      <c r="D9" s="22">
        <f>IF($I9&gt;=k_MinMedian,MROUND(_xlfn.PERCENTILE.INC(_xlfn._xlws.FILTER(Records[Total Cash],(Records[Role Group]="Managing Director")*(Records[Include]="Y")*(Records[Total Cash]&gt;0)),0.5),k_RoundTo),"")</f>
        <v/>
      </c>
      <c r="E9" s="21">
        <f>IF($I9&gt;=k_MinQuartile,MROUND(_xlfn.PERCENTILE.INC(_xlfn._xlws.FILTER(Records[Total Cash],(Records[Role Group]="Managing Director")*(Records[Include]="Y")*(Records[Total Cash]&gt;0)),0.75),k_RoundTo),"")</f>
        <v/>
      </c>
      <c r="F9" s="21">
        <f>IF($I9&gt;=k_MinQuartile,MROUND(_xlfn.PERCENTILE.INC(_xlfn._xlws.FILTER(Records[Total Cash],(Records[Role Group]="Managing Director")*(Records[Include]="Y")*(Records[Total Cash]&gt;0)),0.9),k_RoundTo),"")</f>
        <v/>
      </c>
      <c r="G9" s="21">
        <f>IF($I9&gt;=k_MinMedian,MROUND(AVERAGE(_xlfn._xlws.FILTER(Records[Total Cash],(Records[Role Group]="Managing Director")*(Records[Include]="Y")*(Records[Total Cash]&gt;0))),k_RoundTo),"")</f>
        <v/>
      </c>
      <c r="H9" s="20">
        <f>IFERROR(SUMPRODUCT(((Records[Role Group]="Managing Director")*(Records[Include]="Y")*(Records[Total Cash]&gt;0))/(COUNTIFS(Records[Organization],Records[Organization]&amp;"",Records[Role Group],"Managing Director",Records[Include],"Y")+(COUNTIFS(Records[Organization],Records[Organization]&amp;"",Records[Role Group],"Managing Director",Records[Include],"Y")=0))),0)</f>
        <v/>
      </c>
      <c r="I9" s="20">
        <f>SUMPRODUCT((Records[Role Group]="Managing Director")*(Records[Include]="Y")*(Records[Total Cash]&gt;0))</f>
        <v/>
      </c>
      <c r="J9" s="23">
        <f>IF(Inputs!$B$21="","",IFERROR(MAX(_xlfn._xlws.FILTER(Records[Total Cash],(Records[Role Group]="Managing Director")*(Records[Organization]=Inputs!$B$21)*(Records[Most Recent]="Y")*(Records[Total Cash]&gt;0))),""))</f>
        <v/>
      </c>
      <c r="K9" s="24">
        <f>IF(OR($J9="",$D9=""),"",$J9/$D9-1)</f>
        <v/>
      </c>
      <c r="L9" s="25">
        <f>IF($I9&gt;=k_MinQuartile,IF(OR($J9="",$J9=0),"",IFERROR(PERCENTRANK.INC(_xlfn._xlws.FILTER(Records[Total Cash],(Records[Role Group]="Managing Director")*(Records[Include]="Y")*(Records[Total Cash]&gt;0)),$J9,4),"")),"")</f>
        <v/>
      </c>
      <c r="M9" s="37">
        <f>IF(Inputs!$B$21="","",SUMPRODUCT((Records[Role Group]="Managing Director")*(Records[Organization]=Inputs!$B$21)*(Records[Most Recent]="Y")*(Records[Total Cash]&gt;0)))</f>
        <v/>
      </c>
    </row>
    <row r="10">
      <c r="A10" s="2" t="inlineStr">
        <is>
          <t>Other reportable</t>
        </is>
      </c>
      <c r="B10" s="19" t="inlineStr">
        <is>
          <t>Schedule J only</t>
        </is>
      </c>
      <c r="C10" s="21">
        <f>IF($I10&gt;=k_MinQuartile,MROUND(_xlfn.PERCENTILE.INC(_xlfn._xlws.FILTER(Records[(B)(iii) Other],(Records[Role Group]="Managing Director")*(Records[Include]="Y")*(Records[Total Cash]&lt;&gt;"")),0.25),k_RoundTo),"")</f>
        <v/>
      </c>
      <c r="D10" s="22">
        <f>IF($I10&gt;=k_MinMedian,MROUND(_xlfn.PERCENTILE.INC(_xlfn._xlws.FILTER(Records[(B)(iii) Other],(Records[Role Group]="Managing Director")*(Records[Include]="Y")*(Records[Total Cash]&lt;&gt;"")),0.5),k_RoundTo),"")</f>
        <v/>
      </c>
      <c r="E10" s="21">
        <f>IF($I10&gt;=k_MinQuartile,MROUND(_xlfn.PERCENTILE.INC(_xlfn._xlws.FILTER(Records[(B)(iii) Other],(Records[Role Group]="Managing Director")*(Records[Include]="Y")*(Records[Total Cash]&lt;&gt;"")),0.75),k_RoundTo),"")</f>
        <v/>
      </c>
      <c r="F10" s="21">
        <f>IF($I10&gt;=k_MinQuartile,MROUND(_xlfn.PERCENTILE.INC(_xlfn._xlws.FILTER(Records[(B)(iii) Other],(Records[Role Group]="Managing Director")*(Records[Include]="Y")*(Records[Total Cash]&lt;&gt;"")),0.9),k_RoundTo),"")</f>
        <v/>
      </c>
      <c r="G10" s="21">
        <f>IF($I10&gt;=k_MinMedian,MROUND(AVERAGE(_xlfn._xlws.FILTER(Records[(B)(iii) Other],(Records[Role Group]="Managing Director")*(Records[Include]="Y")*(Records[Total Cash]&lt;&gt;""))),k_RoundTo),"")</f>
        <v/>
      </c>
      <c r="H10" s="20">
        <f>IFERROR(SUMPRODUCT(((Records[Role Group]="Managing Director")*(Records[Include]="Y")*(Records[Total Cash]&lt;&gt;""))/(COUNTIFS(Records[Organization],Records[Organization]&amp;"",Records[Role Group],"Managing Director",Records[Include],"Y")+(COUNTIFS(Records[Organization],Records[Organization]&amp;"",Records[Role Group],"Managing Director",Records[Include],"Y")=0))),0)</f>
        <v/>
      </c>
      <c r="I10" s="20">
        <f>SUMPRODUCT((Records[Role Group]="Managing Director")*(Records[Include]="Y")*(Records[Total Cash]&lt;&gt;""))</f>
        <v/>
      </c>
      <c r="J10" s="23">
        <f>IF(Inputs!$B$21="","",IFERROR(MAX(_xlfn._xlws.FILTER(Records[(B)(iii) Other],(Records[Role Group]="Managing Director")*(Records[Organization]=Inputs!$B$21)*(Records[Most Recent]="Y")*(Records[Total Cash]&lt;&gt;""))),""))</f>
        <v/>
      </c>
      <c r="K10" s="24">
        <f>IF(OR($J10="",$D10=""),"",$J10/$D10-1)</f>
        <v/>
      </c>
      <c r="L10" s="25">
        <f>IF($I10&gt;=k_MinQuartile,IF(OR($J10="",$J10=0),"",IFERROR(PERCENTRANK.INC(_xlfn._xlws.FILTER(Records[(B)(iii) Other],(Records[Role Group]="Managing Director")*(Records[Include]="Y")*(Records[Total Cash]&lt;&gt;"")),$J10,4),"")),"")</f>
        <v/>
      </c>
      <c r="M10" s="37">
        <f>IF(Inputs!$B$21="","",SUMPRODUCT((Records[Role Group]="Managing Director")*(Records[Organization]=Inputs!$B$21)*(Records[Most Recent]="Y")*(Records[Total Cash]&lt;&gt;"")))</f>
        <v/>
      </c>
    </row>
    <row r="11">
      <c r="A11" s="2" t="inlineStr">
        <is>
          <t>Deferred</t>
        </is>
      </c>
      <c r="B11" s="19" t="inlineStr">
        <is>
          <t>Schedule J only</t>
        </is>
      </c>
      <c r="C11" s="21">
        <f>IF($I11&gt;=k_MinQuartile,MROUND(_xlfn.PERCENTILE.INC(_xlfn._xlws.FILTER(Records[(C) Deferred],(Records[Role Group]="Managing Director")*(Records[Include]="Y")*(Records[Total Cash]&lt;&gt;"")),0.25),k_RoundTo),"")</f>
        <v/>
      </c>
      <c r="D11" s="22">
        <f>IF($I11&gt;=k_MinMedian,MROUND(_xlfn.PERCENTILE.INC(_xlfn._xlws.FILTER(Records[(C) Deferred],(Records[Role Group]="Managing Director")*(Records[Include]="Y")*(Records[Total Cash]&lt;&gt;"")),0.5),k_RoundTo),"")</f>
        <v/>
      </c>
      <c r="E11" s="21">
        <f>IF($I11&gt;=k_MinQuartile,MROUND(_xlfn.PERCENTILE.INC(_xlfn._xlws.FILTER(Records[(C) Deferred],(Records[Role Group]="Managing Director")*(Records[Include]="Y")*(Records[Total Cash]&lt;&gt;"")),0.75),k_RoundTo),"")</f>
        <v/>
      </c>
      <c r="F11" s="21">
        <f>IF($I11&gt;=k_MinQuartile,MROUND(_xlfn.PERCENTILE.INC(_xlfn._xlws.FILTER(Records[(C) Deferred],(Records[Role Group]="Managing Director")*(Records[Include]="Y")*(Records[Total Cash]&lt;&gt;"")),0.9),k_RoundTo),"")</f>
        <v/>
      </c>
      <c r="G11" s="21">
        <f>IF($I11&gt;=k_MinMedian,MROUND(AVERAGE(_xlfn._xlws.FILTER(Records[(C) Deferred],(Records[Role Group]="Managing Director")*(Records[Include]="Y")*(Records[Total Cash]&lt;&gt;""))),k_RoundTo),"")</f>
        <v/>
      </c>
      <c r="H11" s="20">
        <f>IFERROR(SUMPRODUCT(((Records[Role Group]="Managing Director")*(Records[Include]="Y")*(Records[Total Cash]&lt;&gt;""))/(COUNTIFS(Records[Organization],Records[Organization]&amp;"",Records[Role Group],"Managing Director",Records[Include],"Y")+(COUNTIFS(Records[Organization],Records[Organization]&amp;"",Records[Role Group],"Managing Director",Records[Include],"Y")=0))),0)</f>
        <v/>
      </c>
      <c r="I11" s="20">
        <f>SUMPRODUCT((Records[Role Group]="Managing Director")*(Records[Include]="Y")*(Records[Total Cash]&lt;&gt;""))</f>
        <v/>
      </c>
      <c r="J11" s="23">
        <f>IF(Inputs!$B$21="","",IFERROR(MAX(_xlfn._xlws.FILTER(Records[(C) Deferred],(Records[Role Group]="Managing Director")*(Records[Organization]=Inputs!$B$21)*(Records[Most Recent]="Y")*(Records[Total Cash]&lt;&gt;""))),""))</f>
        <v/>
      </c>
      <c r="K11" s="24">
        <f>IF(OR($J11="",$D11=""),"",$J11/$D11-1)</f>
        <v/>
      </c>
      <c r="L11" s="25">
        <f>IF($I11&gt;=k_MinQuartile,IF(OR($J11="",$J11=0),"",IFERROR(PERCENTRANK.INC(_xlfn._xlws.FILTER(Records[(C) Deferred],(Records[Role Group]="Managing Director")*(Records[Include]="Y")*(Records[Total Cash]&lt;&gt;"")),$J11,4),"")),"")</f>
        <v/>
      </c>
      <c r="M11" s="37">
        <f>IF(Inputs!$B$21="","",SUMPRODUCT((Records[Role Group]="Managing Director")*(Records[Organization]=Inputs!$B$21)*(Records[Most Recent]="Y")*(Records[Total Cash]&lt;&gt;"")))</f>
        <v/>
      </c>
    </row>
    <row r="12">
      <c r="A12" s="2" t="inlineStr">
        <is>
          <t>Nontaxable benefits</t>
        </is>
      </c>
      <c r="B12" s="19" t="inlineStr">
        <is>
          <t>Schedule J only</t>
        </is>
      </c>
      <c r="C12" s="21">
        <f>IF($I12&gt;=k_MinQuartile,MROUND(_xlfn.PERCENTILE.INC(_xlfn._xlws.FILTER(Records[(D) Nontax Benefits],(Records[Role Group]="Managing Director")*(Records[Include]="Y")*(Records[Total Cash]&lt;&gt;"")),0.25),k_RoundTo),"")</f>
        <v/>
      </c>
      <c r="D12" s="22">
        <f>IF($I12&gt;=k_MinMedian,MROUND(_xlfn.PERCENTILE.INC(_xlfn._xlws.FILTER(Records[(D) Nontax Benefits],(Records[Role Group]="Managing Director")*(Records[Include]="Y")*(Records[Total Cash]&lt;&gt;"")),0.5),k_RoundTo),"")</f>
        <v/>
      </c>
      <c r="E12" s="21">
        <f>IF($I12&gt;=k_MinQuartile,MROUND(_xlfn.PERCENTILE.INC(_xlfn._xlws.FILTER(Records[(D) Nontax Benefits],(Records[Role Group]="Managing Director")*(Records[Include]="Y")*(Records[Total Cash]&lt;&gt;"")),0.75),k_RoundTo),"")</f>
        <v/>
      </c>
      <c r="F12" s="21">
        <f>IF($I12&gt;=k_MinQuartile,MROUND(_xlfn.PERCENTILE.INC(_xlfn._xlws.FILTER(Records[(D) Nontax Benefits],(Records[Role Group]="Managing Director")*(Records[Include]="Y")*(Records[Total Cash]&lt;&gt;"")),0.9),k_RoundTo),"")</f>
        <v/>
      </c>
      <c r="G12" s="21">
        <f>IF($I12&gt;=k_MinMedian,MROUND(AVERAGE(_xlfn._xlws.FILTER(Records[(D) Nontax Benefits],(Records[Role Group]="Managing Director")*(Records[Include]="Y")*(Records[Total Cash]&lt;&gt;""))),k_RoundTo),"")</f>
        <v/>
      </c>
      <c r="H12" s="20">
        <f>IFERROR(SUMPRODUCT(((Records[Role Group]="Managing Director")*(Records[Include]="Y")*(Records[Total Cash]&lt;&gt;""))/(COUNTIFS(Records[Organization],Records[Organization]&amp;"",Records[Role Group],"Managing Director",Records[Include],"Y")+(COUNTIFS(Records[Organization],Records[Organization]&amp;"",Records[Role Group],"Managing Director",Records[Include],"Y")=0))),0)</f>
        <v/>
      </c>
      <c r="I12" s="20">
        <f>SUMPRODUCT((Records[Role Group]="Managing Director")*(Records[Include]="Y")*(Records[Total Cash]&lt;&gt;""))</f>
        <v/>
      </c>
      <c r="J12" s="23">
        <f>IF(Inputs!$B$21="","",IFERROR(MAX(_xlfn._xlws.FILTER(Records[(D) Nontax Benefits],(Records[Role Group]="Managing Director")*(Records[Organization]=Inputs!$B$21)*(Records[Most Recent]="Y")*(Records[Total Cash]&lt;&gt;""))),""))</f>
        <v/>
      </c>
      <c r="K12" s="24">
        <f>IF(OR($J12="",$D12=""),"",$J12/$D12-1)</f>
        <v/>
      </c>
      <c r="L12" s="25">
        <f>IF($I12&gt;=k_MinQuartile,IF(OR($J12="",$J12=0),"",IFERROR(PERCENTRANK.INC(_xlfn._xlws.FILTER(Records[(D) Nontax Benefits],(Records[Role Group]="Managing Director")*(Records[Include]="Y")*(Records[Total Cash]&lt;&gt;"")),$J12,4),"")),"")</f>
        <v/>
      </c>
      <c r="M12" s="37">
        <f>IF(Inputs!$B$21="","",SUMPRODUCT((Records[Role Group]="Managing Director")*(Records[Organization]=Inputs!$B$21)*(Records[Most Recent]="Y")*(Records[Total Cash]&lt;&gt;"")))</f>
        <v/>
      </c>
    </row>
    <row r="13">
      <c r="A13" s="2" t="inlineStr">
        <is>
          <t>Total compensation</t>
        </is>
      </c>
      <c r="B13" s="19" t="inlineStr">
        <is>
          <t>all filers</t>
        </is>
      </c>
      <c r="C13" s="21">
        <f>IF($I13&gt;=k_MinQuartile,MROUND(_xlfn.PERCENTILE.INC(_xlfn._xlws.FILTER(Records[(E) Total Comp],(Records[Role Group]="Managing Director")*(Records[Include]="Y")*(Records[(E) Total Comp]&gt;0)),0.25),k_RoundTo),"")</f>
        <v/>
      </c>
      <c r="D13" s="22">
        <f>IF($I13&gt;=k_MinMedian,MROUND(_xlfn.PERCENTILE.INC(_xlfn._xlws.FILTER(Records[(E) Total Comp],(Records[Role Group]="Managing Director")*(Records[Include]="Y")*(Records[(E) Total Comp]&gt;0)),0.5),k_RoundTo),"")</f>
        <v/>
      </c>
      <c r="E13" s="21">
        <f>IF($I13&gt;=k_MinQuartile,MROUND(_xlfn.PERCENTILE.INC(_xlfn._xlws.FILTER(Records[(E) Total Comp],(Records[Role Group]="Managing Director")*(Records[Include]="Y")*(Records[(E) Total Comp]&gt;0)),0.75),k_RoundTo),"")</f>
        <v/>
      </c>
      <c r="F13" s="21">
        <f>IF($I13&gt;=k_MinQuartile,MROUND(_xlfn.PERCENTILE.INC(_xlfn._xlws.FILTER(Records[(E) Total Comp],(Records[Role Group]="Managing Director")*(Records[Include]="Y")*(Records[(E) Total Comp]&gt;0)),0.9),k_RoundTo),"")</f>
        <v/>
      </c>
      <c r="G13" s="21">
        <f>IF($I13&gt;=k_MinMedian,MROUND(AVERAGE(_xlfn._xlws.FILTER(Records[(E) Total Comp],(Records[Role Group]="Managing Director")*(Records[Include]="Y")*(Records[(E) Total Comp]&gt;0))),k_RoundTo),"")</f>
        <v/>
      </c>
      <c r="H13" s="20">
        <f>IFERROR(SUMPRODUCT(((Records[Role Group]="Managing Director")*(Records[Include]="Y")*(Records[(E) Total Comp]&gt;0))/(COUNTIFS(Records[Organization],Records[Organization]&amp;"",Records[Role Group],"Managing Director",Records[Include],"Y")+(COUNTIFS(Records[Organization],Records[Organization]&amp;"",Records[Role Group],"Managing Director",Records[Include],"Y")=0))),0)</f>
        <v/>
      </c>
      <c r="I13" s="20">
        <f>SUMPRODUCT((Records[Role Group]="Managing Director")*(Records[Include]="Y")*(Records[(E) Total Comp]&gt;0))</f>
        <v/>
      </c>
      <c r="J13" s="23">
        <f>IF(Inputs!$B$21="","",IFERROR(MAX(_xlfn._xlws.FILTER(Records[(E) Total Comp],(Records[Role Group]="Managing Director")*(Records[Organization]=Inputs!$B$21)*(Records[Most Recent]="Y")*(Records[(E) Total Comp]&gt;0))),""))</f>
        <v/>
      </c>
      <c r="K13" s="24">
        <f>IF(OR($J13="",$D13=""),"",$J13/$D13-1)</f>
        <v/>
      </c>
      <c r="L13" s="25">
        <f>IF($I13&gt;=k_MinQuartile,IF(OR($J13="",$J13=0),"",IFERROR(PERCENTRANK.INC(_xlfn._xlws.FILTER(Records[(E) Total Comp],(Records[Role Group]="Managing Director")*(Records[Include]="Y")*(Records[(E) Total Comp]&gt;0)),$J13,4),"")),"")</f>
        <v/>
      </c>
      <c r="M13" s="37">
        <f>IF(Inputs!$B$21="","",SUMPRODUCT((Records[Role Group]="Managing Director")*(Records[Organization]=Inputs!$B$21)*(Records[Most Recent]="Y")*(Records[(E) Total Comp]&gt;0)))</f>
        <v/>
      </c>
    </row>
    <row r="14">
      <c r="A14" s="2" t="inlineStr">
        <is>
          <t>Adjusted total</t>
        </is>
      </c>
      <c r="B14" s="19" t="inlineStr">
        <is>
          <t>all filers</t>
        </is>
      </c>
      <c r="C14" s="21">
        <f>IF($I14&gt;=k_MinQuartile,MROUND(_xlfn.PERCENTILE.INC(_xlfn._xlws.FILTER(Records[Adj Total],(Records[Role Group]="Managing Director")*(Records[Include]="Y")*(Records[Adj Total]&gt;0)),0.25),k_RoundTo),"")</f>
        <v/>
      </c>
      <c r="D14" s="22">
        <f>IF($I14&gt;=k_MinMedian,MROUND(_xlfn.PERCENTILE.INC(_xlfn._xlws.FILTER(Records[Adj Total],(Records[Role Group]="Managing Director")*(Records[Include]="Y")*(Records[Adj Total]&gt;0)),0.5),k_RoundTo),"")</f>
        <v/>
      </c>
      <c r="E14" s="21">
        <f>IF($I14&gt;=k_MinQuartile,MROUND(_xlfn.PERCENTILE.INC(_xlfn._xlws.FILTER(Records[Adj Total],(Records[Role Group]="Managing Director")*(Records[Include]="Y")*(Records[Adj Total]&gt;0)),0.75),k_RoundTo),"")</f>
        <v/>
      </c>
      <c r="F14" s="21">
        <f>IF($I14&gt;=k_MinQuartile,MROUND(_xlfn.PERCENTILE.INC(_xlfn._xlws.FILTER(Records[Adj Total],(Records[Role Group]="Managing Director")*(Records[Include]="Y")*(Records[Adj Total]&gt;0)),0.9),k_RoundTo),"")</f>
        <v/>
      </c>
      <c r="G14" s="21">
        <f>IF($I14&gt;=k_MinMedian,MROUND(AVERAGE(_xlfn._xlws.FILTER(Records[Adj Total],(Records[Role Group]="Managing Director")*(Records[Include]="Y")*(Records[Adj Total]&gt;0))),k_RoundTo),"")</f>
        <v/>
      </c>
      <c r="H14" s="20">
        <f>IFERROR(SUMPRODUCT(((Records[Role Group]="Managing Director")*(Records[Include]="Y")*(Records[Adj Total]&gt;0))/(COUNTIFS(Records[Organization],Records[Organization]&amp;"",Records[Role Group],"Managing Director",Records[Include],"Y")+(COUNTIFS(Records[Organization],Records[Organization]&amp;"",Records[Role Group],"Managing Director",Records[Include],"Y")=0))),0)</f>
        <v/>
      </c>
      <c r="I14" s="20">
        <f>SUMPRODUCT((Records[Role Group]="Managing Director")*(Records[Include]="Y")*(Records[Adj Total]&gt;0))</f>
        <v/>
      </c>
      <c r="J14" s="23">
        <f>IF(Inputs!$B$21="","",IFERROR(MAX(_xlfn._xlws.FILTER(Records[Adj Total],(Records[Role Group]="Managing Director")*(Records[Organization]=Inputs!$B$21)*(Records[Most Recent]="Y")*(Records[Adj Total]&gt;0))),""))</f>
        <v/>
      </c>
      <c r="K14" s="24">
        <f>IF(OR($J14="",$D14=""),"",$J14/$D14-1)</f>
        <v/>
      </c>
      <c r="L14" s="25">
        <f>IF($I14&gt;=k_MinQuartile,IF(OR($J14="",$J14=0),"",IFERROR(PERCENTRANK.INC(_xlfn._xlws.FILTER(Records[Adj Total],(Records[Role Group]="Managing Director")*(Records[Include]="Y")*(Records[Adj Total]&gt;0)),$J14,4),"")),"")</f>
        <v/>
      </c>
      <c r="M14" s="37">
        <f>IF(Inputs!$B$21="","",SUMPRODUCT((Records[Role Group]="Managing Director")*(Records[Organization]=Inputs!$B$21)*(Records[Most Recent]="Y")*(Records[Adj Total]&gt;0)))</f>
        <v/>
      </c>
      <c r="N14" s="26">
        <f>IF(AND($I14&gt;=k_MinMedian,$I14&lt;k_MinQuartile,$D14&lt;&gt;""),MROUND($D14*k_Est_adj_staff_25,k_RoundTo),"")</f>
        <v/>
      </c>
      <c r="O14" s="26">
        <f>IF(AND($I14&gt;=k_MinMedian,$I14&lt;k_MinQuartile,$D14&lt;&gt;""),MROUND($D14*k_Est_adj_staff_75,k_RoundTo),"")</f>
        <v/>
      </c>
      <c r="P14" s="26">
        <f>IF(AND($I14&gt;=k_MinMedian,$I14&lt;k_MinQuartile,$D14&lt;&gt;""),MROUND($D14*k_Est_adj_staff_90,k_RoundTo),"")</f>
        <v/>
      </c>
    </row>
    <row r="15">
      <c r="A15" s="2" t="inlineStr">
        <is>
          <t>Adjusted total, aged</t>
        </is>
      </c>
      <c r="B15" s="19" t="inlineStr">
        <is>
          <t>all filers</t>
        </is>
      </c>
      <c r="C15" s="21">
        <f>IF($I15&gt;=k_MinQuartile,MROUND(_xlfn.PERCENTILE.INC(_xlfn._xlws.FILTER(Records[Aged Adj Total],(Records[Role Group]="Managing Director")*(Records[Include]="Y")*(Records[Aged Adj Total]&gt;0)),0.25),k_RoundTo),"")</f>
        <v/>
      </c>
      <c r="D15" s="22">
        <f>IF($I15&gt;=k_MinMedian,MROUND(_xlfn.PERCENTILE.INC(_xlfn._xlws.FILTER(Records[Aged Adj Total],(Records[Role Group]="Managing Director")*(Records[Include]="Y")*(Records[Aged Adj Total]&gt;0)),0.5),k_RoundTo),"")</f>
        <v/>
      </c>
      <c r="E15" s="21">
        <f>IF($I15&gt;=k_MinQuartile,MROUND(_xlfn.PERCENTILE.INC(_xlfn._xlws.FILTER(Records[Aged Adj Total],(Records[Role Group]="Managing Director")*(Records[Include]="Y")*(Records[Aged Adj Total]&gt;0)),0.75),k_RoundTo),"")</f>
        <v/>
      </c>
      <c r="F15" s="21">
        <f>IF($I15&gt;=k_MinQuartile,MROUND(_xlfn.PERCENTILE.INC(_xlfn._xlws.FILTER(Records[Aged Adj Total],(Records[Role Group]="Managing Director")*(Records[Include]="Y")*(Records[Aged Adj Total]&gt;0)),0.9),k_RoundTo),"")</f>
        <v/>
      </c>
      <c r="G15" s="21">
        <f>IF($I15&gt;=k_MinMedian,MROUND(AVERAGE(_xlfn._xlws.FILTER(Records[Aged Adj Total],(Records[Role Group]="Managing Director")*(Records[Include]="Y")*(Records[Aged Adj Total]&gt;0))),k_RoundTo),"")</f>
        <v/>
      </c>
      <c r="H15" s="20">
        <f>IFERROR(SUMPRODUCT(((Records[Role Group]="Managing Director")*(Records[Include]="Y")*(Records[Aged Adj Total]&gt;0))/(COUNTIFS(Records[Organization],Records[Organization]&amp;"",Records[Role Group],"Managing Director",Records[Include],"Y")+(COUNTIFS(Records[Organization],Records[Organization]&amp;"",Records[Role Group],"Managing Director",Records[Include],"Y")=0))),0)</f>
        <v/>
      </c>
      <c r="I15" s="20">
        <f>SUMPRODUCT((Records[Role Group]="Managing Director")*(Records[Include]="Y")*(Records[Aged Adj Total]&gt;0))</f>
        <v/>
      </c>
      <c r="J15" s="23">
        <f>IF(Inputs!$B$21="","",IFERROR(MAX(_xlfn._xlws.FILTER(Records[Aged Adj Total],(Records[Role Group]="Managing Director")*(Records[Organization]=Inputs!$B$21)*(Records[Most Recent]="Y")*(Records[Aged Adj Total]&gt;0))),""))</f>
        <v/>
      </c>
      <c r="K15" s="24">
        <f>IF(OR($J15="",$D15=""),"",$J15/$D15-1)</f>
        <v/>
      </c>
      <c r="L15" s="25">
        <f>IF($I15&gt;=k_MinQuartile,IF(OR($J15="",$J15=0),"",IFERROR(PERCENTRANK.INC(_xlfn._xlws.FILTER(Records[Aged Adj Total],(Records[Role Group]="Managing Director")*(Records[Include]="Y")*(Records[Aged Adj Total]&gt;0)),$J15,4),"")),"")</f>
        <v/>
      </c>
      <c r="M15" s="37">
        <f>IF(Inputs!$B$21="","",SUMPRODUCT((Records[Role Group]="Managing Director")*(Records[Organization]=Inputs!$B$21)*(Records[Most Recent]="Y")*(Records[Aged Adj Total]&gt;0)))</f>
        <v/>
      </c>
      <c r="N15" s="26">
        <f>IF(AND($I15&gt;=k_MinMedian,$I15&lt;k_MinQuartile,$D15&lt;&gt;""),MROUND($D15*k_Est_adj_staff_25,k_RoundTo),"")</f>
        <v/>
      </c>
      <c r="O15" s="26">
        <f>IF(AND($I15&gt;=k_MinMedian,$I15&lt;k_MinQuartile,$D15&lt;&gt;""),MROUND($D15*k_Est_adj_staff_75,k_RoundTo),"")</f>
        <v/>
      </c>
      <c r="P15" s="26">
        <f>IF(AND($I15&gt;=k_MinMedian,$I15&lt;k_MinQuartile,$D15&lt;&gt;""),MROUND($D15*k_Est_adj_staff_90,k_RoundTo),"")</f>
        <v/>
      </c>
    </row>
    <row r="16">
      <c r="A16" s="2" t="inlineStr">
        <is>
          <t>Incentive as % of base</t>
        </is>
      </c>
      <c r="B16" s="19" t="inlineStr">
        <is>
          <t>Schedule J only</t>
        </is>
      </c>
      <c r="C16" s="38">
        <f>IF($I16&gt;=k_MinQuartile,_xlfn.PERCENTILE.INC(_xlfn._xlws.FILTER(Records[Incentive % of Base],(Records[Role Group]="Managing Director")*(Records[Include]="Y")*(Records[Total Cash]&lt;&gt;"")),0.25),"")</f>
        <v/>
      </c>
      <c r="D16" s="39">
        <f>IF($I16&gt;=k_MinMedian,_xlfn.PERCENTILE.INC(_xlfn._xlws.FILTER(Records[Incentive % of Base],(Records[Role Group]="Managing Director")*(Records[Include]="Y")*(Records[Total Cash]&lt;&gt;"")),0.5),"")</f>
        <v/>
      </c>
      <c r="E16" s="38">
        <f>IF($I16&gt;=k_MinQuartile,_xlfn.PERCENTILE.INC(_xlfn._xlws.FILTER(Records[Incentive % of Base],(Records[Role Group]="Managing Director")*(Records[Include]="Y")*(Records[Total Cash]&lt;&gt;"")),0.75),"")</f>
        <v/>
      </c>
      <c r="F16" s="38">
        <f>IF($I16&gt;=k_MinQuartile,_xlfn.PERCENTILE.INC(_xlfn._xlws.FILTER(Records[Incentive % of Base],(Records[Role Group]="Managing Director")*(Records[Include]="Y")*(Records[Total Cash]&lt;&gt;"")),0.9),"")</f>
        <v/>
      </c>
      <c r="G16" s="38">
        <f>IF($I16&gt;=k_MinMedian,AVERAGE(_xlfn._xlws.FILTER(Records[Incentive % of Base],(Records[Role Group]="Managing Director")*(Records[Include]="Y")*(Records[Total Cash]&lt;&gt;""))),"")</f>
        <v/>
      </c>
      <c r="H16" s="20">
        <f>IFERROR(SUMPRODUCT(((Records[Role Group]="Managing Director")*(Records[Include]="Y")*(Records[Total Cash]&lt;&gt;""))/(COUNTIFS(Records[Organization],Records[Organization]&amp;"",Records[Role Group],"Managing Director",Records[Include],"Y")+(COUNTIFS(Records[Organization],Records[Organization]&amp;"",Records[Role Group],"Managing Director",Records[Include],"Y")=0))),0)</f>
        <v/>
      </c>
      <c r="I16" s="20">
        <f>SUMPRODUCT((Records[Role Group]="Managing Director")*(Records[Include]="Y")*(Records[Total Cash]&lt;&gt;""))</f>
        <v/>
      </c>
      <c r="J16" s="40">
        <f>IF(Inputs!$B$21="","",IFERROR(MAX(_xlfn._xlws.FILTER(Records[Incentive % of Base],(Records[Role Group]="Managing Director")*(Records[Organization]=Inputs!$B$21)*(Records[Most Recent]="Y")*(Records[Total Cash]&lt;&gt;""))),""))</f>
        <v/>
      </c>
      <c r="K16" s="41">
        <f>IF(OR($J16="",$D16=""),"",$J16-$D16)</f>
        <v/>
      </c>
      <c r="L16" s="25">
        <f>IF($I16&gt;=k_MinQuartile,IF(OR($J16="",$J16=0),"",IFERROR(PERCENTRANK.INC(_xlfn._xlws.FILTER(Records[Incentive % of Base],(Records[Role Group]="Managing Director")*(Records[Include]="Y")*(Records[Total Cash]&lt;&gt;"")),$J16,4),"")),"")</f>
        <v/>
      </c>
      <c r="M16" s="37">
        <f>IF(Inputs!$B$21="","",SUMPRODUCT((Records[Role Group]="Managing Director")*(Records[Organization]=Inputs!$B$21)*(Records[Most Recent]="Y")*(Records[Total Cash]&lt;&gt;"")))</f>
        <v/>
      </c>
    </row>
    <row r="17"/>
    <row r="18">
      <c r="A18" s="19" t="inlineStr">
        <is>
          <t>Blank = too few people, not zero. Median 2+, quartiles 5+.</t>
        </is>
      </c>
    </row>
    <row r="19">
      <c r="A19" s="19" t="inlineStr">
        <is>
          <t>(1) Est. columns, italic: where the median exists but fewer than 5 people, the median times the ratio measured on endowments and foundations at $2b+ (Methodology). Never the median; not a measured figure.</t>
        </is>
      </c>
    </row>
    <row r="20"/>
    <row r="21">
      <c r="A21" s="1" t="inlineStr">
        <is>
          <t>Peer records</t>
        </is>
      </c>
    </row>
    <row r="22">
      <c r="A22" s="19" t="inlineStr">
        <is>
          <t>Filter Include = "Y" for the peer set.</t>
        </is>
      </c>
    </row>
    <row r="23"/>
    <row r="24" ht="30" customHeight="1">
      <c r="A24" s="35" t="inlineStr">
        <is>
          <t>Organization</t>
        </is>
      </c>
      <c r="B24" s="35" t="inlineStr">
        <is>
          <t>State</t>
        </is>
      </c>
      <c r="C24" s="35" t="inlineStr">
        <is>
          <t>AUM ($B)</t>
        </is>
      </c>
      <c r="D24" s="35" t="inlineStr">
        <is>
          <t>Institution Type</t>
        </is>
      </c>
      <c r="E24" s="35" t="inlineStr">
        <is>
          <t>Year</t>
        </is>
      </c>
      <c r="F24" s="35" t="inlineStr">
        <is>
          <t>Include</t>
        </is>
      </c>
      <c r="G24" s="35" t="inlineStr">
        <is>
          <t>Name</t>
        </is>
      </c>
      <c r="H24" s="35" t="inlineStr">
        <is>
          <t>Raw Title</t>
        </is>
      </c>
      <c r="I24" s="35" t="inlineStr">
        <is>
          <t>Standardized Title</t>
        </is>
      </c>
      <c r="J24" s="35" t="inlineStr">
        <is>
          <t>(B)(i) Base</t>
        </is>
      </c>
      <c r="K24" s="35" t="inlineStr">
        <is>
          <t>(B)(ii) Bonus</t>
        </is>
      </c>
      <c r="L24" s="35" t="inlineStr">
        <is>
          <t>Total Cash</t>
        </is>
      </c>
      <c r="M24" s="35" t="inlineStr">
        <is>
          <t>(B)(iii) Other</t>
        </is>
      </c>
      <c r="N24" s="35" t="inlineStr">
        <is>
          <t>(C) Deferred</t>
        </is>
      </c>
      <c r="O24" s="35" t="inlineStr">
        <is>
          <t>(D) Nontax Benefits</t>
        </is>
      </c>
      <c r="P24" s="35" t="inlineStr">
        <is>
          <t>(E) Total Comp</t>
        </is>
      </c>
      <c r="Q24" s="35" t="inlineStr">
        <is>
          <t>Adj Total</t>
        </is>
      </c>
      <c r="R24" s="35" t="inlineStr">
        <is>
          <t>Aged Adj Total</t>
        </is>
      </c>
      <c r="S24" s="35" t="inlineStr">
        <is>
          <t>Incentive % of Base</t>
        </is>
      </c>
      <c r="T24" s="35" t="inlineStr">
        <is>
          <t>Filing</t>
        </is>
      </c>
    </row>
    <row r="25">
      <c r="A25" t="inlineStr">
        <is>
          <t>Baylor University</t>
        </is>
      </c>
      <c r="B25" s="20" t="inlineStr">
        <is>
          <t>TX</t>
        </is>
      </c>
      <c r="C25" s="42" t="n">
        <v>2.18</v>
      </c>
      <c r="D25" t="inlineStr">
        <is>
          <t>Endowment</t>
        </is>
      </c>
      <c r="E25" s="20" t="n">
        <v>2025</v>
      </c>
      <c r="F25" s="20">
        <f>IF(AND(OR(in_Mode="All Funds",AND(C25&gt;=in_BandFloor,C25&lt;=in_BandCeiling,OR(in_Geography="National",COUNTIFS(lst_GeoPreset,in_Geography,lst_GeoState,B25)&gt;0,AND(in_Geography="Custom",ISNUMBER(SEARCH(B25,SUBSTITUTE(in_CustomStates," ",""))))),OR(AND(D25="Endowment",Inputs!$B$14="Y"),AND(D25="Foundation",Inputs!$B$15="Y"),AND(D25="Healthcare",Inputs!$B$16="Y"),AND(D25="Pension",Inputs!$B$17="Y"),AND(D25="OCIO",Inputs!$B$18="Y"),AND(D25="Other",Inputs!$B$19="Y")))),A25&lt;&gt;in_ClientOrg,NOT(AND(in_ExclHarvard="Y",ISNUMBER(SEARCH("Harvard",A25))))),"Y","")</f>
        <v/>
      </c>
      <c r="G25" t="inlineStr">
        <is>
          <t>Renee Hanna</t>
        </is>
      </c>
      <c r="H25" t="inlineStr">
        <is>
          <t>MANAGING DIR OF INVESTMENTS</t>
        </is>
      </c>
      <c r="I25" t="inlineStr">
        <is>
          <t>Managing Director</t>
        </is>
      </c>
      <c r="J25" s="21" t="n">
        <v>396740</v>
      </c>
      <c r="K25" s="21" t="n">
        <v>467328</v>
      </c>
      <c r="L25" s="21" t="n">
        <v>864068</v>
      </c>
      <c r="M25" s="21" t="n"/>
      <c r="N25" s="21" t="n">
        <v>37260</v>
      </c>
      <c r="O25" s="21" t="n">
        <v>16827</v>
      </c>
      <c r="P25" s="21" t="n">
        <v>918155</v>
      </c>
      <c r="Q25" s="21" t="n">
        <v>918155</v>
      </c>
      <c r="R25" s="21">
        <f>IF(Q25="","",Q25*(1+in_GrowthRate)^(YEARFRAC(DATE(2025,5,31),in_AgeToDate)*IF(in_AgeToDate&lt;DATE(2025,5,31),-1,1)+1))</f>
        <v/>
      </c>
      <c r="S25" s="38" t="n">
        <v>1.177920048394415</v>
      </c>
      <c r="T25" s="43">
        <f>HYPERLINK("https://projects.propublica.org/nonprofits/organizations/741159753/202641009349300714/full","view filing")</f>
        <v/>
      </c>
    </row>
    <row r="26">
      <c r="A26" t="inlineStr">
        <is>
          <t>Beth Israel Deaconess Medical Center Inc</t>
        </is>
      </c>
      <c r="B26" s="20" t="inlineStr">
        <is>
          <t>MA</t>
        </is>
      </c>
      <c r="C26" s="42" t="n">
        <v>1.21</v>
      </c>
      <c r="D26" t="inlineStr">
        <is>
          <t>Healthcare</t>
        </is>
      </c>
      <c r="E26" s="20" t="n">
        <v>2022</v>
      </c>
      <c r="F26" s="20" t="inlineStr"/>
      <c r="G26" t="inlineStr">
        <is>
          <t>Antonas Julie</t>
        </is>
      </c>
      <c r="H26" t="inlineStr">
        <is>
          <t>MANAGING DIRECTOR, INV OFFICE</t>
        </is>
      </c>
      <c r="I26" t="inlineStr">
        <is>
          <t>Managing Director</t>
        </is>
      </c>
      <c r="J26" s="21" t="n">
        <v>404395</v>
      </c>
      <c r="K26" s="21" t="n">
        <v>100800</v>
      </c>
      <c r="L26" s="21" t="n">
        <v>505195</v>
      </c>
      <c r="M26" s="21" t="n">
        <v>24361</v>
      </c>
      <c r="N26" s="21" t="n">
        <v>12660</v>
      </c>
      <c r="O26" s="21" t="n">
        <v>32436</v>
      </c>
      <c r="P26" s="21" t="n">
        <v>574652</v>
      </c>
      <c r="Q26" s="21" t="n">
        <v>574652</v>
      </c>
      <c r="R26" s="21">
        <f>IF(Q26="","",Q26*(1+in_GrowthRate)^(YEARFRAC(DATE(2022,9,30),in_AgeToDate)*IF(in_AgeToDate&lt;DATE(2022,9,30),-1,1)+1))</f>
        <v/>
      </c>
      <c r="S26" s="38" t="n">
        <v>0.2492612421023999</v>
      </c>
      <c r="T26" s="43">
        <f>HYPERLINK("https://projects.propublica.org/nonprofits/organizations/42103881/202322279349302277/full","view filing")</f>
        <v/>
      </c>
    </row>
    <row r="27">
      <c r="A27" t="inlineStr">
        <is>
          <t>Beth Israel Lahey Health Inc Hcsr</t>
        </is>
      </c>
      <c r="B27" s="20" t="inlineStr">
        <is>
          <t>MA</t>
        </is>
      </c>
      <c r="C27" s="42" t="n">
        <v>0.14</v>
      </c>
      <c r="D27" t="inlineStr">
        <is>
          <t>Healthcare</t>
        </is>
      </c>
      <c r="E27" s="20" t="n">
        <v>2025</v>
      </c>
      <c r="F27" s="20">
        <f>IF(AND(OR(in_Mode="All Funds",AND(C27&gt;=in_BandFloor,C27&lt;=in_BandCeiling,OR(in_Geography="National",COUNTIFS(lst_GeoPreset,in_Geography,lst_GeoState,B27)&gt;0,AND(in_Geography="Custom",ISNUMBER(SEARCH(B27,SUBSTITUTE(in_CustomStates," ",""))))),OR(AND(D27="Endowment",Inputs!$B$14="Y"),AND(D27="Foundation",Inputs!$B$15="Y"),AND(D27="Healthcare",Inputs!$B$16="Y"),AND(D27="Pension",Inputs!$B$17="Y"),AND(D27="OCIO",Inputs!$B$18="Y"),AND(D27="Other",Inputs!$B$19="Y")))),A27&lt;&gt;in_ClientOrg,NOT(AND(in_ExclHarvard="Y",ISNUMBER(SEARCH("Harvard",A27))))),"Y","")</f>
        <v/>
      </c>
      <c r="G27" t="inlineStr">
        <is>
          <t>Donovan Shawn</t>
        </is>
      </c>
      <c r="H27" t="inlineStr">
        <is>
          <t>MANAGING DIRECTOR, INVESTMENTS</t>
        </is>
      </c>
      <c r="I27" t="inlineStr">
        <is>
          <t>Managing Director</t>
        </is>
      </c>
      <c r="J27" s="21" t="n">
        <v>669773</v>
      </c>
      <c r="K27" s="21" t="n"/>
      <c r="L27" s="21" t="n">
        <v>669773</v>
      </c>
      <c r="M27" s="21" t="n">
        <v>47653</v>
      </c>
      <c r="N27" s="21" t="n">
        <v>18180</v>
      </c>
      <c r="O27" s="21" t="n">
        <v>39670</v>
      </c>
      <c r="P27" s="21" t="n">
        <v>775276</v>
      </c>
      <c r="Q27" s="21" t="n">
        <v>775276</v>
      </c>
      <c r="R27" s="21">
        <f>IF(Q27="","",Q27*(1+in_GrowthRate)^(YEARFRAC(DATE(2025,9,30),in_AgeToDate)*IF(in_AgeToDate&lt;DATE(2025,9,30),-1,1)+1))</f>
        <v/>
      </c>
      <c r="S27" s="38" t="n">
        <v>0</v>
      </c>
      <c r="T27" s="43">
        <f>HYPERLINK("https://projects.propublica.org/nonprofits/organizations/832671600/202612269349303551/full","view filing")</f>
        <v/>
      </c>
    </row>
    <row r="28">
      <c r="A28" t="inlineStr">
        <is>
          <t>Beth Israel Lahey Health Inc Hcsr</t>
        </is>
      </c>
      <c r="B28" s="20" t="inlineStr">
        <is>
          <t>MA</t>
        </is>
      </c>
      <c r="C28" s="42" t="n">
        <v>0.14</v>
      </c>
      <c r="D28" t="inlineStr">
        <is>
          <t>Healthcare</t>
        </is>
      </c>
      <c r="E28" s="20" t="n">
        <v>2024</v>
      </c>
      <c r="F28" s="20" t="inlineStr"/>
      <c r="G28" t="inlineStr">
        <is>
          <t>Donovan Shawn</t>
        </is>
      </c>
      <c r="H28" t="inlineStr">
        <is>
          <t>MANAGING DIRECTOR, INVESTMENTS</t>
        </is>
      </c>
      <c r="I28" t="inlineStr">
        <is>
          <t>Managing Director</t>
        </is>
      </c>
      <c r="J28" s="21" t="n">
        <v>482172</v>
      </c>
      <c r="K28" s="21" t="n">
        <v>172000</v>
      </c>
      <c r="L28" s="21" t="n">
        <v>654172</v>
      </c>
      <c r="M28" s="21" t="n">
        <v>44013</v>
      </c>
      <c r="N28" s="21" t="n">
        <v>60831</v>
      </c>
      <c r="O28" s="21" t="n">
        <v>38447</v>
      </c>
      <c r="P28" s="21" t="n">
        <v>797463</v>
      </c>
      <c r="Q28" s="21" t="n">
        <v>797463</v>
      </c>
      <c r="R28" s="21">
        <f>IF(Q28="","",Q28*(1+in_GrowthRate)^(YEARFRAC(DATE(2024,9,30),in_AgeToDate)*IF(in_AgeToDate&lt;DATE(2024,9,30),-1,1)+1))</f>
        <v/>
      </c>
      <c r="S28" s="38" t="n">
        <v>0.3567191790481405</v>
      </c>
      <c r="T28" s="43">
        <f>HYPERLINK("https://projects.propublica.org/nonprofits/organizations/832671600/202542279349302704/full","view filing")</f>
        <v/>
      </c>
    </row>
    <row r="29">
      <c r="A29" t="inlineStr">
        <is>
          <t>Beth Israel Lahey Health Inc Hcsr</t>
        </is>
      </c>
      <c r="B29" s="20" t="inlineStr">
        <is>
          <t>MA</t>
        </is>
      </c>
      <c r="C29" s="42" t="n">
        <v>0.14</v>
      </c>
      <c r="D29" t="inlineStr">
        <is>
          <t>Healthcare</t>
        </is>
      </c>
      <c r="E29" s="20" t="n">
        <v>2023</v>
      </c>
      <c r="F29" s="20" t="inlineStr"/>
      <c r="G29" t="inlineStr">
        <is>
          <t>Antonas Julie</t>
        </is>
      </c>
      <c r="H29" t="inlineStr">
        <is>
          <t>MANAGING DIRECTOR INVESTMENTS</t>
        </is>
      </c>
      <c r="I29" t="inlineStr">
        <is>
          <t>Managing Director</t>
        </is>
      </c>
      <c r="J29" s="21" t="n">
        <v>528044</v>
      </c>
      <c r="K29" s="21" t="n"/>
      <c r="L29" s="21" t="n">
        <v>528044</v>
      </c>
      <c r="M29" s="21" t="n">
        <v>3867</v>
      </c>
      <c r="N29" s="21" t="n">
        <v>7320</v>
      </c>
      <c r="O29" s="21" t="n">
        <v>32591</v>
      </c>
      <c r="P29" s="21" t="n">
        <v>571822</v>
      </c>
      <c r="Q29" s="21" t="n">
        <v>571822</v>
      </c>
      <c r="R29" s="21">
        <f>IF(Q29="","",Q29*(1+in_GrowthRate)^(YEARFRAC(DATE(2023,9,30),in_AgeToDate)*IF(in_AgeToDate&lt;DATE(2023,9,30),-1,1)+1))</f>
        <v/>
      </c>
      <c r="S29" s="38" t="n">
        <v>0</v>
      </c>
      <c r="T29" s="43">
        <f>HYPERLINK("https://projects.propublica.org/nonprofits/organizations/832671600/202412279349301811/full","view filing")</f>
        <v/>
      </c>
    </row>
    <row r="30">
      <c r="A30" t="inlineStr">
        <is>
          <t>Beth Israel Lahey Health Inc Hcsr</t>
        </is>
      </c>
      <c r="B30" s="20" t="inlineStr">
        <is>
          <t>MA</t>
        </is>
      </c>
      <c r="C30" s="42" t="n">
        <v>0.14</v>
      </c>
      <c r="D30" t="inlineStr">
        <is>
          <t>Healthcare</t>
        </is>
      </c>
      <c r="E30" s="20" t="n">
        <v>2023</v>
      </c>
      <c r="F30" s="20" t="inlineStr"/>
      <c r="G30" t="inlineStr">
        <is>
          <t>Donovan Shawn P</t>
        </is>
      </c>
      <c r="H30" t="inlineStr">
        <is>
          <t>MANAGING DIRECTOR INVESTMENTS</t>
        </is>
      </c>
      <c r="I30" t="inlineStr">
        <is>
          <t>Managing Director</t>
        </is>
      </c>
      <c r="J30" s="21" t="n">
        <v>635435</v>
      </c>
      <c r="K30" s="21" t="n"/>
      <c r="L30" s="21" t="n">
        <v>635435</v>
      </c>
      <c r="M30" s="21" t="n">
        <v>16578</v>
      </c>
      <c r="N30" s="21" t="n">
        <v>7320</v>
      </c>
      <c r="O30" s="21" t="n">
        <v>33523</v>
      </c>
      <c r="P30" s="21" t="n">
        <v>692856</v>
      </c>
      <c r="Q30" s="21" t="n">
        <v>692856</v>
      </c>
      <c r="R30" s="21">
        <f>IF(Q30="","",Q30*(1+in_GrowthRate)^(YEARFRAC(DATE(2023,9,30),in_AgeToDate)*IF(in_AgeToDate&lt;DATE(2023,9,30),-1,1)+1))</f>
        <v/>
      </c>
      <c r="S30" s="38" t="n">
        <v>0</v>
      </c>
      <c r="T30" s="43">
        <f>HYPERLINK("https://projects.propublica.org/nonprofits/organizations/832671600/202412279349301811/full","view filing")</f>
        <v/>
      </c>
    </row>
    <row r="31">
      <c r="A31" t="inlineStr">
        <is>
          <t>Brown University Of Providence</t>
        </is>
      </c>
      <c r="B31" s="20" t="inlineStr">
        <is>
          <t>RI</t>
        </is>
      </c>
      <c r="C31" s="42" t="n">
        <v>7.28</v>
      </c>
      <c r="D31" t="inlineStr">
        <is>
          <t>Endowment</t>
        </is>
      </c>
      <c r="E31" s="20" t="n">
        <v>2025</v>
      </c>
      <c r="F31" s="20">
        <f>IF(AND(OR(in_Mode="All Funds",AND(C31&gt;=in_BandFloor,C31&lt;=in_BandCeiling,OR(in_Geography="National",COUNTIFS(lst_GeoPreset,in_Geography,lst_GeoState,B31)&gt;0,AND(in_Geography="Custom",ISNUMBER(SEARCH(B31,SUBSTITUTE(in_CustomStates," ",""))))),OR(AND(D31="Endowment",Inputs!$B$14="Y"),AND(D31="Foundation",Inputs!$B$15="Y"),AND(D31="Healthcare",Inputs!$B$16="Y"),AND(D31="Pension",Inputs!$B$17="Y"),AND(D31="OCIO",Inputs!$B$18="Y"),AND(D31="Other",Inputs!$B$19="Y")))),A31&lt;&gt;in_ClientOrg,NOT(AND(in_ExclHarvard="Y",ISNUMBER(SEARCH("Harvard",A31))))),"Y","")</f>
        <v/>
      </c>
      <c r="G31" t="inlineStr">
        <is>
          <t>Gary Padula</t>
        </is>
      </c>
      <c r="H31" t="inlineStr">
        <is>
          <t>MANAGING DIRECTOR</t>
        </is>
      </c>
      <c r="I31" t="inlineStr">
        <is>
          <t>Managing Director</t>
        </is>
      </c>
      <c r="J31" s="21" t="n">
        <v>311125</v>
      </c>
      <c r="K31" s="21" t="n">
        <v>500000</v>
      </c>
      <c r="L31" s="21" t="n">
        <v>811125</v>
      </c>
      <c r="M31" s="21" t="n">
        <v>77501</v>
      </c>
      <c r="N31" s="21" t="n">
        <v>68617</v>
      </c>
      <c r="O31" s="21" t="n">
        <v>29140</v>
      </c>
      <c r="P31" s="21" t="n">
        <v>986383</v>
      </c>
      <c r="Q31" s="21" t="n">
        <v>986383</v>
      </c>
      <c r="R31" s="21">
        <f>IF(Q31="","",Q31*(1+in_GrowthRate)^(YEARFRAC(DATE(2025,6,30),in_AgeToDate)*IF(in_AgeToDate&lt;DATE(2025,6,30),-1,1)+1))</f>
        <v/>
      </c>
      <c r="S31" s="38" t="n">
        <v>1.607071112896746</v>
      </c>
      <c r="T31" s="43">
        <f>HYPERLINK("https://projects.propublica.org/nonprofits/organizations/50258809/202631319349306043/full","view filing")</f>
        <v/>
      </c>
    </row>
    <row r="32">
      <c r="A32" t="inlineStr">
        <is>
          <t>Brown University Of Providence</t>
        </is>
      </c>
      <c r="B32" s="20" t="inlineStr">
        <is>
          <t>RI</t>
        </is>
      </c>
      <c r="C32" s="42" t="n">
        <v>7.28</v>
      </c>
      <c r="D32" t="inlineStr">
        <is>
          <t>Endowment</t>
        </is>
      </c>
      <c r="E32" s="20" t="n">
        <v>2025</v>
      </c>
      <c r="F32" s="20">
        <f>IF(AND(OR(in_Mode="All Funds",AND(C32&gt;=in_BandFloor,C32&lt;=in_BandCeiling,OR(in_Geography="National",COUNTIFS(lst_GeoPreset,in_Geography,lst_GeoState,B32)&gt;0,AND(in_Geography="Custom",ISNUMBER(SEARCH(B32,SUBSTITUTE(in_CustomStates," ",""))))),OR(AND(D32="Endowment",Inputs!$B$14="Y"),AND(D32="Foundation",Inputs!$B$15="Y"),AND(D32="Healthcare",Inputs!$B$16="Y"),AND(D32="Pension",Inputs!$B$17="Y"),AND(D32="OCIO",Inputs!$B$18="Y"),AND(D32="Other",Inputs!$B$19="Y")))),A32&lt;&gt;in_ClientOrg,NOT(AND(in_ExclHarvard="Y",ISNUMBER(SEARCH("Harvard",A32))))),"Y","")</f>
        <v/>
      </c>
      <c r="G32" t="inlineStr">
        <is>
          <t>Joshua T Kennedy</t>
        </is>
      </c>
      <c r="H32" t="inlineStr">
        <is>
          <t>MANAGING DIRECTOR</t>
        </is>
      </c>
      <c r="I32" t="inlineStr">
        <is>
          <t>Managing Director</t>
        </is>
      </c>
      <c r="J32" s="21" t="n">
        <v>505956</v>
      </c>
      <c r="K32" s="21" t="n">
        <v>825000</v>
      </c>
      <c r="L32" s="21" t="n">
        <v>1330956</v>
      </c>
      <c r="M32" s="21" t="n">
        <v>148753</v>
      </c>
      <c r="N32" s="21" t="n">
        <v>135933</v>
      </c>
      <c r="O32" s="21" t="n">
        <v>41579</v>
      </c>
      <c r="P32" s="21" t="n">
        <v>1657221</v>
      </c>
      <c r="Q32" s="21" t="n">
        <v>1623888</v>
      </c>
      <c r="R32" s="21">
        <f>IF(Q32="","",Q32*(1+in_GrowthRate)^(YEARFRAC(DATE(2025,6,30),in_AgeToDate)*IF(in_AgeToDate&lt;DATE(2025,6,30),-1,1)+1))</f>
        <v/>
      </c>
      <c r="S32" s="38" t="n">
        <v>1.630576571875815</v>
      </c>
      <c r="T32" s="43">
        <f>HYPERLINK("https://projects.propublica.org/nonprofits/organizations/50258809/202631319349306043/full","view filing")</f>
        <v/>
      </c>
    </row>
    <row r="33">
      <c r="A33" t="inlineStr">
        <is>
          <t>Brown University Of Providence</t>
        </is>
      </c>
      <c r="B33" s="20" t="inlineStr">
        <is>
          <t>RI</t>
        </is>
      </c>
      <c r="C33" s="42" t="n">
        <v>7.28</v>
      </c>
      <c r="D33" t="inlineStr">
        <is>
          <t>Endowment</t>
        </is>
      </c>
      <c r="E33" s="20" t="n">
        <v>2025</v>
      </c>
      <c r="F33" s="20">
        <f>IF(AND(OR(in_Mode="All Funds",AND(C33&gt;=in_BandFloor,C33&lt;=in_BandCeiling,OR(in_Geography="National",COUNTIFS(lst_GeoPreset,in_Geography,lst_GeoState,B33)&gt;0,AND(in_Geography="Custom",ISNUMBER(SEARCH(B33,SUBSTITUTE(in_CustomStates," ",""))))),OR(AND(D33="Endowment",Inputs!$B$14="Y"),AND(D33="Foundation",Inputs!$B$15="Y"),AND(D33="Healthcare",Inputs!$B$16="Y"),AND(D33="Pension",Inputs!$B$17="Y"),AND(D33="OCIO",Inputs!$B$18="Y"),AND(D33="Other",Inputs!$B$19="Y")))),A33&lt;&gt;in_ClientOrg,NOT(AND(in_ExclHarvard="Y",ISNUMBER(SEARCH("Harvard",A33))))),"Y","")</f>
        <v/>
      </c>
      <c r="G33" t="inlineStr">
        <is>
          <t>Peter Levine</t>
        </is>
      </c>
      <c r="H33" t="inlineStr">
        <is>
          <t>MANAGING DIRECTOR</t>
        </is>
      </c>
      <c r="I33" t="inlineStr">
        <is>
          <t>Managing Director</t>
        </is>
      </c>
      <c r="J33" s="21" t="n">
        <v>438410</v>
      </c>
      <c r="K33" s="21" t="n">
        <v>800000</v>
      </c>
      <c r="L33" s="21" t="n">
        <v>1238410</v>
      </c>
      <c r="M33" s="21" t="n">
        <v>149180</v>
      </c>
      <c r="N33" s="21" t="n">
        <v>119267</v>
      </c>
      <c r="O33" s="21" t="n">
        <v>47684</v>
      </c>
      <c r="P33" s="21" t="n">
        <v>1554541</v>
      </c>
      <c r="Q33" s="21" t="n">
        <v>1521208</v>
      </c>
      <c r="R33" s="21">
        <f>IF(Q33="","",Q33*(1+in_GrowthRate)^(YEARFRAC(DATE(2025,6,30),in_AgeToDate)*IF(in_AgeToDate&lt;DATE(2025,6,30),-1,1)+1))</f>
        <v/>
      </c>
      <c r="S33" s="38" t="n">
        <v>1.824775894710431</v>
      </c>
      <c r="T33" s="43">
        <f>HYPERLINK("https://projects.propublica.org/nonprofits/organizations/50258809/202631319349306043/full","view filing")</f>
        <v/>
      </c>
    </row>
    <row r="34">
      <c r="A34" t="inlineStr">
        <is>
          <t>Brown University Of Providence</t>
        </is>
      </c>
      <c r="B34" s="20" t="inlineStr">
        <is>
          <t>RI</t>
        </is>
      </c>
      <c r="C34" s="42" t="n">
        <v>7.28</v>
      </c>
      <c r="D34" t="inlineStr">
        <is>
          <t>Endowment</t>
        </is>
      </c>
      <c r="E34" s="20" t="n">
        <v>2024</v>
      </c>
      <c r="F34" s="20" t="inlineStr"/>
      <c r="G34" t="inlineStr">
        <is>
          <t>Joshua T Kennedy</t>
        </is>
      </c>
      <c r="H34" t="inlineStr">
        <is>
          <t>MANAGING DIRECTOR</t>
        </is>
      </c>
      <c r="I34" t="inlineStr">
        <is>
          <t>Managing Director</t>
        </is>
      </c>
      <c r="J34" s="21" t="n">
        <v>445535</v>
      </c>
      <c r="K34" s="21" t="n">
        <v>800000</v>
      </c>
      <c r="L34" s="21" t="n">
        <v>1245535</v>
      </c>
      <c r="M34" s="21" t="n">
        <v>42300</v>
      </c>
      <c r="N34" s="21" t="n">
        <v>117567</v>
      </c>
      <c r="O34" s="21" t="n">
        <v>30963</v>
      </c>
      <c r="P34" s="21" t="n">
        <v>1436365</v>
      </c>
      <c r="Q34" s="21" t="n">
        <v>1436365</v>
      </c>
      <c r="R34" s="21">
        <f>IF(Q34="","",Q34*(1+in_GrowthRate)^(YEARFRAC(DATE(2024,6,30),in_AgeToDate)*IF(in_AgeToDate&lt;DATE(2024,6,30),-1,1)+1))</f>
        <v/>
      </c>
      <c r="S34" s="38" t="n">
        <v>1.795594061072643</v>
      </c>
      <c r="T34" s="43">
        <f>HYPERLINK("https://projects.propublica.org/nonprofits/organizations/50258809/202541359349309534/full","view filing")</f>
        <v/>
      </c>
    </row>
    <row r="35">
      <c r="A35" t="inlineStr">
        <is>
          <t>Brown University Of Providence</t>
        </is>
      </c>
      <c r="B35" s="20" t="inlineStr">
        <is>
          <t>RI</t>
        </is>
      </c>
      <c r="C35" s="42" t="n">
        <v>7.28</v>
      </c>
      <c r="D35" t="inlineStr">
        <is>
          <t>Endowment</t>
        </is>
      </c>
      <c r="E35" s="20" t="n">
        <v>2024</v>
      </c>
      <c r="F35" s="20" t="inlineStr"/>
      <c r="G35" t="inlineStr">
        <is>
          <t>Peter Levine</t>
        </is>
      </c>
      <c r="H35" t="inlineStr">
        <is>
          <t>MANAGING DIRECTOR</t>
        </is>
      </c>
      <c r="I35" t="inlineStr">
        <is>
          <t>Managing Director</t>
        </is>
      </c>
      <c r="J35" s="21" t="n">
        <v>410462</v>
      </c>
      <c r="K35" s="21" t="n">
        <v>700000</v>
      </c>
      <c r="L35" s="21" t="n">
        <v>1110462</v>
      </c>
      <c r="M35" s="21" t="n">
        <v>43950</v>
      </c>
      <c r="N35" s="21" t="n">
        <v>109233</v>
      </c>
      <c r="O35" s="21" t="n">
        <v>46259</v>
      </c>
      <c r="P35" s="21" t="n">
        <v>1309904</v>
      </c>
      <c r="Q35" s="21" t="n">
        <v>1309904</v>
      </c>
      <c r="R35" s="21">
        <f>IF(Q35="","",Q35*(1+in_GrowthRate)^(YEARFRAC(DATE(2024,6,30),in_AgeToDate)*IF(in_AgeToDate&lt;DATE(2024,6,30),-1,1)+1))</f>
        <v/>
      </c>
      <c r="S35" s="38" t="n">
        <v>1.705395383738324</v>
      </c>
      <c r="T35" s="43">
        <f>HYPERLINK("https://projects.propublica.org/nonprofits/organizations/50258809/202541359349309534/full","view filing")</f>
        <v/>
      </c>
    </row>
    <row r="36">
      <c r="A36" t="inlineStr">
        <is>
          <t>Brown University Of Providence</t>
        </is>
      </c>
      <c r="B36" s="20" t="inlineStr">
        <is>
          <t>RI</t>
        </is>
      </c>
      <c r="C36" s="42" t="n">
        <v>7.28</v>
      </c>
      <c r="D36" t="inlineStr">
        <is>
          <t>Endowment</t>
        </is>
      </c>
      <c r="E36" s="20" t="n">
        <v>2023</v>
      </c>
      <c r="F36" s="20" t="inlineStr"/>
      <c r="G36" t="inlineStr">
        <is>
          <t>Joshua T Kennedy</t>
        </is>
      </c>
      <c r="H36" t="inlineStr">
        <is>
          <t>MANAGING DIRECTOR</t>
        </is>
      </c>
      <c r="I36" t="inlineStr">
        <is>
          <t>Managing Director</t>
        </is>
      </c>
      <c r="J36" s="21" t="n">
        <v>416037</v>
      </c>
      <c r="K36" s="21" t="n">
        <v>798500</v>
      </c>
      <c r="L36" s="21" t="n">
        <v>1214537</v>
      </c>
      <c r="M36" s="21" t="n">
        <v>20500</v>
      </c>
      <c r="N36" s="21" t="n">
        <v>24400</v>
      </c>
      <c r="O36" s="21" t="n">
        <v>25616</v>
      </c>
      <c r="P36" s="21" t="n">
        <v>1285053</v>
      </c>
      <c r="Q36" s="21" t="n">
        <v>1285053</v>
      </c>
      <c r="R36" s="21">
        <f>IF(Q36="","",Q36*(1+in_GrowthRate)^(YEARFRAC(DATE(2023,6,30),in_AgeToDate)*IF(in_AgeToDate&lt;DATE(2023,6,30),-1,1)+1))</f>
        <v/>
      </c>
      <c r="S36" s="38" t="n">
        <v>1.919300446835257</v>
      </c>
      <c r="T36" s="43">
        <f>HYPERLINK("https://projects.propublica.org/nonprofits/organizations/50258809/202401319349305030/full","view filing")</f>
        <v/>
      </c>
    </row>
    <row r="37">
      <c r="A37" t="inlineStr">
        <is>
          <t>Brown University Of Providence</t>
        </is>
      </c>
      <c r="B37" s="20" t="inlineStr">
        <is>
          <t>RI</t>
        </is>
      </c>
      <c r="C37" s="42" t="n">
        <v>7.28</v>
      </c>
      <c r="D37" t="inlineStr">
        <is>
          <t>Endowment</t>
        </is>
      </c>
      <c r="E37" s="20" t="n">
        <v>2023</v>
      </c>
      <c r="F37" s="20" t="inlineStr"/>
      <c r="G37" t="inlineStr">
        <is>
          <t>Peter Levine</t>
        </is>
      </c>
      <c r="H37" t="inlineStr">
        <is>
          <t>MANAGING DIRECTOR</t>
        </is>
      </c>
      <c r="I37" t="inlineStr">
        <is>
          <t>Managing Director</t>
        </is>
      </c>
      <c r="J37" s="21" t="n">
        <v>423055</v>
      </c>
      <c r="K37" s="21" t="n">
        <v>600500</v>
      </c>
      <c r="L37" s="21" t="n">
        <v>1023555</v>
      </c>
      <c r="M37" s="21" t="n">
        <v>12200</v>
      </c>
      <c r="N37" s="21" t="n">
        <v>24400</v>
      </c>
      <c r="O37" s="21" t="n">
        <v>39559</v>
      </c>
      <c r="P37" s="21" t="n">
        <v>1099714</v>
      </c>
      <c r="Q37" s="21" t="n">
        <v>1099714</v>
      </c>
      <c r="R37" s="21">
        <f>IF(Q37="","",Q37*(1+in_GrowthRate)^(YEARFRAC(DATE(2023,6,30),in_AgeToDate)*IF(in_AgeToDate&lt;DATE(2023,6,30),-1,1)+1))</f>
        <v/>
      </c>
      <c r="S37" s="38" t="n">
        <v>1.419437189017976</v>
      </c>
      <c r="T37" s="43">
        <f>HYPERLINK("https://projects.propublica.org/nonprofits/organizations/50258809/202401319349305030/full","view filing")</f>
        <v/>
      </c>
    </row>
    <row r="38">
      <c r="A38" t="inlineStr">
        <is>
          <t>Brown University Of Providence</t>
        </is>
      </c>
      <c r="B38" s="20" t="inlineStr">
        <is>
          <t>RI</t>
        </is>
      </c>
      <c r="C38" s="42" t="n">
        <v>7.28</v>
      </c>
      <c r="D38" t="inlineStr">
        <is>
          <t>Endowment</t>
        </is>
      </c>
      <c r="E38" s="20" t="n">
        <v>2022</v>
      </c>
      <c r="F38" s="20" t="inlineStr"/>
      <c r="G38" t="inlineStr">
        <is>
          <t>Joshua T Kennedy</t>
        </is>
      </c>
      <c r="H38" t="inlineStr">
        <is>
          <t>MANAGING DIRECTOR</t>
        </is>
      </c>
      <c r="I38" t="inlineStr">
        <is>
          <t>Managing Director</t>
        </is>
      </c>
      <c r="J38" s="21" t="n">
        <v>409950</v>
      </c>
      <c r="K38" s="21" t="n">
        <v>764000</v>
      </c>
      <c r="L38" s="21" t="n">
        <v>1173950</v>
      </c>
      <c r="M38" s="21" t="n"/>
      <c r="N38" s="21" t="n">
        <v>19200</v>
      </c>
      <c r="O38" s="21" t="n">
        <v>25023</v>
      </c>
      <c r="P38" s="21" t="n">
        <v>1218173</v>
      </c>
      <c r="Q38" s="21" t="n">
        <v>1218173</v>
      </c>
      <c r="R38" s="21">
        <f>IF(Q38="","",Q38*(1+in_GrowthRate)^(YEARFRAC(DATE(2022,6,30),in_AgeToDate)*IF(in_AgeToDate&lt;DATE(2022,6,30),-1,1)+1))</f>
        <v/>
      </c>
      <c r="S38" s="38" t="n">
        <v>1.863641907549701</v>
      </c>
      <c r="T38" s="43">
        <f>HYPERLINK("https://projects.propublica.org/nonprofits/organizations/50258809/202341319349306579/full","view filing")</f>
        <v/>
      </c>
    </row>
    <row r="39">
      <c r="A39" t="inlineStr">
        <is>
          <t>Brown University Of Providence</t>
        </is>
      </c>
      <c r="B39" s="20" t="inlineStr">
        <is>
          <t>RI</t>
        </is>
      </c>
      <c r="C39" s="42" t="n">
        <v>7.28</v>
      </c>
      <c r="D39" t="inlineStr">
        <is>
          <t>Endowment</t>
        </is>
      </c>
      <c r="E39" s="20" t="n">
        <v>2022</v>
      </c>
      <c r="F39" s="20" t="inlineStr"/>
      <c r="G39" t="inlineStr">
        <is>
          <t>Peter Levine</t>
        </is>
      </c>
      <c r="H39" t="inlineStr">
        <is>
          <t>MANAGING DIRECTOR</t>
        </is>
      </c>
      <c r="I39" t="inlineStr">
        <is>
          <t>Managing Director</t>
        </is>
      </c>
      <c r="J39" s="21" t="n">
        <v>359765</v>
      </c>
      <c r="K39" s="21" t="n">
        <v>564000</v>
      </c>
      <c r="L39" s="21" t="n">
        <v>923765</v>
      </c>
      <c r="M39" s="21" t="n"/>
      <c r="N39" s="21" t="n">
        <v>20200</v>
      </c>
      <c r="O39" s="21" t="n">
        <v>25208</v>
      </c>
      <c r="P39" s="21" t="n">
        <v>969173</v>
      </c>
      <c r="Q39" s="21" t="n">
        <v>969173</v>
      </c>
      <c r="R39" s="21">
        <f>IF(Q39="","",Q39*(1+in_GrowthRate)^(YEARFRAC(DATE(2022,6,30),in_AgeToDate)*IF(in_AgeToDate&lt;DATE(2022,6,30),-1,1)+1))</f>
        <v/>
      </c>
      <c r="S39" s="38" t="n">
        <v>1.567690019874084</v>
      </c>
      <c r="T39" s="43">
        <f>HYPERLINK("https://projects.propublica.org/nonprofits/organizations/50258809/202341319349306579/full","view filing")</f>
        <v/>
      </c>
    </row>
    <row r="40">
      <c r="A40" t="inlineStr">
        <is>
          <t>Bryn Mawr College</t>
        </is>
      </c>
      <c r="B40" s="20" t="inlineStr">
        <is>
          <t>PA</t>
        </is>
      </c>
      <c r="C40" s="42" t="n">
        <v>1.34</v>
      </c>
      <c r="D40" t="inlineStr">
        <is>
          <t>Endowment</t>
        </is>
      </c>
      <c r="E40" s="20" t="n">
        <v>2025</v>
      </c>
      <c r="F40" s="20">
        <f>IF(AND(OR(in_Mode="All Funds",AND(C40&gt;=in_BandFloor,C40&lt;=in_BandCeiling,OR(in_Geography="National",COUNTIFS(lst_GeoPreset,in_Geography,lst_GeoState,B40)&gt;0,AND(in_Geography="Custom",ISNUMBER(SEARCH(B40,SUBSTITUTE(in_CustomStates," ",""))))),OR(AND(D40="Endowment",Inputs!$B$14="Y"),AND(D40="Foundation",Inputs!$B$15="Y"),AND(D40="Healthcare",Inputs!$B$16="Y"),AND(D40="Pension",Inputs!$B$17="Y"),AND(D40="OCIO",Inputs!$B$18="Y"),AND(D40="Other",Inputs!$B$19="Y")))),A40&lt;&gt;in_ClientOrg,NOT(AND(in_ExclHarvard="Y",ISNUMBER(SEARCH("Harvard",A40))))),"Y","")</f>
        <v/>
      </c>
      <c r="G40" t="inlineStr">
        <is>
          <t>Gene Kim</t>
        </is>
      </c>
      <c r="H40" t="inlineStr">
        <is>
          <t>MANAGING DIRECTOR, INVESTMENTS</t>
        </is>
      </c>
      <c r="I40" t="inlineStr">
        <is>
          <t>Managing Director</t>
        </is>
      </c>
      <c r="J40" s="21" t="n">
        <v>362298</v>
      </c>
      <c r="K40" s="21" t="n">
        <v>158760</v>
      </c>
      <c r="L40" s="21" t="n">
        <v>521058</v>
      </c>
      <c r="M40" s="21" t="n"/>
      <c r="N40" s="21" t="n">
        <v>34500</v>
      </c>
      <c r="O40" s="21" t="n">
        <v>339</v>
      </c>
      <c r="P40" s="21" t="n">
        <v>555897</v>
      </c>
      <c r="Q40" s="21" t="n">
        <v>555897</v>
      </c>
      <c r="R40" s="21">
        <f>IF(Q40="","",Q40*(1+in_GrowthRate)^(YEARFRAC(DATE(2025,5,31),in_AgeToDate)*IF(in_AgeToDate&lt;DATE(2025,5,31),-1,1)+1))</f>
        <v/>
      </c>
      <c r="S40" s="38" t="n">
        <v>0.438202805425368</v>
      </c>
      <c r="T40" s="43">
        <f>HYPERLINK("https://projects.propublica.org/nonprofits/organizations/231352621/202631009349301723/full","view filing")</f>
        <v/>
      </c>
    </row>
    <row r="41">
      <c r="A41" t="inlineStr">
        <is>
          <t>Bush Foundation</t>
        </is>
      </c>
      <c r="B41" s="20" t="inlineStr">
        <is>
          <t>MN</t>
        </is>
      </c>
      <c r="C41" s="42" t="n">
        <v>1.36</v>
      </c>
      <c r="D41" t="inlineStr">
        <is>
          <t>Foundation</t>
        </is>
      </c>
      <c r="E41" s="20" t="n">
        <v>2024</v>
      </c>
      <c r="F41" s="20">
        <f>IF(AND(OR(in_Mode="All Funds",AND(C41&gt;=in_BandFloor,C41&lt;=in_BandCeiling,OR(in_Geography="National",COUNTIFS(lst_GeoPreset,in_Geography,lst_GeoState,B41)&gt;0,AND(in_Geography="Custom",ISNUMBER(SEARCH(B41,SUBSTITUTE(in_CustomStates," ",""))))),OR(AND(D41="Endowment",Inputs!$B$14="Y"),AND(D41="Foundation",Inputs!$B$15="Y"),AND(D41="Healthcare",Inputs!$B$16="Y"),AND(D41="Pension",Inputs!$B$17="Y"),AND(D41="OCIO",Inputs!$B$18="Y"),AND(D41="Other",Inputs!$B$19="Y")))),A41&lt;&gt;in_ClientOrg,NOT(AND(in_ExclHarvard="Y",ISNUMBER(SEARCH("Harvard",A41))))),"Y","")</f>
        <v/>
      </c>
      <c r="G41" t="inlineStr">
        <is>
          <t>Peterfeso Carol</t>
        </is>
      </c>
      <c r="H41" t="inlineStr">
        <is>
          <t>MANAGING DIRECTOR OF</t>
        </is>
      </c>
      <c r="I41" t="inlineStr">
        <is>
          <t>Managing Director</t>
        </is>
      </c>
      <c r="J41" s="21" t="n"/>
      <c r="K41" s="21" t="n"/>
      <c r="L41" s="21" t="n"/>
      <c r="M41" s="21" t="n"/>
      <c r="N41" s="21" t="n"/>
      <c r="O41" s="21" t="n"/>
      <c r="P41" s="21" t="n">
        <v>406770</v>
      </c>
      <c r="Q41" s="21" t="n">
        <v>406770</v>
      </c>
      <c r="R41" s="21">
        <f>IF(Q41="","",Q41*(1+in_GrowthRate)^(YEARFRAC(DATE(2024,12,31),in_AgeToDate)*IF(in_AgeToDate&lt;DATE(2024,12,31),-1,1)+1))</f>
        <v/>
      </c>
      <c r="S41" s="38" t="n"/>
      <c r="T41" s="43">
        <f>HYPERLINK("https://projects.propublica.org/nonprofits/organizations/416017815/202543179349102969/full","view filing")</f>
        <v/>
      </c>
    </row>
    <row r="42">
      <c r="A42" t="inlineStr">
        <is>
          <t>Bush Foundation</t>
        </is>
      </c>
      <c r="B42" s="20" t="inlineStr">
        <is>
          <t>MN</t>
        </is>
      </c>
      <c r="C42" s="42" t="n">
        <v>1.36</v>
      </c>
      <c r="D42" t="inlineStr">
        <is>
          <t>Foundation</t>
        </is>
      </c>
      <c r="E42" s="20" t="n">
        <v>2023</v>
      </c>
      <c r="F42" s="20" t="inlineStr"/>
      <c r="G42" t="inlineStr">
        <is>
          <t>Peterfeso Carol</t>
        </is>
      </c>
      <c r="H42" t="inlineStr">
        <is>
          <t>MANAGING DIRECTOR OF</t>
        </is>
      </c>
      <c r="I42" t="inlineStr">
        <is>
          <t>Managing Director</t>
        </is>
      </c>
      <c r="J42" s="21" t="n"/>
      <c r="K42" s="21" t="n"/>
      <c r="L42" s="21" t="n"/>
      <c r="M42" s="21" t="n"/>
      <c r="N42" s="21" t="n"/>
      <c r="O42" s="21" t="n"/>
      <c r="P42" s="21" t="n">
        <v>360355</v>
      </c>
      <c r="Q42" s="21" t="n">
        <v>360355</v>
      </c>
      <c r="R42" s="21">
        <f>IF(Q42="","",Q42*(1+in_GrowthRate)^(YEARFRAC(DATE(2023,12,31),in_AgeToDate)*IF(in_AgeToDate&lt;DATE(2023,12,31),-1,1)+1))</f>
        <v/>
      </c>
      <c r="S42" s="38" t="n"/>
      <c r="T42" s="43">
        <f>HYPERLINK("https://projects.propublica.org/nonprofits/organizations/416017815/202413199349104831/full","view filing")</f>
        <v/>
      </c>
    </row>
    <row r="43">
      <c r="A43" t="inlineStr">
        <is>
          <t>California Institute Of Technology</t>
        </is>
      </c>
      <c r="B43" s="20" t="inlineStr">
        <is>
          <t>CA</t>
        </is>
      </c>
      <c r="C43" s="42" t="n">
        <v>4.32</v>
      </c>
      <c r="D43" t="inlineStr">
        <is>
          <t>Endowment</t>
        </is>
      </c>
      <c r="E43" s="20" t="n">
        <v>2024</v>
      </c>
      <c r="F43" s="20" t="inlineStr"/>
      <c r="G43" t="inlineStr">
        <is>
          <t>Douglas N Macbean</t>
        </is>
      </c>
      <c r="H43" t="inlineStr">
        <is>
          <t>SR MANAGING DIR INVESTMENTS</t>
        </is>
      </c>
      <c r="I43" t="inlineStr">
        <is>
          <t>Senior Managing Director</t>
        </is>
      </c>
      <c r="J43" s="21" t="n">
        <v>427887</v>
      </c>
      <c r="K43" s="21" t="n">
        <v>267118</v>
      </c>
      <c r="L43" s="21" t="n">
        <v>695005</v>
      </c>
      <c r="M43" s="21" t="n">
        <v>22500</v>
      </c>
      <c r="N43" s="21" t="n">
        <v>181569</v>
      </c>
      <c r="O43" s="21" t="n">
        <v>30291</v>
      </c>
      <c r="P43" s="21" t="n">
        <v>929365</v>
      </c>
      <c r="Q43" s="21" t="n">
        <v>832187</v>
      </c>
      <c r="R43" s="21">
        <f>IF(Q43="","",Q43*(1+in_GrowthRate)^(YEARFRAC(DATE(2024,9,30),in_AgeToDate)*IF(in_AgeToDate&lt;DATE(2024,9,30),-1,1)+1))</f>
        <v/>
      </c>
      <c r="S43" s="38" t="n">
        <v>0.6242722961903493</v>
      </c>
      <c r="T43" s="43">
        <f>HYPERLINK("https://projects.propublica.org/nonprofits/organizations/951643307/202512239349302301/full","view filing")</f>
        <v/>
      </c>
    </row>
    <row r="44">
      <c r="A44" t="inlineStr">
        <is>
          <t>California Institute Of Technology</t>
        </is>
      </c>
      <c r="B44" s="20" t="inlineStr">
        <is>
          <t>CA</t>
        </is>
      </c>
      <c r="C44" s="42" t="n">
        <v>4.32</v>
      </c>
      <c r="D44" t="inlineStr">
        <is>
          <t>Endowment</t>
        </is>
      </c>
      <c r="E44" s="20" t="n">
        <v>2023</v>
      </c>
      <c r="F44" s="20" t="inlineStr"/>
      <c r="G44" t="inlineStr">
        <is>
          <t>Alistair W Thistlethwaite</t>
        </is>
      </c>
      <c r="H44" t="inlineStr">
        <is>
          <t>MNG DIR, PUBLIC/ALT SECURITIES</t>
        </is>
      </c>
      <c r="I44" t="inlineStr">
        <is>
          <t>Managing Director</t>
        </is>
      </c>
      <c r="J44" s="21" t="n">
        <v>334399</v>
      </c>
      <c r="K44" s="21" t="n">
        <v>175692</v>
      </c>
      <c r="L44" s="21" t="n">
        <v>510091</v>
      </c>
      <c r="M44" s="21" t="n">
        <v>15750</v>
      </c>
      <c r="N44" s="21" t="n">
        <v>112071</v>
      </c>
      <c r="O44" s="21" t="n">
        <v>14400</v>
      </c>
      <c r="P44" s="21" t="n">
        <v>652312</v>
      </c>
      <c r="Q44" s="21" t="n">
        <v>652312</v>
      </c>
      <c r="R44" s="21">
        <f>IF(Q44="","",Q44*(1+in_GrowthRate)^(YEARFRAC(DATE(2023,9,30),in_AgeToDate)*IF(in_AgeToDate&lt;DATE(2023,9,30),-1,1)+1))</f>
        <v/>
      </c>
      <c r="S44" s="38" t="n">
        <v>0.5253963080033134</v>
      </c>
      <c r="T44" s="43">
        <f>HYPERLINK("https://projects.propublica.org/nonprofits/organizations/951643307/202412259349300121/full","view filing")</f>
        <v/>
      </c>
    </row>
    <row r="45">
      <c r="A45" t="inlineStr">
        <is>
          <t>California Institute Of Technology</t>
        </is>
      </c>
      <c r="B45" s="20" t="inlineStr">
        <is>
          <t>CA</t>
        </is>
      </c>
      <c r="C45" s="42" t="n">
        <v>4.32</v>
      </c>
      <c r="D45" t="inlineStr">
        <is>
          <t>Endowment</t>
        </is>
      </c>
      <c r="E45" s="20" t="n">
        <v>2023</v>
      </c>
      <c r="F45" s="20" t="inlineStr"/>
      <c r="G45" t="inlineStr">
        <is>
          <t>Douglas N Macbean</t>
        </is>
      </c>
      <c r="H45" t="inlineStr">
        <is>
          <t>SR MANAGING DIR. INVESTMENTS</t>
        </is>
      </c>
      <c r="I45" t="inlineStr">
        <is>
          <t>Senior Managing Director</t>
        </is>
      </c>
      <c r="J45" s="21" t="n">
        <v>384148</v>
      </c>
      <c r="K45" s="21" t="n">
        <v>350423</v>
      </c>
      <c r="L45" s="21" t="n">
        <v>734571</v>
      </c>
      <c r="M45" s="21" t="n">
        <v>20500</v>
      </c>
      <c r="N45" s="21" t="n">
        <v>136821</v>
      </c>
      <c r="O45" s="21" t="n">
        <v>30859</v>
      </c>
      <c r="P45" s="21" t="n">
        <v>922751</v>
      </c>
      <c r="Q45" s="21" t="n">
        <v>865491</v>
      </c>
      <c r="R45" s="21">
        <f>IF(Q45="","",Q45*(1+in_GrowthRate)^(YEARFRAC(DATE(2023,9,30),in_AgeToDate)*IF(in_AgeToDate&lt;DATE(2023,9,30),-1,1)+1))</f>
        <v/>
      </c>
      <c r="S45" s="38" t="n">
        <v>0.9122083155450503</v>
      </c>
      <c r="T45" s="43">
        <f>HYPERLINK("https://projects.propublica.org/nonprofits/organizations/951643307/202412259349300121/full","view filing")</f>
        <v/>
      </c>
    </row>
    <row r="46">
      <c r="A46" t="inlineStr">
        <is>
          <t>California Institute Of Technology</t>
        </is>
      </c>
      <c r="B46" s="20" t="inlineStr">
        <is>
          <t>CA</t>
        </is>
      </c>
      <c r="C46" s="42" t="n">
        <v>4.32</v>
      </c>
      <c r="D46" t="inlineStr">
        <is>
          <t>Endowment</t>
        </is>
      </c>
      <c r="E46" s="20" t="n">
        <v>2022</v>
      </c>
      <c r="F46" s="20" t="inlineStr"/>
      <c r="G46" t="inlineStr">
        <is>
          <t>Douglas N Macbean</t>
        </is>
      </c>
      <c r="H46" t="inlineStr">
        <is>
          <t>Managing Dir. of Investments</t>
        </is>
      </c>
      <c r="I46" t="inlineStr">
        <is>
          <t>Managing Director</t>
        </is>
      </c>
      <c r="J46" s="21" t="n">
        <v>306017</v>
      </c>
      <c r="K46" s="21" t="n">
        <v>302940</v>
      </c>
      <c r="L46" s="21" t="n">
        <v>608957</v>
      </c>
      <c r="M46" s="21" t="n">
        <v>19500</v>
      </c>
      <c r="N46" s="21" t="n">
        <v>182460</v>
      </c>
      <c r="O46" s="21" t="n">
        <v>30759</v>
      </c>
      <c r="P46" s="21" t="n">
        <v>841676</v>
      </c>
      <c r="Q46" s="21" t="n">
        <v>701676</v>
      </c>
      <c r="R46" s="21">
        <f>IF(Q46="","",Q46*(1+in_GrowthRate)^(YEARFRAC(DATE(2022,9,30),in_AgeToDate)*IF(in_AgeToDate&lt;DATE(2022,9,30),-1,1)+1))</f>
        <v/>
      </c>
      <c r="S46" s="38" t="n">
        <v>0.9899450030553858</v>
      </c>
      <c r="T46" s="43">
        <f>HYPERLINK("https://projects.propublica.org/nonprofits/organizations/951643307/202342239349301844/full","view filing")</f>
        <v/>
      </c>
    </row>
    <row r="47">
      <c r="A47" t="inlineStr">
        <is>
          <t>California Institute Of Technology</t>
        </is>
      </c>
      <c r="B47" s="20" t="inlineStr">
        <is>
          <t>CA</t>
        </is>
      </c>
      <c r="C47" s="42" t="n">
        <v>4.32</v>
      </c>
      <c r="D47" t="inlineStr">
        <is>
          <t>Endowment</t>
        </is>
      </c>
      <c r="E47" s="20" t="n">
        <v>2022</v>
      </c>
      <c r="F47" s="20" t="inlineStr"/>
      <c r="G47" t="inlineStr">
        <is>
          <t>Pasy Isabella Wang</t>
        </is>
      </c>
      <c r="H47" t="inlineStr">
        <is>
          <t>SR MG DIR OF INVESTMENTS</t>
        </is>
      </c>
      <c r="I47" t="inlineStr">
        <is>
          <t>Managing Director</t>
        </is>
      </c>
      <c r="J47" s="21" t="n">
        <v>368771</v>
      </c>
      <c r="K47" s="21" t="n">
        <v>463489</v>
      </c>
      <c r="L47" s="21" t="n">
        <v>832260</v>
      </c>
      <c r="M47" s="21" t="n">
        <v>20109</v>
      </c>
      <c r="N47" s="21" t="n">
        <v>267460</v>
      </c>
      <c r="O47" s="21" t="n">
        <v>42987</v>
      </c>
      <c r="P47" s="21" t="n">
        <v>1162816</v>
      </c>
      <c r="Q47" s="21" t="n">
        <v>747066</v>
      </c>
      <c r="R47" s="21">
        <f>IF(Q47="","",Q47*(1+in_GrowthRate)^(YEARFRAC(DATE(2022,9,30),in_AgeToDate)*IF(in_AgeToDate&lt;DATE(2022,9,30),-1,1)+1))</f>
        <v/>
      </c>
      <c r="S47" s="38" t="n">
        <v>1.256847745619911</v>
      </c>
      <c r="T47" s="43">
        <f>HYPERLINK("https://projects.propublica.org/nonprofits/organizations/951643307/202342239349301844/full","view filing")</f>
        <v/>
      </c>
    </row>
    <row r="48">
      <c r="A48" t="inlineStr">
        <is>
          <t>Community Foundation For Greater New Haven</t>
        </is>
      </c>
      <c r="B48" s="20" t="inlineStr">
        <is>
          <t>CT</t>
        </is>
      </c>
      <c r="C48" s="42" t="n">
        <v>0.61</v>
      </c>
      <c r="D48" t="inlineStr">
        <is>
          <t>Foundation</t>
        </is>
      </c>
      <c r="E48" s="20" t="n">
        <v>2024</v>
      </c>
      <c r="F48" s="20">
        <f>IF(AND(OR(in_Mode="All Funds",AND(C48&gt;=in_BandFloor,C48&lt;=in_BandCeiling,OR(in_Geography="National",COUNTIFS(lst_GeoPreset,in_Geography,lst_GeoState,B48)&gt;0,AND(in_Geography="Custom",ISNUMBER(SEARCH(B48,SUBSTITUTE(in_CustomStates," ",""))))),OR(AND(D48="Endowment",Inputs!$B$14="Y"),AND(D48="Foundation",Inputs!$B$15="Y"),AND(D48="Healthcare",Inputs!$B$16="Y"),AND(D48="Pension",Inputs!$B$17="Y"),AND(D48="OCIO",Inputs!$B$18="Y"),AND(D48="Other",Inputs!$B$19="Y")))),A48&lt;&gt;in_ClientOrg,NOT(AND(in_ExclHarvard="Y",ISNUMBER(SEARCH("Harvard",A48))))),"Y","")</f>
        <v/>
      </c>
      <c r="G48" t="inlineStr">
        <is>
          <t>Christopher Koler</t>
        </is>
      </c>
      <c r="H48" t="inlineStr">
        <is>
          <t>MANAGING DIRECTOR, INVESTMENTS</t>
        </is>
      </c>
      <c r="I48" t="inlineStr">
        <is>
          <t>Managing Director</t>
        </is>
      </c>
      <c r="J48" s="21" t="n">
        <v>201796</v>
      </c>
      <c r="K48" s="21" t="n"/>
      <c r="L48" s="21" t="n">
        <v>201796</v>
      </c>
      <c r="M48" s="21" t="n">
        <v>95</v>
      </c>
      <c r="N48" s="21" t="n">
        <v>16151</v>
      </c>
      <c r="O48" s="21" t="n">
        <v>1509</v>
      </c>
      <c r="P48" s="21" t="n">
        <v>219551</v>
      </c>
      <c r="Q48" s="21" t="n">
        <v>219551</v>
      </c>
      <c r="R48" s="21">
        <f>IF(Q48="","",Q48*(1+in_GrowthRate)^(YEARFRAC(DATE(2024,12,31),in_AgeToDate)*IF(in_AgeToDate&lt;DATE(2024,12,31),-1,1)+1))</f>
        <v/>
      </c>
      <c r="S48" s="38" t="n">
        <v>0</v>
      </c>
      <c r="T48" s="43">
        <f>HYPERLINK("https://projects.propublica.org/nonprofits/organizations/66032106/202543219349314969/full","view filing")</f>
        <v/>
      </c>
    </row>
    <row r="49">
      <c r="A49" t="inlineStr">
        <is>
          <t>Cystic Fibrosis Foundation</t>
        </is>
      </c>
      <c r="B49" s="20" t="inlineStr">
        <is>
          <t>MD</t>
        </is>
      </c>
      <c r="C49" s="42" t="n">
        <v>4.78</v>
      </c>
      <c r="D49" t="inlineStr">
        <is>
          <t>Foundation</t>
        </is>
      </c>
      <c r="E49" s="20" t="n">
        <v>2024</v>
      </c>
      <c r="F49" s="20">
        <f>IF(AND(OR(in_Mode="All Funds",AND(C49&gt;=in_BandFloor,C49&lt;=in_BandCeiling,OR(in_Geography="National",COUNTIFS(lst_GeoPreset,in_Geography,lst_GeoState,B49)&gt;0,AND(in_Geography="Custom",ISNUMBER(SEARCH(B49,SUBSTITUTE(in_CustomStates," ",""))))),OR(AND(D49="Endowment",Inputs!$B$14="Y"),AND(D49="Foundation",Inputs!$B$15="Y"),AND(D49="Healthcare",Inputs!$B$16="Y"),AND(D49="Pension",Inputs!$B$17="Y"),AND(D49="OCIO",Inputs!$B$18="Y"),AND(D49="Other",Inputs!$B$19="Y")))),A49&lt;&gt;in_ClientOrg,NOT(AND(in_ExclHarvard="Y",ISNUMBER(SEARCH("Harvard",A49))))),"Y","")</f>
        <v/>
      </c>
      <c r="G49" t="inlineStr">
        <is>
          <t>Andrew Lewis</t>
        </is>
      </c>
      <c r="H49" t="inlineStr">
        <is>
          <t>MANAGING DIRECTOR, INVESTMENTS</t>
        </is>
      </c>
      <c r="I49" t="inlineStr">
        <is>
          <t>Managing Director</t>
        </is>
      </c>
      <c r="J49" s="21" t="n">
        <v>469402</v>
      </c>
      <c r="K49" s="21" t="n">
        <v>891950</v>
      </c>
      <c r="L49" s="21" t="n">
        <v>1361352</v>
      </c>
      <c r="M49" s="21" t="n">
        <v>2102</v>
      </c>
      <c r="N49" s="21" t="n">
        <v>20856</v>
      </c>
      <c r="O49" s="21" t="n">
        <v>17404</v>
      </c>
      <c r="P49" s="21" t="n">
        <v>1401714</v>
      </c>
      <c r="Q49" s="21" t="n">
        <v>1401714</v>
      </c>
      <c r="R49" s="21">
        <f>IF(Q49="","",Q49*(1+in_GrowthRate)^(YEARFRAC(DATE(2024,12,31),in_AgeToDate)*IF(in_AgeToDate&lt;DATE(2024,12,31),-1,1)+1))</f>
        <v/>
      </c>
      <c r="S49" s="38" t="n">
        <v>1.90018363790525</v>
      </c>
      <c r="T49" s="43">
        <f>HYPERLINK("https://projects.propublica.org/nonprofits/organizations/131930701/202533189349311948/full","view filing")</f>
        <v/>
      </c>
    </row>
    <row r="50">
      <c r="A50" t="inlineStr">
        <is>
          <t>Cystic Fibrosis Foundation</t>
        </is>
      </c>
      <c r="B50" s="20" t="inlineStr">
        <is>
          <t>MD</t>
        </is>
      </c>
      <c r="C50" s="42" t="n">
        <v>4.78</v>
      </c>
      <c r="D50" t="inlineStr">
        <is>
          <t>Foundation</t>
        </is>
      </c>
      <c r="E50" s="20" t="n">
        <v>2024</v>
      </c>
      <c r="F50" s="20">
        <f>IF(AND(OR(in_Mode="All Funds",AND(C50&gt;=in_BandFloor,C50&lt;=in_BandCeiling,OR(in_Geography="National",COUNTIFS(lst_GeoPreset,in_Geography,lst_GeoState,B50)&gt;0,AND(in_Geography="Custom",ISNUMBER(SEARCH(B50,SUBSTITUTE(in_CustomStates," ",""))))),OR(AND(D50="Endowment",Inputs!$B$14="Y"),AND(D50="Foundation",Inputs!$B$15="Y"),AND(D50="Healthcare",Inputs!$B$16="Y"),AND(D50="Pension",Inputs!$B$17="Y"),AND(D50="OCIO",Inputs!$B$18="Y"),AND(D50="Other",Inputs!$B$19="Y")))),A50&lt;&gt;in_ClientOrg,NOT(AND(in_ExclHarvard="Y",ISNUMBER(SEARCH("Harvard",A50))))),"Y","")</f>
        <v/>
      </c>
      <c r="G50" t="inlineStr">
        <is>
          <t>Earl A Lee</t>
        </is>
      </c>
      <c r="H50" t="inlineStr">
        <is>
          <t>MANAGING DIRECTOR, INVESTMENTS</t>
        </is>
      </c>
      <c r="I50" t="inlineStr">
        <is>
          <t>Managing Director</t>
        </is>
      </c>
      <c r="J50" s="21" t="n">
        <v>665920</v>
      </c>
      <c r="K50" s="21" t="n">
        <v>558525</v>
      </c>
      <c r="L50" s="21" t="n">
        <v>1224445</v>
      </c>
      <c r="M50" s="21" t="n">
        <v>1824</v>
      </c>
      <c r="N50" s="21" t="n">
        <v>349255</v>
      </c>
      <c r="O50" s="21" t="n">
        <v>19228</v>
      </c>
      <c r="P50" s="21" t="n">
        <v>1594752</v>
      </c>
      <c r="Q50" s="21" t="n">
        <v>1420187</v>
      </c>
      <c r="R50" s="21">
        <f>IF(Q50="","",Q50*(1+in_GrowthRate)^(YEARFRAC(DATE(2024,12,31),in_AgeToDate)*IF(in_AgeToDate&lt;DATE(2024,12,31),-1,1)+1))</f>
        <v/>
      </c>
      <c r="S50" s="38" t="n">
        <v>0.8387268740989908</v>
      </c>
      <c r="T50" s="43">
        <f>HYPERLINK("https://projects.propublica.org/nonprofits/organizations/131930701/202533189349311948/full","view filing")</f>
        <v/>
      </c>
    </row>
    <row r="51">
      <c r="A51" t="inlineStr">
        <is>
          <t>Cystic Fibrosis Foundation</t>
        </is>
      </c>
      <c r="B51" s="20" t="inlineStr">
        <is>
          <t>MD</t>
        </is>
      </c>
      <c r="C51" s="42" t="n">
        <v>4.78</v>
      </c>
      <c r="D51" t="inlineStr">
        <is>
          <t>Foundation</t>
        </is>
      </c>
      <c r="E51" s="20" t="n">
        <v>2024</v>
      </c>
      <c r="F51" s="20">
        <f>IF(AND(OR(in_Mode="All Funds",AND(C51&gt;=in_BandFloor,C51&lt;=in_BandCeiling,OR(in_Geography="National",COUNTIFS(lst_GeoPreset,in_Geography,lst_GeoState,B51)&gt;0,AND(in_Geography="Custom",ISNUMBER(SEARCH(B51,SUBSTITUTE(in_CustomStates," ",""))))),OR(AND(D51="Endowment",Inputs!$B$14="Y"),AND(D51="Foundation",Inputs!$B$15="Y"),AND(D51="Healthcare",Inputs!$B$16="Y"),AND(D51="Pension",Inputs!$B$17="Y"),AND(D51="OCIO",Inputs!$B$18="Y"),AND(D51="Other",Inputs!$B$19="Y")))),A51&lt;&gt;in_ClientOrg,NOT(AND(in_ExclHarvard="Y",ISNUMBER(SEARCH("Harvard",A51))))),"Y","")</f>
        <v/>
      </c>
      <c r="G51" t="inlineStr">
        <is>
          <t>Eric Koehrsen</t>
        </is>
      </c>
      <c r="H51" t="inlineStr">
        <is>
          <t>MANAGING DIRECTOR, INVESTMENTS</t>
        </is>
      </c>
      <c r="I51" t="inlineStr">
        <is>
          <t>Managing Director</t>
        </is>
      </c>
      <c r="J51" s="21" t="n">
        <v>600659</v>
      </c>
      <c r="K51" s="21" t="n">
        <v>374293</v>
      </c>
      <c r="L51" s="21" t="n">
        <v>974952</v>
      </c>
      <c r="M51" s="21" t="n">
        <v>1153</v>
      </c>
      <c r="N51" s="21" t="n">
        <v>248801</v>
      </c>
      <c r="O51" s="21" t="n">
        <v>55801</v>
      </c>
      <c r="P51" s="21" t="n">
        <v>1280707</v>
      </c>
      <c r="Q51" s="21" t="n">
        <v>1124035</v>
      </c>
      <c r="R51" s="21">
        <f>IF(Q51="","",Q51*(1+in_GrowthRate)^(YEARFRAC(DATE(2024,12,31),in_AgeToDate)*IF(in_AgeToDate&lt;DATE(2024,12,31),-1,1)+1))</f>
        <v/>
      </c>
      <c r="S51" s="38" t="n">
        <v>0.6231372542490831</v>
      </c>
      <c r="T51" s="43">
        <f>HYPERLINK("https://projects.propublica.org/nonprofits/organizations/131930701/202533189349311948/full","view filing")</f>
        <v/>
      </c>
    </row>
    <row r="52">
      <c r="A52" t="inlineStr">
        <is>
          <t>Cystic Fibrosis Foundation</t>
        </is>
      </c>
      <c r="B52" s="20" t="inlineStr">
        <is>
          <t>MD</t>
        </is>
      </c>
      <c r="C52" s="42" t="n">
        <v>4.78</v>
      </c>
      <c r="D52" t="inlineStr">
        <is>
          <t>Foundation</t>
        </is>
      </c>
      <c r="E52" s="20" t="n">
        <v>2023</v>
      </c>
      <c r="F52" s="20" t="inlineStr"/>
      <c r="G52" t="inlineStr">
        <is>
          <t>Andrew Lewis</t>
        </is>
      </c>
      <c r="H52" t="inlineStr">
        <is>
          <t>MANAGING DIRECTOR, INVESTMENTS</t>
        </is>
      </c>
      <c r="I52" t="inlineStr">
        <is>
          <t>Managing Director</t>
        </is>
      </c>
      <c r="J52" s="21" t="n">
        <v>422884</v>
      </c>
      <c r="K52" s="21" t="n">
        <v>843750</v>
      </c>
      <c r="L52" s="21" t="n">
        <v>1266634</v>
      </c>
      <c r="M52" s="21" t="n">
        <v>2203</v>
      </c>
      <c r="N52" s="21" t="n">
        <v>33192</v>
      </c>
      <c r="O52" s="21" t="n">
        <v>16418</v>
      </c>
      <c r="P52" s="21" t="n">
        <v>1318447</v>
      </c>
      <c r="Q52" s="21" t="n">
        <v>1318447</v>
      </c>
      <c r="R52" s="21">
        <f>IF(Q52="","",Q52*(1+in_GrowthRate)^(YEARFRAC(DATE(2023,12,31),in_AgeToDate)*IF(in_AgeToDate&lt;DATE(2023,12,31),-1,1)+1))</f>
        <v/>
      </c>
      <c r="S52" s="38" t="n">
        <v>1.995228005788821</v>
      </c>
      <c r="T52" s="43">
        <f>HYPERLINK("https://projects.propublica.org/nonprofits/organizations/131930701/202403179349300720/full","view filing")</f>
        <v/>
      </c>
    </row>
    <row r="53">
      <c r="A53" t="inlineStr">
        <is>
          <t>Cystic Fibrosis Foundation</t>
        </is>
      </c>
      <c r="B53" s="20" t="inlineStr">
        <is>
          <t>MD</t>
        </is>
      </c>
      <c r="C53" s="42" t="n">
        <v>4.78</v>
      </c>
      <c r="D53" t="inlineStr">
        <is>
          <t>Foundation</t>
        </is>
      </c>
      <c r="E53" s="20" t="n">
        <v>2023</v>
      </c>
      <c r="F53" s="20" t="inlineStr"/>
      <c r="G53" t="inlineStr">
        <is>
          <t>Earl A Lee</t>
        </is>
      </c>
      <c r="H53" t="inlineStr">
        <is>
          <t>MANAGING DIRECTOR, INVESTMENTS</t>
        </is>
      </c>
      <c r="I53" t="inlineStr">
        <is>
          <t>Managing Director</t>
        </is>
      </c>
      <c r="J53" s="21" t="n">
        <v>462638</v>
      </c>
      <c r="K53" s="21" t="n">
        <v>650071</v>
      </c>
      <c r="L53" s="21" t="n">
        <v>1112709</v>
      </c>
      <c r="M53" s="21" t="n">
        <v>1715</v>
      </c>
      <c r="N53" s="21" t="n">
        <v>264863</v>
      </c>
      <c r="O53" s="21" t="n">
        <v>17823</v>
      </c>
      <c r="P53" s="21" t="n">
        <v>1397110</v>
      </c>
      <c r="Q53" s="21" t="n">
        <v>1268757</v>
      </c>
      <c r="R53" s="21">
        <f>IF(Q53="","",Q53*(1+in_GrowthRate)^(YEARFRAC(DATE(2023,12,31),in_AgeToDate)*IF(in_AgeToDate&lt;DATE(2023,12,31),-1,1)+1))</f>
        <v/>
      </c>
      <c r="S53" s="38" t="n">
        <v>1.405139655627078</v>
      </c>
      <c r="T53" s="43">
        <f>HYPERLINK("https://projects.propublica.org/nonprofits/organizations/131930701/202403179349300720/full","view filing")</f>
        <v/>
      </c>
    </row>
    <row r="54">
      <c r="A54" t="inlineStr">
        <is>
          <t>Cystic Fibrosis Foundation</t>
        </is>
      </c>
      <c r="B54" s="20" t="inlineStr">
        <is>
          <t>MD</t>
        </is>
      </c>
      <c r="C54" s="42" t="n">
        <v>4.78</v>
      </c>
      <c r="D54" t="inlineStr">
        <is>
          <t>Foundation</t>
        </is>
      </c>
      <c r="E54" s="20" t="n">
        <v>2023</v>
      </c>
      <c r="F54" s="20" t="inlineStr"/>
      <c r="G54" t="inlineStr">
        <is>
          <t>Eric Koehrsen</t>
        </is>
      </c>
      <c r="H54" t="inlineStr">
        <is>
          <t>MANAGING DIRECTOR, INVESTMENTS</t>
        </is>
      </c>
      <c r="I54" t="inlineStr">
        <is>
          <t>Managing Director</t>
        </is>
      </c>
      <c r="J54" s="21" t="n">
        <v>426621</v>
      </c>
      <c r="K54" s="21" t="n">
        <v>521753</v>
      </c>
      <c r="L54" s="21" t="n">
        <v>948374</v>
      </c>
      <c r="M54" s="21" t="n">
        <v>1131</v>
      </c>
      <c r="N54" s="21" t="n">
        <v>214961</v>
      </c>
      <c r="O54" s="21" t="n">
        <v>54041</v>
      </c>
      <c r="P54" s="21" t="n">
        <v>1218507</v>
      </c>
      <c r="Q54" s="21" t="n">
        <v>1103666</v>
      </c>
      <c r="R54" s="21">
        <f>IF(Q54="","",Q54*(1+in_GrowthRate)^(YEARFRAC(DATE(2023,12,31),in_AgeToDate)*IF(in_AgeToDate&lt;DATE(2023,12,31),-1,1)+1))</f>
        <v/>
      </c>
      <c r="S54" s="38" t="n">
        <v>1.222989491844049</v>
      </c>
      <c r="T54" s="43">
        <f>HYPERLINK("https://projects.propublica.org/nonprofits/organizations/131930701/202403179349300720/full","view filing")</f>
        <v/>
      </c>
    </row>
    <row r="55">
      <c r="A55" t="inlineStr">
        <is>
          <t>Cystic Fibrosis Foundation</t>
        </is>
      </c>
      <c r="B55" s="20" t="inlineStr">
        <is>
          <t>MD</t>
        </is>
      </c>
      <c r="C55" s="42" t="n">
        <v>4.78</v>
      </c>
      <c r="D55" t="inlineStr">
        <is>
          <t>Foundation</t>
        </is>
      </c>
      <c r="E55" s="20" t="n">
        <v>2023</v>
      </c>
      <c r="F55" s="20" t="inlineStr"/>
      <c r="G55" t="inlineStr">
        <is>
          <t>Gentiana S Arovas</t>
        </is>
      </c>
      <c r="H55" t="inlineStr">
        <is>
          <t>MANAGING DIRECTOR, INVESTMENTS</t>
        </is>
      </c>
      <c r="I55" t="inlineStr">
        <is>
          <t>Managing Director</t>
        </is>
      </c>
      <c r="J55" s="21" t="n">
        <v>377927</v>
      </c>
      <c r="K55" s="21" t="n">
        <v>161385</v>
      </c>
      <c r="L55" s="21" t="n">
        <v>539312</v>
      </c>
      <c r="M55" s="21" t="n">
        <v>1984</v>
      </c>
      <c r="N55" s="21" t="n">
        <v>137360</v>
      </c>
      <c r="O55" s="21" t="n">
        <v>53081</v>
      </c>
      <c r="P55" s="21" t="n">
        <v>731737</v>
      </c>
      <c r="Q55" s="21" t="n">
        <v>687638</v>
      </c>
      <c r="R55" s="21">
        <f>IF(Q55="","",Q55*(1+in_GrowthRate)^(YEARFRAC(DATE(2023,12,31),in_AgeToDate)*IF(in_AgeToDate&lt;DATE(2023,12,31),-1,1)+1))</f>
        <v/>
      </c>
      <c r="S55" s="38" t="n">
        <v>0.4270269126048152</v>
      </c>
      <c r="T55" s="43">
        <f>HYPERLINK("https://projects.propublica.org/nonprofits/organizations/131930701/202403179349300720/full","view filing")</f>
        <v/>
      </c>
    </row>
    <row r="56">
      <c r="A56" t="inlineStr">
        <is>
          <t>Cystic Fibrosis Foundation</t>
        </is>
      </c>
      <c r="B56" s="20" t="inlineStr">
        <is>
          <t>MD</t>
        </is>
      </c>
      <c r="C56" s="42" t="n">
        <v>4.78</v>
      </c>
      <c r="D56" t="inlineStr">
        <is>
          <t>Foundation</t>
        </is>
      </c>
      <c r="E56" s="20" t="n">
        <v>2022</v>
      </c>
      <c r="F56" s="20" t="inlineStr"/>
      <c r="G56" t="inlineStr">
        <is>
          <t>Earl Lee</t>
        </is>
      </c>
      <c r="H56" t="inlineStr">
        <is>
          <t>MANAGING DIRECTOR, INVESTMENTS</t>
        </is>
      </c>
      <c r="I56" t="inlineStr">
        <is>
          <t>Managing Director</t>
        </is>
      </c>
      <c r="J56" s="21" t="n">
        <v>439904</v>
      </c>
      <c r="K56" s="21" t="n">
        <v>581475</v>
      </c>
      <c r="L56" s="21" t="n">
        <v>1021379</v>
      </c>
      <c r="M56" s="21" t="n">
        <v>1634</v>
      </c>
      <c r="N56" s="21" t="n">
        <v>217912</v>
      </c>
      <c r="O56" s="21" t="n">
        <v>16450</v>
      </c>
      <c r="P56" s="21" t="n">
        <v>1257375</v>
      </c>
      <c r="Q56" s="21" t="n">
        <v>1130430</v>
      </c>
      <c r="R56" s="21">
        <f>IF(Q56="","",Q56*(1+in_GrowthRate)^(YEARFRAC(DATE(2022,12,31),in_AgeToDate)*IF(in_AgeToDate&lt;DATE(2022,12,31),-1,1)+1))</f>
        <v/>
      </c>
      <c r="S56" s="38" t="n">
        <v>1.321822488542955</v>
      </c>
      <c r="T56" s="43">
        <f>HYPERLINK("https://projects.propublica.org/nonprofits/organizations/131930701/202333189349314028/full","view filing")</f>
        <v/>
      </c>
    </row>
    <row r="57">
      <c r="A57" t="inlineStr">
        <is>
          <t>Cystic Fibrosis Foundation</t>
        </is>
      </c>
      <c r="B57" s="20" t="inlineStr">
        <is>
          <t>MD</t>
        </is>
      </c>
      <c r="C57" s="42" t="n">
        <v>4.78</v>
      </c>
      <c r="D57" t="inlineStr">
        <is>
          <t>Foundation</t>
        </is>
      </c>
      <c r="E57" s="20" t="n">
        <v>2022</v>
      </c>
      <c r="F57" s="20" t="inlineStr"/>
      <c r="G57" t="inlineStr">
        <is>
          <t>Eric Koehrsen</t>
        </is>
      </c>
      <c r="H57" t="inlineStr">
        <is>
          <t>MANAGING DIRECTOR, INVESTMENTS</t>
        </is>
      </c>
      <c r="I57" t="inlineStr">
        <is>
          <t>Managing Director</t>
        </is>
      </c>
      <c r="J57" s="21" t="n">
        <v>407807</v>
      </c>
      <c r="K57" s="21" t="n">
        <v>512092</v>
      </c>
      <c r="L57" s="21" t="n">
        <v>919899</v>
      </c>
      <c r="M57" s="21" t="n">
        <v>1135</v>
      </c>
      <c r="N57" s="21" t="n">
        <v>199727</v>
      </c>
      <c r="O57" s="21" t="n">
        <v>48510</v>
      </c>
      <c r="P57" s="21" t="n">
        <v>1169271</v>
      </c>
      <c r="Q57" s="21" t="n">
        <v>1062801</v>
      </c>
      <c r="R57" s="21">
        <f>IF(Q57="","",Q57*(1+in_GrowthRate)^(YEARFRAC(DATE(2022,12,31),in_AgeToDate)*IF(in_AgeToDate&lt;DATE(2022,12,31),-1,1)+1))</f>
        <v/>
      </c>
      <c r="S57" s="38" t="n">
        <v>1.255721456473283</v>
      </c>
      <c r="T57" s="43">
        <f>HYPERLINK("https://projects.propublica.org/nonprofits/organizations/131930701/202333189349314028/full","view filing")</f>
        <v/>
      </c>
    </row>
    <row r="58">
      <c r="A58" t="inlineStr">
        <is>
          <t>David And Lucile Packard Foundation</t>
        </is>
      </c>
      <c r="B58" s="20" t="inlineStr">
        <is>
          <t>CA</t>
        </is>
      </c>
      <c r="C58" s="42" t="n">
        <v>8.07</v>
      </c>
      <c r="D58" t="inlineStr">
        <is>
          <t>Foundation</t>
        </is>
      </c>
      <c r="E58" s="20" t="n">
        <v>2024</v>
      </c>
      <c r="F58" s="20">
        <f>IF(AND(OR(in_Mode="All Funds",AND(C58&gt;=in_BandFloor,C58&lt;=in_BandCeiling,OR(in_Geography="National",COUNTIFS(lst_GeoPreset,in_Geography,lst_GeoState,B58)&gt;0,AND(in_Geography="Custom",ISNUMBER(SEARCH(B58,SUBSTITUTE(in_CustomStates," ",""))))),OR(AND(D58="Endowment",Inputs!$B$14="Y"),AND(D58="Foundation",Inputs!$B$15="Y"),AND(D58="Healthcare",Inputs!$B$16="Y"),AND(D58="Pension",Inputs!$B$17="Y"),AND(D58="OCIO",Inputs!$B$18="Y"),AND(D58="Other",Inputs!$B$19="Y")))),A58&lt;&gt;in_ClientOrg,NOT(AND(in_ExclHarvard="Y",ISNUMBER(SEARCH("Harvard",A58))))),"Y","")</f>
        <v/>
      </c>
      <c r="G58" t="inlineStr">
        <is>
          <t>Ben Chiquoine</t>
        </is>
      </c>
      <c r="H58" t="inlineStr">
        <is>
          <t>MANAGING DIRECTOR</t>
        </is>
      </c>
      <c r="I58" t="inlineStr">
        <is>
          <t>Managing Director</t>
        </is>
      </c>
      <c r="J58" s="21" t="n"/>
      <c r="K58" s="21" t="n"/>
      <c r="L58" s="21" t="n"/>
      <c r="M58" s="21" t="n"/>
      <c r="N58" s="21" t="n"/>
      <c r="O58" s="21" t="n"/>
      <c r="P58" s="21" t="n">
        <v>1031532</v>
      </c>
      <c r="Q58" s="21" t="n">
        <v>1031532</v>
      </c>
      <c r="R58" s="21">
        <f>IF(Q58="","",Q58*(1+in_GrowthRate)^(YEARFRAC(DATE(2024,12,31),in_AgeToDate)*IF(in_AgeToDate&lt;DATE(2024,12,31),-1,1)+1))</f>
        <v/>
      </c>
      <c r="S58" s="38" t="n"/>
      <c r="T58" s="43">
        <f>HYPERLINK("https://projects.propublica.org/nonprofits/organizations/942278431/202533209349100148/full","view filing")</f>
        <v/>
      </c>
    </row>
    <row r="59">
      <c r="A59" t="inlineStr">
        <is>
          <t>David And Lucile Packard Foundation</t>
        </is>
      </c>
      <c r="B59" s="20" t="inlineStr">
        <is>
          <t>CA</t>
        </is>
      </c>
      <c r="C59" s="42" t="n">
        <v>8.07</v>
      </c>
      <c r="D59" t="inlineStr">
        <is>
          <t>Foundation</t>
        </is>
      </c>
      <c r="E59" s="20" t="n">
        <v>2024</v>
      </c>
      <c r="F59" s="20">
        <f>IF(AND(OR(in_Mode="All Funds",AND(C59&gt;=in_BandFloor,C59&lt;=in_BandCeiling,OR(in_Geography="National",COUNTIFS(lst_GeoPreset,in_Geography,lst_GeoState,B59)&gt;0,AND(in_Geography="Custom",ISNUMBER(SEARCH(B59,SUBSTITUTE(in_CustomStates," ",""))))),OR(AND(D59="Endowment",Inputs!$B$14="Y"),AND(D59="Foundation",Inputs!$B$15="Y"),AND(D59="Healthcare",Inputs!$B$16="Y"),AND(D59="Pension",Inputs!$B$17="Y"),AND(D59="OCIO",Inputs!$B$18="Y"),AND(D59="Other",Inputs!$B$19="Y")))),A59&lt;&gt;in_ClientOrg,NOT(AND(in_ExclHarvard="Y",ISNUMBER(SEARCH("Harvard",A59))))),"Y","")</f>
        <v/>
      </c>
      <c r="G59" t="inlineStr">
        <is>
          <t>Christine Ortiz Arent</t>
        </is>
      </c>
      <c r="H59" t="inlineStr">
        <is>
          <t>MANAGING DIRECTOR</t>
        </is>
      </c>
      <c r="I59" t="inlineStr">
        <is>
          <t>Managing Director</t>
        </is>
      </c>
      <c r="J59" s="21" t="n"/>
      <c r="K59" s="21" t="n"/>
      <c r="L59" s="21" t="n"/>
      <c r="M59" s="21" t="n"/>
      <c r="N59" s="21" t="n"/>
      <c r="O59" s="21" t="n"/>
      <c r="P59" s="21" t="n">
        <v>1244206</v>
      </c>
      <c r="Q59" s="21" t="n">
        <v>1244206</v>
      </c>
      <c r="R59" s="21">
        <f>IF(Q59="","",Q59*(1+in_GrowthRate)^(YEARFRAC(DATE(2024,12,31),in_AgeToDate)*IF(in_AgeToDate&lt;DATE(2024,12,31),-1,1)+1))</f>
        <v/>
      </c>
      <c r="S59" s="38" t="n"/>
      <c r="T59" s="43">
        <f>HYPERLINK("https://projects.propublica.org/nonprofits/organizations/942278431/202533209349100148/full","view filing")</f>
        <v/>
      </c>
    </row>
    <row r="60">
      <c r="A60" t="inlineStr">
        <is>
          <t>David And Lucile Packard Foundation</t>
        </is>
      </c>
      <c r="B60" s="20" t="inlineStr">
        <is>
          <t>CA</t>
        </is>
      </c>
      <c r="C60" s="42" t="n">
        <v>8.07</v>
      </c>
      <c r="D60" t="inlineStr">
        <is>
          <t>Foundation</t>
        </is>
      </c>
      <c r="E60" s="20" t="n">
        <v>2024</v>
      </c>
      <c r="F60" s="20">
        <f>IF(AND(OR(in_Mode="All Funds",AND(C60&gt;=in_BandFloor,C60&lt;=in_BandCeiling,OR(in_Geography="National",COUNTIFS(lst_GeoPreset,in_Geography,lst_GeoState,B60)&gt;0,AND(in_Geography="Custom",ISNUMBER(SEARCH(B60,SUBSTITUTE(in_CustomStates," ",""))))),OR(AND(D60="Endowment",Inputs!$B$14="Y"),AND(D60="Foundation",Inputs!$B$15="Y"),AND(D60="Healthcare",Inputs!$B$16="Y"),AND(D60="Pension",Inputs!$B$17="Y"),AND(D60="OCIO",Inputs!$B$18="Y"),AND(D60="Other",Inputs!$B$19="Y")))),A60&lt;&gt;in_ClientOrg,NOT(AND(in_ExclHarvard="Y",ISNUMBER(SEARCH("Harvard",A60))))),"Y","")</f>
        <v/>
      </c>
      <c r="G60" t="inlineStr">
        <is>
          <t>Silpa S Pericherla</t>
        </is>
      </c>
      <c r="H60" t="inlineStr">
        <is>
          <t>MANAGING DIRECTOR</t>
        </is>
      </c>
      <c r="I60" t="inlineStr">
        <is>
          <t>Managing Director</t>
        </is>
      </c>
      <c r="J60" s="21" t="n"/>
      <c r="K60" s="21" t="n"/>
      <c r="L60" s="21" t="n"/>
      <c r="M60" s="21" t="n"/>
      <c r="N60" s="21" t="n"/>
      <c r="O60" s="21" t="n"/>
      <c r="P60" s="21" t="n">
        <v>1384774</v>
      </c>
      <c r="Q60" s="21" t="n">
        <v>1384774</v>
      </c>
      <c r="R60" s="21">
        <f>IF(Q60="","",Q60*(1+in_GrowthRate)^(YEARFRAC(DATE(2024,12,31),in_AgeToDate)*IF(in_AgeToDate&lt;DATE(2024,12,31),-1,1)+1))</f>
        <v/>
      </c>
      <c r="S60" s="38" t="n"/>
      <c r="T60" s="43">
        <f>HYPERLINK("https://projects.propublica.org/nonprofits/organizations/942278431/202533209349100148/full","view filing")</f>
        <v/>
      </c>
    </row>
    <row r="61">
      <c r="A61" t="inlineStr">
        <is>
          <t>David And Lucile Packard Foundation</t>
        </is>
      </c>
      <c r="B61" s="20" t="inlineStr">
        <is>
          <t>CA</t>
        </is>
      </c>
      <c r="C61" s="42" t="n">
        <v>8.07</v>
      </c>
      <c r="D61" t="inlineStr">
        <is>
          <t>Foundation</t>
        </is>
      </c>
      <c r="E61" s="20" t="n">
        <v>2024</v>
      </c>
      <c r="F61" s="20">
        <f>IF(AND(OR(in_Mode="All Funds",AND(C61&gt;=in_BandFloor,C61&lt;=in_BandCeiling,OR(in_Geography="National",COUNTIFS(lst_GeoPreset,in_Geography,lst_GeoState,B61)&gt;0,AND(in_Geography="Custom",ISNUMBER(SEARCH(B61,SUBSTITUTE(in_CustomStates," ",""))))),OR(AND(D61="Endowment",Inputs!$B$14="Y"),AND(D61="Foundation",Inputs!$B$15="Y"),AND(D61="Healthcare",Inputs!$B$16="Y"),AND(D61="Pension",Inputs!$B$17="Y"),AND(D61="OCIO",Inputs!$B$18="Y"),AND(D61="Other",Inputs!$B$19="Y")))),A61&lt;&gt;in_ClientOrg,NOT(AND(in_ExclHarvard="Y",ISNUMBER(SEARCH("Harvard",A61))))),"Y","")</f>
        <v/>
      </c>
      <c r="G61" t="inlineStr">
        <is>
          <t>Stephen Bluestein</t>
        </is>
      </c>
      <c r="H61" t="inlineStr">
        <is>
          <t>MANAGING DIRECTOR</t>
        </is>
      </c>
      <c r="I61" t="inlineStr">
        <is>
          <t>Managing Director</t>
        </is>
      </c>
      <c r="J61" s="21" t="n"/>
      <c r="K61" s="21" t="n"/>
      <c r="L61" s="21" t="n"/>
      <c r="M61" s="21" t="n"/>
      <c r="N61" s="21" t="n"/>
      <c r="O61" s="21" t="n"/>
      <c r="P61" s="21" t="n">
        <v>1136606</v>
      </c>
      <c r="Q61" s="21" t="n">
        <v>1136606</v>
      </c>
      <c r="R61" s="21">
        <f>IF(Q61="","",Q61*(1+in_GrowthRate)^(YEARFRAC(DATE(2024,12,31),in_AgeToDate)*IF(in_AgeToDate&lt;DATE(2024,12,31),-1,1)+1))</f>
        <v/>
      </c>
      <c r="S61" s="38" t="n"/>
      <c r="T61" s="43">
        <f>HYPERLINK("https://projects.propublica.org/nonprofits/organizations/942278431/202533209349100148/full","view filing")</f>
        <v/>
      </c>
    </row>
    <row r="62">
      <c r="A62" t="inlineStr">
        <is>
          <t>David And Lucile Packard Foundation</t>
        </is>
      </c>
      <c r="B62" s="20" t="inlineStr">
        <is>
          <t>CA</t>
        </is>
      </c>
      <c r="C62" s="42" t="n">
        <v>8.07</v>
      </c>
      <c r="D62" t="inlineStr">
        <is>
          <t>Foundation</t>
        </is>
      </c>
      <c r="E62" s="20" t="n">
        <v>2023</v>
      </c>
      <c r="F62" s="20" t="inlineStr"/>
      <c r="G62" t="inlineStr">
        <is>
          <t>Ben Chiquoine</t>
        </is>
      </c>
      <c r="H62" t="inlineStr">
        <is>
          <t>MANAGING DIRECTOR</t>
        </is>
      </c>
      <c r="I62" t="inlineStr">
        <is>
          <t>Managing Director</t>
        </is>
      </c>
      <c r="J62" s="21" t="n"/>
      <c r="K62" s="21" t="n"/>
      <c r="L62" s="21" t="n"/>
      <c r="M62" s="21" t="n"/>
      <c r="N62" s="21" t="n"/>
      <c r="O62" s="21" t="n"/>
      <c r="P62" s="21" t="n">
        <v>975671</v>
      </c>
      <c r="Q62" s="21" t="n">
        <v>975671</v>
      </c>
      <c r="R62" s="21">
        <f>IF(Q62="","",Q62*(1+in_GrowthRate)^(YEARFRAC(DATE(2023,12,31),in_AgeToDate)*IF(in_AgeToDate&lt;DATE(2023,12,31),-1,1)+1))</f>
        <v/>
      </c>
      <c r="S62" s="38" t="n"/>
      <c r="T62" s="43">
        <f>HYPERLINK("https://projects.propublica.org/nonprofits/organizations/942278431/202433199349102603/full","view filing")</f>
        <v/>
      </c>
    </row>
    <row r="63">
      <c r="A63" t="inlineStr">
        <is>
          <t>David And Lucile Packard Foundation</t>
        </is>
      </c>
      <c r="B63" s="20" t="inlineStr">
        <is>
          <t>CA</t>
        </is>
      </c>
      <c r="C63" s="42" t="n">
        <v>8.07</v>
      </c>
      <c r="D63" t="inlineStr">
        <is>
          <t>Foundation</t>
        </is>
      </c>
      <c r="E63" s="20" t="n">
        <v>2023</v>
      </c>
      <c r="F63" s="20" t="inlineStr"/>
      <c r="G63" t="inlineStr">
        <is>
          <t>Christine Ortiz Arent</t>
        </is>
      </c>
      <c r="H63" t="inlineStr">
        <is>
          <t>MANAGING DIRECTOR</t>
        </is>
      </c>
      <c r="I63" t="inlineStr">
        <is>
          <t>Managing Director</t>
        </is>
      </c>
      <c r="J63" s="21" t="n"/>
      <c r="K63" s="21" t="n"/>
      <c r="L63" s="21" t="n"/>
      <c r="M63" s="21" t="n"/>
      <c r="N63" s="21" t="n"/>
      <c r="O63" s="21" t="n"/>
      <c r="P63" s="21" t="n">
        <v>1229839</v>
      </c>
      <c r="Q63" s="21" t="n">
        <v>1229839</v>
      </c>
      <c r="R63" s="21">
        <f>IF(Q63="","",Q63*(1+in_GrowthRate)^(YEARFRAC(DATE(2023,12,31),in_AgeToDate)*IF(in_AgeToDate&lt;DATE(2023,12,31),-1,1)+1))</f>
        <v/>
      </c>
      <c r="S63" s="38" t="n"/>
      <c r="T63" s="43">
        <f>HYPERLINK("https://projects.propublica.org/nonprofits/organizations/942278431/202433199349102603/full","view filing")</f>
        <v/>
      </c>
    </row>
    <row r="64">
      <c r="A64" t="inlineStr">
        <is>
          <t>David And Lucile Packard Foundation</t>
        </is>
      </c>
      <c r="B64" s="20" t="inlineStr">
        <is>
          <t>CA</t>
        </is>
      </c>
      <c r="C64" s="42" t="n">
        <v>8.07</v>
      </c>
      <c r="D64" t="inlineStr">
        <is>
          <t>Foundation</t>
        </is>
      </c>
      <c r="E64" s="20" t="n">
        <v>2023</v>
      </c>
      <c r="F64" s="20" t="inlineStr"/>
      <c r="G64" t="inlineStr">
        <is>
          <t>Silpa S Pericherla</t>
        </is>
      </c>
      <c r="H64" t="inlineStr">
        <is>
          <t>MANAGING DIRECTOR</t>
        </is>
      </c>
      <c r="I64" t="inlineStr">
        <is>
          <t>Managing Director</t>
        </is>
      </c>
      <c r="J64" s="21" t="n"/>
      <c r="K64" s="21" t="n"/>
      <c r="L64" s="21" t="n"/>
      <c r="M64" s="21" t="n"/>
      <c r="N64" s="21" t="n"/>
      <c r="O64" s="21" t="n"/>
      <c r="P64" s="21" t="n">
        <v>1350137</v>
      </c>
      <c r="Q64" s="21" t="n">
        <v>1350137</v>
      </c>
      <c r="R64" s="21">
        <f>IF(Q64="","",Q64*(1+in_GrowthRate)^(YEARFRAC(DATE(2023,12,31),in_AgeToDate)*IF(in_AgeToDate&lt;DATE(2023,12,31),-1,1)+1))</f>
        <v/>
      </c>
      <c r="S64" s="38" t="n"/>
      <c r="T64" s="43">
        <f>HYPERLINK("https://projects.propublica.org/nonprofits/organizations/942278431/202433199349102603/full","view filing")</f>
        <v/>
      </c>
    </row>
    <row r="65">
      <c r="A65" t="inlineStr">
        <is>
          <t>David And Lucile Packard Foundation</t>
        </is>
      </c>
      <c r="B65" s="20" t="inlineStr">
        <is>
          <t>CA</t>
        </is>
      </c>
      <c r="C65" s="42" t="n">
        <v>8.07</v>
      </c>
      <c r="D65" t="inlineStr">
        <is>
          <t>Foundation</t>
        </is>
      </c>
      <c r="E65" s="20" t="n">
        <v>2023</v>
      </c>
      <c r="F65" s="20" t="inlineStr"/>
      <c r="G65" t="inlineStr">
        <is>
          <t>Stephen Bluestein</t>
        </is>
      </c>
      <c r="H65" t="inlineStr">
        <is>
          <t>MANAGING DIRECTOR</t>
        </is>
      </c>
      <c r="I65" t="inlineStr">
        <is>
          <t>Managing Director</t>
        </is>
      </c>
      <c r="J65" s="21" t="n"/>
      <c r="K65" s="21" t="n"/>
      <c r="L65" s="21" t="n"/>
      <c r="M65" s="21" t="n"/>
      <c r="N65" s="21" t="n"/>
      <c r="O65" s="21" t="n"/>
      <c r="P65" s="21" t="n">
        <v>1206773</v>
      </c>
      <c r="Q65" s="21" t="n">
        <v>1206773</v>
      </c>
      <c r="R65" s="21">
        <f>IF(Q65="","",Q65*(1+in_GrowthRate)^(YEARFRAC(DATE(2023,12,31),in_AgeToDate)*IF(in_AgeToDate&lt;DATE(2023,12,31),-1,1)+1))</f>
        <v/>
      </c>
      <c r="S65" s="38" t="n"/>
      <c r="T65" s="43">
        <f>HYPERLINK("https://projects.propublica.org/nonprofits/organizations/942278431/202433199349102603/full","view filing")</f>
        <v/>
      </c>
    </row>
    <row r="66">
      <c r="A66" t="inlineStr">
        <is>
          <t>David And Lucile Packard Foundation</t>
        </is>
      </c>
      <c r="B66" s="20" t="inlineStr">
        <is>
          <t>CA</t>
        </is>
      </c>
      <c r="C66" s="42" t="n">
        <v>8.07</v>
      </c>
      <c r="D66" t="inlineStr">
        <is>
          <t>Foundation</t>
        </is>
      </c>
      <c r="E66" s="20" t="n">
        <v>2022</v>
      </c>
      <c r="F66" s="20" t="inlineStr"/>
      <c r="G66" t="inlineStr">
        <is>
          <t>Christine Ortiz Arent</t>
        </is>
      </c>
      <c r="H66" t="inlineStr">
        <is>
          <t>MANAGING DIR REAL AS</t>
        </is>
      </c>
      <c r="I66" t="inlineStr">
        <is>
          <t>Managing Director</t>
        </is>
      </c>
      <c r="J66" s="21" t="n"/>
      <c r="K66" s="21" t="n"/>
      <c r="L66" s="21" t="n"/>
      <c r="M66" s="21" t="n"/>
      <c r="N66" s="21" t="n"/>
      <c r="O66" s="21" t="n"/>
      <c r="P66" s="21" t="n">
        <v>1211729</v>
      </c>
      <c r="Q66" s="21" t="n">
        <v>1211729</v>
      </c>
      <c r="R66" s="21">
        <f>IF(Q66="","",Q66*(1+in_GrowthRate)^(YEARFRAC(DATE(2022,12,31),in_AgeToDate)*IF(in_AgeToDate&lt;DATE(2022,12,31),-1,1)+1))</f>
        <v/>
      </c>
      <c r="S66" s="38" t="n"/>
      <c r="T66" s="43">
        <f>HYPERLINK("https://projects.propublica.org/nonprofits/organizations/942278431/202303149349102680/full","view filing")</f>
        <v/>
      </c>
    </row>
    <row r="67">
      <c r="A67" t="inlineStr">
        <is>
          <t>Denison University</t>
        </is>
      </c>
      <c r="B67" s="20" t="inlineStr">
        <is>
          <t>OH</t>
        </is>
      </c>
      <c r="C67" s="42" t="n">
        <v>1.1</v>
      </c>
      <c r="D67" t="inlineStr">
        <is>
          <t>Endowment</t>
        </is>
      </c>
      <c r="E67" s="20" t="n">
        <v>2025</v>
      </c>
      <c r="F67" s="20">
        <f>IF(AND(OR(in_Mode="All Funds",AND(C67&gt;=in_BandFloor,C67&lt;=in_BandCeiling,OR(in_Geography="National",COUNTIFS(lst_GeoPreset,in_Geography,lst_GeoState,B67)&gt;0,AND(in_Geography="Custom",ISNUMBER(SEARCH(B67,SUBSTITUTE(in_CustomStates," ",""))))),OR(AND(D67="Endowment",Inputs!$B$14="Y"),AND(D67="Foundation",Inputs!$B$15="Y"),AND(D67="Healthcare",Inputs!$B$16="Y"),AND(D67="Pension",Inputs!$B$17="Y"),AND(D67="OCIO",Inputs!$B$18="Y"),AND(D67="Other",Inputs!$B$19="Y")))),A67&lt;&gt;in_ClientOrg,NOT(AND(in_ExclHarvard="Y",ISNUMBER(SEARCH("Harvard",A67))))),"Y","")</f>
        <v/>
      </c>
      <c r="G67" t="inlineStr">
        <is>
          <t>Joshua Beitzel</t>
        </is>
      </c>
      <c r="H67" t="inlineStr">
        <is>
          <t>MANAGING DIR.,INVESTMENTS</t>
        </is>
      </c>
      <c r="I67" t="inlineStr">
        <is>
          <t>Managing Director</t>
        </is>
      </c>
      <c r="J67" s="21" t="n">
        <v>229292</v>
      </c>
      <c r="K67" s="21" t="n">
        <v>149003</v>
      </c>
      <c r="L67" s="21" t="n">
        <v>378295</v>
      </c>
      <c r="M67" s="21" t="n">
        <v>30048</v>
      </c>
      <c r="N67" s="21" t="n">
        <v>97274</v>
      </c>
      <c r="O67" s="21" t="n">
        <v>37828</v>
      </c>
      <c r="P67" s="21" t="n">
        <v>543445</v>
      </c>
      <c r="Q67" s="21" t="n">
        <v>512195</v>
      </c>
      <c r="R67" s="21">
        <f>IF(Q67="","",Q67*(1+in_GrowthRate)^(YEARFRAC(DATE(2025,6,30),in_AgeToDate)*IF(in_AgeToDate&lt;DATE(2025,6,30),-1,1)+1))</f>
        <v/>
      </c>
      <c r="S67" s="38" t="n">
        <v>0.6498395059574691</v>
      </c>
      <c r="T67" s="43">
        <f>HYPERLINK("https://projects.propublica.org/nonprofits/organizations/314379459/202641329349302689/full","view filing")</f>
        <v/>
      </c>
    </row>
    <row r="68">
      <c r="A68" t="inlineStr">
        <is>
          <t>Denison University</t>
        </is>
      </c>
      <c r="B68" s="20" t="inlineStr">
        <is>
          <t>OH</t>
        </is>
      </c>
      <c r="C68" s="42" t="n">
        <v>1.1</v>
      </c>
      <c r="D68" t="inlineStr">
        <is>
          <t>Endowment</t>
        </is>
      </c>
      <c r="E68" s="20" t="n">
        <v>2025</v>
      </c>
      <c r="F68" s="20">
        <f>IF(AND(OR(in_Mode="All Funds",AND(C68&gt;=in_BandFloor,C68&lt;=in_BandCeiling,OR(in_Geography="National",COUNTIFS(lst_GeoPreset,in_Geography,lst_GeoState,B68)&gt;0,AND(in_Geography="Custom",ISNUMBER(SEARCH(B68,SUBSTITUTE(in_CustomStates," ",""))))),OR(AND(D68="Endowment",Inputs!$B$14="Y"),AND(D68="Foundation",Inputs!$B$15="Y"),AND(D68="Healthcare",Inputs!$B$16="Y"),AND(D68="Pension",Inputs!$B$17="Y"),AND(D68="OCIO",Inputs!$B$18="Y"),AND(D68="Other",Inputs!$B$19="Y")))),A68&lt;&gt;in_ClientOrg,NOT(AND(in_ExclHarvard="Y",ISNUMBER(SEARCH("Harvard",A68))))),"Y","")</f>
        <v/>
      </c>
      <c r="G68" t="inlineStr">
        <is>
          <t>Julie Crosby</t>
        </is>
      </c>
      <c r="H68" t="inlineStr">
        <is>
          <t>MANAGING DIR.,INVESTMENTS</t>
        </is>
      </c>
      <c r="I68" t="inlineStr">
        <is>
          <t>Managing Director</t>
        </is>
      </c>
      <c r="J68" s="21" t="n">
        <v>396425</v>
      </c>
      <c r="K68" s="21" t="n">
        <v>280873</v>
      </c>
      <c r="L68" s="21" t="n">
        <v>677298</v>
      </c>
      <c r="M68" s="21" t="n">
        <v>23624</v>
      </c>
      <c r="N68" s="21" t="n">
        <v>250490</v>
      </c>
      <c r="O68" s="21" t="n">
        <v>29475</v>
      </c>
      <c r="P68" s="21" t="n">
        <v>980887</v>
      </c>
      <c r="Q68" s="21" t="n">
        <v>914220</v>
      </c>
      <c r="R68" s="21">
        <f>IF(Q68="","",Q68*(1+in_GrowthRate)^(YEARFRAC(DATE(2025,6,30),in_AgeToDate)*IF(in_AgeToDate&lt;DATE(2025,6,30),-1,1)+1))</f>
        <v/>
      </c>
      <c r="S68" s="38" t="n">
        <v>0.7085148514851485</v>
      </c>
      <c r="T68" s="43">
        <f>HYPERLINK("https://projects.propublica.org/nonprofits/organizations/314379459/202641329349302689/full","view filing")</f>
        <v/>
      </c>
    </row>
    <row r="69">
      <c r="A69" t="inlineStr">
        <is>
          <t>Denison University</t>
        </is>
      </c>
      <c r="B69" s="20" t="inlineStr">
        <is>
          <t>OH</t>
        </is>
      </c>
      <c r="C69" s="42" t="n">
        <v>1.1</v>
      </c>
      <c r="D69" t="inlineStr">
        <is>
          <t>Endowment</t>
        </is>
      </c>
      <c r="E69" s="20" t="n">
        <v>2025</v>
      </c>
      <c r="F69" s="20">
        <f>IF(AND(OR(in_Mode="All Funds",AND(C69&gt;=in_BandFloor,C69&lt;=in_BandCeiling,OR(in_Geography="National",COUNTIFS(lst_GeoPreset,in_Geography,lst_GeoState,B69)&gt;0,AND(in_Geography="Custom",ISNUMBER(SEARCH(B69,SUBSTITUTE(in_CustomStates," ",""))))),OR(AND(D69="Endowment",Inputs!$B$14="Y"),AND(D69="Foundation",Inputs!$B$15="Y"),AND(D69="Healthcare",Inputs!$B$16="Y"),AND(D69="Pension",Inputs!$B$17="Y"),AND(D69="OCIO",Inputs!$B$18="Y"),AND(D69="Other",Inputs!$B$19="Y")))),A69&lt;&gt;in_ClientOrg,NOT(AND(in_ExclHarvard="Y",ISNUMBER(SEARCH("Harvard",A69))))),"Y","")</f>
        <v/>
      </c>
      <c r="G69" t="inlineStr">
        <is>
          <t>Nicholas Carangelo</t>
        </is>
      </c>
      <c r="H69" t="inlineStr">
        <is>
          <t>MANAGING DIR.,INVESTMENTS</t>
        </is>
      </c>
      <c r="I69" t="inlineStr">
        <is>
          <t>Managing Director</t>
        </is>
      </c>
      <c r="J69" s="21" t="n">
        <v>225111</v>
      </c>
      <c r="K69" s="21" t="n">
        <v>79947</v>
      </c>
      <c r="L69" s="21" t="n">
        <v>305058</v>
      </c>
      <c r="M69" s="21" t="n">
        <v>260</v>
      </c>
      <c r="N69" s="21" t="n">
        <v>62237</v>
      </c>
      <c r="O69" s="21" t="n">
        <v>13718</v>
      </c>
      <c r="P69" s="21" t="n">
        <v>381273</v>
      </c>
      <c r="Q69" s="21" t="n">
        <v>363929</v>
      </c>
      <c r="R69" s="21">
        <f>IF(Q69="","",Q69*(1+in_GrowthRate)^(YEARFRAC(DATE(2025,6,30),in_AgeToDate)*IF(in_AgeToDate&lt;DATE(2025,6,30),-1,1)+1))</f>
        <v/>
      </c>
      <c r="S69" s="38" t="n">
        <v>0.3551447952343511</v>
      </c>
      <c r="T69" s="43">
        <f>HYPERLINK("https://projects.propublica.org/nonprofits/organizations/314379459/202641329349302689/full","view filing")</f>
        <v/>
      </c>
    </row>
    <row r="70">
      <c r="A70" t="inlineStr">
        <is>
          <t>Denison University</t>
        </is>
      </c>
      <c r="B70" s="20" t="inlineStr">
        <is>
          <t>OH</t>
        </is>
      </c>
      <c r="C70" s="42" t="n">
        <v>1.1</v>
      </c>
      <c r="D70" t="inlineStr">
        <is>
          <t>Endowment</t>
        </is>
      </c>
      <c r="E70" s="20" t="n">
        <v>2024</v>
      </c>
      <c r="F70" s="20" t="inlineStr"/>
      <c r="G70" t="inlineStr">
        <is>
          <t>Joshua M Beitzel</t>
        </is>
      </c>
      <c r="H70" t="inlineStr">
        <is>
          <t>MANAGING DIR., INVESTMENTS</t>
        </is>
      </c>
      <c r="I70" t="inlineStr">
        <is>
          <t>Managing Director</t>
        </is>
      </c>
      <c r="J70" s="21" t="n">
        <v>225003</v>
      </c>
      <c r="K70" s="21" t="n">
        <v>76230</v>
      </c>
      <c r="L70" s="21" t="n">
        <v>301233</v>
      </c>
      <c r="M70" s="21" t="n">
        <v>24150</v>
      </c>
      <c r="N70" s="21" t="n">
        <v>92834</v>
      </c>
      <c r="O70" s="21" t="n">
        <v>31839</v>
      </c>
      <c r="P70" s="21" t="n">
        <v>450056</v>
      </c>
      <c r="Q70" s="21" t="n">
        <v>450056</v>
      </c>
      <c r="R70" s="21">
        <f>IF(Q70="","",Q70*(1+in_GrowthRate)^(YEARFRAC(DATE(2024,6,30),in_AgeToDate)*IF(in_AgeToDate&lt;DATE(2024,6,30),-1,1)+1))</f>
        <v/>
      </c>
      <c r="S70" s="38" t="n">
        <v>0.338795482726897</v>
      </c>
      <c r="T70" s="43">
        <f>HYPERLINK("https://projects.propublica.org/nonprofits/organizations/314379459/202541289349302734/full","view filing")</f>
        <v/>
      </c>
    </row>
    <row r="71">
      <c r="A71" t="inlineStr">
        <is>
          <t>Denison University</t>
        </is>
      </c>
      <c r="B71" s="20" t="inlineStr">
        <is>
          <t>OH</t>
        </is>
      </c>
      <c r="C71" s="42" t="n">
        <v>1.1</v>
      </c>
      <c r="D71" t="inlineStr">
        <is>
          <t>Endowment</t>
        </is>
      </c>
      <c r="E71" s="20" t="n">
        <v>2024</v>
      </c>
      <c r="F71" s="20" t="inlineStr"/>
      <c r="G71" t="inlineStr">
        <is>
          <t>Julia Crosby</t>
        </is>
      </c>
      <c r="H71" t="inlineStr">
        <is>
          <t>MANAGING DIR., INVESTMENTS</t>
        </is>
      </c>
      <c r="I71" t="inlineStr">
        <is>
          <t>Managing Director</t>
        </is>
      </c>
      <c r="J71" s="21" t="n">
        <v>379893</v>
      </c>
      <c r="K71" s="21" t="n">
        <v>133333</v>
      </c>
      <c r="L71" s="21" t="n">
        <v>513226</v>
      </c>
      <c r="M71" s="21" t="n">
        <v>23124</v>
      </c>
      <c r="N71" s="21" t="n">
        <v>174823</v>
      </c>
      <c r="O71" s="21" t="n">
        <v>24836</v>
      </c>
      <c r="P71" s="21" t="n">
        <v>736009</v>
      </c>
      <c r="Q71" s="21" t="n">
        <v>736009</v>
      </c>
      <c r="R71" s="21">
        <f>IF(Q71="","",Q71*(1+in_GrowthRate)^(YEARFRAC(DATE(2024,6,30),in_AgeToDate)*IF(in_AgeToDate&lt;DATE(2024,6,30),-1,1)+1))</f>
        <v/>
      </c>
      <c r="S71" s="38" t="n">
        <v>0.3509751430007924</v>
      </c>
      <c r="T71" s="43">
        <f>HYPERLINK("https://projects.propublica.org/nonprofits/organizations/314379459/202541289349302734/full","view filing")</f>
        <v/>
      </c>
    </row>
    <row r="72">
      <c r="A72" t="inlineStr">
        <is>
          <t>Denison University</t>
        </is>
      </c>
      <c r="B72" s="20" t="inlineStr">
        <is>
          <t>OH</t>
        </is>
      </c>
      <c r="C72" s="42" t="n">
        <v>1.1</v>
      </c>
      <c r="D72" t="inlineStr">
        <is>
          <t>Endowment</t>
        </is>
      </c>
      <c r="E72" s="20" t="n">
        <v>2023</v>
      </c>
      <c r="F72" s="20" t="inlineStr"/>
      <c r="G72" t="inlineStr">
        <is>
          <t>Joshua M Beitzel</t>
        </is>
      </c>
      <c r="H72" t="inlineStr">
        <is>
          <t>MANAGING DIR.OF INVESTMENTS</t>
        </is>
      </c>
      <c r="I72" t="inlineStr">
        <is>
          <t>Managing Director</t>
        </is>
      </c>
      <c r="J72" s="21" t="n">
        <v>189380</v>
      </c>
      <c r="K72" s="21" t="n">
        <v>52402</v>
      </c>
      <c r="L72" s="21" t="n">
        <v>241782</v>
      </c>
      <c r="M72" s="21" t="n">
        <v>19339</v>
      </c>
      <c r="N72" s="21" t="n">
        <v>38400</v>
      </c>
      <c r="O72" s="21" t="n">
        <v>29773</v>
      </c>
      <c r="P72" s="21" t="n">
        <v>329294</v>
      </c>
      <c r="Q72" s="21" t="n">
        <v>295198</v>
      </c>
      <c r="R72" s="21">
        <f>IF(Q72="","",Q72*(1+in_GrowthRate)^(YEARFRAC(DATE(2023,6,30),in_AgeToDate)*IF(in_AgeToDate&lt;DATE(2023,6,30),-1,1)+1))</f>
        <v/>
      </c>
      <c r="S72" s="38" t="n">
        <v>0.2767029253353047</v>
      </c>
      <c r="T72" s="43">
        <f>HYPERLINK("https://projects.propublica.org/nonprofits/organizations/314379459/202401369349303945/full","view filing")</f>
        <v/>
      </c>
    </row>
    <row r="73">
      <c r="A73" t="inlineStr">
        <is>
          <t>Denison University</t>
        </is>
      </c>
      <c r="B73" s="20" t="inlineStr">
        <is>
          <t>OH</t>
        </is>
      </c>
      <c r="C73" s="42" t="n">
        <v>1.1</v>
      </c>
      <c r="D73" t="inlineStr">
        <is>
          <t>Endowment</t>
        </is>
      </c>
      <c r="E73" s="20" t="n">
        <v>2023</v>
      </c>
      <c r="F73" s="20" t="inlineStr"/>
      <c r="G73" t="inlineStr">
        <is>
          <t>Julia Crosby</t>
        </is>
      </c>
      <c r="H73" t="inlineStr">
        <is>
          <t>MANAGING DIR.OF INVESTMENTS</t>
        </is>
      </c>
      <c r="I73" t="inlineStr">
        <is>
          <t>Managing Director</t>
        </is>
      </c>
      <c r="J73" s="21" t="n">
        <v>66895</v>
      </c>
      <c r="K73" s="21" t="n">
        <v>287000</v>
      </c>
      <c r="L73" s="21" t="n">
        <v>353895</v>
      </c>
      <c r="M73" s="21" t="n"/>
      <c r="N73" s="21" t="n">
        <v>6774</v>
      </c>
      <c r="O73" s="21" t="n">
        <v>3678</v>
      </c>
      <c r="P73" s="21" t="n">
        <v>364347</v>
      </c>
      <c r="Q73" s="21" t="n">
        <v>364347</v>
      </c>
      <c r="R73" s="21">
        <f>IF(Q73="","",Q73*(1+in_GrowthRate)^(YEARFRAC(DATE(2023,6,30),in_AgeToDate)*IF(in_AgeToDate&lt;DATE(2023,6,30),-1,1)+1))</f>
        <v/>
      </c>
      <c r="S73" s="38" t="n">
        <v>4.290305702967337</v>
      </c>
      <c r="T73" s="43">
        <f>HYPERLINK("https://projects.propublica.org/nonprofits/organizations/314379459/202401369349303945/full","view filing")</f>
        <v/>
      </c>
    </row>
    <row r="74">
      <c r="A74" t="inlineStr">
        <is>
          <t>Dietrich Foundation</t>
        </is>
      </c>
      <c r="B74" s="20" t="inlineStr">
        <is>
          <t>PA</t>
        </is>
      </c>
      <c r="C74" s="42" t="n">
        <v>1.47</v>
      </c>
      <c r="D74" t="inlineStr">
        <is>
          <t>Foundation</t>
        </is>
      </c>
      <c r="E74" s="20" t="n">
        <v>2024</v>
      </c>
      <c r="F74" s="20">
        <f>IF(AND(OR(in_Mode="All Funds",AND(C74&gt;=in_BandFloor,C74&lt;=in_BandCeiling,OR(in_Geography="National",COUNTIFS(lst_GeoPreset,in_Geography,lst_GeoState,B74)&gt;0,AND(in_Geography="Custom",ISNUMBER(SEARCH(B74,SUBSTITUTE(in_CustomStates," ",""))))),OR(AND(D74="Endowment",Inputs!$B$14="Y"),AND(D74="Foundation",Inputs!$B$15="Y"),AND(D74="Healthcare",Inputs!$B$16="Y"),AND(D74="Pension",Inputs!$B$17="Y"),AND(D74="OCIO",Inputs!$B$18="Y"),AND(D74="Other",Inputs!$B$19="Y")))),A74&lt;&gt;in_ClientOrg,NOT(AND(in_ExclHarvard="Y",ISNUMBER(SEARCH("Harvard",A74))))),"Y","")</f>
        <v/>
      </c>
      <c r="G74" t="inlineStr">
        <is>
          <t>Lee S Tilghman</t>
        </is>
      </c>
      <c r="H74" t="inlineStr">
        <is>
          <t>MANAGING DIRECTOR</t>
        </is>
      </c>
      <c r="I74" t="inlineStr">
        <is>
          <t>Managing Director</t>
        </is>
      </c>
      <c r="J74" s="21" t="n">
        <v>415193</v>
      </c>
      <c r="K74" s="21" t="n">
        <v>361000</v>
      </c>
      <c r="L74" s="21" t="n">
        <v>776193</v>
      </c>
      <c r="M74" s="21" t="n">
        <v>66907</v>
      </c>
      <c r="N74" s="21" t="n">
        <v>555460</v>
      </c>
      <c r="O74" s="21" t="n">
        <v>24068</v>
      </c>
      <c r="P74" s="21" t="n">
        <v>1422628</v>
      </c>
      <c r="Q74" s="21" t="n">
        <v>1001065</v>
      </c>
      <c r="R74" s="21">
        <f>IF(Q74="","",Q74*(1+in_GrowthRate)^(YEARFRAC(DATE(2024,12,31),in_AgeToDate)*IF(in_AgeToDate&lt;DATE(2024,12,31),-1,1)+1))</f>
        <v/>
      </c>
      <c r="S74" s="38" t="n">
        <v>0.869475159744986</v>
      </c>
      <c r="T74" s="43">
        <f>HYPERLINK("https://projects.propublica.org/nonprofits/organizations/364711746/202523219349319537/full","view filing")</f>
        <v/>
      </c>
    </row>
    <row r="75">
      <c r="A75" t="inlineStr">
        <is>
          <t>Dietrich Foundation</t>
        </is>
      </c>
      <c r="B75" s="20" t="inlineStr">
        <is>
          <t>PA</t>
        </is>
      </c>
      <c r="C75" s="42" t="n">
        <v>1.47</v>
      </c>
      <c r="D75" t="inlineStr">
        <is>
          <t>Foundation</t>
        </is>
      </c>
      <c r="E75" s="20" t="n">
        <v>2024</v>
      </c>
      <c r="F75" s="20">
        <f>IF(AND(OR(in_Mode="All Funds",AND(C75&gt;=in_BandFloor,C75&lt;=in_BandCeiling,OR(in_Geography="National",COUNTIFS(lst_GeoPreset,in_Geography,lst_GeoState,B75)&gt;0,AND(in_Geography="Custom",ISNUMBER(SEARCH(B75,SUBSTITUTE(in_CustomStates," ",""))))),OR(AND(D75="Endowment",Inputs!$B$14="Y"),AND(D75="Foundation",Inputs!$B$15="Y"),AND(D75="Healthcare",Inputs!$B$16="Y"),AND(D75="Pension",Inputs!$B$17="Y"),AND(D75="OCIO",Inputs!$B$18="Y"),AND(D75="Other",Inputs!$B$19="Y")))),A75&lt;&gt;in_ClientOrg,NOT(AND(in_ExclHarvard="Y",ISNUMBER(SEARCH("Harvard",A75))))),"Y","")</f>
        <v/>
      </c>
      <c r="G75" t="inlineStr">
        <is>
          <t>Matthew E Cunningham</t>
        </is>
      </c>
      <c r="H75" t="inlineStr">
        <is>
          <t>MANAGING DIRECTOR</t>
        </is>
      </c>
      <c r="I75" t="inlineStr">
        <is>
          <t>Managing Director</t>
        </is>
      </c>
      <c r="J75" s="21" t="n">
        <v>405000</v>
      </c>
      <c r="K75" s="21" t="n">
        <v>285000</v>
      </c>
      <c r="L75" s="21" t="n">
        <v>690000</v>
      </c>
      <c r="M75" s="21" t="n">
        <v>6344</v>
      </c>
      <c r="N75" s="21" t="n">
        <v>440841</v>
      </c>
      <c r="O75" s="21" t="n">
        <v>5189</v>
      </c>
      <c r="P75" s="21" t="n">
        <v>1142374</v>
      </c>
      <c r="Q75" s="21" t="n">
        <v>857374</v>
      </c>
      <c r="R75" s="21">
        <f>IF(Q75="","",Q75*(1+in_GrowthRate)^(YEARFRAC(DATE(2024,12,31),in_AgeToDate)*IF(in_AgeToDate&lt;DATE(2024,12,31),-1,1)+1))</f>
        <v/>
      </c>
      <c r="S75" s="38" t="n">
        <v>0.7037037037037037</v>
      </c>
      <c r="T75" s="43">
        <f>HYPERLINK("https://projects.propublica.org/nonprofits/organizations/364711746/202523219349319537/full","view filing")</f>
        <v/>
      </c>
    </row>
    <row r="76">
      <c r="A76" t="inlineStr">
        <is>
          <t>Dietrich Foundation</t>
        </is>
      </c>
      <c r="B76" s="20" t="inlineStr">
        <is>
          <t>PA</t>
        </is>
      </c>
      <c r="C76" s="42" t="n">
        <v>1.47</v>
      </c>
      <c r="D76" t="inlineStr">
        <is>
          <t>Foundation</t>
        </is>
      </c>
      <c r="E76" s="20" t="n">
        <v>2024</v>
      </c>
      <c r="F76" s="20">
        <f>IF(AND(OR(in_Mode="All Funds",AND(C76&gt;=in_BandFloor,C76&lt;=in_BandCeiling,OR(in_Geography="National",COUNTIFS(lst_GeoPreset,in_Geography,lst_GeoState,B76)&gt;0,AND(in_Geography="Custom",ISNUMBER(SEARCH(B76,SUBSTITUTE(in_CustomStates," ",""))))),OR(AND(D76="Endowment",Inputs!$B$14="Y"),AND(D76="Foundation",Inputs!$B$15="Y"),AND(D76="Healthcare",Inputs!$B$16="Y"),AND(D76="Pension",Inputs!$B$17="Y"),AND(D76="OCIO",Inputs!$B$18="Y"),AND(D76="Other",Inputs!$B$19="Y")))),A76&lt;&gt;in_ClientOrg,NOT(AND(in_ExclHarvard="Y",ISNUMBER(SEARCH("Harvard",A76))))),"Y","")</f>
        <v/>
      </c>
      <c r="G76" t="inlineStr">
        <is>
          <t>Ryan L Vaccaro</t>
        </is>
      </c>
      <c r="H76" t="inlineStr">
        <is>
          <t>MANAGING DIRECTOR</t>
        </is>
      </c>
      <c r="I76" t="inlineStr">
        <is>
          <t>Managing Director</t>
        </is>
      </c>
      <c r="J76" s="21" t="n">
        <v>425422</v>
      </c>
      <c r="K76" s="21" t="n">
        <v>380000</v>
      </c>
      <c r="L76" s="21" t="n">
        <v>805422</v>
      </c>
      <c r="M76" s="21" t="n">
        <v>74922</v>
      </c>
      <c r="N76" s="21" t="n">
        <v>570133</v>
      </c>
      <c r="O76" s="21" t="n">
        <v>23084</v>
      </c>
      <c r="P76" s="21" t="n">
        <v>1473561</v>
      </c>
      <c r="Q76" s="21" t="n">
        <v>1024983</v>
      </c>
      <c r="R76" s="21">
        <f>IF(Q76="","",Q76*(1+in_GrowthRate)^(YEARFRAC(DATE(2024,12,31),in_AgeToDate)*IF(in_AgeToDate&lt;DATE(2024,12,31),-1,1)+1))</f>
        <v/>
      </c>
      <c r="S76" s="38" t="n">
        <v>0.8932307214953622</v>
      </c>
      <c r="T76" s="43">
        <f>HYPERLINK("https://projects.propublica.org/nonprofits/organizations/364711746/202523219349319537/full","view filing")</f>
        <v/>
      </c>
    </row>
    <row r="77">
      <c r="A77" t="inlineStr">
        <is>
          <t>Dietrich Foundation</t>
        </is>
      </c>
      <c r="B77" s="20" t="inlineStr">
        <is>
          <t>PA</t>
        </is>
      </c>
      <c r="C77" s="42" t="n">
        <v>1.47</v>
      </c>
      <c r="D77" t="inlineStr">
        <is>
          <t>Foundation</t>
        </is>
      </c>
      <c r="E77" s="20" t="n">
        <v>2023</v>
      </c>
      <c r="F77" s="20" t="inlineStr"/>
      <c r="G77" t="inlineStr">
        <is>
          <t>Lee S Tilghman</t>
        </is>
      </c>
      <c r="H77" t="inlineStr">
        <is>
          <t>MANAGING DIRECTOR</t>
        </is>
      </c>
      <c r="I77" t="inlineStr">
        <is>
          <t>Managing Director</t>
        </is>
      </c>
      <c r="J77" s="21" t="n">
        <v>380000</v>
      </c>
      <c r="K77" s="21" t="n">
        <v>301500</v>
      </c>
      <c r="L77" s="21" t="n">
        <v>681500</v>
      </c>
      <c r="M77" s="21" t="n">
        <v>57656</v>
      </c>
      <c r="N77" s="21" t="n">
        <v>442429</v>
      </c>
      <c r="O77" s="21" t="n">
        <v>21527</v>
      </c>
      <c r="P77" s="21" t="n">
        <v>1203112</v>
      </c>
      <c r="Q77" s="21" t="n">
        <v>849942</v>
      </c>
      <c r="R77" s="21">
        <f>IF(Q77="","",Q77*(1+in_GrowthRate)^(YEARFRAC(DATE(2023,12,31),in_AgeToDate)*IF(in_AgeToDate&lt;DATE(2023,12,31),-1,1)+1))</f>
        <v/>
      </c>
      <c r="S77" s="38" t="n">
        <v>0.7934210526315789</v>
      </c>
      <c r="T77" s="43">
        <f>HYPERLINK("https://projects.propublica.org/nonprofits/organizations/364711746/202433209349310268/full","view filing")</f>
        <v/>
      </c>
    </row>
    <row r="78">
      <c r="A78" t="inlineStr">
        <is>
          <t>Dietrich Foundation</t>
        </is>
      </c>
      <c r="B78" s="20" t="inlineStr">
        <is>
          <t>PA</t>
        </is>
      </c>
      <c r="C78" s="42" t="n">
        <v>1.47</v>
      </c>
      <c r="D78" t="inlineStr">
        <is>
          <t>Foundation</t>
        </is>
      </c>
      <c r="E78" s="20" t="n">
        <v>2023</v>
      </c>
      <c r="F78" s="20" t="inlineStr"/>
      <c r="G78" t="inlineStr">
        <is>
          <t>Matthew E Cunningham</t>
        </is>
      </c>
      <c r="H78" t="inlineStr">
        <is>
          <t>MANAGING DIRECTOR</t>
        </is>
      </c>
      <c r="I78" t="inlineStr">
        <is>
          <t>Managing Director</t>
        </is>
      </c>
      <c r="J78" s="21" t="n">
        <v>383000</v>
      </c>
      <c r="K78" s="21" t="n">
        <v>154467</v>
      </c>
      <c r="L78" s="21" t="n">
        <v>537467</v>
      </c>
      <c r="M78" s="21" t="n">
        <v>5986</v>
      </c>
      <c r="N78" s="21" t="n">
        <v>384970</v>
      </c>
      <c r="O78" s="21" t="n">
        <v>5754</v>
      </c>
      <c r="P78" s="21" t="n">
        <v>934177</v>
      </c>
      <c r="Q78" s="21" t="n">
        <v>779710</v>
      </c>
      <c r="R78" s="21">
        <f>IF(Q78="","",Q78*(1+in_GrowthRate)^(YEARFRAC(DATE(2023,12,31),in_AgeToDate)*IF(in_AgeToDate&lt;DATE(2023,12,31),-1,1)+1))</f>
        <v/>
      </c>
      <c r="S78" s="38" t="n">
        <v>0.4033080939947781</v>
      </c>
      <c r="T78" s="43">
        <f>HYPERLINK("https://projects.propublica.org/nonprofits/organizations/364711746/202433209349310268/full","view filing")</f>
        <v/>
      </c>
    </row>
    <row r="79">
      <c r="A79" t="inlineStr">
        <is>
          <t>Dietrich Foundation</t>
        </is>
      </c>
      <c r="B79" s="20" t="inlineStr">
        <is>
          <t>PA</t>
        </is>
      </c>
      <c r="C79" s="42" t="n">
        <v>1.47</v>
      </c>
      <c r="D79" t="inlineStr">
        <is>
          <t>Foundation</t>
        </is>
      </c>
      <c r="E79" s="20" t="n">
        <v>2023</v>
      </c>
      <c r="F79" s="20" t="inlineStr"/>
      <c r="G79" t="inlineStr">
        <is>
          <t>Ryan L Vaccaro</t>
        </is>
      </c>
      <c r="H79" t="inlineStr">
        <is>
          <t>MANAGING DIRECTOR</t>
        </is>
      </c>
      <c r="I79" t="inlineStr">
        <is>
          <t>Managing Director</t>
        </is>
      </c>
      <c r="J79" s="21" t="n">
        <v>400000</v>
      </c>
      <c r="K79" s="21" t="n">
        <v>316800</v>
      </c>
      <c r="L79" s="21" t="n">
        <v>716800</v>
      </c>
      <c r="M79" s="21" t="n">
        <v>69491</v>
      </c>
      <c r="N79" s="21" t="n">
        <v>461567</v>
      </c>
      <c r="O79" s="21" t="n">
        <v>20460</v>
      </c>
      <c r="P79" s="21" t="n">
        <v>1268318</v>
      </c>
      <c r="Q79" s="21" t="n">
        <v>888013</v>
      </c>
      <c r="R79" s="21">
        <f>IF(Q79="","",Q79*(1+in_GrowthRate)^(YEARFRAC(DATE(2023,12,31),in_AgeToDate)*IF(in_AgeToDate&lt;DATE(2023,12,31),-1,1)+1))</f>
        <v/>
      </c>
      <c r="S79" s="38" t="n">
        <v>0.792</v>
      </c>
      <c r="T79" s="43">
        <f>HYPERLINK("https://projects.propublica.org/nonprofits/organizations/364711746/202433209349310268/full","view filing")</f>
        <v/>
      </c>
    </row>
    <row r="80">
      <c r="A80" t="inlineStr">
        <is>
          <t>Dietrich Foundation</t>
        </is>
      </c>
      <c r="B80" s="20" t="inlineStr">
        <is>
          <t>PA</t>
        </is>
      </c>
      <c r="C80" s="42" t="n">
        <v>1.47</v>
      </c>
      <c r="D80" t="inlineStr">
        <is>
          <t>Foundation</t>
        </is>
      </c>
      <c r="E80" s="20" t="n">
        <v>2022</v>
      </c>
      <c r="F80" s="20" t="inlineStr"/>
      <c r="G80" t="inlineStr">
        <is>
          <t>Lee S Tilghman</t>
        </is>
      </c>
      <c r="H80" t="inlineStr">
        <is>
          <t>MANAGING DIRECTOR</t>
        </is>
      </c>
      <c r="I80" t="inlineStr">
        <is>
          <t>Managing Director</t>
        </is>
      </c>
      <c r="J80" s="21" t="n">
        <v>335000</v>
      </c>
      <c r="K80" s="21" t="n">
        <v>250000</v>
      </c>
      <c r="L80" s="21" t="n">
        <v>585000</v>
      </c>
      <c r="M80" s="21" t="n">
        <v>56331</v>
      </c>
      <c r="N80" s="21" t="n">
        <v>480204</v>
      </c>
      <c r="O80" s="21" t="n">
        <v>22910</v>
      </c>
      <c r="P80" s="21" t="n">
        <v>1144445</v>
      </c>
      <c r="Q80" s="21" t="n">
        <v>843882</v>
      </c>
      <c r="R80" s="21">
        <f>IF(Q80="","",Q80*(1+in_GrowthRate)^(YEARFRAC(DATE(2022,12,31),in_AgeToDate)*IF(in_AgeToDate&lt;DATE(2022,12,31),-1,1)+1))</f>
        <v/>
      </c>
      <c r="S80" s="38" t="n">
        <v>0.746268656716418</v>
      </c>
      <c r="T80" s="43">
        <f>HYPERLINK("https://projects.propublica.org/nonprofits/organizations/364711746/202333189349315488/full","view filing")</f>
        <v/>
      </c>
    </row>
    <row r="81">
      <c r="A81" t="inlineStr">
        <is>
          <t>Dietrich Foundation</t>
        </is>
      </c>
      <c r="B81" s="20" t="inlineStr">
        <is>
          <t>PA</t>
        </is>
      </c>
      <c r="C81" s="42" t="n">
        <v>1.47</v>
      </c>
      <c r="D81" t="inlineStr">
        <is>
          <t>Foundation</t>
        </is>
      </c>
      <c r="E81" s="20" t="n">
        <v>2022</v>
      </c>
      <c r="F81" s="20" t="inlineStr"/>
      <c r="G81" t="inlineStr">
        <is>
          <t>Matthew E Cunningham</t>
        </is>
      </c>
      <c r="H81" t="inlineStr">
        <is>
          <t>MANAGING DIRECTOR</t>
        </is>
      </c>
      <c r="I81" t="inlineStr">
        <is>
          <t>Managing Director</t>
        </is>
      </c>
      <c r="J81" s="21" t="n">
        <v>276167</v>
      </c>
      <c r="K81" s="21" t="n"/>
      <c r="L81" s="21" t="n">
        <v>276167</v>
      </c>
      <c r="M81" s="21" t="n">
        <v>1456</v>
      </c>
      <c r="N81" s="21" t="n">
        <v>169380</v>
      </c>
      <c r="O81" s="21" t="n">
        <v>4473</v>
      </c>
      <c r="P81" s="21" t="n">
        <v>451476</v>
      </c>
      <c r="Q81" s="21" t="n">
        <v>451476</v>
      </c>
      <c r="R81" s="21">
        <f>IF(Q81="","",Q81*(1+in_GrowthRate)^(YEARFRAC(DATE(2022,12,31),in_AgeToDate)*IF(in_AgeToDate&lt;DATE(2022,12,31),-1,1)+1))</f>
        <v/>
      </c>
      <c r="S81" s="38" t="n">
        <v>0</v>
      </c>
      <c r="T81" s="43">
        <f>HYPERLINK("https://projects.propublica.org/nonprofits/organizations/364711746/202333189349315488/full","view filing")</f>
        <v/>
      </c>
    </row>
    <row r="82">
      <c r="A82" t="inlineStr">
        <is>
          <t>Dietrich Foundation</t>
        </is>
      </c>
      <c r="B82" s="20" t="inlineStr">
        <is>
          <t>PA</t>
        </is>
      </c>
      <c r="C82" s="42" t="n">
        <v>1.47</v>
      </c>
      <c r="D82" t="inlineStr">
        <is>
          <t>Foundation</t>
        </is>
      </c>
      <c r="E82" s="20" t="n">
        <v>2022</v>
      </c>
      <c r="F82" s="20" t="inlineStr"/>
      <c r="G82" t="inlineStr">
        <is>
          <t>Matthew W Rozyczka</t>
        </is>
      </c>
      <c r="H82" t="inlineStr">
        <is>
          <t>MANAGING DIRECTOR</t>
        </is>
      </c>
      <c r="I82" t="inlineStr">
        <is>
          <t>Managing Director</t>
        </is>
      </c>
      <c r="J82" s="21" t="n">
        <v>68718</v>
      </c>
      <c r="K82" s="21" t="n">
        <v>240000</v>
      </c>
      <c r="L82" s="21" t="n">
        <v>308718</v>
      </c>
      <c r="M82" s="21" t="n">
        <v>72902</v>
      </c>
      <c r="N82" s="21" t="n">
        <v>17750</v>
      </c>
      <c r="O82" s="21" t="n">
        <v>4520</v>
      </c>
      <c r="P82" s="21" t="n">
        <v>403890</v>
      </c>
      <c r="Q82" s="21" t="n">
        <v>91921</v>
      </c>
      <c r="R82" s="21">
        <f>IF(Q82="","",Q82*(1+in_GrowthRate)^(YEARFRAC(DATE(2022,12,31),in_AgeToDate)*IF(in_AgeToDate&lt;DATE(2022,12,31),-1,1)+1))</f>
        <v/>
      </c>
      <c r="S82" s="38" t="n">
        <v>3.492534707063652</v>
      </c>
      <c r="T82" s="43">
        <f>HYPERLINK("https://projects.propublica.org/nonprofits/organizations/364711746/202333189349315488/full","view filing")</f>
        <v/>
      </c>
    </row>
    <row r="83">
      <c r="A83" t="inlineStr">
        <is>
          <t>Dietrich Foundation</t>
        </is>
      </c>
      <c r="B83" s="20" t="inlineStr">
        <is>
          <t>PA</t>
        </is>
      </c>
      <c r="C83" s="42" t="n">
        <v>1.47</v>
      </c>
      <c r="D83" t="inlineStr">
        <is>
          <t>Foundation</t>
        </is>
      </c>
      <c r="E83" s="20" t="n">
        <v>2022</v>
      </c>
      <c r="F83" s="20" t="inlineStr"/>
      <c r="G83" t="inlineStr">
        <is>
          <t>Ryan L Vaccaro</t>
        </is>
      </c>
      <c r="H83" t="inlineStr">
        <is>
          <t>MANAGING DIRECTOR</t>
        </is>
      </c>
      <c r="I83" t="inlineStr">
        <is>
          <t>Managing Director</t>
        </is>
      </c>
      <c r="J83" s="21" t="n">
        <v>352000</v>
      </c>
      <c r="K83" s="21" t="n">
        <v>290000</v>
      </c>
      <c r="L83" s="21" t="n">
        <v>642000</v>
      </c>
      <c r="M83" s="21" t="n">
        <v>81305</v>
      </c>
      <c r="N83" s="21" t="n">
        <v>517404</v>
      </c>
      <c r="O83" s="21" t="n">
        <v>21610</v>
      </c>
      <c r="P83" s="21" t="n">
        <v>1262319</v>
      </c>
      <c r="Q83" s="21" t="n">
        <v>896782</v>
      </c>
      <c r="R83" s="21">
        <f>IF(Q83="","",Q83*(1+in_GrowthRate)^(YEARFRAC(DATE(2022,12,31),in_AgeToDate)*IF(in_AgeToDate&lt;DATE(2022,12,31),-1,1)+1))</f>
        <v/>
      </c>
      <c r="S83" s="38" t="n">
        <v>0.8238636363636364</v>
      </c>
      <c r="T83" s="43">
        <f>HYPERLINK("https://projects.propublica.org/nonprofits/organizations/364711746/202333189349315488/full","view filing")</f>
        <v/>
      </c>
    </row>
    <row r="84">
      <c r="A84" t="inlineStr">
        <is>
          <t>Duke University</t>
        </is>
      </c>
      <c r="B84" s="20" t="inlineStr">
        <is>
          <t>NC</t>
        </is>
      </c>
      <c r="C84" s="42" t="n">
        <v>21.16</v>
      </c>
      <c r="D84" t="inlineStr">
        <is>
          <t>Endowment</t>
        </is>
      </c>
      <c r="E84" s="20" t="n">
        <v>2025</v>
      </c>
      <c r="F84" s="20">
        <f>IF(AND(OR(in_Mode="All Funds",AND(C84&gt;=in_BandFloor,C84&lt;=in_BandCeiling,OR(in_Geography="National",COUNTIFS(lst_GeoPreset,in_Geography,lst_GeoState,B84)&gt;0,AND(in_Geography="Custom",ISNUMBER(SEARCH(B84,SUBSTITUTE(in_CustomStates," ",""))))),OR(AND(D84="Endowment",Inputs!$B$14="Y"),AND(D84="Foundation",Inputs!$B$15="Y"),AND(D84="Healthcare",Inputs!$B$16="Y"),AND(D84="Pension",Inputs!$B$17="Y"),AND(D84="OCIO",Inputs!$B$18="Y"),AND(D84="Other",Inputs!$B$19="Y")))),A84&lt;&gt;in_ClientOrg,NOT(AND(in_ExclHarvard="Y",ISNUMBER(SEARCH("Harvard",A84))))),"Y","")</f>
        <v/>
      </c>
      <c r="G84" t="inlineStr">
        <is>
          <t>Evan L Jones</t>
        </is>
      </c>
      <c r="H84" t="inlineStr">
        <is>
          <t>INVESTMENT MANAGER</t>
        </is>
      </c>
      <c r="I84" t="inlineStr">
        <is>
          <t>Investment Manager</t>
        </is>
      </c>
      <c r="J84" s="21" t="n">
        <v>418942</v>
      </c>
      <c r="K84" s="21" t="n">
        <v>1269560</v>
      </c>
      <c r="L84" s="21" t="n">
        <v>1688502</v>
      </c>
      <c r="M84" s="21" t="n">
        <v>237400</v>
      </c>
      <c r="N84" s="21" t="n">
        <v>325272</v>
      </c>
      <c r="O84" s="21" t="n">
        <v>21902</v>
      </c>
      <c r="P84" s="21" t="n">
        <v>2273076</v>
      </c>
      <c r="Q84" s="21" t="n">
        <v>2058676</v>
      </c>
      <c r="R84" s="21">
        <f>IF(Q84="","",Q84*(1+in_GrowthRate)^(YEARFRAC(DATE(2025,6,30),in_AgeToDate)*IF(in_AgeToDate&lt;DATE(2025,6,30),-1,1)+1))</f>
        <v/>
      </c>
      <c r="S84" s="38" t="n">
        <v>3.03039561562221</v>
      </c>
      <c r="T84" s="43">
        <f>HYPERLINK("https://projects.propublica.org/nonprofits/organizations/560532129/202611359349301296/full","view filing")</f>
        <v/>
      </c>
    </row>
    <row r="85">
      <c r="A85" t="inlineStr">
        <is>
          <t>Duke University</t>
        </is>
      </c>
      <c r="B85" s="20" t="inlineStr">
        <is>
          <t>NC</t>
        </is>
      </c>
      <c r="C85" s="42" t="n">
        <v>21.16</v>
      </c>
      <c r="D85" t="inlineStr">
        <is>
          <t>Endowment</t>
        </is>
      </c>
      <c r="E85" s="20" t="n">
        <v>2025</v>
      </c>
      <c r="F85" s="20">
        <f>IF(AND(OR(in_Mode="All Funds",AND(C85&gt;=in_BandFloor,C85&lt;=in_BandCeiling,OR(in_Geography="National",COUNTIFS(lst_GeoPreset,in_Geography,lst_GeoState,B85)&gt;0,AND(in_Geography="Custom",ISNUMBER(SEARCH(B85,SUBSTITUTE(in_CustomStates," ",""))))),OR(AND(D85="Endowment",Inputs!$B$14="Y"),AND(D85="Foundation",Inputs!$B$15="Y"),AND(D85="Healthcare",Inputs!$B$16="Y"),AND(D85="Pension",Inputs!$B$17="Y"),AND(D85="OCIO",Inputs!$B$18="Y"),AND(D85="Other",Inputs!$B$19="Y")))),A85&lt;&gt;in_ClientOrg,NOT(AND(in_ExclHarvard="Y",ISNUMBER(SEARCH("Harvard",A85))))),"Y","")</f>
        <v/>
      </c>
      <c r="G85" t="inlineStr">
        <is>
          <t>Justin B Nixon</t>
        </is>
      </c>
      <c r="H85" t="inlineStr">
        <is>
          <t>INVESTMENT MANAGER</t>
        </is>
      </c>
      <c r="I85" t="inlineStr">
        <is>
          <t>Investment Manager</t>
        </is>
      </c>
      <c r="J85" s="21" t="n">
        <v>437050</v>
      </c>
      <c r="K85" s="21" t="n">
        <v>1269560</v>
      </c>
      <c r="L85" s="21" t="n">
        <v>1706610</v>
      </c>
      <c r="M85" s="21" t="n">
        <v>214400</v>
      </c>
      <c r="N85" s="21" t="n">
        <v>325272</v>
      </c>
      <c r="O85" s="21" t="n">
        <v>36862</v>
      </c>
      <c r="P85" s="21" t="n">
        <v>2283144</v>
      </c>
      <c r="Q85" s="21" t="n">
        <v>2068744</v>
      </c>
      <c r="R85" s="21">
        <f>IF(Q85="","",Q85*(1+in_GrowthRate)^(YEARFRAC(DATE(2025,6,30),in_AgeToDate)*IF(in_AgeToDate&lt;DATE(2025,6,30),-1,1)+1))</f>
        <v/>
      </c>
      <c r="S85" s="38" t="n">
        <v>2.904839263242192</v>
      </c>
      <c r="T85" s="43">
        <f>HYPERLINK("https://projects.propublica.org/nonprofits/organizations/560532129/202611359349301296/full","view filing")</f>
        <v/>
      </c>
    </row>
    <row r="86">
      <c r="A86" t="inlineStr">
        <is>
          <t>Duke University</t>
        </is>
      </c>
      <c r="B86" s="20" t="inlineStr">
        <is>
          <t>NC</t>
        </is>
      </c>
      <c r="C86" s="42" t="n">
        <v>21.16</v>
      </c>
      <c r="D86" t="inlineStr">
        <is>
          <t>Endowment</t>
        </is>
      </c>
      <c r="E86" s="20" t="n">
        <v>2025</v>
      </c>
      <c r="F86" s="20">
        <f>IF(AND(OR(in_Mode="All Funds",AND(C86&gt;=in_BandFloor,C86&lt;=in_BandCeiling,OR(in_Geography="National",COUNTIFS(lst_GeoPreset,in_Geography,lst_GeoState,B86)&gt;0,AND(in_Geography="Custom",ISNUMBER(SEARCH(B86,SUBSTITUTE(in_CustomStates," ",""))))),OR(AND(D86="Endowment",Inputs!$B$14="Y"),AND(D86="Foundation",Inputs!$B$15="Y"),AND(D86="Healthcare",Inputs!$B$16="Y"),AND(D86="Pension",Inputs!$B$17="Y"),AND(D86="OCIO",Inputs!$B$18="Y"),AND(D86="Other",Inputs!$B$19="Y")))),A86&lt;&gt;in_ClientOrg,NOT(AND(in_ExclHarvard="Y",ISNUMBER(SEARCH("Harvard",A86))))),"Y","")</f>
        <v/>
      </c>
      <c r="G86" t="inlineStr">
        <is>
          <t>Kavita Nayar</t>
        </is>
      </c>
      <c r="H86" t="inlineStr">
        <is>
          <t>INVESTMENT MANAGER</t>
        </is>
      </c>
      <c r="I86" t="inlineStr">
        <is>
          <t>Investment Manager</t>
        </is>
      </c>
      <c r="J86" s="21" t="n">
        <v>440265</v>
      </c>
      <c r="K86" s="21" t="n">
        <v>1027299</v>
      </c>
      <c r="L86" s="21" t="n">
        <v>1467564</v>
      </c>
      <c r="M86" s="21" t="n">
        <v>147400</v>
      </c>
      <c r="N86" s="21" t="n">
        <v>258272</v>
      </c>
      <c r="O86" s="21" t="n">
        <v>28017</v>
      </c>
      <c r="P86" s="21" t="n">
        <v>1901253</v>
      </c>
      <c r="Q86" s="21" t="n">
        <v>1753853</v>
      </c>
      <c r="R86" s="21">
        <f>IF(Q86="","",Q86*(1+in_GrowthRate)^(YEARFRAC(DATE(2025,6,30),in_AgeToDate)*IF(in_AgeToDate&lt;DATE(2025,6,30),-1,1)+1))</f>
        <v/>
      </c>
      <c r="S86" s="38" t="n">
        <v>2.333365132363463</v>
      </c>
      <c r="T86" s="43">
        <f>HYPERLINK("https://projects.propublica.org/nonprofits/organizations/560532129/202611359349301296/full","view filing")</f>
        <v/>
      </c>
    </row>
    <row r="87">
      <c r="A87" t="inlineStr">
        <is>
          <t>Duke University</t>
        </is>
      </c>
      <c r="B87" s="20" t="inlineStr">
        <is>
          <t>NC</t>
        </is>
      </c>
      <c r="C87" s="42" t="n">
        <v>21.16</v>
      </c>
      <c r="D87" t="inlineStr">
        <is>
          <t>Endowment</t>
        </is>
      </c>
      <c r="E87" s="20" t="n">
        <v>2024</v>
      </c>
      <c r="F87" s="20" t="inlineStr"/>
      <c r="G87" t="inlineStr">
        <is>
          <t>Evan L Jones</t>
        </is>
      </c>
      <c r="H87" t="inlineStr">
        <is>
          <t>INVESTMENT MANAGER</t>
        </is>
      </c>
      <c r="I87" t="inlineStr">
        <is>
          <t>Investment Manager</t>
        </is>
      </c>
      <c r="J87" s="21" t="n">
        <v>394722</v>
      </c>
      <c r="K87" s="21" t="n">
        <v>1109843</v>
      </c>
      <c r="L87" s="21" t="n">
        <v>1504565</v>
      </c>
      <c r="M87" s="21" t="n">
        <v>157700</v>
      </c>
      <c r="N87" s="21" t="n">
        <v>280776</v>
      </c>
      <c r="O87" s="21" t="n">
        <v>20218</v>
      </c>
      <c r="P87" s="21" t="n">
        <v>1963259</v>
      </c>
      <c r="Q87" s="21" t="n">
        <v>1828059</v>
      </c>
      <c r="R87" s="21">
        <f>IF(Q87="","",Q87*(1+in_GrowthRate)^(YEARFRAC(DATE(2024,6,30),in_AgeToDate)*IF(in_AgeToDate&lt;DATE(2024,6,30),-1,1)+1))</f>
        <v/>
      </c>
      <c r="S87" s="38" t="n">
        <v>2.811707986886974</v>
      </c>
      <c r="T87" s="43">
        <f>HYPERLINK("https://projects.propublica.org/nonprofits/organizations/560532129/202501359349302225/full","view filing")</f>
        <v/>
      </c>
    </row>
    <row r="88">
      <c r="A88" t="inlineStr">
        <is>
          <t>Duke University</t>
        </is>
      </c>
      <c r="B88" s="20" t="inlineStr">
        <is>
          <t>NC</t>
        </is>
      </c>
      <c r="C88" s="42" t="n">
        <v>21.16</v>
      </c>
      <c r="D88" t="inlineStr">
        <is>
          <t>Endowment</t>
        </is>
      </c>
      <c r="E88" s="20" t="n">
        <v>2024</v>
      </c>
      <c r="F88" s="20" t="inlineStr"/>
      <c r="G88" t="inlineStr">
        <is>
          <t>Justin B Nixon</t>
        </is>
      </c>
      <c r="H88" t="inlineStr">
        <is>
          <t>INVESTMENT MANAGER</t>
        </is>
      </c>
      <c r="I88" t="inlineStr">
        <is>
          <t>Investment Manager</t>
        </is>
      </c>
      <c r="J88" s="21" t="n">
        <v>412897</v>
      </c>
      <c r="K88" s="21" t="n">
        <v>1109843</v>
      </c>
      <c r="L88" s="21" t="n">
        <v>1522740</v>
      </c>
      <c r="M88" s="21" t="n">
        <v>135200</v>
      </c>
      <c r="N88" s="21" t="n">
        <v>280776</v>
      </c>
      <c r="O88" s="21" t="n">
        <v>33450</v>
      </c>
      <c r="P88" s="21" t="n">
        <v>1972166</v>
      </c>
      <c r="Q88" s="21" t="n">
        <v>1836966</v>
      </c>
      <c r="R88" s="21">
        <f>IF(Q88="","",Q88*(1+in_GrowthRate)^(YEARFRAC(DATE(2024,6,30),in_AgeToDate)*IF(in_AgeToDate&lt;DATE(2024,6,30),-1,1)+1))</f>
        <v/>
      </c>
      <c r="S88" s="38" t="n">
        <v>2.687941544743604</v>
      </c>
      <c r="T88" s="43">
        <f>HYPERLINK("https://projects.propublica.org/nonprofits/organizations/560532129/202501359349302225/full","view filing")</f>
        <v/>
      </c>
    </row>
    <row r="89">
      <c r="A89" t="inlineStr">
        <is>
          <t>Duke University</t>
        </is>
      </c>
      <c r="B89" s="20" t="inlineStr">
        <is>
          <t>NC</t>
        </is>
      </c>
      <c r="C89" s="42" t="n">
        <v>21.16</v>
      </c>
      <c r="D89" t="inlineStr">
        <is>
          <t>Endowment</t>
        </is>
      </c>
      <c r="E89" s="20" t="n">
        <v>2024</v>
      </c>
      <c r="F89" s="20" t="inlineStr"/>
      <c r="G89" t="inlineStr">
        <is>
          <t>Kavita Nayar</t>
        </is>
      </c>
      <c r="H89" t="inlineStr">
        <is>
          <t>INVESTMENT MANAGER</t>
        </is>
      </c>
      <c r="I89" t="inlineStr">
        <is>
          <t>Investment Manager</t>
        </is>
      </c>
      <c r="J89" s="21" t="n">
        <v>389546</v>
      </c>
      <c r="K89" s="21" t="n">
        <v>946576</v>
      </c>
      <c r="L89" s="21" t="n">
        <v>1336122</v>
      </c>
      <c r="M89" s="21" t="n">
        <v>46475</v>
      </c>
      <c r="N89" s="21" t="n">
        <v>210276</v>
      </c>
      <c r="O89" s="21" t="n">
        <v>26637</v>
      </c>
      <c r="P89" s="21" t="n">
        <v>1619510</v>
      </c>
      <c r="Q89" s="21" t="n">
        <v>1573035</v>
      </c>
      <c r="R89" s="21">
        <f>IF(Q89="","",Q89*(1+in_GrowthRate)^(YEARFRAC(DATE(2024,6,30),in_AgeToDate)*IF(in_AgeToDate&lt;DATE(2024,6,30),-1,1)+1))</f>
        <v/>
      </c>
      <c r="S89" s="38" t="n">
        <v>2.429946655850657</v>
      </c>
      <c r="T89" s="43">
        <f>HYPERLINK("https://projects.propublica.org/nonprofits/organizations/560532129/202501359349302225/full","view filing")</f>
        <v/>
      </c>
    </row>
    <row r="90">
      <c r="A90" t="inlineStr">
        <is>
          <t>Duke University</t>
        </is>
      </c>
      <c r="B90" s="20" t="inlineStr">
        <is>
          <t>NC</t>
        </is>
      </c>
      <c r="C90" s="42" t="n">
        <v>21.16</v>
      </c>
      <c r="D90" t="inlineStr">
        <is>
          <t>Endowment</t>
        </is>
      </c>
      <c r="E90" s="20" t="n">
        <v>2023</v>
      </c>
      <c r="F90" s="20" t="inlineStr"/>
      <c r="G90" t="inlineStr">
        <is>
          <t>Evan L Jones</t>
        </is>
      </c>
      <c r="H90" t="inlineStr">
        <is>
          <t>INVESTMENT MANAGER</t>
        </is>
      </c>
      <c r="I90" t="inlineStr">
        <is>
          <t>Investment Manager</t>
        </is>
      </c>
      <c r="J90" s="21" t="n">
        <v>396076</v>
      </c>
      <c r="K90" s="21" t="n">
        <v>949752</v>
      </c>
      <c r="L90" s="21" t="n">
        <v>1345828</v>
      </c>
      <c r="M90" s="21" t="n">
        <v>196200</v>
      </c>
      <c r="N90" s="21" t="n">
        <v>211964</v>
      </c>
      <c r="O90" s="21" t="n">
        <v>19709</v>
      </c>
      <c r="P90" s="21" t="n">
        <v>1773701</v>
      </c>
      <c r="Q90" s="21" t="n">
        <v>1598001</v>
      </c>
      <c r="R90" s="21">
        <f>IF(Q90="","",Q90*(1+in_GrowthRate)^(YEARFRAC(DATE(2023,6,30),in_AgeToDate)*IF(in_AgeToDate&lt;DATE(2023,6,30),-1,1)+1))</f>
        <v/>
      </c>
      <c r="S90" s="38" t="n">
        <v>2.397903432674537</v>
      </c>
      <c r="T90" s="43">
        <f>HYPERLINK("https://projects.propublica.org/nonprofits/organizations/560532129/202441369349300929/full","view filing")</f>
        <v/>
      </c>
    </row>
    <row r="91">
      <c r="A91" t="inlineStr">
        <is>
          <t>Duke University</t>
        </is>
      </c>
      <c r="B91" s="20" t="inlineStr">
        <is>
          <t>NC</t>
        </is>
      </c>
      <c r="C91" s="42" t="n">
        <v>21.16</v>
      </c>
      <c r="D91" t="inlineStr">
        <is>
          <t>Endowment</t>
        </is>
      </c>
      <c r="E91" s="20" t="n">
        <v>2023</v>
      </c>
      <c r="F91" s="20" t="inlineStr"/>
      <c r="G91" t="inlineStr">
        <is>
          <t>Justin B Nixon</t>
        </is>
      </c>
      <c r="H91" t="inlineStr">
        <is>
          <t>INVESTMENT MANAGER</t>
        </is>
      </c>
      <c r="I91" t="inlineStr">
        <is>
          <t>Investment Manager</t>
        </is>
      </c>
      <c r="J91" s="21" t="n">
        <v>413184</v>
      </c>
      <c r="K91" s="21" t="n">
        <v>942577</v>
      </c>
      <c r="L91" s="21" t="n">
        <v>1355761</v>
      </c>
      <c r="M91" s="21" t="n">
        <v>163150</v>
      </c>
      <c r="N91" s="21" t="n">
        <v>211964</v>
      </c>
      <c r="O91" s="21" t="n">
        <v>31145</v>
      </c>
      <c r="P91" s="21" t="n">
        <v>1762020</v>
      </c>
      <c r="Q91" s="21" t="n">
        <v>1598870</v>
      </c>
      <c r="R91" s="21">
        <f>IF(Q91="","",Q91*(1+in_GrowthRate)^(YEARFRAC(DATE(2023,6,30),in_AgeToDate)*IF(in_AgeToDate&lt;DATE(2023,6,30),-1,1)+1))</f>
        <v/>
      </c>
      <c r="S91" s="38" t="n">
        <v>2.281252420229244</v>
      </c>
      <c r="T91" s="43">
        <f>HYPERLINK("https://projects.propublica.org/nonprofits/organizations/560532129/202441369349300929/full","view filing")</f>
        <v/>
      </c>
    </row>
    <row r="92">
      <c r="A92" t="inlineStr">
        <is>
          <t>Duke University</t>
        </is>
      </c>
      <c r="B92" s="20" t="inlineStr">
        <is>
          <t>NC</t>
        </is>
      </c>
      <c r="C92" s="42" t="n">
        <v>21.16</v>
      </c>
      <c r="D92" t="inlineStr">
        <is>
          <t>Endowment</t>
        </is>
      </c>
      <c r="E92" s="20" t="n">
        <v>2023</v>
      </c>
      <c r="F92" s="20" t="inlineStr"/>
      <c r="G92" t="inlineStr">
        <is>
          <t>Kavita Nayar</t>
        </is>
      </c>
      <c r="H92" t="inlineStr">
        <is>
          <t>INVESTMENT MANAGER</t>
        </is>
      </c>
      <c r="I92" t="inlineStr">
        <is>
          <t>Investment Manager</t>
        </is>
      </c>
      <c r="J92" s="21" t="n">
        <v>289771</v>
      </c>
      <c r="K92" s="21" t="n">
        <v>742033</v>
      </c>
      <c r="L92" s="21" t="n">
        <v>1031804</v>
      </c>
      <c r="M92" s="21" t="n"/>
      <c r="N92" s="21" t="n">
        <v>157339</v>
      </c>
      <c r="O92" s="21" t="n">
        <v>24451</v>
      </c>
      <c r="P92" s="21" t="n">
        <v>1213594</v>
      </c>
      <c r="Q92" s="21" t="n">
        <v>1213594</v>
      </c>
      <c r="R92" s="21">
        <f>IF(Q92="","",Q92*(1+in_GrowthRate)^(YEARFRAC(DATE(2023,6,30),in_AgeToDate)*IF(in_AgeToDate&lt;DATE(2023,6,30),-1,1)+1))</f>
        <v/>
      </c>
      <c r="S92" s="38" t="n">
        <v>2.560756597451091</v>
      </c>
      <c r="T92" s="43">
        <f>HYPERLINK("https://projects.propublica.org/nonprofits/organizations/560532129/202441369349300929/full","view filing")</f>
        <v/>
      </c>
    </row>
    <row r="93">
      <c r="A93" t="inlineStr">
        <is>
          <t>Duke University</t>
        </is>
      </c>
      <c r="B93" s="20" t="inlineStr">
        <is>
          <t>NC</t>
        </is>
      </c>
      <c r="C93" s="42" t="n">
        <v>21.16</v>
      </c>
      <c r="D93" t="inlineStr">
        <is>
          <t>Endowment</t>
        </is>
      </c>
      <c r="E93" s="20" t="n">
        <v>2023</v>
      </c>
      <c r="F93" s="20" t="inlineStr"/>
      <c r="G93" t="inlineStr">
        <is>
          <t>Mark E Corigliano</t>
        </is>
      </c>
      <c r="H93" t="inlineStr">
        <is>
          <t>INVESTMENT MANAGER</t>
        </is>
      </c>
      <c r="I93" t="inlineStr">
        <is>
          <t>Investment Manager</t>
        </is>
      </c>
      <c r="J93" s="21" t="n">
        <v>412910</v>
      </c>
      <c r="K93" s="21" t="n">
        <v>653723</v>
      </c>
      <c r="L93" s="21" t="n">
        <v>1066633</v>
      </c>
      <c r="M93" s="21" t="n">
        <v>165975</v>
      </c>
      <c r="N93" s="21" t="n">
        <v>190114</v>
      </c>
      <c r="O93" s="21" t="n">
        <v>42453</v>
      </c>
      <c r="P93" s="21" t="n">
        <v>1465175</v>
      </c>
      <c r="Q93" s="21" t="n">
        <v>1314575</v>
      </c>
      <c r="R93" s="21">
        <f>IF(Q93="","",Q93*(1+in_GrowthRate)^(YEARFRAC(DATE(2023,6,30),in_AgeToDate)*IF(in_AgeToDate&lt;DATE(2023,6,30),-1,1)+1))</f>
        <v/>
      </c>
      <c r="S93" s="38" t="n">
        <v>1.583209416095517</v>
      </c>
      <c r="T93" s="43">
        <f>HYPERLINK("https://projects.propublica.org/nonprofits/organizations/560532129/202441369349300929/full","view filing")</f>
        <v/>
      </c>
    </row>
    <row r="94">
      <c r="A94" t="inlineStr">
        <is>
          <t>Duke University</t>
        </is>
      </c>
      <c r="B94" s="20" t="inlineStr">
        <is>
          <t>NC</t>
        </is>
      </c>
      <c r="C94" s="42" t="n">
        <v>21.16</v>
      </c>
      <c r="D94" t="inlineStr">
        <is>
          <t>Endowment</t>
        </is>
      </c>
      <c r="E94" s="20" t="n">
        <v>2022</v>
      </c>
      <c r="F94" s="20" t="inlineStr"/>
      <c r="G94" t="inlineStr">
        <is>
          <t>Evan L Jones</t>
        </is>
      </c>
      <c r="H94" t="inlineStr">
        <is>
          <t>INVESTMENT MANAGER</t>
        </is>
      </c>
      <c r="I94" t="inlineStr">
        <is>
          <t>Investment Manager</t>
        </is>
      </c>
      <c r="J94" s="21" t="n">
        <v>389217</v>
      </c>
      <c r="K94" s="21" t="n">
        <v>783475</v>
      </c>
      <c r="L94" s="21" t="n">
        <v>1172692</v>
      </c>
      <c r="M94" s="21" t="n">
        <v>19500</v>
      </c>
      <c r="N94" s="21" t="n">
        <v>190746</v>
      </c>
      <c r="O94" s="21" t="n">
        <v>20323</v>
      </c>
      <c r="P94" s="21" t="n">
        <v>1403261</v>
      </c>
      <c r="Q94" s="21" t="n">
        <v>1403261</v>
      </c>
      <c r="R94" s="21">
        <f>IF(Q94="","",Q94*(1+in_GrowthRate)^(YEARFRAC(DATE(2022,6,30),in_AgeToDate)*IF(in_AgeToDate&lt;DATE(2022,6,30),-1,1)+1))</f>
        <v/>
      </c>
      <c r="S94" s="38" t="n">
        <v>2.012951643941554</v>
      </c>
      <c r="T94" s="43">
        <f>HYPERLINK("https://projects.propublica.org/nonprofits/organizations/560532129/202311359349317716/full","view filing")</f>
        <v/>
      </c>
    </row>
    <row r="95">
      <c r="A95" t="inlineStr">
        <is>
          <t>Duke University</t>
        </is>
      </c>
      <c r="B95" s="20" t="inlineStr">
        <is>
          <t>NC</t>
        </is>
      </c>
      <c r="C95" s="42" t="n">
        <v>21.16</v>
      </c>
      <c r="D95" t="inlineStr">
        <is>
          <t>Endowment</t>
        </is>
      </c>
      <c r="E95" s="20" t="n">
        <v>2022</v>
      </c>
      <c r="F95" s="20" t="inlineStr"/>
      <c r="G95" t="inlineStr">
        <is>
          <t>Justin B Nixon</t>
        </is>
      </c>
      <c r="H95" t="inlineStr">
        <is>
          <t>INVESTMENT MANAGER</t>
        </is>
      </c>
      <c r="I95" t="inlineStr">
        <is>
          <t>Investment Manager</t>
        </is>
      </c>
      <c r="J95" s="21" t="n">
        <v>406816</v>
      </c>
      <c r="K95" s="21" t="n">
        <v>768846</v>
      </c>
      <c r="L95" s="21" t="n">
        <v>1175662</v>
      </c>
      <c r="M95" s="21" t="n"/>
      <c r="N95" s="21" t="n">
        <v>184471</v>
      </c>
      <c r="O95" s="21" t="n">
        <v>29749</v>
      </c>
      <c r="P95" s="21" t="n">
        <v>1389882</v>
      </c>
      <c r="Q95" s="21" t="n">
        <v>1389882</v>
      </c>
      <c r="R95" s="21">
        <f>IF(Q95="","",Q95*(1+in_GrowthRate)^(YEARFRAC(DATE(2022,6,30),in_AgeToDate)*IF(in_AgeToDate&lt;DATE(2022,6,30),-1,1)+1))</f>
        <v/>
      </c>
      <c r="S95" s="38" t="n">
        <v>1.889910917957996</v>
      </c>
      <c r="T95" s="43">
        <f>HYPERLINK("https://projects.propublica.org/nonprofits/organizations/560532129/202311359349317716/full","view filing")</f>
        <v/>
      </c>
    </row>
    <row r="96">
      <c r="A96" t="inlineStr">
        <is>
          <t>Duke University</t>
        </is>
      </c>
      <c r="B96" s="20" t="inlineStr">
        <is>
          <t>NC</t>
        </is>
      </c>
      <c r="C96" s="42" t="n">
        <v>21.16</v>
      </c>
      <c r="D96" t="inlineStr">
        <is>
          <t>Endowment</t>
        </is>
      </c>
      <c r="E96" s="20" t="n">
        <v>2022</v>
      </c>
      <c r="F96" s="20" t="inlineStr"/>
      <c r="G96" t="inlineStr">
        <is>
          <t>Mark E Corigliano</t>
        </is>
      </c>
      <c r="H96" t="inlineStr">
        <is>
          <t>INVESTMENT MANAGER</t>
        </is>
      </c>
      <c r="I96" t="inlineStr">
        <is>
          <t>Investment Manager</t>
        </is>
      </c>
      <c r="J96" s="21" t="n">
        <v>343495</v>
      </c>
      <c r="K96" s="21" t="n">
        <v>665693</v>
      </c>
      <c r="L96" s="21" t="n">
        <v>1009188</v>
      </c>
      <c r="M96" s="21" t="n">
        <v>19500</v>
      </c>
      <c r="N96" s="21" t="n">
        <v>169746</v>
      </c>
      <c r="O96" s="21" t="n">
        <v>31668</v>
      </c>
      <c r="P96" s="21" t="n">
        <v>1230102</v>
      </c>
      <c r="Q96" s="21" t="n">
        <v>1230102</v>
      </c>
      <c r="R96" s="21">
        <f>IF(Q96="","",Q96*(1+in_GrowthRate)^(YEARFRAC(DATE(2022,6,30),in_AgeToDate)*IF(in_AgeToDate&lt;DATE(2022,6,30),-1,1)+1))</f>
        <v/>
      </c>
      <c r="S96" s="38" t="n">
        <v>1.937999097512336</v>
      </c>
      <c r="T96" s="43">
        <f>HYPERLINK("https://projects.propublica.org/nonprofits/organizations/560532129/202311359349317716/full","view filing")</f>
        <v/>
      </c>
    </row>
    <row r="97">
      <c r="A97" t="inlineStr">
        <is>
          <t>Ewing Marion Kauffman Foundation</t>
        </is>
      </c>
      <c r="B97" s="20" t="inlineStr">
        <is>
          <t>MO</t>
        </is>
      </c>
      <c r="C97" s="42" t="n">
        <v>2.92</v>
      </c>
      <c r="D97" t="inlineStr">
        <is>
          <t>Foundation</t>
        </is>
      </c>
      <c r="E97" s="20" t="n">
        <v>2024</v>
      </c>
      <c r="F97" s="20">
        <f>IF(AND(OR(in_Mode="All Funds",AND(C97&gt;=in_BandFloor,C97&lt;=in_BandCeiling,OR(in_Geography="National",COUNTIFS(lst_GeoPreset,in_Geography,lst_GeoState,B97)&gt;0,AND(in_Geography="Custom",ISNUMBER(SEARCH(B97,SUBSTITUTE(in_CustomStates," ",""))))),OR(AND(D97="Endowment",Inputs!$B$14="Y"),AND(D97="Foundation",Inputs!$B$15="Y"),AND(D97="Healthcare",Inputs!$B$16="Y"),AND(D97="Pension",Inputs!$B$17="Y"),AND(D97="OCIO",Inputs!$B$18="Y"),AND(D97="Other",Inputs!$B$19="Y")))),A97&lt;&gt;in_ClientOrg,NOT(AND(in_ExclHarvard="Y",ISNUMBER(SEARCH("Harvard",A97))))),"Y","")</f>
        <v/>
      </c>
      <c r="G97" t="inlineStr">
        <is>
          <t>Brian Scharf</t>
        </is>
      </c>
      <c r="H97" t="inlineStr">
        <is>
          <t>MANAGING DIRECTOR</t>
        </is>
      </c>
      <c r="I97" t="inlineStr">
        <is>
          <t>Managing Director</t>
        </is>
      </c>
      <c r="J97" s="21" t="n"/>
      <c r="K97" s="21" t="n"/>
      <c r="L97" s="21" t="n"/>
      <c r="M97" s="21" t="n"/>
      <c r="N97" s="21" t="n"/>
      <c r="O97" s="21" t="n"/>
      <c r="P97" s="21" t="n">
        <v>406759</v>
      </c>
      <c r="Q97" s="21" t="n">
        <v>406759</v>
      </c>
      <c r="R97" s="21">
        <f>IF(Q97="","",Q97*(1+in_GrowthRate)^(YEARFRAC(DATE(2024,12,31),in_AgeToDate)*IF(in_AgeToDate&lt;DATE(2024,12,31),-1,1)+1))</f>
        <v/>
      </c>
      <c r="S97" s="38" t="n"/>
      <c r="T97" s="43">
        <f>HYPERLINK("https://projects.propublica.org/nonprofits/organizations/436064859/202523169349103332/full","view filing")</f>
        <v/>
      </c>
    </row>
    <row r="98">
      <c r="A98" t="inlineStr">
        <is>
          <t>Ewing Marion Kauffman Foundation</t>
        </is>
      </c>
      <c r="B98" s="20" t="inlineStr">
        <is>
          <t>MO</t>
        </is>
      </c>
      <c r="C98" s="42" t="n">
        <v>2.92</v>
      </c>
      <c r="D98" t="inlineStr">
        <is>
          <t>Foundation</t>
        </is>
      </c>
      <c r="E98" s="20" t="n">
        <v>2023</v>
      </c>
      <c r="F98" s="20" t="inlineStr"/>
      <c r="G98" t="inlineStr">
        <is>
          <t>Brian Scharf</t>
        </is>
      </c>
      <c r="H98" t="inlineStr">
        <is>
          <t>MANAGING DIRECTOR</t>
        </is>
      </c>
      <c r="I98" t="inlineStr">
        <is>
          <t>Managing Director</t>
        </is>
      </c>
      <c r="J98" s="21" t="n"/>
      <c r="K98" s="21" t="n"/>
      <c r="L98" s="21" t="n"/>
      <c r="M98" s="21" t="n"/>
      <c r="N98" s="21" t="n"/>
      <c r="O98" s="21" t="n"/>
      <c r="P98" s="21" t="n">
        <v>413410</v>
      </c>
      <c r="Q98" s="21" t="n">
        <v>413410</v>
      </c>
      <c r="R98" s="21">
        <f>IF(Q98="","",Q98*(1+in_GrowthRate)^(YEARFRAC(DATE(2023,12,31),in_AgeToDate)*IF(in_AgeToDate&lt;DATE(2023,12,31),-1,1)+1))</f>
        <v/>
      </c>
      <c r="S98" s="38" t="n"/>
      <c r="T98" s="43">
        <f>HYPERLINK("https://projects.propublica.org/nonprofits/organizations/436064859/202443209349101644/full","view filing")</f>
        <v/>
      </c>
    </row>
    <row r="99">
      <c r="A99" t="inlineStr">
        <is>
          <t>Ewing Marion Kauffman Foundation</t>
        </is>
      </c>
      <c r="B99" s="20" t="inlineStr">
        <is>
          <t>MO</t>
        </is>
      </c>
      <c r="C99" s="42" t="n">
        <v>2.92</v>
      </c>
      <c r="D99" t="inlineStr">
        <is>
          <t>Foundation</t>
        </is>
      </c>
      <c r="E99" s="20" t="n">
        <v>2022</v>
      </c>
      <c r="F99" s="20" t="inlineStr"/>
      <c r="G99" t="inlineStr">
        <is>
          <t>Brian Scharf</t>
        </is>
      </c>
      <c r="H99" t="inlineStr">
        <is>
          <t>MANAGING DIRECTOR</t>
        </is>
      </c>
      <c r="I99" t="inlineStr">
        <is>
          <t>Managing Director</t>
        </is>
      </c>
      <c r="J99" s="21" t="n"/>
      <c r="K99" s="21" t="n"/>
      <c r="L99" s="21" t="n"/>
      <c r="M99" s="21" t="n"/>
      <c r="N99" s="21" t="n"/>
      <c r="O99" s="21" t="n"/>
      <c r="P99" s="21" t="n">
        <v>429713</v>
      </c>
      <c r="Q99" s="21" t="n">
        <v>429713</v>
      </c>
      <c r="R99" s="21">
        <f>IF(Q99="","",Q99*(1+in_GrowthRate)^(YEARFRAC(DATE(2022,12,31),in_AgeToDate)*IF(in_AgeToDate&lt;DATE(2022,12,31),-1,1)+1))</f>
        <v/>
      </c>
      <c r="S99" s="38" t="n"/>
      <c r="T99" s="43">
        <f>HYPERLINK("https://projects.propublica.org/nonprofits/organizations/436064859/202303199349101530/full","view filing")</f>
        <v/>
      </c>
    </row>
    <row r="100">
      <c r="A100" t="inlineStr">
        <is>
          <t>Geisinger System Services</t>
        </is>
      </c>
      <c r="B100" s="20" t="inlineStr">
        <is>
          <t>PA</t>
        </is>
      </c>
      <c r="C100" s="42" t="n">
        <v>2.65</v>
      </c>
      <c r="D100" t="inlineStr">
        <is>
          <t>Healthcare</t>
        </is>
      </c>
      <c r="E100" s="20" t="n">
        <v>2024</v>
      </c>
      <c r="F100" s="20">
        <f>IF(AND(OR(in_Mode="All Funds",AND(C100&gt;=in_BandFloor,C100&lt;=in_BandCeiling,OR(in_Geography="National",COUNTIFS(lst_GeoPreset,in_Geography,lst_GeoState,B100)&gt;0,AND(in_Geography="Custom",ISNUMBER(SEARCH(B100,SUBSTITUTE(in_CustomStates," ",""))))),OR(AND(D100="Endowment",Inputs!$B$14="Y"),AND(D100="Foundation",Inputs!$B$15="Y"),AND(D100="Healthcare",Inputs!$B$16="Y"),AND(D100="Pension",Inputs!$B$17="Y"),AND(D100="OCIO",Inputs!$B$18="Y"),AND(D100="Other",Inputs!$B$19="Y")))),A100&lt;&gt;in_ClientOrg,NOT(AND(in_ExclHarvard="Y",ISNUMBER(SEARCH("Harvard",A100))))),"Y","")</f>
        <v/>
      </c>
      <c r="G100" t="inlineStr">
        <is>
          <t>Danielle Villarreal</t>
        </is>
      </c>
      <c r="H100" t="inlineStr">
        <is>
          <t>MANAGING DIRECTOR, INVESTMENTS</t>
        </is>
      </c>
      <c r="I100" t="inlineStr">
        <is>
          <t>Managing Director</t>
        </is>
      </c>
      <c r="J100" s="21" t="n">
        <v>151635</v>
      </c>
      <c r="K100" s="21" t="n">
        <v>286730</v>
      </c>
      <c r="L100" s="21" t="n">
        <v>438365</v>
      </c>
      <c r="M100" s="21" t="n">
        <v>102176</v>
      </c>
      <c r="N100" s="21" t="n">
        <v>24306</v>
      </c>
      <c r="O100" s="21" t="n">
        <v>11780</v>
      </c>
      <c r="P100" s="21" t="n">
        <v>576627</v>
      </c>
      <c r="Q100" s="21" t="n">
        <v>576627</v>
      </c>
      <c r="R100" s="21">
        <f>IF(Q100="","",Q100*(1+in_GrowthRate)^(YEARFRAC(DATE(2024,12,31),in_AgeToDate)*IF(in_AgeToDate&lt;DATE(2024,12,31),-1,1)+1))</f>
        <v/>
      </c>
      <c r="S100" s="38" t="n">
        <v>1.890922280476143</v>
      </c>
      <c r="T100" s="43">
        <f>HYPERLINK("https://projects.propublica.org/nonprofits/organizations/232164794/202513219349322231/full","view filing")</f>
        <v/>
      </c>
    </row>
    <row r="101">
      <c r="A101" t="inlineStr">
        <is>
          <t>Georgetown University</t>
        </is>
      </c>
      <c r="B101" s="20" t="inlineStr">
        <is>
          <t>DC</t>
        </is>
      </c>
      <c r="C101" s="42" t="n">
        <v>3.95</v>
      </c>
      <c r="D101" t="inlineStr">
        <is>
          <t>Endowment</t>
        </is>
      </c>
      <c r="E101" s="20" t="n">
        <v>2025</v>
      </c>
      <c r="F101" s="20">
        <f>IF(AND(OR(in_Mode="All Funds",AND(C101&gt;=in_BandFloor,C101&lt;=in_BandCeiling,OR(in_Geography="National",COUNTIFS(lst_GeoPreset,in_Geography,lst_GeoState,B101)&gt;0,AND(in_Geography="Custom",ISNUMBER(SEARCH(B101,SUBSTITUTE(in_CustomStates," ",""))))),OR(AND(D101="Endowment",Inputs!$B$14="Y"),AND(D101="Foundation",Inputs!$B$15="Y"),AND(D101="Healthcare",Inputs!$B$16="Y"),AND(D101="Pension",Inputs!$B$17="Y"),AND(D101="OCIO",Inputs!$B$18="Y"),AND(D101="Other",Inputs!$B$19="Y")))),A101&lt;&gt;in_ClientOrg,NOT(AND(in_ExclHarvard="Y",ISNUMBER(SEARCH("Harvard",A101))))),"Y","")</f>
        <v/>
      </c>
      <c r="G101" t="inlineStr">
        <is>
          <t>Christopher Gill</t>
        </is>
      </c>
      <c r="H101" t="inlineStr">
        <is>
          <t>MANAGING DIRECTOR OF PUBLIC INVESTMENTS</t>
        </is>
      </c>
      <c r="I101" t="inlineStr">
        <is>
          <t>Managing Director</t>
        </is>
      </c>
      <c r="J101" s="21" t="n">
        <v>415516</v>
      </c>
      <c r="K101" s="21" t="n">
        <v>875000</v>
      </c>
      <c r="L101" s="21" t="n">
        <v>1290516</v>
      </c>
      <c r="M101" s="21" t="n"/>
      <c r="N101" s="21" t="n">
        <v>22500</v>
      </c>
      <c r="O101" s="21" t="n">
        <v>33291</v>
      </c>
      <c r="P101" s="21" t="n">
        <v>1346307</v>
      </c>
      <c r="Q101" s="21" t="n">
        <v>1346307</v>
      </c>
      <c r="R101" s="21">
        <f>IF(Q101="","",Q101*(1+in_GrowthRate)^(YEARFRAC(DATE(2025,6,30),in_AgeToDate)*IF(in_AgeToDate&lt;DATE(2025,6,30),-1,1)+1))</f>
        <v/>
      </c>
      <c r="S101" s="38" t="n">
        <v>2.105815419863495</v>
      </c>
      <c r="T101" s="43">
        <f>HYPERLINK("https://projects.propublica.org/nonprofits/organizations/530196603/202601359349300020/full","view filing")</f>
        <v/>
      </c>
    </row>
    <row r="102">
      <c r="A102" t="inlineStr">
        <is>
          <t>Georgetown University</t>
        </is>
      </c>
      <c r="B102" s="20" t="inlineStr">
        <is>
          <t>DC</t>
        </is>
      </c>
      <c r="C102" s="42" t="n">
        <v>3.95</v>
      </c>
      <c r="D102" t="inlineStr">
        <is>
          <t>Endowment</t>
        </is>
      </c>
      <c r="E102" s="20" t="n">
        <v>2024</v>
      </c>
      <c r="F102" s="20" t="inlineStr"/>
      <c r="G102" t="inlineStr">
        <is>
          <t>Christopher Gill</t>
        </is>
      </c>
      <c r="H102" t="inlineStr">
        <is>
          <t>Managing Director of Public Investments</t>
        </is>
      </c>
      <c r="I102" t="inlineStr">
        <is>
          <t>Managing Director</t>
        </is>
      </c>
      <c r="J102" s="21" t="n">
        <v>399100</v>
      </c>
      <c r="K102" s="21" t="n">
        <v>585000</v>
      </c>
      <c r="L102" s="21" t="n">
        <v>984100</v>
      </c>
      <c r="M102" s="21" t="n"/>
      <c r="N102" s="21" t="n">
        <v>20000</v>
      </c>
      <c r="O102" s="21" t="n">
        <v>36452</v>
      </c>
      <c r="P102" s="21" t="n">
        <v>1040552</v>
      </c>
      <c r="Q102" s="21" t="n">
        <v>1040552</v>
      </c>
      <c r="R102" s="21">
        <f>IF(Q102="","",Q102*(1+in_GrowthRate)^(YEARFRAC(DATE(2024,6,30),in_AgeToDate)*IF(in_AgeToDate&lt;DATE(2024,6,30),-1,1)+1))</f>
        <v/>
      </c>
      <c r="S102" s="38" t="n">
        <v>1.465798045602606</v>
      </c>
      <c r="T102" s="43">
        <f>HYPERLINK("https://projects.propublica.org/nonprofits/organizations/530196603/202541359349301409/full","view filing")</f>
        <v/>
      </c>
    </row>
    <row r="103">
      <c r="A103" t="inlineStr">
        <is>
          <t>Georgetown University</t>
        </is>
      </c>
      <c r="B103" s="20" t="inlineStr">
        <is>
          <t>DC</t>
        </is>
      </c>
      <c r="C103" s="42" t="n">
        <v>3.95</v>
      </c>
      <c r="D103" t="inlineStr">
        <is>
          <t>Endowment</t>
        </is>
      </c>
      <c r="E103" s="20" t="n">
        <v>2023</v>
      </c>
      <c r="F103" s="20" t="inlineStr"/>
      <c r="G103" t="inlineStr">
        <is>
          <t>Christopher Gill</t>
        </is>
      </c>
      <c r="H103" t="inlineStr">
        <is>
          <t>Managing Director of Public Investments</t>
        </is>
      </c>
      <c r="I103" t="inlineStr">
        <is>
          <t>Managing Director</t>
        </is>
      </c>
      <c r="J103" s="21" t="n">
        <v>394381</v>
      </c>
      <c r="K103" s="21" t="n">
        <v>900000</v>
      </c>
      <c r="L103" s="21" t="n">
        <v>1294381</v>
      </c>
      <c r="M103" s="21" t="n"/>
      <c r="N103" s="21" t="n">
        <v>20000</v>
      </c>
      <c r="O103" s="21" t="n">
        <v>27554</v>
      </c>
      <c r="P103" s="21" t="n">
        <v>1341935</v>
      </c>
      <c r="Q103" s="21" t="n">
        <v>1341935</v>
      </c>
      <c r="R103" s="21">
        <f>IF(Q103="","",Q103*(1+in_GrowthRate)^(YEARFRAC(DATE(2023,6,30),in_AgeToDate)*IF(in_AgeToDate&lt;DATE(2023,6,30),-1,1)+1))</f>
        <v/>
      </c>
      <c r="S103" s="38" t="n">
        <v>2.282057198495871</v>
      </c>
      <c r="T103" s="43">
        <f>HYPERLINK("https://projects.propublica.org/nonprofits/organizations/530196603/202411369349310111/full","view filing")</f>
        <v/>
      </c>
    </row>
    <row r="104">
      <c r="A104" t="inlineStr">
        <is>
          <t>Georgetown University</t>
        </is>
      </c>
      <c r="B104" s="20" t="inlineStr">
        <is>
          <t>DC</t>
        </is>
      </c>
      <c r="C104" s="42" t="n">
        <v>3.95</v>
      </c>
      <c r="D104" t="inlineStr">
        <is>
          <t>Endowment</t>
        </is>
      </c>
      <c r="E104" s="20" t="n">
        <v>2022</v>
      </c>
      <c r="F104" s="20" t="inlineStr"/>
      <c r="G104" t="inlineStr">
        <is>
          <t>Christopher Gill</t>
        </is>
      </c>
      <c r="H104" t="inlineStr">
        <is>
          <t>Managing Director of Investments</t>
        </is>
      </c>
      <c r="I104" t="inlineStr">
        <is>
          <t>Managing Director</t>
        </is>
      </c>
      <c r="J104" s="21" t="n">
        <v>347855</v>
      </c>
      <c r="K104" s="21" t="n">
        <v>400000</v>
      </c>
      <c r="L104" s="21" t="n">
        <v>747855</v>
      </c>
      <c r="M104" s="21" t="n"/>
      <c r="N104" s="21" t="n">
        <v>10795</v>
      </c>
      <c r="O104" s="21" t="n">
        <v>27572</v>
      </c>
      <c r="P104" s="21" t="n">
        <v>786222</v>
      </c>
      <c r="Q104" s="21" t="n">
        <v>786222</v>
      </c>
      <c r="R104" s="21">
        <f>IF(Q104="","",Q104*(1+in_GrowthRate)^(YEARFRAC(DATE(2022,6,30),in_AgeToDate)*IF(in_AgeToDate&lt;DATE(2022,6,30),-1,1)+1))</f>
        <v/>
      </c>
      <c r="S104" s="38" t="n">
        <v>1.14990441419557</v>
      </c>
      <c r="T104" s="43">
        <f>HYPERLINK("https://projects.propublica.org/nonprofits/organizations/530196603/202331359349301653/full","view filing")</f>
        <v/>
      </c>
    </row>
    <row r="105">
      <c r="A105" t="inlineStr">
        <is>
          <t>Georgia Tech Foundation Inc</t>
        </is>
      </c>
      <c r="B105" s="20" t="inlineStr">
        <is>
          <t>GA</t>
        </is>
      </c>
      <c r="C105" s="42" t="n">
        <v>3.04</v>
      </c>
      <c r="D105" t="inlineStr">
        <is>
          <t>Foundation</t>
        </is>
      </c>
      <c r="E105" s="20" t="n">
        <v>2025</v>
      </c>
      <c r="F105" s="20">
        <f>IF(AND(OR(in_Mode="All Funds",AND(C105&gt;=in_BandFloor,C105&lt;=in_BandCeiling,OR(in_Geography="National",COUNTIFS(lst_GeoPreset,in_Geography,lst_GeoState,B105)&gt;0,AND(in_Geography="Custom",ISNUMBER(SEARCH(B105,SUBSTITUTE(in_CustomStates," ",""))))),OR(AND(D105="Endowment",Inputs!$B$14="Y"),AND(D105="Foundation",Inputs!$B$15="Y"),AND(D105="Healthcare",Inputs!$B$16="Y"),AND(D105="Pension",Inputs!$B$17="Y"),AND(D105="OCIO",Inputs!$B$18="Y"),AND(D105="Other",Inputs!$B$19="Y")))),A105&lt;&gt;in_ClientOrg,NOT(AND(in_ExclHarvard="Y",ISNUMBER(SEARCH("Harvard",A105))))),"Y","")</f>
        <v/>
      </c>
      <c r="G105" t="inlineStr">
        <is>
          <t>Lu Yan</t>
        </is>
      </c>
      <c r="H105" t="inlineStr">
        <is>
          <t>MANAGING DIRECTOR - PUBLIC INVESTMENTS</t>
        </is>
      </c>
      <c r="I105" t="inlineStr">
        <is>
          <t>Managing Director</t>
        </is>
      </c>
      <c r="J105" s="21" t="n">
        <v>303204</v>
      </c>
      <c r="K105" s="21" t="n">
        <v>333843</v>
      </c>
      <c r="L105" s="21" t="n">
        <v>637047</v>
      </c>
      <c r="M105" s="21" t="n"/>
      <c r="N105" s="21" t="n">
        <v>30962</v>
      </c>
      <c r="O105" s="21" t="n">
        <v>16229</v>
      </c>
      <c r="P105" s="21" t="n">
        <v>684238</v>
      </c>
      <c r="Q105" s="21" t="n">
        <v>684238</v>
      </c>
      <c r="R105" s="21">
        <f>IF(Q105="","",Q105*(1+in_GrowthRate)^(YEARFRAC(DATE(2025,6,30),in_AgeToDate)*IF(in_AgeToDate&lt;DATE(2025,6,30),-1,1)+1))</f>
        <v/>
      </c>
      <c r="S105" s="38" t="n">
        <v>1.101050777694226</v>
      </c>
      <c r="T105" s="43">
        <f>HYPERLINK("https://projects.propublica.org/nonprofits/organizations/586043294/202631349349304503/full","view filing")</f>
        <v/>
      </c>
    </row>
    <row r="106">
      <c r="A106" t="inlineStr">
        <is>
          <t>Georgia Tech Foundation Inc</t>
        </is>
      </c>
      <c r="B106" s="20" t="inlineStr">
        <is>
          <t>GA</t>
        </is>
      </c>
      <c r="C106" s="42" t="n">
        <v>3.04</v>
      </c>
      <c r="D106" t="inlineStr">
        <is>
          <t>Foundation</t>
        </is>
      </c>
      <c r="E106" s="20" t="n">
        <v>2024</v>
      </c>
      <c r="F106" s="20" t="inlineStr"/>
      <c r="G106" t="inlineStr">
        <is>
          <t>Lu Yan</t>
        </is>
      </c>
      <c r="H106" t="inlineStr">
        <is>
          <t>MANAGING DIRECTOR - PUBLIC INVESTMENTS</t>
        </is>
      </c>
      <c r="I106" t="inlineStr">
        <is>
          <t>Managing Director</t>
        </is>
      </c>
      <c r="J106" s="21" t="n">
        <v>294971</v>
      </c>
      <c r="K106" s="21" t="n">
        <v>287427</v>
      </c>
      <c r="L106" s="21" t="n">
        <v>582398</v>
      </c>
      <c r="M106" s="21" t="n"/>
      <c r="N106" s="21" t="n">
        <v>30096</v>
      </c>
      <c r="O106" s="21" t="n">
        <v>15322</v>
      </c>
      <c r="P106" s="21" t="n">
        <v>627816</v>
      </c>
      <c r="Q106" s="21" t="n">
        <v>627816</v>
      </c>
      <c r="R106" s="21">
        <f>IF(Q106="","",Q106*(1+in_GrowthRate)^(YEARFRAC(DATE(2024,6,30),in_AgeToDate)*IF(in_AgeToDate&lt;DATE(2024,6,30),-1,1)+1))</f>
        <v/>
      </c>
      <c r="S106" s="38" t="n">
        <v>0.9744246044526411</v>
      </c>
      <c r="T106" s="43">
        <f>HYPERLINK("https://projects.propublica.org/nonprofits/organizations/586043294/202511349349304466/full","view filing")</f>
        <v/>
      </c>
    </row>
    <row r="107">
      <c r="A107" t="inlineStr">
        <is>
          <t>Georgia Tech Foundation Inc</t>
        </is>
      </c>
      <c r="B107" s="20" t="inlineStr">
        <is>
          <t>GA</t>
        </is>
      </c>
      <c r="C107" s="42" t="n">
        <v>3.04</v>
      </c>
      <c r="D107" t="inlineStr">
        <is>
          <t>Foundation</t>
        </is>
      </c>
      <c r="E107" s="20" t="n">
        <v>2023</v>
      </c>
      <c r="F107" s="20" t="inlineStr"/>
      <c r="G107" t="inlineStr">
        <is>
          <t>Patrick Liu</t>
        </is>
      </c>
      <c r="H107" t="inlineStr">
        <is>
          <t>MANAGING DIRECTOR - PRIVATE INVESTMENTS</t>
        </is>
      </c>
      <c r="I107" t="inlineStr">
        <is>
          <t>Managing Director</t>
        </is>
      </c>
      <c r="J107" s="21" t="n">
        <v>243136</v>
      </c>
      <c r="K107" s="21" t="n">
        <v>250698</v>
      </c>
      <c r="L107" s="21" t="n">
        <v>493834</v>
      </c>
      <c r="M107" s="21" t="n"/>
      <c r="N107" s="21" t="n">
        <v>25155</v>
      </c>
      <c r="O107" s="21" t="n">
        <v>34737</v>
      </c>
      <c r="P107" s="21" t="n">
        <v>553726</v>
      </c>
      <c r="Q107" s="21" t="n">
        <v>553726</v>
      </c>
      <c r="R107" s="21">
        <f>IF(Q107="","",Q107*(1+in_GrowthRate)^(YEARFRAC(DATE(2023,6,30),in_AgeToDate)*IF(in_AgeToDate&lt;DATE(2023,6,30),-1,1)+1))</f>
        <v/>
      </c>
      <c r="S107" s="38" t="n">
        <v>1.031101934719663</v>
      </c>
      <c r="T107" s="43">
        <f>HYPERLINK("https://projects.propublica.org/nonprofits/organizations/586043294/202441369349306949/full","view filing")</f>
        <v/>
      </c>
    </row>
    <row r="108">
      <c r="A108" t="inlineStr">
        <is>
          <t>Georgia Tech Foundation Inc</t>
        </is>
      </c>
      <c r="B108" s="20" t="inlineStr">
        <is>
          <t>GA</t>
        </is>
      </c>
      <c r="C108" s="42" t="n">
        <v>3.04</v>
      </c>
      <c r="D108" t="inlineStr">
        <is>
          <t>Foundation</t>
        </is>
      </c>
      <c r="E108" s="20" t="n">
        <v>2022</v>
      </c>
      <c r="F108" s="20" t="inlineStr"/>
      <c r="G108" t="inlineStr">
        <is>
          <t>Lu Yan</t>
        </is>
      </c>
      <c r="H108" t="inlineStr">
        <is>
          <t>MANAGING DIRECTOR - INVESTMENTS</t>
        </is>
      </c>
      <c r="I108" t="inlineStr">
        <is>
          <t>Managing Director</t>
        </is>
      </c>
      <c r="J108" s="21" t="n">
        <v>274636</v>
      </c>
      <c r="K108" s="21" t="n">
        <v>243705</v>
      </c>
      <c r="L108" s="21" t="n">
        <v>518341</v>
      </c>
      <c r="M108" s="21" t="n"/>
      <c r="N108" s="21" t="n">
        <v>28000</v>
      </c>
      <c r="O108" s="21" t="n">
        <v>13661</v>
      </c>
      <c r="P108" s="21" t="n">
        <v>560002</v>
      </c>
      <c r="Q108" s="21" t="n">
        <v>560002</v>
      </c>
      <c r="R108" s="21">
        <f>IF(Q108="","",Q108*(1+in_GrowthRate)^(YEARFRAC(DATE(2022,6,30),in_AgeToDate)*IF(in_AgeToDate&lt;DATE(2022,6,30),-1,1)+1))</f>
        <v/>
      </c>
      <c r="S108" s="38" t="n">
        <v>0.8873745612374198</v>
      </c>
      <c r="T108" s="43">
        <f>HYPERLINK("https://projects.propublica.org/nonprofits/organizations/586043294/202301329349309280/full","view filing")</f>
        <v/>
      </c>
    </row>
    <row r="109">
      <c r="A109" t="inlineStr">
        <is>
          <t>Harvard Management Company Inc</t>
        </is>
      </c>
      <c r="B109" s="20" t="inlineStr">
        <is>
          <t>MA</t>
        </is>
      </c>
      <c r="C109" s="42" t="n">
        <v>53.2</v>
      </c>
      <c r="D109" t="inlineStr">
        <is>
          <t>Endowment</t>
        </is>
      </c>
      <c r="E109" s="20" t="n">
        <v>2025</v>
      </c>
      <c r="F109" s="20">
        <f>IF(AND(OR(in_Mode="All Funds",AND(C109&gt;=in_BandFloor,C109&lt;=in_BandCeiling,OR(in_Geography="National",COUNTIFS(lst_GeoPreset,in_Geography,lst_GeoState,B109)&gt;0,AND(in_Geography="Custom",ISNUMBER(SEARCH(B109,SUBSTITUTE(in_CustomStates," ",""))))),OR(AND(D109="Endowment",Inputs!$B$14="Y"),AND(D109="Foundation",Inputs!$B$15="Y"),AND(D109="Healthcare",Inputs!$B$16="Y"),AND(D109="Pension",Inputs!$B$17="Y"),AND(D109="OCIO",Inputs!$B$18="Y"),AND(D109="Other",Inputs!$B$19="Y")))),A109&lt;&gt;in_ClientOrg,NOT(AND(in_ExclHarvard="Y",ISNUMBER(SEARCH("Harvard",A109))))),"Y","")</f>
        <v/>
      </c>
      <c r="G109" t="inlineStr">
        <is>
          <t>Adam Goldstein</t>
        </is>
      </c>
      <c r="H109" t="inlineStr">
        <is>
          <t>MD - GENERALIST TEAM</t>
        </is>
      </c>
      <c r="I109" t="inlineStr">
        <is>
          <t>Managing Director</t>
        </is>
      </c>
      <c r="J109" s="21" t="n">
        <v>699442</v>
      </c>
      <c r="K109" s="21" t="n">
        <v>2796411</v>
      </c>
      <c r="L109" s="21" t="n">
        <v>3495853</v>
      </c>
      <c r="M109" s="21" t="n">
        <v>540</v>
      </c>
      <c r="N109" s="21" t="n">
        <v>86423</v>
      </c>
      <c r="O109" s="21" t="n">
        <v>35653</v>
      </c>
      <c r="P109" s="21" t="n">
        <v>3618469</v>
      </c>
      <c r="Q109" s="21" t="n">
        <v>3564238</v>
      </c>
      <c r="R109" s="21">
        <f>IF(Q109="","",Q109*(1+in_GrowthRate)^(YEARFRAC(DATE(2025,6,30),in_AgeToDate)*IF(in_AgeToDate&lt;DATE(2025,6,30),-1,1)+1))</f>
        <v/>
      </c>
      <c r="S109" s="38" t="n">
        <v>3.998059882020239</v>
      </c>
      <c r="T109" s="43">
        <f>HYPERLINK("https://projects.propublica.org/nonprofits/organizations/237361259/202641329349302354/full","view filing")</f>
        <v/>
      </c>
    </row>
    <row r="110">
      <c r="A110" t="inlineStr">
        <is>
          <t>Harvard Management Company Inc</t>
        </is>
      </c>
      <c r="B110" s="20" t="inlineStr">
        <is>
          <t>MA</t>
        </is>
      </c>
      <c r="C110" s="42" t="n">
        <v>53.2</v>
      </c>
      <c r="D110" t="inlineStr">
        <is>
          <t>Endowment</t>
        </is>
      </c>
      <c r="E110" s="20" t="n">
        <v>2025</v>
      </c>
      <c r="F110" s="20">
        <f>IF(AND(OR(in_Mode="All Funds",AND(C110&gt;=in_BandFloor,C110&lt;=in_BandCeiling,OR(in_Geography="National",COUNTIFS(lst_GeoPreset,in_Geography,lst_GeoState,B110)&gt;0,AND(in_Geography="Custom",ISNUMBER(SEARCH(B110,SUBSTITUTE(in_CustomStates," ",""))))),OR(AND(D110="Endowment",Inputs!$B$14="Y"),AND(D110="Foundation",Inputs!$B$15="Y"),AND(D110="Healthcare",Inputs!$B$16="Y"),AND(D110="Pension",Inputs!$B$17="Y"),AND(D110="OCIO",Inputs!$B$18="Y"),AND(D110="Other",Inputs!$B$19="Y")))),A110&lt;&gt;in_ClientOrg,NOT(AND(in_ExclHarvard="Y",ISNUMBER(SEARCH("Harvard",A110))))),"Y","")</f>
        <v/>
      </c>
      <c r="G110" t="inlineStr">
        <is>
          <t>John Shue</t>
        </is>
      </c>
      <c r="H110" t="inlineStr">
        <is>
          <t>MD - Generalist Team</t>
        </is>
      </c>
      <c r="I110" t="inlineStr">
        <is>
          <t>Managing Director</t>
        </is>
      </c>
      <c r="J110" s="21" t="n">
        <v>492462</v>
      </c>
      <c r="K110" s="21" t="n">
        <v>2582127</v>
      </c>
      <c r="L110" s="21" t="n">
        <v>3074589</v>
      </c>
      <c r="M110" s="21" t="n">
        <v>2322</v>
      </c>
      <c r="N110" s="21" t="n">
        <v>82577</v>
      </c>
      <c r="O110" s="21" t="n">
        <v>39051</v>
      </c>
      <c r="P110" s="21" t="n">
        <v>3198539</v>
      </c>
      <c r="Q110" s="21" t="n">
        <v>3148827</v>
      </c>
      <c r="R110" s="21">
        <f>IF(Q110="","",Q110*(1+in_GrowthRate)^(YEARFRAC(DATE(2025,6,30),in_AgeToDate)*IF(in_AgeToDate&lt;DATE(2025,6,30),-1,1)+1))</f>
        <v/>
      </c>
      <c r="S110" s="38" t="n">
        <v>5.243302021272707</v>
      </c>
      <c r="T110" s="43">
        <f>HYPERLINK("https://projects.propublica.org/nonprofits/organizations/237361259/202641329349302354/full","view filing")</f>
        <v/>
      </c>
    </row>
    <row r="111">
      <c r="A111" t="inlineStr">
        <is>
          <t>Harvard Management Company Inc</t>
        </is>
      </c>
      <c r="B111" s="20" t="inlineStr">
        <is>
          <t>MA</t>
        </is>
      </c>
      <c r="C111" s="42" t="n">
        <v>53.2</v>
      </c>
      <c r="D111" t="inlineStr">
        <is>
          <t>Endowment</t>
        </is>
      </c>
      <c r="E111" s="20" t="n">
        <v>2025</v>
      </c>
      <c r="F111" s="20">
        <f>IF(AND(OR(in_Mode="All Funds",AND(C111&gt;=in_BandFloor,C111&lt;=in_BandCeiling,OR(in_Geography="National",COUNTIFS(lst_GeoPreset,in_Geography,lst_GeoState,B111)&gt;0,AND(in_Geography="Custom",ISNUMBER(SEARCH(B111,SUBSTITUTE(in_CustomStates," ",""))))),OR(AND(D111="Endowment",Inputs!$B$14="Y"),AND(D111="Foundation",Inputs!$B$15="Y"),AND(D111="Healthcare",Inputs!$B$16="Y"),AND(D111="Pension",Inputs!$B$17="Y"),AND(D111="OCIO",Inputs!$B$18="Y"),AND(D111="Other",Inputs!$B$19="Y")))),A111&lt;&gt;in_ClientOrg,NOT(AND(in_ExclHarvard="Y",ISNUMBER(SEARCH("Harvard",A111))))),"Y","")</f>
        <v/>
      </c>
      <c r="G111" t="inlineStr">
        <is>
          <t>Kerr Mone</t>
        </is>
      </c>
      <c r="H111" t="inlineStr">
        <is>
          <t>MD - GENERALIST TEAM</t>
        </is>
      </c>
      <c r="I111" t="inlineStr">
        <is>
          <t>Managing Director</t>
        </is>
      </c>
      <c r="J111" s="21" t="n">
        <v>396965</v>
      </c>
      <c r="K111" s="21" t="n">
        <v>2441475</v>
      </c>
      <c r="L111" s="21" t="n">
        <v>2838440</v>
      </c>
      <c r="M111" s="21" t="n">
        <v>420</v>
      </c>
      <c r="N111" s="21" t="n">
        <v>80654</v>
      </c>
      <c r="O111" s="21" t="n">
        <v>35731</v>
      </c>
      <c r="P111" s="21" t="n">
        <v>2955245</v>
      </c>
      <c r="Q111" s="21" t="n">
        <v>2955245</v>
      </c>
      <c r="R111" s="21">
        <f>IF(Q111="","",Q111*(1+in_GrowthRate)^(YEARFRAC(DATE(2025,6,30),in_AgeToDate)*IF(in_AgeToDate&lt;DATE(2025,6,30),-1,1)+1))</f>
        <v/>
      </c>
      <c r="S111" s="38" t="n">
        <v>6.150353305707053</v>
      </c>
      <c r="T111" s="43">
        <f>HYPERLINK("https://projects.propublica.org/nonprofits/organizations/237361259/202641329349302354/full","view filing")</f>
        <v/>
      </c>
    </row>
    <row r="112">
      <c r="A112" t="inlineStr">
        <is>
          <t>Harvard Management Company Inc</t>
        </is>
      </c>
      <c r="B112" s="20" t="inlineStr">
        <is>
          <t>MA</t>
        </is>
      </c>
      <c r="C112" s="42" t="n">
        <v>53.2</v>
      </c>
      <c r="D112" t="inlineStr">
        <is>
          <t>Endowment</t>
        </is>
      </c>
      <c r="E112" s="20" t="n">
        <v>2025</v>
      </c>
      <c r="F112" s="20">
        <f>IF(AND(OR(in_Mode="All Funds",AND(C112&gt;=in_BandFloor,C112&lt;=in_BandCeiling,OR(in_Geography="National",COUNTIFS(lst_GeoPreset,in_Geography,lst_GeoState,B112)&gt;0,AND(in_Geography="Custom",ISNUMBER(SEARCH(B112,SUBSTITUTE(in_CustomStates," ",""))))),OR(AND(D112="Endowment",Inputs!$B$14="Y"),AND(D112="Foundation",Inputs!$B$15="Y"),AND(D112="Healthcare",Inputs!$B$16="Y"),AND(D112="Pension",Inputs!$B$17="Y"),AND(D112="OCIO",Inputs!$B$18="Y"),AND(D112="Other",Inputs!$B$19="Y")))),A112&lt;&gt;in_ClientOrg,NOT(AND(in_ExclHarvard="Y",ISNUMBER(SEARCH("Harvard",A112))))),"Y","")</f>
        <v/>
      </c>
      <c r="G112" t="inlineStr">
        <is>
          <t>Marcus Loveland</t>
        </is>
      </c>
      <c r="H112" t="inlineStr">
        <is>
          <t>MD - GENERALIST TEAM</t>
        </is>
      </c>
      <c r="I112" t="inlineStr">
        <is>
          <t>Managing Director</t>
        </is>
      </c>
      <c r="J112" s="21" t="n">
        <v>395662</v>
      </c>
      <c r="K112" s="21" t="n">
        <v>2633875</v>
      </c>
      <c r="L112" s="21" t="n">
        <v>3029537</v>
      </c>
      <c r="M112" s="21" t="n">
        <v>630</v>
      </c>
      <c r="N112" s="21" t="n">
        <v>84500</v>
      </c>
      <c r="O112" s="21" t="n">
        <v>35683</v>
      </c>
      <c r="P112" s="21" t="n">
        <v>3150350</v>
      </c>
      <c r="Q112" s="21" t="n">
        <v>3102273</v>
      </c>
      <c r="R112" s="21">
        <f>IF(Q112="","",Q112*(1+in_GrowthRate)^(YEARFRAC(DATE(2025,6,30),in_AgeToDate)*IF(in_AgeToDate&lt;DATE(2025,6,30),-1,1)+1))</f>
        <v/>
      </c>
      <c r="S112" s="38" t="n">
        <v>6.656881378550379</v>
      </c>
      <c r="T112" s="43">
        <f>HYPERLINK("https://projects.propublica.org/nonprofits/organizations/237361259/202641329349302354/full","view filing")</f>
        <v/>
      </c>
    </row>
    <row r="113">
      <c r="A113" t="inlineStr">
        <is>
          <t>Harvard Management Company Inc</t>
        </is>
      </c>
      <c r="B113" s="20" t="inlineStr">
        <is>
          <t>MA</t>
        </is>
      </c>
      <c r="C113" s="42" t="n">
        <v>53.2</v>
      </c>
      <c r="D113" t="inlineStr">
        <is>
          <t>Endowment</t>
        </is>
      </c>
      <c r="E113" s="20" t="n">
        <v>2025</v>
      </c>
      <c r="F113" s="20">
        <f>IF(AND(OR(in_Mode="All Funds",AND(C113&gt;=in_BandFloor,C113&lt;=in_BandCeiling,OR(in_Geography="National",COUNTIFS(lst_GeoPreset,in_Geography,lst_GeoState,B113)&gt;0,AND(in_Geography="Custom",ISNUMBER(SEARCH(B113,SUBSTITUTE(in_CustomStates," ",""))))),OR(AND(D113="Endowment",Inputs!$B$14="Y"),AND(D113="Foundation",Inputs!$B$15="Y"),AND(D113="Healthcare",Inputs!$B$16="Y"),AND(D113="Pension",Inputs!$B$17="Y"),AND(D113="OCIO",Inputs!$B$18="Y"),AND(D113="Other",Inputs!$B$19="Y")))),A113&lt;&gt;in_ClientOrg,NOT(AND(in_ExclHarvard="Y",ISNUMBER(SEARCH("Harvard",A113))))),"Y","")</f>
        <v/>
      </c>
      <c r="G113" t="inlineStr">
        <is>
          <t>Viral Dholabhai</t>
        </is>
      </c>
      <c r="H113" t="inlineStr">
        <is>
          <t>MD - GENERALIST TEAM</t>
        </is>
      </c>
      <c r="I113" t="inlineStr">
        <is>
          <t>Managing Director</t>
        </is>
      </c>
      <c r="J113" s="21" t="n">
        <v>399442</v>
      </c>
      <c r="K113" s="21" t="n">
        <v>2480343</v>
      </c>
      <c r="L113" s="21" t="n">
        <v>2879785</v>
      </c>
      <c r="M113" s="21" t="n">
        <v>630</v>
      </c>
      <c r="N113" s="21" t="n">
        <v>81615</v>
      </c>
      <c r="O113" s="21" t="n">
        <v>35683</v>
      </c>
      <c r="P113" s="21" t="n">
        <v>2997713</v>
      </c>
      <c r="Q113" s="21" t="n">
        <v>2997713</v>
      </c>
      <c r="R113" s="21">
        <f>IF(Q113="","",Q113*(1+in_GrowthRate)^(YEARFRAC(DATE(2025,6,30),in_AgeToDate)*IF(in_AgeToDate&lt;DATE(2025,6,30),-1,1)+1))</f>
        <v/>
      </c>
      <c r="S113" s="38" t="n">
        <v>6.20951978009323</v>
      </c>
      <c r="T113" s="43">
        <f>HYPERLINK("https://projects.propublica.org/nonprofits/organizations/237361259/202641329349302354/full","view filing")</f>
        <v/>
      </c>
    </row>
    <row r="114">
      <c r="A114" t="inlineStr">
        <is>
          <t>Harvard Management Company Inc</t>
        </is>
      </c>
      <c r="B114" s="20" t="inlineStr">
        <is>
          <t>MA</t>
        </is>
      </c>
      <c r="C114" s="42" t="n">
        <v>53.2</v>
      </c>
      <c r="D114" t="inlineStr">
        <is>
          <t>Endowment</t>
        </is>
      </c>
      <c r="E114" s="20" t="n">
        <v>2024</v>
      </c>
      <c r="F114" s="20" t="inlineStr"/>
      <c r="G114" t="inlineStr">
        <is>
          <t>Adam Goldstein</t>
        </is>
      </c>
      <c r="H114" t="inlineStr">
        <is>
          <t>MD - GENERALIST TEAM</t>
        </is>
      </c>
      <c r="I114" t="inlineStr">
        <is>
          <t>Managing Director</t>
        </is>
      </c>
      <c r="J114" s="21" t="n">
        <v>699449</v>
      </c>
      <c r="K114" s="21" t="n">
        <v>2886000</v>
      </c>
      <c r="L114" s="21" t="n">
        <v>3585449</v>
      </c>
      <c r="M114" s="21" t="n">
        <v>486</v>
      </c>
      <c r="N114" s="21" t="n">
        <v>87231</v>
      </c>
      <c r="O114" s="21" t="n">
        <v>34684</v>
      </c>
      <c r="P114" s="21" t="n">
        <v>3707850</v>
      </c>
      <c r="Q114" s="21" t="n">
        <v>3707850</v>
      </c>
      <c r="R114" s="21">
        <f>IF(Q114="","",Q114*(1+in_GrowthRate)^(YEARFRAC(DATE(2024,6,30),in_AgeToDate)*IF(in_AgeToDate&lt;DATE(2024,6,30),-1,1)+1))</f>
        <v/>
      </c>
      <c r="S114" s="38" t="n">
        <v>4.126104976917545</v>
      </c>
      <c r="T114" s="43">
        <f>HYPERLINK("https://projects.propublica.org/nonprofits/organizations/237361259/202541349349310119/full","view filing")</f>
        <v/>
      </c>
    </row>
    <row r="115">
      <c r="A115" t="inlineStr">
        <is>
          <t>Harvard Management Company Inc</t>
        </is>
      </c>
      <c r="B115" s="20" t="inlineStr">
        <is>
          <t>MA</t>
        </is>
      </c>
      <c r="C115" s="42" t="n">
        <v>53.2</v>
      </c>
      <c r="D115" t="inlineStr">
        <is>
          <t>Endowment</t>
        </is>
      </c>
      <c r="E115" s="20" t="n">
        <v>2024</v>
      </c>
      <c r="F115" s="20" t="inlineStr"/>
      <c r="G115" t="inlineStr">
        <is>
          <t>Carlos Saravia</t>
        </is>
      </c>
      <c r="H115" t="inlineStr">
        <is>
          <t>MD - Generalist Team</t>
        </is>
      </c>
      <c r="I115" t="inlineStr">
        <is>
          <t>Managing Director</t>
        </is>
      </c>
      <c r="J115" s="21" t="n">
        <v>538101</v>
      </c>
      <c r="K115" s="21" t="n">
        <v>2867375</v>
      </c>
      <c r="L115" s="21" t="n">
        <v>3405476</v>
      </c>
      <c r="M115" s="21" t="n">
        <v>353</v>
      </c>
      <c r="N115" s="21" t="n">
        <v>24750</v>
      </c>
      <c r="O115" s="21" t="n">
        <v>23508</v>
      </c>
      <c r="P115" s="21" t="n">
        <v>3454087</v>
      </c>
      <c r="Q115" s="21" t="n">
        <v>3454087</v>
      </c>
      <c r="R115" s="21">
        <f>IF(Q115="","",Q115*(1+in_GrowthRate)^(YEARFRAC(DATE(2024,6,30),in_AgeToDate)*IF(in_AgeToDate&lt;DATE(2024,6,30),-1,1)+1))</f>
        <v/>
      </c>
      <c r="S115" s="38" t="n">
        <v>5.328692940544619</v>
      </c>
      <c r="T115" s="43">
        <f>HYPERLINK("https://projects.propublica.org/nonprofits/organizations/237361259/202541349349310119/full","view filing")</f>
        <v/>
      </c>
    </row>
    <row r="116">
      <c r="A116" t="inlineStr">
        <is>
          <t>Harvard Management Company Inc</t>
        </is>
      </c>
      <c r="B116" s="20" t="inlineStr">
        <is>
          <t>MA</t>
        </is>
      </c>
      <c r="C116" s="42" t="n">
        <v>53.2</v>
      </c>
      <c r="D116" t="inlineStr">
        <is>
          <t>Endowment</t>
        </is>
      </c>
      <c r="E116" s="20" t="n">
        <v>2024</v>
      </c>
      <c r="F116" s="20" t="inlineStr"/>
      <c r="G116" t="inlineStr">
        <is>
          <t>Elise Mcdonald</t>
        </is>
      </c>
      <c r="H116" t="inlineStr">
        <is>
          <t>MD - Generalist Team</t>
        </is>
      </c>
      <c r="I116" t="inlineStr">
        <is>
          <t>Managing Director</t>
        </is>
      </c>
      <c r="J116" s="21" t="n">
        <v>487799</v>
      </c>
      <c r="K116" s="21" t="n">
        <v>2670675</v>
      </c>
      <c r="L116" s="21" t="n">
        <v>3158474</v>
      </c>
      <c r="M116" s="21" t="n">
        <v>1242</v>
      </c>
      <c r="N116" s="21" t="n">
        <v>83192</v>
      </c>
      <c r="O116" s="21" t="n">
        <v>42818</v>
      </c>
      <c r="P116" s="21" t="n">
        <v>3285726</v>
      </c>
      <c r="Q116" s="21" t="n">
        <v>3285726</v>
      </c>
      <c r="R116" s="21">
        <f>IF(Q116="","",Q116*(1+in_GrowthRate)^(YEARFRAC(DATE(2024,6,30),in_AgeToDate)*IF(in_AgeToDate&lt;DATE(2024,6,30),-1,1)+1))</f>
        <v/>
      </c>
      <c r="S116" s="38" t="n">
        <v>5.474949723144164</v>
      </c>
      <c r="T116" s="43">
        <f>HYPERLINK("https://projects.propublica.org/nonprofits/organizations/237361259/202541349349310119/full","view filing")</f>
        <v/>
      </c>
    </row>
    <row r="117">
      <c r="A117" t="inlineStr">
        <is>
          <t>Harvard Management Company Inc</t>
        </is>
      </c>
      <c r="B117" s="20" t="inlineStr">
        <is>
          <t>MA</t>
        </is>
      </c>
      <c r="C117" s="42" t="n">
        <v>53.2</v>
      </c>
      <c r="D117" t="inlineStr">
        <is>
          <t>Endowment</t>
        </is>
      </c>
      <c r="E117" s="20" t="n">
        <v>2024</v>
      </c>
      <c r="F117" s="20" t="inlineStr"/>
      <c r="G117" t="inlineStr">
        <is>
          <t>John Shue</t>
        </is>
      </c>
      <c r="H117" t="inlineStr">
        <is>
          <t>MD - Generalist Team</t>
        </is>
      </c>
      <c r="I117" t="inlineStr">
        <is>
          <t>Managing Director</t>
        </is>
      </c>
      <c r="J117" s="21" t="n">
        <v>495849</v>
      </c>
      <c r="K117" s="21" t="n">
        <v>2645500</v>
      </c>
      <c r="L117" s="21" t="n">
        <v>3141349</v>
      </c>
      <c r="M117" s="21" t="n">
        <v>1242</v>
      </c>
      <c r="N117" s="21" t="n">
        <v>82712</v>
      </c>
      <c r="O117" s="21" t="n">
        <v>34768</v>
      </c>
      <c r="P117" s="21" t="n">
        <v>3260071</v>
      </c>
      <c r="Q117" s="21" t="n">
        <v>3260071</v>
      </c>
      <c r="R117" s="21">
        <f>IF(Q117="","",Q117*(1+in_GrowthRate)^(YEARFRAC(DATE(2024,6,30),in_AgeToDate)*IF(in_AgeToDate&lt;DATE(2024,6,30),-1,1)+1))</f>
        <v/>
      </c>
      <c r="S117" s="38" t="n">
        <v>5.335293607529712</v>
      </c>
      <c r="T117" s="43">
        <f>HYPERLINK("https://projects.propublica.org/nonprofits/organizations/237361259/202541349349310119/full","view filing")</f>
        <v/>
      </c>
    </row>
    <row r="118">
      <c r="A118" t="inlineStr">
        <is>
          <t>Harvard Management Company Inc</t>
        </is>
      </c>
      <c r="B118" s="20" t="inlineStr">
        <is>
          <t>MA</t>
        </is>
      </c>
      <c r="C118" s="42" t="n">
        <v>53.2</v>
      </c>
      <c r="D118" t="inlineStr">
        <is>
          <t>Endowment</t>
        </is>
      </c>
      <c r="E118" s="20" t="n">
        <v>2024</v>
      </c>
      <c r="F118" s="20" t="inlineStr"/>
      <c r="G118" t="inlineStr">
        <is>
          <t>Marcus Loveland</t>
        </is>
      </c>
      <c r="H118" t="inlineStr">
        <is>
          <t>MD - GENERALIST TEAM</t>
        </is>
      </c>
      <c r="I118" t="inlineStr">
        <is>
          <t>Managing Director</t>
        </is>
      </c>
      <c r="J118" s="21" t="n">
        <v>393925</v>
      </c>
      <c r="K118" s="21" t="n">
        <v>2530350</v>
      </c>
      <c r="L118" s="21" t="n">
        <v>2924275</v>
      </c>
      <c r="M118" s="21" t="n">
        <v>418</v>
      </c>
      <c r="N118" s="21" t="n">
        <v>81077</v>
      </c>
      <c r="O118" s="21" t="n">
        <v>34691</v>
      </c>
      <c r="P118" s="21" t="n">
        <v>3040461</v>
      </c>
      <c r="Q118" s="21" t="n">
        <v>3040461</v>
      </c>
      <c r="R118" s="21">
        <f>IF(Q118="","",Q118*(1+in_GrowthRate)^(YEARFRAC(DATE(2024,6,30),in_AgeToDate)*IF(in_AgeToDate&lt;DATE(2024,6,30),-1,1)+1))</f>
        <v/>
      </c>
      <c r="S118" s="38" t="n">
        <v>6.423430856127435</v>
      </c>
      <c r="T118" s="43">
        <f>HYPERLINK("https://projects.propublica.org/nonprofits/organizations/237361259/202541349349310119/full","view filing")</f>
        <v/>
      </c>
    </row>
    <row r="119">
      <c r="A119" t="inlineStr">
        <is>
          <t>Harvard Management Company Inc</t>
        </is>
      </c>
      <c r="B119" s="20" t="inlineStr">
        <is>
          <t>MA</t>
        </is>
      </c>
      <c r="C119" s="42" t="n">
        <v>53.2</v>
      </c>
      <c r="D119" t="inlineStr">
        <is>
          <t>Endowment</t>
        </is>
      </c>
      <c r="E119" s="20" t="n">
        <v>2023</v>
      </c>
      <c r="F119" s="20" t="inlineStr"/>
      <c r="G119" t="inlineStr">
        <is>
          <t>Adam Goldstein</t>
        </is>
      </c>
      <c r="H119" t="inlineStr">
        <is>
          <t>MD - GENERALIST TEAM</t>
        </is>
      </c>
      <c r="I119" t="inlineStr">
        <is>
          <t>Managing Director</t>
        </is>
      </c>
      <c r="J119" s="21" t="n">
        <v>699454</v>
      </c>
      <c r="K119" s="21" t="n">
        <v>5237055</v>
      </c>
      <c r="L119" s="21" t="n">
        <v>5936509</v>
      </c>
      <c r="M119" s="21" t="n">
        <v>486</v>
      </c>
      <c r="N119" s="21" t="n">
        <v>30500</v>
      </c>
      <c r="O119" s="21" t="n">
        <v>34893</v>
      </c>
      <c r="P119" s="21" t="n">
        <v>6002388</v>
      </c>
      <c r="Q119" s="21" t="n">
        <v>6002388</v>
      </c>
      <c r="R119" s="21">
        <f>IF(Q119="","",Q119*(1+in_GrowthRate)^(YEARFRAC(DATE(2023,6,30),in_AgeToDate)*IF(in_AgeToDate&lt;DATE(2023,6,30),-1,1)+1))</f>
        <v/>
      </c>
      <c r="S119" s="38" t="n">
        <v>7.487347273730653</v>
      </c>
      <c r="T119" s="43">
        <f>HYPERLINK("https://projects.propublica.org/nonprofits/organizations/237361259/202411319349301026/full","view filing")</f>
        <v/>
      </c>
    </row>
    <row r="120">
      <c r="A120" t="inlineStr">
        <is>
          <t>Harvard Management Company Inc</t>
        </is>
      </c>
      <c r="B120" s="20" t="inlineStr">
        <is>
          <t>MA</t>
        </is>
      </c>
      <c r="C120" s="42" t="n">
        <v>53.2</v>
      </c>
      <c r="D120" t="inlineStr">
        <is>
          <t>Endowment</t>
        </is>
      </c>
      <c r="E120" s="20" t="n">
        <v>2023</v>
      </c>
      <c r="F120" s="20" t="inlineStr"/>
      <c r="G120" t="inlineStr">
        <is>
          <t>Carlos Saravia</t>
        </is>
      </c>
      <c r="H120" t="inlineStr">
        <is>
          <t>MD - Generalist Team</t>
        </is>
      </c>
      <c r="I120" t="inlineStr">
        <is>
          <t>Managing Director</t>
        </is>
      </c>
      <c r="J120" s="21" t="n">
        <v>699454</v>
      </c>
      <c r="K120" s="21" t="n">
        <v>5914173</v>
      </c>
      <c r="L120" s="21" t="n">
        <v>6613627</v>
      </c>
      <c r="M120" s="21" t="n">
        <v>540</v>
      </c>
      <c r="N120" s="21" t="n">
        <v>30500</v>
      </c>
      <c r="O120" s="21" t="n">
        <v>34899</v>
      </c>
      <c r="P120" s="21" t="n">
        <v>6679566</v>
      </c>
      <c r="Q120" s="21" t="n">
        <v>6679566</v>
      </c>
      <c r="R120" s="21">
        <f>IF(Q120="","",Q120*(1+in_GrowthRate)^(YEARFRAC(DATE(2023,6,30),in_AgeToDate)*IF(in_AgeToDate&lt;DATE(2023,6,30),-1,1)+1))</f>
        <v/>
      </c>
      <c r="S120" s="38" t="n">
        <v>8.455413794188038</v>
      </c>
      <c r="T120" s="43">
        <f>HYPERLINK("https://projects.propublica.org/nonprofits/organizations/237361259/202411319349301026/full","view filing")</f>
        <v/>
      </c>
    </row>
    <row r="121">
      <c r="A121" t="inlineStr">
        <is>
          <t>Harvard Management Company Inc</t>
        </is>
      </c>
      <c r="B121" s="20" t="inlineStr">
        <is>
          <t>MA</t>
        </is>
      </c>
      <c r="C121" s="42" t="n">
        <v>53.2</v>
      </c>
      <c r="D121" t="inlineStr">
        <is>
          <t>Endowment</t>
        </is>
      </c>
      <c r="E121" s="20" t="n">
        <v>2023</v>
      </c>
      <c r="F121" s="20" t="inlineStr"/>
      <c r="G121" t="inlineStr">
        <is>
          <t>Elise Mcdonald</t>
        </is>
      </c>
      <c r="H121" t="inlineStr">
        <is>
          <t>MD - Generalist Team</t>
        </is>
      </c>
      <c r="I121" t="inlineStr">
        <is>
          <t>Managing Director</t>
        </is>
      </c>
      <c r="J121" s="21" t="n">
        <v>489084</v>
      </c>
      <c r="K121" s="21" t="n">
        <v>3268465</v>
      </c>
      <c r="L121" s="21" t="n">
        <v>3757549</v>
      </c>
      <c r="M121" s="21" t="n">
        <v>1400810</v>
      </c>
      <c r="N121" s="21" t="n">
        <v>30500</v>
      </c>
      <c r="O121" s="21" t="n">
        <v>42779</v>
      </c>
      <c r="P121" s="21" t="n">
        <v>5231638</v>
      </c>
      <c r="Q121" s="21" t="n">
        <v>4298305</v>
      </c>
      <c r="R121" s="21">
        <f>IF(Q121="","",Q121*(1+in_GrowthRate)^(YEARFRAC(DATE(2023,6,30),in_AgeToDate)*IF(in_AgeToDate&lt;DATE(2023,6,30),-1,1)+1))</f>
        <v/>
      </c>
      <c r="S121" s="38" t="n">
        <v>6.68282953439491</v>
      </c>
      <c r="T121" s="43">
        <f>HYPERLINK("https://projects.propublica.org/nonprofits/organizations/237361259/202411319349301026/full","view filing")</f>
        <v/>
      </c>
    </row>
    <row r="122">
      <c r="A122" t="inlineStr">
        <is>
          <t>Harvard Management Company Inc</t>
        </is>
      </c>
      <c r="B122" s="20" t="inlineStr">
        <is>
          <t>MA</t>
        </is>
      </c>
      <c r="C122" s="42" t="n">
        <v>53.2</v>
      </c>
      <c r="D122" t="inlineStr">
        <is>
          <t>Endowment</t>
        </is>
      </c>
      <c r="E122" s="20" t="n">
        <v>2023</v>
      </c>
      <c r="F122" s="20" t="inlineStr"/>
      <c r="G122" t="inlineStr">
        <is>
          <t>John Shue</t>
        </is>
      </c>
      <c r="H122" t="inlineStr">
        <is>
          <t>MD - Generalist Team</t>
        </is>
      </c>
      <c r="I122" t="inlineStr">
        <is>
          <t>Managing Director</t>
        </is>
      </c>
      <c r="J122" s="21" t="n">
        <v>493088</v>
      </c>
      <c r="K122" s="21" t="n">
        <v>3234456</v>
      </c>
      <c r="L122" s="21" t="n">
        <v>3727544</v>
      </c>
      <c r="M122" s="21" t="n">
        <v>1351231</v>
      </c>
      <c r="N122" s="21" t="n">
        <v>30500</v>
      </c>
      <c r="O122" s="21" t="n">
        <v>34977</v>
      </c>
      <c r="P122" s="21" t="n">
        <v>5144252</v>
      </c>
      <c r="Q122" s="21" t="n">
        <v>4244252</v>
      </c>
      <c r="R122" s="21">
        <f>IF(Q122="","",Q122*(1+in_GrowthRate)^(YEARFRAC(DATE(2023,6,30),in_AgeToDate)*IF(in_AgeToDate&lt;DATE(2023,6,30),-1,1)+1))</f>
        <v/>
      </c>
      <c r="S122" s="38" t="n">
        <v>6.559591797001752</v>
      </c>
      <c r="T122" s="43">
        <f>HYPERLINK("https://projects.propublica.org/nonprofits/organizations/237361259/202411319349301026/full","view filing")</f>
        <v/>
      </c>
    </row>
    <row r="123">
      <c r="A123" t="inlineStr">
        <is>
          <t>Harvard Management Company Inc</t>
        </is>
      </c>
      <c r="B123" s="20" t="inlineStr">
        <is>
          <t>MA</t>
        </is>
      </c>
      <c r="C123" s="42" t="n">
        <v>53.2</v>
      </c>
      <c r="D123" t="inlineStr">
        <is>
          <t>Endowment</t>
        </is>
      </c>
      <c r="E123" s="20" t="n">
        <v>2023</v>
      </c>
      <c r="F123" s="20" t="inlineStr"/>
      <c r="G123" t="inlineStr">
        <is>
          <t>Viral Dholabhai</t>
        </is>
      </c>
      <c r="H123" t="inlineStr">
        <is>
          <t>MD - GENERALIST TEAM</t>
        </is>
      </c>
      <c r="I123" t="inlineStr">
        <is>
          <t>Managing Director</t>
        </is>
      </c>
      <c r="J123" s="21" t="n">
        <v>399454</v>
      </c>
      <c r="K123" s="21" t="n">
        <v>3873086</v>
      </c>
      <c r="L123" s="21" t="n">
        <v>4272540</v>
      </c>
      <c r="M123" s="21" t="n">
        <v>420</v>
      </c>
      <c r="N123" s="21" t="n">
        <v>30500</v>
      </c>
      <c r="O123" s="21" t="n">
        <v>34899</v>
      </c>
      <c r="P123" s="21" t="n">
        <v>4338359</v>
      </c>
      <c r="Q123" s="21" t="n">
        <v>4338359</v>
      </c>
      <c r="R123" s="21">
        <f>IF(Q123="","",Q123*(1+in_GrowthRate)^(YEARFRAC(DATE(2023,6,30),in_AgeToDate)*IF(in_AgeToDate&lt;DATE(2023,6,30),-1,1)+1))</f>
        <v/>
      </c>
      <c r="S123" s="38" t="n">
        <v>9.695949971711386</v>
      </c>
      <c r="T123" s="43">
        <f>HYPERLINK("https://projects.propublica.org/nonprofits/organizations/237361259/202411319349301026/full","view filing")</f>
        <v/>
      </c>
    </row>
    <row r="124">
      <c r="A124" t="inlineStr">
        <is>
          <t>Harvard Management Company Inc</t>
        </is>
      </c>
      <c r="B124" s="20" t="inlineStr">
        <is>
          <t>MA</t>
        </is>
      </c>
      <c r="C124" s="42" t="n">
        <v>53.2</v>
      </c>
      <c r="D124" t="inlineStr">
        <is>
          <t>Endowment</t>
        </is>
      </c>
      <c r="E124" s="20" t="n">
        <v>2022</v>
      </c>
      <c r="F124" s="20" t="inlineStr"/>
      <c r="G124" t="inlineStr">
        <is>
          <t>Adam Goldstein</t>
        </is>
      </c>
      <c r="H124" t="inlineStr">
        <is>
          <t>MD - GENERALIST TEAM</t>
        </is>
      </c>
      <c r="I124" t="inlineStr">
        <is>
          <t>Managing Director</t>
        </is>
      </c>
      <c r="J124" s="21" t="n">
        <v>699463</v>
      </c>
      <c r="K124" s="21" t="n">
        <v>4746150</v>
      </c>
      <c r="L124" s="21" t="n">
        <v>5445613</v>
      </c>
      <c r="M124" s="21" t="n">
        <v>486</v>
      </c>
      <c r="N124" s="21" t="n">
        <v>29000</v>
      </c>
      <c r="O124" s="21" t="n">
        <v>34561</v>
      </c>
      <c r="P124" s="21" t="n">
        <v>5509660</v>
      </c>
      <c r="Q124" s="21" t="n">
        <v>5509660</v>
      </c>
      <c r="R124" s="21">
        <f>IF(Q124="","",Q124*(1+in_GrowthRate)^(YEARFRAC(DATE(2022,6,30),in_AgeToDate)*IF(in_AgeToDate&lt;DATE(2022,6,30),-1,1)+1))</f>
        <v/>
      </c>
      <c r="S124" s="38" t="n">
        <v>6.785419671948338</v>
      </c>
      <c r="T124" s="43">
        <f>HYPERLINK("https://projects.propublica.org/nonprofits/organizations/237361259/202311319349303021/full","view filing")</f>
        <v/>
      </c>
    </row>
    <row r="125">
      <c r="A125" t="inlineStr">
        <is>
          <t>Harvard Management Company Inc</t>
        </is>
      </c>
      <c r="B125" s="20" t="inlineStr">
        <is>
          <t>MA</t>
        </is>
      </c>
      <c r="C125" s="42" t="n">
        <v>53.2</v>
      </c>
      <c r="D125" t="inlineStr">
        <is>
          <t>Endowment</t>
        </is>
      </c>
      <c r="E125" s="20" t="n">
        <v>2022</v>
      </c>
      <c r="F125" s="20" t="inlineStr"/>
      <c r="G125" t="inlineStr">
        <is>
          <t>Carlos Saravia</t>
        </is>
      </c>
      <c r="H125" t="inlineStr">
        <is>
          <t>MD - Generalist Team</t>
        </is>
      </c>
      <c r="I125" t="inlineStr">
        <is>
          <t>Managing Director</t>
        </is>
      </c>
      <c r="J125" s="21" t="n">
        <v>699463</v>
      </c>
      <c r="K125" s="21" t="n">
        <v>5424850</v>
      </c>
      <c r="L125" s="21" t="n">
        <v>6124313</v>
      </c>
      <c r="M125" s="21" t="n">
        <v>540</v>
      </c>
      <c r="N125" s="21" t="n">
        <v>29000</v>
      </c>
      <c r="O125" s="21" t="n">
        <v>34567</v>
      </c>
      <c r="P125" s="21" t="n">
        <v>6188420</v>
      </c>
      <c r="Q125" s="21" t="n">
        <v>6188420</v>
      </c>
      <c r="R125" s="21">
        <f>IF(Q125="","",Q125*(1+in_GrowthRate)^(YEARFRAC(DATE(2022,6,30),in_AgeToDate)*IF(in_AgeToDate&lt;DATE(2022,6,30),-1,1)+1))</f>
        <v/>
      </c>
      <c r="S125" s="38" t="n">
        <v>7.755735471354454</v>
      </c>
      <c r="T125" s="43">
        <f>HYPERLINK("https://projects.propublica.org/nonprofits/organizations/237361259/202311319349303021/full","view filing")</f>
        <v/>
      </c>
    </row>
    <row r="126">
      <c r="A126" t="inlineStr">
        <is>
          <t>Harvard Management Company Inc</t>
        </is>
      </c>
      <c r="B126" s="20" t="inlineStr">
        <is>
          <t>MA</t>
        </is>
      </c>
      <c r="C126" s="42" t="n">
        <v>53.2</v>
      </c>
      <c r="D126" t="inlineStr">
        <is>
          <t>Endowment</t>
        </is>
      </c>
      <c r="E126" s="20" t="n">
        <v>2022</v>
      </c>
      <c r="F126" s="20" t="inlineStr"/>
      <c r="G126" t="inlineStr">
        <is>
          <t>Elise Mcdonald</t>
        </is>
      </c>
      <c r="H126" t="inlineStr">
        <is>
          <t>MD - Generalist Team</t>
        </is>
      </c>
      <c r="I126" t="inlineStr">
        <is>
          <t>Managing Director</t>
        </is>
      </c>
      <c r="J126" s="21" t="n">
        <v>491713</v>
      </c>
      <c r="K126" s="21" t="n">
        <v>3385033</v>
      </c>
      <c r="L126" s="21" t="n">
        <v>3876746</v>
      </c>
      <c r="M126" s="21" t="n">
        <v>2800841</v>
      </c>
      <c r="N126" s="21" t="n">
        <v>962333</v>
      </c>
      <c r="O126" s="21" t="n">
        <v>42347</v>
      </c>
      <c r="P126" s="21" t="n">
        <v>7682267</v>
      </c>
      <c r="Q126" s="21" t="n">
        <v>6748934</v>
      </c>
      <c r="R126" s="21">
        <f>IF(Q126="","",Q126*(1+in_GrowthRate)^(YEARFRAC(DATE(2022,6,30),in_AgeToDate)*IF(in_AgeToDate&lt;DATE(2022,6,30),-1,1)+1))</f>
        <v/>
      </c>
      <c r="S126" s="38" t="n">
        <v>6.884164136396638</v>
      </c>
      <c r="T126" s="43">
        <f>HYPERLINK("https://projects.propublica.org/nonprofits/organizations/237361259/202311319349303021/full","view filing")</f>
        <v/>
      </c>
    </row>
    <row r="127">
      <c r="A127" t="inlineStr">
        <is>
          <t>Harvard Management Company Inc</t>
        </is>
      </c>
      <c r="B127" s="20" t="inlineStr">
        <is>
          <t>MA</t>
        </is>
      </c>
      <c r="C127" s="42" t="n">
        <v>53.2</v>
      </c>
      <c r="D127" t="inlineStr">
        <is>
          <t>Endowment</t>
        </is>
      </c>
      <c r="E127" s="20" t="n">
        <v>2022</v>
      </c>
      <c r="F127" s="20" t="inlineStr"/>
      <c r="G127" t="inlineStr">
        <is>
          <t>Jiqing Xia</t>
        </is>
      </c>
      <c r="H127" t="inlineStr">
        <is>
          <t>MD - Generalist Team</t>
        </is>
      </c>
      <c r="I127" t="inlineStr">
        <is>
          <t>Managing Director</t>
        </is>
      </c>
      <c r="J127" s="21" t="n">
        <v>646713</v>
      </c>
      <c r="K127" s="21" t="n">
        <v>1462500</v>
      </c>
      <c r="L127" s="21" t="n">
        <v>2109213</v>
      </c>
      <c r="M127" s="21" t="n">
        <v>2322</v>
      </c>
      <c r="N127" s="21" t="n">
        <v>29000</v>
      </c>
      <c r="O127" s="21" t="n">
        <v>37515</v>
      </c>
      <c r="P127" s="21" t="n">
        <v>2178050</v>
      </c>
      <c r="Q127" s="21" t="n">
        <v>2178050</v>
      </c>
      <c r="R127" s="21">
        <f>IF(Q127="","",Q127*(1+in_GrowthRate)^(YEARFRAC(DATE(2022,6,30),in_AgeToDate)*IF(in_AgeToDate&lt;DATE(2022,6,30),-1,1)+1))</f>
        <v/>
      </c>
      <c r="S127" s="38" t="n">
        <v>2.261435907427251</v>
      </c>
      <c r="T127" s="43">
        <f>HYPERLINK("https://projects.propublica.org/nonprofits/organizations/237361259/202311319349303021/full","view filing")</f>
        <v/>
      </c>
    </row>
    <row r="128">
      <c r="A128" t="inlineStr">
        <is>
          <t>Harvard Management Company Inc</t>
        </is>
      </c>
      <c r="B128" s="20" t="inlineStr">
        <is>
          <t>MA</t>
        </is>
      </c>
      <c r="C128" s="42" t="n">
        <v>53.2</v>
      </c>
      <c r="D128" t="inlineStr">
        <is>
          <t>Endowment</t>
        </is>
      </c>
      <c r="E128" s="20" t="n">
        <v>2022</v>
      </c>
      <c r="F128" s="20" t="inlineStr"/>
      <c r="G128" t="inlineStr">
        <is>
          <t>John Shue</t>
        </is>
      </c>
      <c r="H128" t="inlineStr">
        <is>
          <t>MD - Generalist Team</t>
        </is>
      </c>
      <c r="I128" t="inlineStr">
        <is>
          <t>Managing Director</t>
        </is>
      </c>
      <c r="J128" s="21" t="n">
        <v>399463</v>
      </c>
      <c r="K128" s="21" t="n">
        <v>3347175</v>
      </c>
      <c r="L128" s="21" t="n">
        <v>3746638</v>
      </c>
      <c r="M128" s="21" t="n">
        <v>2700966</v>
      </c>
      <c r="N128" s="21" t="n">
        <v>929000</v>
      </c>
      <c r="O128" s="21" t="n">
        <v>34645</v>
      </c>
      <c r="P128" s="21" t="n">
        <v>7411249</v>
      </c>
      <c r="Q128" s="21" t="n">
        <v>6511249</v>
      </c>
      <c r="R128" s="21">
        <f>IF(Q128="","",Q128*(1+in_GrowthRate)^(YEARFRAC(DATE(2022,6,30),in_AgeToDate)*IF(in_AgeToDate&lt;DATE(2022,6,30),-1,1)+1))</f>
        <v/>
      </c>
      <c r="S128" s="38" t="n">
        <v>8.379186557954053</v>
      </c>
      <c r="T128" s="43">
        <f>HYPERLINK("https://projects.propublica.org/nonprofits/organizations/237361259/202311319349303021/full","view filing")</f>
        <v/>
      </c>
    </row>
    <row r="129">
      <c r="A129" t="inlineStr">
        <is>
          <t>Harvard Management Company Inc</t>
        </is>
      </c>
      <c r="B129" s="20" t="inlineStr">
        <is>
          <t>MA</t>
        </is>
      </c>
      <c r="C129" s="42" t="n">
        <v>53.2</v>
      </c>
      <c r="D129" t="inlineStr">
        <is>
          <t>Endowment</t>
        </is>
      </c>
      <c r="E129" s="20" t="n">
        <v>2022</v>
      </c>
      <c r="F129" s="20" t="inlineStr"/>
      <c r="G129" t="inlineStr">
        <is>
          <t>Marcus Loveland</t>
        </is>
      </c>
      <c r="H129" t="inlineStr">
        <is>
          <t>MD - GENERALIST TEAM</t>
        </is>
      </c>
      <c r="I129" t="inlineStr">
        <is>
          <t>Managing Director</t>
        </is>
      </c>
      <c r="J129" s="21" t="n">
        <v>349463</v>
      </c>
      <c r="K129" s="21" t="n">
        <v>4607587</v>
      </c>
      <c r="L129" s="21" t="n">
        <v>4957050</v>
      </c>
      <c r="M129" s="21" t="n">
        <v>360</v>
      </c>
      <c r="N129" s="21" t="n">
        <v>29000</v>
      </c>
      <c r="O129" s="21" t="n">
        <v>34567</v>
      </c>
      <c r="P129" s="21" t="n">
        <v>5020977</v>
      </c>
      <c r="Q129" s="21" t="n">
        <v>5020977</v>
      </c>
      <c r="R129" s="21">
        <f>IF(Q129="","",Q129*(1+in_GrowthRate)^(YEARFRAC(DATE(2022,6,30),in_AgeToDate)*IF(in_AgeToDate&lt;DATE(2022,6,30),-1,1)+1))</f>
        <v/>
      </c>
      <c r="S129" s="38" t="n">
        <v>13.18476347996784</v>
      </c>
      <c r="T129" s="43">
        <f>HYPERLINK("https://projects.propublica.org/nonprofits/organizations/237361259/202311319349303021/full","view filing")</f>
        <v/>
      </c>
    </row>
    <row r="130">
      <c r="A130" t="inlineStr">
        <is>
          <t>Howard Hughes Medical Institute</t>
        </is>
      </c>
      <c r="B130" s="20" t="inlineStr">
        <is>
          <t>MD</t>
        </is>
      </c>
      <c r="C130" s="42" t="n">
        <v>27.97</v>
      </c>
      <c r="D130" t="inlineStr">
        <is>
          <t>Other</t>
        </is>
      </c>
      <c r="E130" s="20" t="n">
        <v>2025</v>
      </c>
      <c r="F130" s="20">
        <f>IF(AND(OR(in_Mode="All Funds",AND(C130&gt;=in_BandFloor,C130&lt;=in_BandCeiling,OR(in_Geography="National",COUNTIFS(lst_GeoPreset,in_Geography,lst_GeoState,B130)&gt;0,AND(in_Geography="Custom",ISNUMBER(SEARCH(B130,SUBSTITUTE(in_CustomStates," ",""))))),OR(AND(D130="Endowment",Inputs!$B$14="Y"),AND(D130="Foundation",Inputs!$B$15="Y"),AND(D130="Healthcare",Inputs!$B$16="Y"),AND(D130="Pension",Inputs!$B$17="Y"),AND(D130="OCIO",Inputs!$B$18="Y"),AND(D130="Other",Inputs!$B$19="Y")))),A130&lt;&gt;in_ClientOrg,NOT(AND(in_ExclHarvard="Y",ISNUMBER(SEARCH("Harvard",A130))))),"Y","")</f>
        <v/>
      </c>
      <c r="G130" t="inlineStr">
        <is>
          <t>Karen Eifler</t>
        </is>
      </c>
      <c r="H130" t="inlineStr">
        <is>
          <t>MANAGING DIRECTOR, PUBLIC MARKETS</t>
        </is>
      </c>
      <c r="I130" t="inlineStr">
        <is>
          <t>Managing Director</t>
        </is>
      </c>
      <c r="J130" s="21" t="n">
        <v>619136</v>
      </c>
      <c r="K130" s="21" t="n">
        <v>538964</v>
      </c>
      <c r="L130" s="21" t="n">
        <v>1158100</v>
      </c>
      <c r="M130" s="21" t="n">
        <v>1955</v>
      </c>
      <c r="N130" s="21" t="n">
        <v>34500</v>
      </c>
      <c r="O130" s="21" t="n">
        <v>1652</v>
      </c>
      <c r="P130" s="21" t="n">
        <v>1196207</v>
      </c>
      <c r="Q130" s="21" t="n">
        <v>1196207</v>
      </c>
      <c r="R130" s="21">
        <f>IF(Q130="","",Q130*(1+in_GrowthRate)^(YEARFRAC(DATE(2025,8,31),in_AgeToDate)*IF(in_AgeToDate&lt;DATE(2025,8,31),-1,1)+1))</f>
        <v/>
      </c>
      <c r="S130" s="38" t="n">
        <v>0.8705098718213768</v>
      </c>
      <c r="T130" s="43">
        <f>HYPERLINK("https://projects.propublica.org/nonprofits/organizations/590735717/202640419349301864/full","view filing")</f>
        <v/>
      </c>
    </row>
    <row r="131">
      <c r="A131" t="inlineStr">
        <is>
          <t>Howard Hughes Medical Institute</t>
        </is>
      </c>
      <c r="B131" s="20" t="inlineStr">
        <is>
          <t>MD</t>
        </is>
      </c>
      <c r="C131" s="42" t="n">
        <v>27.97</v>
      </c>
      <c r="D131" t="inlineStr">
        <is>
          <t>Other</t>
        </is>
      </c>
      <c r="E131" s="20" t="n">
        <v>2025</v>
      </c>
      <c r="F131" s="20">
        <f>IF(AND(OR(in_Mode="All Funds",AND(C131&gt;=in_BandFloor,C131&lt;=in_BandCeiling,OR(in_Geography="National",COUNTIFS(lst_GeoPreset,in_Geography,lst_GeoState,B131)&gt;0,AND(in_Geography="Custom",ISNUMBER(SEARCH(B131,SUBSTITUTE(in_CustomStates," ",""))))),OR(AND(D131="Endowment",Inputs!$B$14="Y"),AND(D131="Foundation",Inputs!$B$15="Y"),AND(D131="Healthcare",Inputs!$B$16="Y"),AND(D131="Pension",Inputs!$B$17="Y"),AND(D131="OCIO",Inputs!$B$18="Y"),AND(D131="Other",Inputs!$B$19="Y")))),A131&lt;&gt;in_ClientOrg,NOT(AND(in_ExclHarvard="Y",ISNUMBER(SEARCH("Harvard",A131))))),"Y","")</f>
        <v/>
      </c>
      <c r="G131" t="inlineStr">
        <is>
          <t>Mark Sproles</t>
        </is>
      </c>
      <c r="H131" t="inlineStr">
        <is>
          <t>MANAGING DIRECTOR, PRIVATE MARKETS</t>
        </is>
      </c>
      <c r="I131" t="inlineStr">
        <is>
          <t>Managing Director</t>
        </is>
      </c>
      <c r="J131" s="21" t="n">
        <v>605195</v>
      </c>
      <c r="K131" s="21" t="n">
        <v>576365</v>
      </c>
      <c r="L131" s="21" t="n">
        <v>1181560</v>
      </c>
      <c r="M131" s="21" t="n">
        <v>25859</v>
      </c>
      <c r="N131" s="21" t="n">
        <v>34500</v>
      </c>
      <c r="O131" s="21" t="n">
        <v>2151</v>
      </c>
      <c r="P131" s="21" t="n">
        <v>1244070</v>
      </c>
      <c r="Q131" s="21" t="n">
        <v>1244070</v>
      </c>
      <c r="R131" s="21">
        <f>IF(Q131="","",Q131*(1+in_GrowthRate)^(YEARFRAC(DATE(2025,8,31),in_AgeToDate)*IF(in_AgeToDate&lt;DATE(2025,8,31),-1,1)+1))</f>
        <v/>
      </c>
      <c r="S131" s="38" t="n">
        <v>0.9523624616859029</v>
      </c>
      <c r="T131" s="43">
        <f>HYPERLINK("https://projects.propublica.org/nonprofits/organizations/590735717/202640419349301864/full","view filing")</f>
        <v/>
      </c>
    </row>
    <row r="132">
      <c r="A132" t="inlineStr">
        <is>
          <t>Howard Hughes Medical Institute</t>
        </is>
      </c>
      <c r="B132" s="20" t="inlineStr">
        <is>
          <t>MD</t>
        </is>
      </c>
      <c r="C132" s="42" t="n">
        <v>27.97</v>
      </c>
      <c r="D132" t="inlineStr">
        <is>
          <t>Other</t>
        </is>
      </c>
      <c r="E132" s="20" t="n">
        <v>2024</v>
      </c>
      <c r="F132" s="20" t="inlineStr"/>
      <c r="G132" t="inlineStr">
        <is>
          <t>Karen Eifler</t>
        </is>
      </c>
      <c r="H132" t="inlineStr">
        <is>
          <t>MANAGING DIRECTOR, PUBLIC MARKETS</t>
        </is>
      </c>
      <c r="I132" t="inlineStr">
        <is>
          <t>Managing Director</t>
        </is>
      </c>
      <c r="J132" s="21" t="n">
        <v>599652</v>
      </c>
      <c r="K132" s="21" t="n">
        <v>385500</v>
      </c>
      <c r="L132" s="21" t="n">
        <v>985152</v>
      </c>
      <c r="M132" s="21" t="n">
        <v>4230</v>
      </c>
      <c r="N132" s="21" t="n">
        <v>33000</v>
      </c>
      <c r="O132" s="21" t="n">
        <v>1649</v>
      </c>
      <c r="P132" s="21" t="n">
        <v>1024031</v>
      </c>
      <c r="Q132" s="21" t="n">
        <v>1024031</v>
      </c>
      <c r="R132" s="21">
        <f>IF(Q132="","",Q132*(1+in_GrowthRate)^(YEARFRAC(DATE(2024,8,31),in_AgeToDate)*IF(in_AgeToDate&lt;DATE(2024,8,31),-1,1)+1))</f>
        <v/>
      </c>
      <c r="S132" s="38" t="n">
        <v>0.6428728662624322</v>
      </c>
      <c r="T132" s="43">
        <f>HYPERLINK("https://projects.propublica.org/nonprofits/organizations/590735717/202510459349301966/full","view filing")</f>
        <v/>
      </c>
    </row>
    <row r="133">
      <c r="A133" t="inlineStr">
        <is>
          <t>Howard Hughes Medical Institute</t>
        </is>
      </c>
      <c r="B133" s="20" t="inlineStr">
        <is>
          <t>MD</t>
        </is>
      </c>
      <c r="C133" s="42" t="n">
        <v>27.97</v>
      </c>
      <c r="D133" t="inlineStr">
        <is>
          <t>Other</t>
        </is>
      </c>
      <c r="E133" s="20" t="n">
        <v>2024</v>
      </c>
      <c r="F133" s="20" t="inlineStr"/>
      <c r="G133" t="inlineStr">
        <is>
          <t>Mark Sproles</t>
        </is>
      </c>
      <c r="H133" t="inlineStr">
        <is>
          <t>MANAGING DIRECTOR, PRIVATE MARKETS</t>
        </is>
      </c>
      <c r="I133" t="inlineStr">
        <is>
          <t>Managing Director</t>
        </is>
      </c>
      <c r="J133" s="21" t="n">
        <v>576384</v>
      </c>
      <c r="K133" s="21" t="n">
        <v>1022597</v>
      </c>
      <c r="L133" s="21" t="n">
        <v>1598981</v>
      </c>
      <c r="M133" s="21" t="n">
        <v>26471</v>
      </c>
      <c r="N133" s="21" t="n">
        <v>33000</v>
      </c>
      <c r="O133" s="21" t="n">
        <v>34452</v>
      </c>
      <c r="P133" s="21" t="n">
        <v>1692904</v>
      </c>
      <c r="Q133" s="21" t="n">
        <v>1692904</v>
      </c>
      <c r="R133" s="21">
        <f>IF(Q133="","",Q133*(1+in_GrowthRate)^(YEARFRAC(DATE(2024,8,31),in_AgeToDate)*IF(in_AgeToDate&lt;DATE(2024,8,31),-1,1)+1))</f>
        <v/>
      </c>
      <c r="S133" s="38" t="n">
        <v>1.774159241061515</v>
      </c>
      <c r="T133" s="43">
        <f>HYPERLINK("https://projects.propublica.org/nonprofits/organizations/590735717/202510459349301966/full","view filing")</f>
        <v/>
      </c>
    </row>
    <row r="134">
      <c r="A134" t="inlineStr">
        <is>
          <t>Howard Hughes Medical Institute</t>
        </is>
      </c>
      <c r="B134" s="20" t="inlineStr">
        <is>
          <t>MD</t>
        </is>
      </c>
      <c r="C134" s="42" t="n">
        <v>27.97</v>
      </c>
      <c r="D134" t="inlineStr">
        <is>
          <t>Other</t>
        </is>
      </c>
      <c r="E134" s="20" t="n">
        <v>2023</v>
      </c>
      <c r="F134" s="20" t="inlineStr"/>
      <c r="G134" t="inlineStr">
        <is>
          <t>Mark Sproles</t>
        </is>
      </c>
      <c r="H134" t="inlineStr">
        <is>
          <t>MANAGING DIRECTOR, PRIVATE MARKETS</t>
        </is>
      </c>
      <c r="I134" t="inlineStr">
        <is>
          <t>Managing Director</t>
        </is>
      </c>
      <c r="J134" s="21" t="n">
        <v>507969</v>
      </c>
      <c r="K134" s="21" t="n">
        <v>415968</v>
      </c>
      <c r="L134" s="21" t="n">
        <v>923937</v>
      </c>
      <c r="M134" s="21" t="n">
        <v>26739</v>
      </c>
      <c r="N134" s="21" t="n">
        <v>30500</v>
      </c>
      <c r="O134" s="21" t="n">
        <v>1677</v>
      </c>
      <c r="P134" s="21" t="n">
        <v>982853</v>
      </c>
      <c r="Q134" s="21" t="n">
        <v>982853</v>
      </c>
      <c r="R134" s="21">
        <f>IF(Q134="","",Q134*(1+in_GrowthRate)^(YEARFRAC(DATE(2023,8,31),in_AgeToDate)*IF(in_AgeToDate&lt;DATE(2023,8,31),-1,1)+1))</f>
        <v/>
      </c>
      <c r="S134" s="38" t="n">
        <v>0.8188846169746579</v>
      </c>
      <c r="T134" s="43">
        <f>HYPERLINK("https://projects.propublica.org/nonprofits/organizations/590735717/202420529349301717/full","view filing")</f>
        <v/>
      </c>
    </row>
    <row r="135">
      <c r="A135" t="inlineStr">
        <is>
          <t>Howard Hughes Medical Institute</t>
        </is>
      </c>
      <c r="B135" s="20" t="inlineStr">
        <is>
          <t>MD</t>
        </is>
      </c>
      <c r="C135" s="42" t="n">
        <v>27.97</v>
      </c>
      <c r="D135" t="inlineStr">
        <is>
          <t>Other</t>
        </is>
      </c>
      <c r="E135" s="20" t="n">
        <v>2022</v>
      </c>
      <c r="F135" s="20" t="inlineStr"/>
      <c r="G135" t="inlineStr">
        <is>
          <t>Gregory Deninno</t>
        </is>
      </c>
      <c r="H135" t="inlineStr">
        <is>
          <t>MANAGING DIRECTOR, PRIVATE MARKETS</t>
        </is>
      </c>
      <c r="I135" t="inlineStr">
        <is>
          <t>Managing Director</t>
        </is>
      </c>
      <c r="J135" s="21" t="n">
        <v>466526</v>
      </c>
      <c r="K135" s="21" t="n">
        <v>776049</v>
      </c>
      <c r="L135" s="21" t="n">
        <v>1242575</v>
      </c>
      <c r="M135" s="21" t="n">
        <v>37146</v>
      </c>
      <c r="N135" s="21" t="n">
        <v>29000</v>
      </c>
      <c r="O135" s="21" t="n">
        <v>21754</v>
      </c>
      <c r="P135" s="21" t="n">
        <v>1330475</v>
      </c>
      <c r="Q135" s="21" t="n">
        <v>1330475</v>
      </c>
      <c r="R135" s="21">
        <f>IF(Q135="","",Q135*(1+in_GrowthRate)^(YEARFRAC(DATE(2022,8,31),in_AgeToDate)*IF(in_AgeToDate&lt;DATE(2022,8,31),-1,1)+1))</f>
        <v/>
      </c>
      <c r="S135" s="38" t="n">
        <v>1.663463558301145</v>
      </c>
      <c r="T135" s="43">
        <f>HYPERLINK("https://projects.propublica.org/nonprofits/organizations/590735717/202330539349300943/full","view filing")</f>
        <v/>
      </c>
    </row>
    <row r="136">
      <c r="A136" t="inlineStr">
        <is>
          <t>Howard Hughes Medical Institute</t>
        </is>
      </c>
      <c r="B136" s="20" t="inlineStr">
        <is>
          <t>MD</t>
        </is>
      </c>
      <c r="C136" s="42" t="n">
        <v>27.97</v>
      </c>
      <c r="D136" t="inlineStr">
        <is>
          <t>Other</t>
        </is>
      </c>
      <c r="E136" s="20" t="n">
        <v>2022</v>
      </c>
      <c r="F136" s="20" t="inlineStr"/>
      <c r="G136" t="inlineStr">
        <is>
          <t>Richard A Pender</t>
        </is>
      </c>
      <c r="H136" t="inlineStr">
        <is>
          <t>MANAGING DIRECTOR, PUBLIC MARKETS</t>
        </is>
      </c>
      <c r="I136" t="inlineStr">
        <is>
          <t>Managing Director</t>
        </is>
      </c>
      <c r="J136" s="21" t="n">
        <v>546151</v>
      </c>
      <c r="K136" s="21" t="n">
        <v>891582</v>
      </c>
      <c r="L136" s="21" t="n">
        <v>1437733</v>
      </c>
      <c r="M136" s="21" t="n">
        <v>42355</v>
      </c>
      <c r="N136" s="21" t="n">
        <v>29000</v>
      </c>
      <c r="O136" s="21" t="n">
        <v>35173</v>
      </c>
      <c r="P136" s="21" t="n">
        <v>1544261</v>
      </c>
      <c r="Q136" s="21" t="n">
        <v>1544261</v>
      </c>
      <c r="R136" s="21">
        <f>IF(Q136="","",Q136*(1+in_GrowthRate)^(YEARFRAC(DATE(2022,8,31),in_AgeToDate)*IF(in_AgeToDate&lt;DATE(2022,8,31),-1,1)+1))</f>
        <v/>
      </c>
      <c r="S136" s="38" t="n">
        <v>1.63248259181069</v>
      </c>
      <c r="T136" s="43">
        <f>HYPERLINK("https://projects.propublica.org/nonprofits/organizations/590735717/202330539349300943/full","view filing")</f>
        <v/>
      </c>
    </row>
    <row r="137">
      <c r="A137" t="inlineStr">
        <is>
          <t>J Paul Getty Trust</t>
        </is>
      </c>
      <c r="B137" s="20" t="inlineStr">
        <is>
          <t>CA</t>
        </is>
      </c>
      <c r="C137" s="42" t="n">
        <v>9.880000000000001</v>
      </c>
      <c r="D137" t="inlineStr">
        <is>
          <t>Foundation</t>
        </is>
      </c>
      <c r="E137" s="20" t="n">
        <v>2025</v>
      </c>
      <c r="F137" s="20">
        <f>IF(AND(OR(in_Mode="All Funds",AND(C137&gt;=in_BandFloor,C137&lt;=in_BandCeiling,OR(in_Geography="National",COUNTIFS(lst_GeoPreset,in_Geography,lst_GeoState,B137)&gt;0,AND(in_Geography="Custom",ISNUMBER(SEARCH(B137,SUBSTITUTE(in_CustomStates," ",""))))),OR(AND(D137="Endowment",Inputs!$B$14="Y"),AND(D137="Foundation",Inputs!$B$15="Y"),AND(D137="Healthcare",Inputs!$B$16="Y"),AND(D137="Pension",Inputs!$B$17="Y"),AND(D137="OCIO",Inputs!$B$18="Y"),AND(D137="Other",Inputs!$B$19="Y")))),A137&lt;&gt;in_ClientOrg,NOT(AND(in_ExclHarvard="Y",ISNUMBER(SEARCH("Harvard",A137))))),"Y","")</f>
        <v/>
      </c>
      <c r="G137" t="inlineStr">
        <is>
          <t>Benjamin Liou</t>
        </is>
      </c>
      <c r="H137" t="inlineStr">
        <is>
          <t>SR MNG DIR EQ &amp; BONDS</t>
        </is>
      </c>
      <c r="I137" t="inlineStr">
        <is>
          <t>Managing Director</t>
        </is>
      </c>
      <c r="J137" s="21" t="n"/>
      <c r="K137" s="21" t="n"/>
      <c r="L137" s="21" t="n"/>
      <c r="M137" s="21" t="n"/>
      <c r="N137" s="21" t="n"/>
      <c r="O137" s="21" t="n">
        <v>252287</v>
      </c>
      <c r="P137" s="21" t="n">
        <v>1093125</v>
      </c>
      <c r="Q137" s="21" t="n">
        <v>1093125</v>
      </c>
      <c r="R137" s="21">
        <f>IF(Q137="","",Q137*(1+in_GrowthRate)^(YEARFRAC(DATE(2025,6,30),in_AgeToDate)*IF(in_AgeToDate&lt;DATE(2025,6,30),-1,1)+1))</f>
        <v/>
      </c>
      <c r="S137" s="38" t="n"/>
      <c r="T137" s="43">
        <f>HYPERLINK("https://projects.propublica.org/nonprofits/organizations/951790021/202611279349102996/full","view filing")</f>
        <v/>
      </c>
    </row>
    <row r="138">
      <c r="A138" t="inlineStr">
        <is>
          <t>J Paul Getty Trust</t>
        </is>
      </c>
      <c r="B138" s="20" t="inlineStr">
        <is>
          <t>CA</t>
        </is>
      </c>
      <c r="C138" s="42" t="n">
        <v>9.880000000000001</v>
      </c>
      <c r="D138" t="inlineStr">
        <is>
          <t>Foundation</t>
        </is>
      </c>
      <c r="E138" s="20" t="n">
        <v>2024</v>
      </c>
      <c r="F138" s="20" t="inlineStr"/>
      <c r="G138" t="inlineStr">
        <is>
          <t>Benjamin Liou</t>
        </is>
      </c>
      <c r="H138" t="inlineStr">
        <is>
          <t>MNG DIR EQ &amp; BONDS, ASST TRE</t>
        </is>
      </c>
      <c r="I138" t="inlineStr">
        <is>
          <t>Managing Director</t>
        </is>
      </c>
      <c r="J138" s="21" t="n"/>
      <c r="K138" s="21" t="n"/>
      <c r="L138" s="21" t="n"/>
      <c r="M138" s="21" t="n"/>
      <c r="N138" s="21" t="n"/>
      <c r="O138" s="21" t="n">
        <v>1044956</v>
      </c>
      <c r="P138" s="21" t="n">
        <v>2161026</v>
      </c>
      <c r="Q138" s="21" t="n">
        <v>2161026</v>
      </c>
      <c r="R138" s="21">
        <f>IF(Q138="","",Q138*(1+in_GrowthRate)^(YEARFRAC(DATE(2024,6,30),in_AgeToDate)*IF(in_AgeToDate&lt;DATE(2024,6,30),-1,1)+1))</f>
        <v/>
      </c>
      <c r="S138" s="38" t="n"/>
      <c r="T138" s="43">
        <f>HYPERLINK("https://projects.propublica.org/nonprofits/organizations/951790021/202531359349102323/full","view filing")</f>
        <v/>
      </c>
    </row>
    <row r="139">
      <c r="A139" t="inlineStr">
        <is>
          <t>J Paul Getty Trust</t>
        </is>
      </c>
      <c r="B139" s="20" t="inlineStr">
        <is>
          <t>CA</t>
        </is>
      </c>
      <c r="C139" s="42" t="n">
        <v>9.880000000000001</v>
      </c>
      <c r="D139" t="inlineStr">
        <is>
          <t>Foundation</t>
        </is>
      </c>
      <c r="E139" s="20" t="n">
        <v>2024</v>
      </c>
      <c r="F139" s="20" t="inlineStr"/>
      <c r="G139" t="inlineStr">
        <is>
          <t>David Hughes</t>
        </is>
      </c>
      <c r="H139" t="inlineStr">
        <is>
          <t>MNG DIR PUB SEC, ASST TREAS</t>
        </is>
      </c>
      <c r="I139" t="inlineStr">
        <is>
          <t>Managing Director</t>
        </is>
      </c>
      <c r="J139" s="21" t="n"/>
      <c r="K139" s="21" t="n"/>
      <c r="L139" s="21" t="n"/>
      <c r="M139" s="21" t="n"/>
      <c r="N139" s="21" t="n"/>
      <c r="O139" s="21" t="n">
        <v>973508</v>
      </c>
      <c r="P139" s="21" t="n">
        <v>2073931</v>
      </c>
      <c r="Q139" s="21" t="n">
        <v>2073931</v>
      </c>
      <c r="R139" s="21">
        <f>IF(Q139="","",Q139*(1+in_GrowthRate)^(YEARFRAC(DATE(2024,6,30),in_AgeToDate)*IF(in_AgeToDate&lt;DATE(2024,6,30),-1,1)+1))</f>
        <v/>
      </c>
      <c r="S139" s="38" t="n"/>
      <c r="T139" s="43">
        <f>HYPERLINK("https://projects.propublica.org/nonprofits/organizations/951790021/202531359349102323/full","view filing")</f>
        <v/>
      </c>
    </row>
    <row r="140">
      <c r="A140" t="inlineStr">
        <is>
          <t>J Paul Getty Trust</t>
        </is>
      </c>
      <c r="B140" s="20" t="inlineStr">
        <is>
          <t>CA</t>
        </is>
      </c>
      <c r="C140" s="42" t="n">
        <v>9.880000000000001</v>
      </c>
      <c r="D140" t="inlineStr">
        <is>
          <t>Foundation</t>
        </is>
      </c>
      <c r="E140" s="20" t="n">
        <v>2023</v>
      </c>
      <c r="F140" s="20" t="inlineStr"/>
      <c r="G140" t="inlineStr">
        <is>
          <t>Benjamin Liou</t>
        </is>
      </c>
      <c r="H140" t="inlineStr">
        <is>
          <t>MNG DIR EQ &amp; BONDS, ASST TRE</t>
        </is>
      </c>
      <c r="I140" t="inlineStr">
        <is>
          <t>Managing Director</t>
        </is>
      </c>
      <c r="J140" s="21" t="n"/>
      <c r="K140" s="21" t="n"/>
      <c r="L140" s="21" t="n"/>
      <c r="M140" s="21" t="n"/>
      <c r="N140" s="21" t="n"/>
      <c r="O140" s="21" t="n">
        <v>980522</v>
      </c>
      <c r="P140" s="21" t="n">
        <v>1795654</v>
      </c>
      <c r="Q140" s="21" t="n">
        <v>1795654</v>
      </c>
      <c r="R140" s="21">
        <f>IF(Q140="","",Q140*(1+in_GrowthRate)^(YEARFRAC(DATE(2023,6,30),in_AgeToDate)*IF(in_AgeToDate&lt;DATE(2023,6,30),-1,1)+1))</f>
        <v/>
      </c>
      <c r="S140" s="38" t="n"/>
      <c r="T140" s="43">
        <f>HYPERLINK("https://projects.propublica.org/nonprofits/organizations/951790021/202421359349106107/full","view filing")</f>
        <v/>
      </c>
    </row>
    <row r="141">
      <c r="A141" t="inlineStr">
        <is>
          <t>J Paul Getty Trust</t>
        </is>
      </c>
      <c r="B141" s="20" t="inlineStr">
        <is>
          <t>CA</t>
        </is>
      </c>
      <c r="C141" s="42" t="n">
        <v>9.880000000000001</v>
      </c>
      <c r="D141" t="inlineStr">
        <is>
          <t>Foundation</t>
        </is>
      </c>
      <c r="E141" s="20" t="n">
        <v>2023</v>
      </c>
      <c r="F141" s="20" t="inlineStr"/>
      <c r="G141" t="inlineStr">
        <is>
          <t>David Hughes</t>
        </is>
      </c>
      <c r="H141" t="inlineStr">
        <is>
          <t>MNG DIR PUB SEC, ASST TREAS</t>
        </is>
      </c>
      <c r="I141" t="inlineStr">
        <is>
          <t>Managing Director</t>
        </is>
      </c>
      <c r="J141" s="21" t="n"/>
      <c r="K141" s="21" t="n"/>
      <c r="L141" s="21" t="n"/>
      <c r="M141" s="21" t="n"/>
      <c r="N141" s="21" t="n"/>
      <c r="O141" s="21" t="n">
        <v>922611</v>
      </c>
      <c r="P141" s="21" t="n">
        <v>1649005</v>
      </c>
      <c r="Q141" s="21" t="n">
        <v>1649005</v>
      </c>
      <c r="R141" s="21">
        <f>IF(Q141="","",Q141*(1+in_GrowthRate)^(YEARFRAC(DATE(2023,6,30),in_AgeToDate)*IF(in_AgeToDate&lt;DATE(2023,6,30),-1,1)+1))</f>
        <v/>
      </c>
      <c r="S141" s="38" t="n"/>
      <c r="T141" s="43">
        <f>HYPERLINK("https://projects.propublica.org/nonprofits/organizations/951790021/202421359349106107/full","view filing")</f>
        <v/>
      </c>
    </row>
    <row r="142">
      <c r="A142" t="inlineStr">
        <is>
          <t>J Paul Getty Trust</t>
        </is>
      </c>
      <c r="B142" s="20" t="inlineStr">
        <is>
          <t>CA</t>
        </is>
      </c>
      <c r="C142" s="42" t="n">
        <v>9.880000000000001</v>
      </c>
      <c r="D142" t="inlineStr">
        <is>
          <t>Foundation</t>
        </is>
      </c>
      <c r="E142" s="20" t="n">
        <v>2022</v>
      </c>
      <c r="F142" s="20" t="inlineStr"/>
      <c r="G142" t="inlineStr">
        <is>
          <t>Barbara Jesuele</t>
        </is>
      </c>
      <c r="H142" t="inlineStr">
        <is>
          <t>MANAGING DIR, REAL A</t>
        </is>
      </c>
      <c r="I142" t="inlineStr">
        <is>
          <t>Managing Director</t>
        </is>
      </c>
      <c r="J142" s="21" t="n"/>
      <c r="K142" s="21" t="n"/>
      <c r="L142" s="21" t="n"/>
      <c r="M142" s="21" t="n"/>
      <c r="N142" s="21" t="n"/>
      <c r="O142" s="21" t="n"/>
      <c r="P142" s="21" t="n">
        <v>889379</v>
      </c>
      <c r="Q142" s="21" t="n">
        <v>889379</v>
      </c>
      <c r="R142" s="21">
        <f>IF(Q142="","",Q142*(1+in_GrowthRate)^(YEARFRAC(DATE(2022,6,30),in_AgeToDate)*IF(in_AgeToDate&lt;DATE(2022,6,30),-1,1)+1))</f>
        <v/>
      </c>
      <c r="S142" s="38" t="n"/>
      <c r="T142" s="43">
        <f>HYPERLINK("https://projects.propublica.org/nonprofits/organizations/951790021/202311359349103356/full","view filing")</f>
        <v/>
      </c>
    </row>
    <row r="143">
      <c r="A143" t="inlineStr">
        <is>
          <t>J Paul Getty Trust</t>
        </is>
      </c>
      <c r="B143" s="20" t="inlineStr">
        <is>
          <t>CA</t>
        </is>
      </c>
      <c r="C143" s="42" t="n">
        <v>9.880000000000001</v>
      </c>
      <c r="D143" t="inlineStr">
        <is>
          <t>Foundation</t>
        </is>
      </c>
      <c r="E143" s="20" t="n">
        <v>2022</v>
      </c>
      <c r="F143" s="20" t="inlineStr"/>
      <c r="G143" t="inlineStr">
        <is>
          <t>Benjamin Liou</t>
        </is>
      </c>
      <c r="H143" t="inlineStr">
        <is>
          <t>MNG DIR EQ &amp; BONDS, ASST TREAS</t>
        </is>
      </c>
      <c r="I143" t="inlineStr">
        <is>
          <t>Managing Director</t>
        </is>
      </c>
      <c r="J143" s="21" t="n"/>
      <c r="K143" s="21" t="n"/>
      <c r="L143" s="21" t="n"/>
      <c r="M143" s="21" t="n"/>
      <c r="N143" s="21" t="n"/>
      <c r="O143" s="21" t="n">
        <v>571751</v>
      </c>
      <c r="P143" s="21" t="n">
        <v>1533626</v>
      </c>
      <c r="Q143" s="21" t="n">
        <v>1533626</v>
      </c>
      <c r="R143" s="21">
        <f>IF(Q143="","",Q143*(1+in_GrowthRate)^(YEARFRAC(DATE(2022,6,30),in_AgeToDate)*IF(in_AgeToDate&lt;DATE(2022,6,30),-1,1)+1))</f>
        <v/>
      </c>
      <c r="S143" s="38" t="n"/>
      <c r="T143" s="43">
        <f>HYPERLINK("https://projects.propublica.org/nonprofits/organizations/951790021/202311359349103356/full","view filing")</f>
        <v/>
      </c>
    </row>
    <row r="144">
      <c r="A144" t="inlineStr">
        <is>
          <t>James Irvine Foundation</t>
        </is>
      </c>
      <c r="B144" s="20" t="inlineStr">
        <is>
          <t>CA</t>
        </is>
      </c>
      <c r="C144" s="42" t="n">
        <v>3.21</v>
      </c>
      <c r="D144" t="inlineStr">
        <is>
          <t>Foundation</t>
        </is>
      </c>
      <c r="E144" s="20" t="n">
        <v>2024</v>
      </c>
      <c r="F144" s="20">
        <f>IF(AND(OR(in_Mode="All Funds",AND(C144&gt;=in_BandFloor,C144&lt;=in_BandCeiling,OR(in_Geography="National",COUNTIFS(lst_GeoPreset,in_Geography,lst_GeoState,B144)&gt;0,AND(in_Geography="Custom",ISNUMBER(SEARCH(B144,SUBSTITUTE(in_CustomStates," ",""))))),OR(AND(D144="Endowment",Inputs!$B$14="Y"),AND(D144="Foundation",Inputs!$B$15="Y"),AND(D144="Healthcare",Inputs!$B$16="Y"),AND(D144="Pension",Inputs!$B$17="Y"),AND(D144="OCIO",Inputs!$B$18="Y"),AND(D144="Other",Inputs!$B$19="Y")))),A144&lt;&gt;in_ClientOrg,NOT(AND(in_ExclHarvard="Y",ISNUMBER(SEARCH("Harvard",A144))))),"Y","")</f>
        <v/>
      </c>
      <c r="G144" t="inlineStr">
        <is>
          <t>Jesus S Arguelles</t>
        </is>
      </c>
      <c r="H144" t="inlineStr">
        <is>
          <t>MNG DIR OF INVEST</t>
        </is>
      </c>
      <c r="I144" t="inlineStr">
        <is>
          <t>Managing Director</t>
        </is>
      </c>
      <c r="J144" s="21" t="n"/>
      <c r="K144" s="21" t="n"/>
      <c r="L144" s="21" t="n"/>
      <c r="M144" s="21" t="n"/>
      <c r="N144" s="21" t="n"/>
      <c r="O144" s="21" t="n"/>
      <c r="P144" s="21" t="n">
        <v>1034000</v>
      </c>
      <c r="Q144" s="21" t="n">
        <v>1034000</v>
      </c>
      <c r="R144" s="21">
        <f>IF(Q144="","",Q144*(1+in_GrowthRate)^(YEARFRAC(DATE(2024,12,31),in_AgeToDate)*IF(in_AgeToDate&lt;DATE(2024,12,31),-1,1)+1))</f>
        <v/>
      </c>
      <c r="S144" s="38" t="n"/>
      <c r="T144" s="43">
        <f>HYPERLINK("https://projects.propublica.org/nonprofits/organizations/941236937/202543149349101919/full","view filing")</f>
        <v/>
      </c>
    </row>
    <row r="145">
      <c r="A145" t="inlineStr">
        <is>
          <t>James Irvine Foundation</t>
        </is>
      </c>
      <c r="B145" s="20" t="inlineStr">
        <is>
          <t>CA</t>
        </is>
      </c>
      <c r="C145" s="42" t="n">
        <v>3.21</v>
      </c>
      <c r="D145" t="inlineStr">
        <is>
          <t>Foundation</t>
        </is>
      </c>
      <c r="E145" s="20" t="n">
        <v>2024</v>
      </c>
      <c r="F145" s="20">
        <f>IF(AND(OR(in_Mode="All Funds",AND(C145&gt;=in_BandFloor,C145&lt;=in_BandCeiling,OR(in_Geography="National",COUNTIFS(lst_GeoPreset,in_Geography,lst_GeoState,B145)&gt;0,AND(in_Geography="Custom",ISNUMBER(SEARCH(B145,SUBSTITUTE(in_CustomStates," ",""))))),OR(AND(D145="Endowment",Inputs!$B$14="Y"),AND(D145="Foundation",Inputs!$B$15="Y"),AND(D145="Healthcare",Inputs!$B$16="Y"),AND(D145="Pension",Inputs!$B$17="Y"),AND(D145="OCIO",Inputs!$B$18="Y"),AND(D145="Other",Inputs!$B$19="Y")))),A145&lt;&gt;in_ClientOrg,NOT(AND(in_ExclHarvard="Y",ISNUMBER(SEARCH("Harvard",A145))))),"Y","")</f>
        <v/>
      </c>
      <c r="G145" t="inlineStr">
        <is>
          <t>Melissa Lopez</t>
        </is>
      </c>
      <c r="H145" t="inlineStr">
        <is>
          <t>MNG DIR OF INVEST</t>
        </is>
      </c>
      <c r="I145" t="inlineStr">
        <is>
          <t>Managing Director</t>
        </is>
      </c>
      <c r="J145" s="21" t="n"/>
      <c r="K145" s="21" t="n"/>
      <c r="L145" s="21" t="n"/>
      <c r="M145" s="21" t="n"/>
      <c r="N145" s="21" t="n"/>
      <c r="O145" s="21" t="n"/>
      <c r="P145" s="21" t="n">
        <v>1170000</v>
      </c>
      <c r="Q145" s="21" t="n">
        <v>1170000</v>
      </c>
      <c r="R145" s="21">
        <f>IF(Q145="","",Q145*(1+in_GrowthRate)^(YEARFRAC(DATE(2024,12,31),in_AgeToDate)*IF(in_AgeToDate&lt;DATE(2024,12,31),-1,1)+1))</f>
        <v/>
      </c>
      <c r="S145" s="38" t="n"/>
      <c r="T145" s="43">
        <f>HYPERLINK("https://projects.propublica.org/nonprofits/organizations/941236937/202543149349101919/full","view filing")</f>
        <v/>
      </c>
    </row>
    <row r="146">
      <c r="A146" t="inlineStr">
        <is>
          <t>James Irvine Foundation</t>
        </is>
      </c>
      <c r="B146" s="20" t="inlineStr">
        <is>
          <t>CA</t>
        </is>
      </c>
      <c r="C146" s="42" t="n">
        <v>3.21</v>
      </c>
      <c r="D146" t="inlineStr">
        <is>
          <t>Foundation</t>
        </is>
      </c>
      <c r="E146" s="20" t="n">
        <v>2024</v>
      </c>
      <c r="F146" s="20">
        <f>IF(AND(OR(in_Mode="All Funds",AND(C146&gt;=in_BandFloor,C146&lt;=in_BandCeiling,OR(in_Geography="National",COUNTIFS(lst_GeoPreset,in_Geography,lst_GeoState,B146)&gt;0,AND(in_Geography="Custom",ISNUMBER(SEARCH(B146,SUBSTITUTE(in_CustomStates," ",""))))),OR(AND(D146="Endowment",Inputs!$B$14="Y"),AND(D146="Foundation",Inputs!$B$15="Y"),AND(D146="Healthcare",Inputs!$B$16="Y"),AND(D146="Pension",Inputs!$B$17="Y"),AND(D146="OCIO",Inputs!$B$18="Y"),AND(D146="Other",Inputs!$B$19="Y")))),A146&lt;&gt;in_ClientOrg,NOT(AND(in_ExclHarvard="Y",ISNUMBER(SEARCH("Harvard",A146))))),"Y","")</f>
        <v/>
      </c>
      <c r="G146" t="inlineStr">
        <is>
          <t>Sharif Siddiqui</t>
        </is>
      </c>
      <c r="H146" t="inlineStr">
        <is>
          <t>MNG DIR OF INVEST</t>
        </is>
      </c>
      <c r="I146" t="inlineStr">
        <is>
          <t>Managing Director</t>
        </is>
      </c>
      <c r="J146" s="21" t="n"/>
      <c r="K146" s="21" t="n"/>
      <c r="L146" s="21" t="n"/>
      <c r="M146" s="21" t="n"/>
      <c r="N146" s="21" t="n"/>
      <c r="O146" s="21" t="n"/>
      <c r="P146" s="21" t="n">
        <v>1170000</v>
      </c>
      <c r="Q146" s="21" t="n">
        <v>1170000</v>
      </c>
      <c r="R146" s="21">
        <f>IF(Q146="","",Q146*(1+in_GrowthRate)^(YEARFRAC(DATE(2024,12,31),in_AgeToDate)*IF(in_AgeToDate&lt;DATE(2024,12,31),-1,1)+1))</f>
        <v/>
      </c>
      <c r="S146" s="38" t="n"/>
      <c r="T146" s="43">
        <f>HYPERLINK("https://projects.propublica.org/nonprofits/organizations/941236937/202543149349101919/full","view filing")</f>
        <v/>
      </c>
    </row>
    <row r="147">
      <c r="A147" t="inlineStr">
        <is>
          <t>James Irvine Foundation</t>
        </is>
      </c>
      <c r="B147" s="20" t="inlineStr">
        <is>
          <t>CA</t>
        </is>
      </c>
      <c r="C147" s="42" t="n">
        <v>3.21</v>
      </c>
      <c r="D147" t="inlineStr">
        <is>
          <t>Foundation</t>
        </is>
      </c>
      <c r="E147" s="20" t="n">
        <v>2023</v>
      </c>
      <c r="F147" s="20" t="inlineStr"/>
      <c r="G147" t="inlineStr">
        <is>
          <t>Jesus S Arguelles</t>
        </is>
      </c>
      <c r="H147" t="inlineStr">
        <is>
          <t>MNG DIR OF INVEST</t>
        </is>
      </c>
      <c r="I147" t="inlineStr">
        <is>
          <t>Managing Director</t>
        </is>
      </c>
      <c r="J147" s="21" t="n"/>
      <c r="K147" s="21" t="n"/>
      <c r="L147" s="21" t="n"/>
      <c r="M147" s="21" t="n"/>
      <c r="N147" s="21" t="n"/>
      <c r="O147" s="21" t="n"/>
      <c r="P147" s="21" t="n">
        <v>993875</v>
      </c>
      <c r="Q147" s="21" t="n">
        <v>993875</v>
      </c>
      <c r="R147" s="21">
        <f>IF(Q147="","",Q147*(1+in_GrowthRate)^(YEARFRAC(DATE(2023,12,31),in_AgeToDate)*IF(in_AgeToDate&lt;DATE(2023,12,31),-1,1)+1))</f>
        <v/>
      </c>
      <c r="S147" s="38" t="n"/>
      <c r="T147" s="43">
        <f>HYPERLINK("https://projects.propublica.org/nonprofits/organizations/941236937/202413169349102431/full","view filing")</f>
        <v/>
      </c>
    </row>
    <row r="148">
      <c r="A148" t="inlineStr">
        <is>
          <t>James Irvine Foundation</t>
        </is>
      </c>
      <c r="B148" s="20" t="inlineStr">
        <is>
          <t>CA</t>
        </is>
      </c>
      <c r="C148" s="42" t="n">
        <v>3.21</v>
      </c>
      <c r="D148" t="inlineStr">
        <is>
          <t>Foundation</t>
        </is>
      </c>
      <c r="E148" s="20" t="n">
        <v>2023</v>
      </c>
      <c r="F148" s="20" t="inlineStr"/>
      <c r="G148" t="inlineStr">
        <is>
          <t>Melissa Lopez</t>
        </is>
      </c>
      <c r="H148" t="inlineStr">
        <is>
          <t>MNG DIR OF INVEST</t>
        </is>
      </c>
      <c r="I148" t="inlineStr">
        <is>
          <t>Managing Director</t>
        </is>
      </c>
      <c r="J148" s="21" t="n"/>
      <c r="K148" s="21" t="n"/>
      <c r="L148" s="21" t="n"/>
      <c r="M148" s="21" t="n"/>
      <c r="N148" s="21" t="n"/>
      <c r="O148" s="21" t="n"/>
      <c r="P148" s="21" t="n">
        <v>1104375</v>
      </c>
      <c r="Q148" s="21" t="n">
        <v>1104375</v>
      </c>
      <c r="R148" s="21">
        <f>IF(Q148="","",Q148*(1+in_GrowthRate)^(YEARFRAC(DATE(2023,12,31),in_AgeToDate)*IF(in_AgeToDate&lt;DATE(2023,12,31),-1,1)+1))</f>
        <v/>
      </c>
      <c r="S148" s="38" t="n"/>
      <c r="T148" s="43">
        <f>HYPERLINK("https://projects.propublica.org/nonprofits/organizations/941236937/202413169349102431/full","view filing")</f>
        <v/>
      </c>
    </row>
    <row r="149">
      <c r="A149" t="inlineStr">
        <is>
          <t>James Irvine Foundation</t>
        </is>
      </c>
      <c r="B149" s="20" t="inlineStr">
        <is>
          <t>CA</t>
        </is>
      </c>
      <c r="C149" s="42" t="n">
        <v>3.21</v>
      </c>
      <c r="D149" t="inlineStr">
        <is>
          <t>Foundation</t>
        </is>
      </c>
      <c r="E149" s="20" t="n">
        <v>2023</v>
      </c>
      <c r="F149" s="20" t="inlineStr"/>
      <c r="G149" t="inlineStr">
        <is>
          <t>Sharif Siddiqui</t>
        </is>
      </c>
      <c r="H149" t="inlineStr">
        <is>
          <t>MNG DIR OF INVEST</t>
        </is>
      </c>
      <c r="I149" t="inlineStr">
        <is>
          <t>Managing Director</t>
        </is>
      </c>
      <c r="J149" s="21" t="n"/>
      <c r="K149" s="21" t="n"/>
      <c r="L149" s="21" t="n"/>
      <c r="M149" s="21" t="n"/>
      <c r="N149" s="21" t="n"/>
      <c r="O149" s="21" t="n"/>
      <c r="P149" s="21" t="n">
        <v>1104375</v>
      </c>
      <c r="Q149" s="21" t="n">
        <v>1104375</v>
      </c>
      <c r="R149" s="21">
        <f>IF(Q149="","",Q149*(1+in_GrowthRate)^(YEARFRAC(DATE(2023,12,31),in_AgeToDate)*IF(in_AgeToDate&lt;DATE(2023,12,31),-1,1)+1))</f>
        <v/>
      </c>
      <c r="S149" s="38" t="n"/>
      <c r="T149" s="43">
        <f>HYPERLINK("https://projects.propublica.org/nonprofits/organizations/941236937/202413169349102431/full","view filing")</f>
        <v/>
      </c>
    </row>
    <row r="150">
      <c r="A150" t="inlineStr">
        <is>
          <t>James Irvine Foundation</t>
        </is>
      </c>
      <c r="B150" s="20" t="inlineStr">
        <is>
          <t>CA</t>
        </is>
      </c>
      <c r="C150" s="42" t="n">
        <v>3.21</v>
      </c>
      <c r="D150" t="inlineStr">
        <is>
          <t>Foundation</t>
        </is>
      </c>
      <c r="E150" s="20" t="n">
        <v>2022</v>
      </c>
      <c r="F150" s="20" t="inlineStr"/>
      <c r="G150" t="inlineStr">
        <is>
          <t>Jesus S Arguelles</t>
        </is>
      </c>
      <c r="H150" t="inlineStr">
        <is>
          <t>MNG DIR OF INVEST</t>
        </is>
      </c>
      <c r="I150" t="inlineStr">
        <is>
          <t>Managing Director</t>
        </is>
      </c>
      <c r="J150" s="21" t="n"/>
      <c r="K150" s="21" t="n"/>
      <c r="L150" s="21" t="n"/>
      <c r="M150" s="21" t="n"/>
      <c r="N150" s="21" t="n"/>
      <c r="O150" s="21" t="n"/>
      <c r="P150" s="21" t="n">
        <v>779000</v>
      </c>
      <c r="Q150" s="21" t="n">
        <v>779000</v>
      </c>
      <c r="R150" s="21">
        <f>IF(Q150="","",Q150*(1+in_GrowthRate)^(YEARFRAC(DATE(2022,12,31),in_AgeToDate)*IF(in_AgeToDate&lt;DATE(2022,12,31),-1,1)+1))</f>
        <v/>
      </c>
      <c r="S150" s="38" t="n"/>
      <c r="T150" s="43">
        <f>HYPERLINK("https://projects.propublica.org/nonprofits/organizations/941236937/202313139349102426/full","view filing")</f>
        <v/>
      </c>
    </row>
    <row r="151">
      <c r="A151" t="inlineStr">
        <is>
          <t>James Irvine Foundation</t>
        </is>
      </c>
      <c r="B151" s="20" t="inlineStr">
        <is>
          <t>CA</t>
        </is>
      </c>
      <c r="C151" s="42" t="n">
        <v>3.21</v>
      </c>
      <c r="D151" t="inlineStr">
        <is>
          <t>Foundation</t>
        </is>
      </c>
      <c r="E151" s="20" t="n">
        <v>2022</v>
      </c>
      <c r="F151" s="20" t="inlineStr"/>
      <c r="G151" t="inlineStr">
        <is>
          <t>Melissa Lopez</t>
        </is>
      </c>
      <c r="H151" t="inlineStr">
        <is>
          <t>MNG DIR OF INVEST</t>
        </is>
      </c>
      <c r="I151" t="inlineStr">
        <is>
          <t>Managing Director</t>
        </is>
      </c>
      <c r="J151" s="21" t="n"/>
      <c r="K151" s="21" t="n"/>
      <c r="L151" s="21" t="n"/>
      <c r="M151" s="21" t="n"/>
      <c r="N151" s="21" t="n"/>
      <c r="O151" s="21" t="n"/>
      <c r="P151" s="21" t="n">
        <v>865000</v>
      </c>
      <c r="Q151" s="21" t="n">
        <v>865000</v>
      </c>
      <c r="R151" s="21">
        <f>IF(Q151="","",Q151*(1+in_GrowthRate)^(YEARFRAC(DATE(2022,12,31),in_AgeToDate)*IF(in_AgeToDate&lt;DATE(2022,12,31),-1,1)+1))</f>
        <v/>
      </c>
      <c r="S151" s="38" t="n"/>
      <c r="T151" s="43">
        <f>HYPERLINK("https://projects.propublica.org/nonprofits/organizations/941236937/202313139349102426/full","view filing")</f>
        <v/>
      </c>
    </row>
    <row r="152">
      <c r="A152" t="inlineStr">
        <is>
          <t>James Irvine Foundation</t>
        </is>
      </c>
      <c r="B152" s="20" t="inlineStr">
        <is>
          <t>CA</t>
        </is>
      </c>
      <c r="C152" s="42" t="n">
        <v>3.21</v>
      </c>
      <c r="D152" t="inlineStr">
        <is>
          <t>Foundation</t>
        </is>
      </c>
      <c r="E152" s="20" t="n">
        <v>2022</v>
      </c>
      <c r="F152" s="20" t="inlineStr"/>
      <c r="G152" t="inlineStr">
        <is>
          <t>Sharif Siddiqui</t>
        </is>
      </c>
      <c r="H152" t="inlineStr">
        <is>
          <t>MNG DIR OF INVEST</t>
        </is>
      </c>
      <c r="I152" t="inlineStr">
        <is>
          <t>Managing Director</t>
        </is>
      </c>
      <c r="J152" s="21" t="n"/>
      <c r="K152" s="21" t="n"/>
      <c r="L152" s="21" t="n"/>
      <c r="M152" s="21" t="n"/>
      <c r="N152" s="21" t="n"/>
      <c r="O152" s="21" t="n"/>
      <c r="P152" s="21" t="n">
        <v>854600</v>
      </c>
      <c r="Q152" s="21" t="n">
        <v>854600</v>
      </c>
      <c r="R152" s="21">
        <f>IF(Q152="","",Q152*(1+in_GrowthRate)^(YEARFRAC(DATE(2022,12,31),in_AgeToDate)*IF(in_AgeToDate&lt;DATE(2022,12,31),-1,1)+1))</f>
        <v/>
      </c>
      <c r="S152" s="38" t="n"/>
      <c r="T152" s="43">
        <f>HYPERLINK("https://projects.propublica.org/nonprofits/organizations/941236937/202313139349102426/full","view filing")</f>
        <v/>
      </c>
    </row>
    <row r="153">
      <c r="A153" t="inlineStr">
        <is>
          <t>John D &amp; Catherine T Macarthur Foundation</t>
        </is>
      </c>
      <c r="B153" s="20" t="inlineStr">
        <is>
          <t>IL</t>
        </is>
      </c>
      <c r="C153" s="42" t="n">
        <v>7.19</v>
      </c>
      <c r="D153" t="inlineStr">
        <is>
          <t>Foundation</t>
        </is>
      </c>
      <c r="E153" s="20" t="n">
        <v>2024</v>
      </c>
      <c r="F153" s="20">
        <f>IF(AND(OR(in_Mode="All Funds",AND(C153&gt;=in_BandFloor,C153&lt;=in_BandCeiling,OR(in_Geography="National",COUNTIFS(lst_GeoPreset,in_Geography,lst_GeoState,B153)&gt;0,AND(in_Geography="Custom",ISNUMBER(SEARCH(B153,SUBSTITUTE(in_CustomStates," ",""))))),OR(AND(D153="Endowment",Inputs!$B$14="Y"),AND(D153="Foundation",Inputs!$B$15="Y"),AND(D153="Healthcare",Inputs!$B$16="Y"),AND(D153="Pension",Inputs!$B$17="Y"),AND(D153="OCIO",Inputs!$B$18="Y"),AND(D153="Other",Inputs!$B$19="Y")))),A153&lt;&gt;in_ClientOrg,NOT(AND(in_ExclHarvard="Y",ISNUMBER(SEARCH("Harvard",A153))))),"Y","")</f>
        <v/>
      </c>
      <c r="G153" t="inlineStr">
        <is>
          <t>Buck Betten</t>
        </is>
      </c>
      <c r="H153" t="inlineStr">
        <is>
          <t>MD, ASSET ALLOC, RIS</t>
        </is>
      </c>
      <c r="I153" t="inlineStr">
        <is>
          <t>Managing Director</t>
        </is>
      </c>
      <c r="J153" s="21" t="n"/>
      <c r="K153" s="21" t="n"/>
      <c r="L153" s="21" t="n"/>
      <c r="M153" s="21" t="n"/>
      <c r="N153" s="21" t="n"/>
      <c r="O153" s="21" t="n"/>
      <c r="P153" s="21" t="n">
        <v>1157520</v>
      </c>
      <c r="Q153" s="21" t="n">
        <v>1157520</v>
      </c>
      <c r="R153" s="21">
        <f>IF(Q153="","",Q153*(1+in_GrowthRate)^(YEARFRAC(DATE(2024,12,31),in_AgeToDate)*IF(in_AgeToDate&lt;DATE(2024,12,31),-1,1)+1))</f>
        <v/>
      </c>
      <c r="S153" s="38" t="n"/>
      <c r="T153" s="43">
        <f>HYPERLINK("https://projects.propublica.org/nonprofits/organizations/237093598/202503169349102460/full","view filing")</f>
        <v/>
      </c>
    </row>
    <row r="154">
      <c r="A154" t="inlineStr">
        <is>
          <t>John D &amp; Catherine T Macarthur Foundation</t>
        </is>
      </c>
      <c r="B154" s="20" t="inlineStr">
        <is>
          <t>IL</t>
        </is>
      </c>
      <c r="C154" s="42" t="n">
        <v>7.19</v>
      </c>
      <c r="D154" t="inlineStr">
        <is>
          <t>Foundation</t>
        </is>
      </c>
      <c r="E154" s="20" t="n">
        <v>2024</v>
      </c>
      <c r="F154" s="20">
        <f>IF(AND(OR(in_Mode="All Funds",AND(C154&gt;=in_BandFloor,C154&lt;=in_BandCeiling,OR(in_Geography="National",COUNTIFS(lst_GeoPreset,in_Geography,lst_GeoState,B154)&gt;0,AND(in_Geography="Custom",ISNUMBER(SEARCH(B154,SUBSTITUTE(in_CustomStates," ",""))))),OR(AND(D154="Endowment",Inputs!$B$14="Y"),AND(D154="Foundation",Inputs!$B$15="Y"),AND(D154="Healthcare",Inputs!$B$16="Y"),AND(D154="Pension",Inputs!$B$17="Y"),AND(D154="OCIO",Inputs!$B$18="Y"),AND(D154="Other",Inputs!$B$19="Y")))),A154&lt;&gt;in_ClientOrg,NOT(AND(in_ExclHarvard="Y",ISNUMBER(SEARCH("Harvard",A154))))),"Y","")</f>
        <v/>
      </c>
      <c r="G154" t="inlineStr">
        <is>
          <t>Caixia Ziegler</t>
        </is>
      </c>
      <c r="H154" t="inlineStr">
        <is>
          <t>MD, REAL ASSETS &amp; SU</t>
        </is>
      </c>
      <c r="I154" t="inlineStr">
        <is>
          <t>Managing Director</t>
        </is>
      </c>
      <c r="J154" s="21" t="n"/>
      <c r="K154" s="21" t="n"/>
      <c r="L154" s="21" t="n"/>
      <c r="M154" s="21" t="n"/>
      <c r="N154" s="21" t="n"/>
      <c r="O154" s="21" t="n"/>
      <c r="P154" s="21" t="n">
        <v>1176624</v>
      </c>
      <c r="Q154" s="21" t="n">
        <v>1176624</v>
      </c>
      <c r="R154" s="21">
        <f>IF(Q154="","",Q154*(1+in_GrowthRate)^(YEARFRAC(DATE(2024,12,31),in_AgeToDate)*IF(in_AgeToDate&lt;DATE(2024,12,31),-1,1)+1))</f>
        <v/>
      </c>
      <c r="S154" s="38" t="n"/>
      <c r="T154" s="43">
        <f>HYPERLINK("https://projects.propublica.org/nonprofits/organizations/237093598/202503169349102460/full","view filing")</f>
        <v/>
      </c>
    </row>
    <row r="155">
      <c r="A155" t="inlineStr">
        <is>
          <t>John D &amp; Catherine T Macarthur Foundation</t>
        </is>
      </c>
      <c r="B155" s="20" t="inlineStr">
        <is>
          <t>IL</t>
        </is>
      </c>
      <c r="C155" s="42" t="n">
        <v>7.19</v>
      </c>
      <c r="D155" t="inlineStr">
        <is>
          <t>Foundation</t>
        </is>
      </c>
      <c r="E155" s="20" t="n">
        <v>2024</v>
      </c>
      <c r="F155" s="20">
        <f>IF(AND(OR(in_Mode="All Funds",AND(C155&gt;=in_BandFloor,C155&lt;=in_BandCeiling,OR(in_Geography="National",COUNTIFS(lst_GeoPreset,in_Geography,lst_GeoState,B155)&gt;0,AND(in_Geography="Custom",ISNUMBER(SEARCH(B155,SUBSTITUTE(in_CustomStates," ",""))))),OR(AND(D155="Endowment",Inputs!$B$14="Y"),AND(D155="Foundation",Inputs!$B$15="Y"),AND(D155="Healthcare",Inputs!$B$16="Y"),AND(D155="Pension",Inputs!$B$17="Y"),AND(D155="OCIO",Inputs!$B$18="Y"),AND(D155="Other",Inputs!$B$19="Y")))),A155&lt;&gt;in_ClientOrg,NOT(AND(in_ExclHarvard="Y",ISNUMBER(SEARCH("Harvard",A155))))),"Y","")</f>
        <v/>
      </c>
      <c r="G155" t="inlineStr">
        <is>
          <t>David Greenwald</t>
        </is>
      </c>
      <c r="H155" t="inlineStr">
        <is>
          <t>MD, ABS RETURN &amp; FIX</t>
        </is>
      </c>
      <c r="I155" t="inlineStr">
        <is>
          <t>Managing Director</t>
        </is>
      </c>
      <c r="J155" s="21" t="n"/>
      <c r="K155" s="21" t="n"/>
      <c r="L155" s="21" t="n"/>
      <c r="M155" s="21" t="n"/>
      <c r="N155" s="21" t="n"/>
      <c r="O155" s="21" t="n"/>
      <c r="P155" s="21" t="n">
        <v>1023848</v>
      </c>
      <c r="Q155" s="21" t="n">
        <v>1023848</v>
      </c>
      <c r="R155" s="21">
        <f>IF(Q155="","",Q155*(1+in_GrowthRate)^(YEARFRAC(DATE(2024,12,31),in_AgeToDate)*IF(in_AgeToDate&lt;DATE(2024,12,31),-1,1)+1))</f>
        <v/>
      </c>
      <c r="S155" s="38" t="n"/>
      <c r="T155" s="43">
        <f>HYPERLINK("https://projects.propublica.org/nonprofits/organizations/237093598/202503169349102460/full","view filing")</f>
        <v/>
      </c>
    </row>
    <row r="156">
      <c r="A156" t="inlineStr">
        <is>
          <t>John D &amp; Catherine T Macarthur Foundation</t>
        </is>
      </c>
      <c r="B156" s="20" t="inlineStr">
        <is>
          <t>IL</t>
        </is>
      </c>
      <c r="C156" s="42" t="n">
        <v>7.19</v>
      </c>
      <c r="D156" t="inlineStr">
        <is>
          <t>Foundation</t>
        </is>
      </c>
      <c r="E156" s="20" t="n">
        <v>2024</v>
      </c>
      <c r="F156" s="20">
        <f>IF(AND(OR(in_Mode="All Funds",AND(C156&gt;=in_BandFloor,C156&lt;=in_BandCeiling,OR(in_Geography="National",COUNTIFS(lst_GeoPreset,in_Geography,lst_GeoState,B156)&gt;0,AND(in_Geography="Custom",ISNUMBER(SEARCH(B156,SUBSTITUTE(in_CustomStates," ",""))))),OR(AND(D156="Endowment",Inputs!$B$14="Y"),AND(D156="Foundation",Inputs!$B$15="Y"),AND(D156="Healthcare",Inputs!$B$16="Y"),AND(D156="Pension",Inputs!$B$17="Y"),AND(D156="OCIO",Inputs!$B$18="Y"),AND(D156="Other",Inputs!$B$19="Y")))),A156&lt;&gt;in_ClientOrg,NOT(AND(in_ExclHarvard="Y",ISNUMBER(SEARCH("Harvard",A156))))),"Y","")</f>
        <v/>
      </c>
      <c r="G156" t="inlineStr">
        <is>
          <t>Eric Vaang</t>
        </is>
      </c>
      <c r="H156" t="inlineStr">
        <is>
          <t>MD, INVESTMENTS</t>
        </is>
      </c>
      <c r="I156" t="inlineStr">
        <is>
          <t>Managing Director</t>
        </is>
      </c>
      <c r="J156" s="21" t="n"/>
      <c r="K156" s="21" t="n"/>
      <c r="L156" s="21" t="n"/>
      <c r="M156" s="21" t="n"/>
      <c r="N156" s="21" t="n"/>
      <c r="O156" s="21" t="n"/>
      <c r="P156" s="21" t="n">
        <v>1157494</v>
      </c>
      <c r="Q156" s="21" t="n">
        <v>1157494</v>
      </c>
      <c r="R156" s="21">
        <f>IF(Q156="","",Q156*(1+in_GrowthRate)^(YEARFRAC(DATE(2024,12,31),in_AgeToDate)*IF(in_AgeToDate&lt;DATE(2024,12,31),-1,1)+1))</f>
        <v/>
      </c>
      <c r="S156" s="38" t="n"/>
      <c r="T156" s="43">
        <f>HYPERLINK("https://projects.propublica.org/nonprofits/organizations/237093598/202503169349102460/full","view filing")</f>
        <v/>
      </c>
    </row>
    <row r="157">
      <c r="A157" t="inlineStr">
        <is>
          <t>John D &amp; Catherine T Macarthur Foundation</t>
        </is>
      </c>
      <c r="B157" s="20" t="inlineStr">
        <is>
          <t>IL</t>
        </is>
      </c>
      <c r="C157" s="42" t="n">
        <v>7.19</v>
      </c>
      <c r="D157" t="inlineStr">
        <is>
          <t>Foundation</t>
        </is>
      </c>
      <c r="E157" s="20" t="n">
        <v>2024</v>
      </c>
      <c r="F157" s="20">
        <f>IF(AND(OR(in_Mode="All Funds",AND(C157&gt;=in_BandFloor,C157&lt;=in_BandCeiling,OR(in_Geography="National",COUNTIFS(lst_GeoPreset,in_Geography,lst_GeoState,B157)&gt;0,AND(in_Geography="Custom",ISNUMBER(SEARCH(B157,SUBSTITUTE(in_CustomStates," ",""))))),OR(AND(D157="Endowment",Inputs!$B$14="Y"),AND(D157="Foundation",Inputs!$B$15="Y"),AND(D157="Healthcare",Inputs!$B$16="Y"),AND(D157="Pension",Inputs!$B$17="Y"),AND(D157="OCIO",Inputs!$B$18="Y"),AND(D157="Other",Inputs!$B$19="Y")))),A157&lt;&gt;in_ClientOrg,NOT(AND(in_ExclHarvard="Y",ISNUMBER(SEARCH("Harvard",A157))))),"Y","")</f>
        <v/>
      </c>
      <c r="G157" t="inlineStr">
        <is>
          <t>Mark Franke</t>
        </is>
      </c>
      <c r="H157" t="inlineStr">
        <is>
          <t>MD, PRIVATE EQUITY</t>
        </is>
      </c>
      <c r="I157" t="inlineStr">
        <is>
          <t>Managing Director</t>
        </is>
      </c>
      <c r="J157" s="21" t="n"/>
      <c r="K157" s="21" t="n"/>
      <c r="L157" s="21" t="n"/>
      <c r="M157" s="21" t="n"/>
      <c r="N157" s="21" t="n"/>
      <c r="O157" s="21" t="n"/>
      <c r="P157" s="21" t="n">
        <v>1177727</v>
      </c>
      <c r="Q157" s="21" t="n">
        <v>1177727</v>
      </c>
      <c r="R157" s="21">
        <f>IF(Q157="","",Q157*(1+in_GrowthRate)^(YEARFRAC(DATE(2024,12,31),in_AgeToDate)*IF(in_AgeToDate&lt;DATE(2024,12,31),-1,1)+1))</f>
        <v/>
      </c>
      <c r="S157" s="38" t="n"/>
      <c r="T157" s="43">
        <f>HYPERLINK("https://projects.propublica.org/nonprofits/organizations/237093598/202503169349102460/full","view filing")</f>
        <v/>
      </c>
    </row>
    <row r="158">
      <c r="A158" t="inlineStr">
        <is>
          <t>John D &amp; Catherine T Macarthur Foundation</t>
        </is>
      </c>
      <c r="B158" s="20" t="inlineStr">
        <is>
          <t>IL</t>
        </is>
      </c>
      <c r="C158" s="42" t="n">
        <v>7.19</v>
      </c>
      <c r="D158" t="inlineStr">
        <is>
          <t>Foundation</t>
        </is>
      </c>
      <c r="E158" s="20" t="n">
        <v>2023</v>
      </c>
      <c r="F158" s="20" t="inlineStr"/>
      <c r="G158" t="inlineStr">
        <is>
          <t>Buck Betten</t>
        </is>
      </c>
      <c r="H158" t="inlineStr">
        <is>
          <t>MANAGING DIRECTOR</t>
        </is>
      </c>
      <c r="I158" t="inlineStr">
        <is>
          <t>Managing Director</t>
        </is>
      </c>
      <c r="J158" s="21" t="n"/>
      <c r="K158" s="21" t="n"/>
      <c r="L158" s="21" t="n"/>
      <c r="M158" s="21" t="n"/>
      <c r="N158" s="21" t="n"/>
      <c r="O158" s="21" t="n"/>
      <c r="P158" s="21" t="n">
        <v>1039069</v>
      </c>
      <c r="Q158" s="21" t="n">
        <v>1039069</v>
      </c>
      <c r="R158" s="21">
        <f>IF(Q158="","",Q158*(1+in_GrowthRate)^(YEARFRAC(DATE(2023,12,31),in_AgeToDate)*IF(in_AgeToDate&lt;DATE(2023,12,31),-1,1)+1))</f>
        <v/>
      </c>
      <c r="S158" s="38" t="n"/>
      <c r="T158" s="43">
        <f>HYPERLINK("https://projects.propublica.org/nonprofits/organizations/237093598/202423189349103932/full","view filing")</f>
        <v/>
      </c>
    </row>
    <row r="159">
      <c r="A159" t="inlineStr">
        <is>
          <t>John D &amp; Catherine T Macarthur Foundation</t>
        </is>
      </c>
      <c r="B159" s="20" t="inlineStr">
        <is>
          <t>IL</t>
        </is>
      </c>
      <c r="C159" s="42" t="n">
        <v>7.19</v>
      </c>
      <c r="D159" t="inlineStr">
        <is>
          <t>Foundation</t>
        </is>
      </c>
      <c r="E159" s="20" t="n">
        <v>2023</v>
      </c>
      <c r="F159" s="20" t="inlineStr"/>
      <c r="G159" t="inlineStr">
        <is>
          <t>Caixia Ziegler</t>
        </is>
      </c>
      <c r="H159" t="inlineStr">
        <is>
          <t>MANAGING DIRECTOR</t>
        </is>
      </c>
      <c r="I159" t="inlineStr">
        <is>
          <t>Managing Director</t>
        </is>
      </c>
      <c r="J159" s="21" t="n"/>
      <c r="K159" s="21" t="n"/>
      <c r="L159" s="21" t="n"/>
      <c r="M159" s="21" t="n"/>
      <c r="N159" s="21" t="n"/>
      <c r="O159" s="21" t="n"/>
      <c r="P159" s="21" t="n">
        <v>1059724</v>
      </c>
      <c r="Q159" s="21" t="n">
        <v>1059724</v>
      </c>
      <c r="R159" s="21">
        <f>IF(Q159="","",Q159*(1+in_GrowthRate)^(YEARFRAC(DATE(2023,12,31),in_AgeToDate)*IF(in_AgeToDate&lt;DATE(2023,12,31),-1,1)+1))</f>
        <v/>
      </c>
      <c r="S159" s="38" t="n"/>
      <c r="T159" s="43">
        <f>HYPERLINK("https://projects.propublica.org/nonprofits/organizations/237093598/202423189349103932/full","view filing")</f>
        <v/>
      </c>
    </row>
    <row r="160">
      <c r="A160" t="inlineStr">
        <is>
          <t>John D &amp; Catherine T Macarthur Foundation</t>
        </is>
      </c>
      <c r="B160" s="20" t="inlineStr">
        <is>
          <t>IL</t>
        </is>
      </c>
      <c r="C160" s="42" t="n">
        <v>7.19</v>
      </c>
      <c r="D160" t="inlineStr">
        <is>
          <t>Foundation</t>
        </is>
      </c>
      <c r="E160" s="20" t="n">
        <v>2023</v>
      </c>
      <c r="F160" s="20" t="inlineStr"/>
      <c r="G160" t="inlineStr">
        <is>
          <t>David Greenwald</t>
        </is>
      </c>
      <c r="H160" t="inlineStr">
        <is>
          <t>MANAGING DIRECTOR</t>
        </is>
      </c>
      <c r="I160" t="inlineStr">
        <is>
          <t>Managing Director</t>
        </is>
      </c>
      <c r="J160" s="21" t="n"/>
      <c r="K160" s="21" t="n"/>
      <c r="L160" s="21" t="n"/>
      <c r="M160" s="21" t="n"/>
      <c r="N160" s="21" t="n"/>
      <c r="O160" s="21" t="n"/>
      <c r="P160" s="21" t="n">
        <v>1016186</v>
      </c>
      <c r="Q160" s="21" t="n">
        <v>1016186</v>
      </c>
      <c r="R160" s="21">
        <f>IF(Q160="","",Q160*(1+in_GrowthRate)^(YEARFRAC(DATE(2023,12,31),in_AgeToDate)*IF(in_AgeToDate&lt;DATE(2023,12,31),-1,1)+1))</f>
        <v/>
      </c>
      <c r="S160" s="38" t="n"/>
      <c r="T160" s="43">
        <f>HYPERLINK("https://projects.propublica.org/nonprofits/organizations/237093598/202423189349103932/full","view filing")</f>
        <v/>
      </c>
    </row>
    <row r="161">
      <c r="A161" t="inlineStr">
        <is>
          <t>John D &amp; Catherine T Macarthur Foundation</t>
        </is>
      </c>
      <c r="B161" s="20" t="inlineStr">
        <is>
          <t>IL</t>
        </is>
      </c>
      <c r="C161" s="42" t="n">
        <v>7.19</v>
      </c>
      <c r="D161" t="inlineStr">
        <is>
          <t>Foundation</t>
        </is>
      </c>
      <c r="E161" s="20" t="n">
        <v>2023</v>
      </c>
      <c r="F161" s="20" t="inlineStr"/>
      <c r="G161" t="inlineStr">
        <is>
          <t>Eric Vaang</t>
        </is>
      </c>
      <c r="H161" t="inlineStr">
        <is>
          <t>MANAGING DIRECTOR</t>
        </is>
      </c>
      <c r="I161" t="inlineStr">
        <is>
          <t>Managing Director</t>
        </is>
      </c>
      <c r="J161" s="21" t="n"/>
      <c r="K161" s="21" t="n"/>
      <c r="L161" s="21" t="n"/>
      <c r="M161" s="21" t="n"/>
      <c r="N161" s="21" t="n"/>
      <c r="O161" s="21" t="n"/>
      <c r="P161" s="21" t="n">
        <v>1041121</v>
      </c>
      <c r="Q161" s="21" t="n">
        <v>1041121</v>
      </c>
      <c r="R161" s="21">
        <f>IF(Q161="","",Q161*(1+in_GrowthRate)^(YEARFRAC(DATE(2023,12,31),in_AgeToDate)*IF(in_AgeToDate&lt;DATE(2023,12,31),-1,1)+1))</f>
        <v/>
      </c>
      <c r="S161" s="38" t="n"/>
      <c r="T161" s="43">
        <f>HYPERLINK("https://projects.propublica.org/nonprofits/organizations/237093598/202423189349103932/full","view filing")</f>
        <v/>
      </c>
    </row>
    <row r="162">
      <c r="A162" t="inlineStr">
        <is>
          <t>John D &amp; Catherine T Macarthur Foundation</t>
        </is>
      </c>
      <c r="B162" s="20" t="inlineStr">
        <is>
          <t>IL</t>
        </is>
      </c>
      <c r="C162" s="42" t="n">
        <v>7.19</v>
      </c>
      <c r="D162" t="inlineStr">
        <is>
          <t>Foundation</t>
        </is>
      </c>
      <c r="E162" s="20" t="n">
        <v>2023</v>
      </c>
      <c r="F162" s="20" t="inlineStr"/>
      <c r="G162" t="inlineStr">
        <is>
          <t>Mark Franke</t>
        </is>
      </c>
      <c r="H162" t="inlineStr">
        <is>
          <t>MANAGING DIRECTOR</t>
        </is>
      </c>
      <c r="I162" t="inlineStr">
        <is>
          <t>Managing Director</t>
        </is>
      </c>
      <c r="J162" s="21" t="n"/>
      <c r="K162" s="21" t="n"/>
      <c r="L162" s="21" t="n"/>
      <c r="M162" s="21" t="n"/>
      <c r="N162" s="21" t="n"/>
      <c r="O162" s="21" t="n"/>
      <c r="P162" s="21" t="n">
        <v>1087727</v>
      </c>
      <c r="Q162" s="21" t="n">
        <v>1087727</v>
      </c>
      <c r="R162" s="21">
        <f>IF(Q162="","",Q162*(1+in_GrowthRate)^(YEARFRAC(DATE(2023,12,31),in_AgeToDate)*IF(in_AgeToDate&lt;DATE(2023,12,31),-1,1)+1))</f>
        <v/>
      </c>
      <c r="S162" s="38" t="n"/>
      <c r="T162" s="43">
        <f>HYPERLINK("https://projects.propublica.org/nonprofits/organizations/237093598/202423189349103932/full","view filing")</f>
        <v/>
      </c>
    </row>
    <row r="163">
      <c r="A163" t="inlineStr">
        <is>
          <t>John D &amp; Catherine T Macarthur Foundation</t>
        </is>
      </c>
      <c r="B163" s="20" t="inlineStr">
        <is>
          <t>IL</t>
        </is>
      </c>
      <c r="C163" s="42" t="n">
        <v>7.19</v>
      </c>
      <c r="D163" t="inlineStr">
        <is>
          <t>Foundation</t>
        </is>
      </c>
      <c r="E163" s="20" t="n">
        <v>2022</v>
      </c>
      <c r="F163" s="20" t="inlineStr"/>
      <c r="G163" t="inlineStr">
        <is>
          <t>Buck Betten</t>
        </is>
      </c>
      <c r="H163" t="inlineStr">
        <is>
          <t>MANAGING DIRECTOR</t>
        </is>
      </c>
      <c r="I163" t="inlineStr">
        <is>
          <t>Managing Director</t>
        </is>
      </c>
      <c r="J163" s="21" t="n"/>
      <c r="K163" s="21" t="n"/>
      <c r="L163" s="21" t="n"/>
      <c r="M163" s="21" t="n"/>
      <c r="N163" s="21" t="n"/>
      <c r="O163" s="21" t="n"/>
      <c r="P163" s="21" t="n">
        <v>955076</v>
      </c>
      <c r="Q163" s="21" t="n">
        <v>955076</v>
      </c>
      <c r="R163" s="21">
        <f>IF(Q163="","",Q163*(1+in_GrowthRate)^(YEARFRAC(DATE(2022,12,31),in_AgeToDate)*IF(in_AgeToDate&lt;DATE(2022,12,31),-1,1)+1))</f>
        <v/>
      </c>
      <c r="S163" s="38" t="n"/>
      <c r="T163" s="43">
        <f>HYPERLINK("https://projects.propublica.org/nonprofits/organizations/237093598/202313179349104401/full","view filing")</f>
        <v/>
      </c>
    </row>
    <row r="164">
      <c r="A164" t="inlineStr">
        <is>
          <t>John D &amp; Catherine T Macarthur Foundation</t>
        </is>
      </c>
      <c r="B164" s="20" t="inlineStr">
        <is>
          <t>IL</t>
        </is>
      </c>
      <c r="C164" s="42" t="n">
        <v>7.19</v>
      </c>
      <c r="D164" t="inlineStr">
        <is>
          <t>Foundation</t>
        </is>
      </c>
      <c r="E164" s="20" t="n">
        <v>2022</v>
      </c>
      <c r="F164" s="20" t="inlineStr"/>
      <c r="G164" t="inlineStr">
        <is>
          <t>Caixia Ziegler</t>
        </is>
      </c>
      <c r="H164" t="inlineStr">
        <is>
          <t>MANAGING DIRECTOR</t>
        </is>
      </c>
      <c r="I164" t="inlineStr">
        <is>
          <t>Managing Director</t>
        </is>
      </c>
      <c r="J164" s="21" t="n"/>
      <c r="K164" s="21" t="n"/>
      <c r="L164" s="21" t="n"/>
      <c r="M164" s="21" t="n"/>
      <c r="N164" s="21" t="n"/>
      <c r="O164" s="21" t="n"/>
      <c r="P164" s="21" t="n">
        <v>1049575</v>
      </c>
      <c r="Q164" s="21" t="n">
        <v>1049575</v>
      </c>
      <c r="R164" s="21">
        <f>IF(Q164="","",Q164*(1+in_GrowthRate)^(YEARFRAC(DATE(2022,12,31),in_AgeToDate)*IF(in_AgeToDate&lt;DATE(2022,12,31),-1,1)+1))</f>
        <v/>
      </c>
      <c r="S164" s="38" t="n"/>
      <c r="T164" s="43">
        <f>HYPERLINK("https://projects.propublica.org/nonprofits/organizations/237093598/202313179349104401/full","view filing")</f>
        <v/>
      </c>
    </row>
    <row r="165">
      <c r="A165" t="inlineStr">
        <is>
          <t>John D &amp; Catherine T Macarthur Foundation</t>
        </is>
      </c>
      <c r="B165" s="20" t="inlineStr">
        <is>
          <t>IL</t>
        </is>
      </c>
      <c r="C165" s="42" t="n">
        <v>7.19</v>
      </c>
      <c r="D165" t="inlineStr">
        <is>
          <t>Foundation</t>
        </is>
      </c>
      <c r="E165" s="20" t="n">
        <v>2022</v>
      </c>
      <c r="F165" s="20" t="inlineStr"/>
      <c r="G165" t="inlineStr">
        <is>
          <t>David Greenwald</t>
        </is>
      </c>
      <c r="H165" t="inlineStr">
        <is>
          <t>MANAGING DIRECTOR</t>
        </is>
      </c>
      <c r="I165" t="inlineStr">
        <is>
          <t>Managing Director</t>
        </is>
      </c>
      <c r="J165" s="21" t="n"/>
      <c r="K165" s="21" t="n"/>
      <c r="L165" s="21" t="n"/>
      <c r="M165" s="21" t="n"/>
      <c r="N165" s="21" t="n"/>
      <c r="O165" s="21" t="n"/>
      <c r="P165" s="21" t="n">
        <v>990569</v>
      </c>
      <c r="Q165" s="21" t="n">
        <v>990569</v>
      </c>
      <c r="R165" s="21">
        <f>IF(Q165="","",Q165*(1+in_GrowthRate)^(YEARFRAC(DATE(2022,12,31),in_AgeToDate)*IF(in_AgeToDate&lt;DATE(2022,12,31),-1,1)+1))</f>
        <v/>
      </c>
      <c r="S165" s="38" t="n"/>
      <c r="T165" s="43">
        <f>HYPERLINK("https://projects.propublica.org/nonprofits/organizations/237093598/202313179349104401/full","view filing")</f>
        <v/>
      </c>
    </row>
    <row r="166">
      <c r="A166" t="inlineStr">
        <is>
          <t>John D &amp; Catherine T Macarthur Foundation</t>
        </is>
      </c>
      <c r="B166" s="20" t="inlineStr">
        <is>
          <t>IL</t>
        </is>
      </c>
      <c r="C166" s="42" t="n">
        <v>7.19</v>
      </c>
      <c r="D166" t="inlineStr">
        <is>
          <t>Foundation</t>
        </is>
      </c>
      <c r="E166" s="20" t="n">
        <v>2022</v>
      </c>
      <c r="F166" s="20" t="inlineStr"/>
      <c r="G166" t="inlineStr">
        <is>
          <t>Eric Vaang</t>
        </is>
      </c>
      <c r="H166" t="inlineStr">
        <is>
          <t>MANAGING DIRECTOR</t>
        </is>
      </c>
      <c r="I166" t="inlineStr">
        <is>
          <t>Managing Director</t>
        </is>
      </c>
      <c r="J166" s="21" t="n"/>
      <c r="K166" s="21" t="n"/>
      <c r="L166" s="21" t="n"/>
      <c r="M166" s="21" t="n"/>
      <c r="N166" s="21" t="n"/>
      <c r="O166" s="21" t="n"/>
      <c r="P166" s="21" t="n">
        <v>1030283</v>
      </c>
      <c r="Q166" s="21" t="n">
        <v>1030283</v>
      </c>
      <c r="R166" s="21">
        <f>IF(Q166="","",Q166*(1+in_GrowthRate)^(YEARFRAC(DATE(2022,12,31),in_AgeToDate)*IF(in_AgeToDate&lt;DATE(2022,12,31),-1,1)+1))</f>
        <v/>
      </c>
      <c r="S166" s="38" t="n"/>
      <c r="T166" s="43">
        <f>HYPERLINK("https://projects.propublica.org/nonprofits/organizations/237093598/202313179349104401/full","view filing")</f>
        <v/>
      </c>
    </row>
    <row r="167">
      <c r="A167" t="inlineStr">
        <is>
          <t>John D &amp; Catherine T Macarthur Foundation</t>
        </is>
      </c>
      <c r="B167" s="20" t="inlineStr">
        <is>
          <t>IL</t>
        </is>
      </c>
      <c r="C167" s="42" t="n">
        <v>7.19</v>
      </c>
      <c r="D167" t="inlineStr">
        <is>
          <t>Foundation</t>
        </is>
      </c>
      <c r="E167" s="20" t="n">
        <v>2022</v>
      </c>
      <c r="F167" s="20" t="inlineStr"/>
      <c r="G167" t="inlineStr">
        <is>
          <t>Mark Franke</t>
        </is>
      </c>
      <c r="H167" t="inlineStr">
        <is>
          <t>MANAGING DIRECTOR</t>
        </is>
      </c>
      <c r="I167" t="inlineStr">
        <is>
          <t>Managing Director</t>
        </is>
      </c>
      <c r="J167" s="21" t="n"/>
      <c r="K167" s="21" t="n"/>
      <c r="L167" s="21" t="n"/>
      <c r="M167" s="21" t="n"/>
      <c r="N167" s="21" t="n"/>
      <c r="O167" s="21" t="n"/>
      <c r="P167" s="21" t="n">
        <v>1078302</v>
      </c>
      <c r="Q167" s="21" t="n">
        <v>1078302</v>
      </c>
      <c r="R167" s="21">
        <f>IF(Q167="","",Q167*(1+in_GrowthRate)^(YEARFRAC(DATE(2022,12,31),in_AgeToDate)*IF(in_AgeToDate&lt;DATE(2022,12,31),-1,1)+1))</f>
        <v/>
      </c>
      <c r="S167" s="38" t="n"/>
      <c r="T167" s="43">
        <f>HYPERLINK("https://projects.propublica.org/nonprofits/organizations/237093598/202313179349104401/full","view filing")</f>
        <v/>
      </c>
    </row>
    <row r="168">
      <c r="A168" t="inlineStr">
        <is>
          <t>Kresge Foundation</t>
        </is>
      </c>
      <c r="B168" s="20" t="inlineStr">
        <is>
          <t>MI</t>
        </is>
      </c>
      <c r="C168" s="42" t="n">
        <v>3.96</v>
      </c>
      <c r="D168" t="inlineStr">
        <is>
          <t>Foundation</t>
        </is>
      </c>
      <c r="E168" s="20" t="n">
        <v>2024</v>
      </c>
      <c r="F168" s="20">
        <f>IF(AND(OR(in_Mode="All Funds",AND(C168&gt;=in_BandFloor,C168&lt;=in_BandCeiling,OR(in_Geography="National",COUNTIFS(lst_GeoPreset,in_Geography,lst_GeoState,B168)&gt;0,AND(in_Geography="Custom",ISNUMBER(SEARCH(B168,SUBSTITUTE(in_CustomStates," ",""))))),OR(AND(D168="Endowment",Inputs!$B$14="Y"),AND(D168="Foundation",Inputs!$B$15="Y"),AND(D168="Healthcare",Inputs!$B$16="Y"),AND(D168="Pension",Inputs!$B$17="Y"),AND(D168="OCIO",Inputs!$B$18="Y"),AND(D168="Other",Inputs!$B$19="Y")))),A168&lt;&gt;in_ClientOrg,NOT(AND(in_ExclHarvard="Y",ISNUMBER(SEARCH("Harvard",A168))))),"Y","")</f>
        <v/>
      </c>
      <c r="G168" t="inlineStr">
        <is>
          <t>Aaron Seybert Stmt 25</t>
        </is>
      </c>
      <c r="H168" t="inlineStr">
        <is>
          <t>MANAGING DIRECTOR</t>
        </is>
      </c>
      <c r="I168" t="inlineStr">
        <is>
          <t>Managing Director</t>
        </is>
      </c>
      <c r="J168" s="21" t="n"/>
      <c r="K168" s="21" t="n"/>
      <c r="L168" s="21" t="n"/>
      <c r="M168" s="21" t="n"/>
      <c r="N168" s="21" t="n"/>
      <c r="O168" s="21" t="n"/>
      <c r="P168" s="21" t="n">
        <v>426293</v>
      </c>
      <c r="Q168" s="21" t="n">
        <v>426293</v>
      </c>
      <c r="R168" s="21">
        <f>IF(Q168="","",Q168*(1+in_GrowthRate)^(YEARFRAC(DATE(2024,12,31),in_AgeToDate)*IF(in_AgeToDate&lt;DATE(2024,12,31),-1,1)+1))</f>
        <v/>
      </c>
      <c r="S168" s="38" t="n"/>
      <c r="T168" s="43">
        <f>HYPERLINK("https://projects.propublica.org/nonprofits/organizations/381359217/202513169349101931/full","view filing")</f>
        <v/>
      </c>
    </row>
    <row r="169">
      <c r="A169" t="inlineStr">
        <is>
          <t>Kresge Foundation</t>
        </is>
      </c>
      <c r="B169" s="20" t="inlineStr">
        <is>
          <t>MI</t>
        </is>
      </c>
      <c r="C169" s="42" t="n">
        <v>3.96</v>
      </c>
      <c r="D169" t="inlineStr">
        <is>
          <t>Foundation</t>
        </is>
      </c>
      <c r="E169" s="20" t="n">
        <v>2023</v>
      </c>
      <c r="F169" s="20" t="inlineStr"/>
      <c r="G169" t="inlineStr">
        <is>
          <t>Aaron Seybert Stmt 24</t>
        </is>
      </c>
      <c r="H169" t="inlineStr">
        <is>
          <t>MANAGING DIRECTOR</t>
        </is>
      </c>
      <c r="I169" t="inlineStr">
        <is>
          <t>Managing Director</t>
        </is>
      </c>
      <c r="J169" s="21" t="n"/>
      <c r="K169" s="21" t="n"/>
      <c r="L169" s="21" t="n"/>
      <c r="M169" s="21" t="n"/>
      <c r="N169" s="21" t="n"/>
      <c r="O169" s="21" t="n"/>
      <c r="P169" s="21" t="n">
        <v>396908</v>
      </c>
      <c r="Q169" s="21" t="n">
        <v>396908</v>
      </c>
      <c r="R169" s="21">
        <f>IF(Q169="","",Q169*(1+in_GrowthRate)^(YEARFRAC(DATE(2023,12,31),in_AgeToDate)*IF(in_AgeToDate&lt;DATE(2023,12,31),-1,1)+1))</f>
        <v/>
      </c>
      <c r="S169" s="38" t="n"/>
      <c r="T169" s="43">
        <f>HYPERLINK("https://projects.propublica.org/nonprofits/organizations/381359217/202413199349106071/full","view filing")</f>
        <v/>
      </c>
    </row>
    <row r="170">
      <c r="A170" t="inlineStr">
        <is>
          <t>Kresge Foundation</t>
        </is>
      </c>
      <c r="B170" s="20" t="inlineStr">
        <is>
          <t>MI</t>
        </is>
      </c>
      <c r="C170" s="42" t="n">
        <v>3.96</v>
      </c>
      <c r="D170" t="inlineStr">
        <is>
          <t>Foundation</t>
        </is>
      </c>
      <c r="E170" s="20" t="n">
        <v>2022</v>
      </c>
      <c r="F170" s="20" t="inlineStr"/>
      <c r="G170" t="inlineStr">
        <is>
          <t>Aaron Seybert Stmt 25</t>
        </is>
      </c>
      <c r="H170" t="inlineStr">
        <is>
          <t>MANAGING DIRECTOR</t>
        </is>
      </c>
      <c r="I170" t="inlineStr">
        <is>
          <t>Managing Director</t>
        </is>
      </c>
      <c r="J170" s="21" t="n"/>
      <c r="K170" s="21" t="n"/>
      <c r="L170" s="21" t="n"/>
      <c r="M170" s="21" t="n"/>
      <c r="N170" s="21" t="n"/>
      <c r="O170" s="21" t="n"/>
      <c r="P170" s="21" t="n">
        <v>384984</v>
      </c>
      <c r="Q170" s="21" t="n">
        <v>384984</v>
      </c>
      <c r="R170" s="21">
        <f>IF(Q170="","",Q170*(1+in_GrowthRate)^(YEARFRAC(DATE(2022,12,31),in_AgeToDate)*IF(in_AgeToDate&lt;DATE(2022,12,31),-1,1)+1))</f>
        <v/>
      </c>
      <c r="S170" s="38" t="n"/>
      <c r="T170" s="43">
        <f>HYPERLINK("https://projects.propublica.org/nonprofits/organizations/381359217/202333179349102048/full","view filing")</f>
        <v/>
      </c>
    </row>
    <row r="171">
      <c r="A171" t="inlineStr">
        <is>
          <t>Massachusetts Institute Of Technology</t>
        </is>
      </c>
      <c r="B171" s="20" t="inlineStr">
        <is>
          <t>MA</t>
        </is>
      </c>
      <c r="C171" s="42" t="n">
        <v>27.37</v>
      </c>
      <c r="D171" t="inlineStr">
        <is>
          <t>Endowment</t>
        </is>
      </c>
      <c r="E171" s="20" t="n">
        <v>2025</v>
      </c>
      <c r="F171" s="20">
        <f>IF(AND(OR(in_Mode="All Funds",AND(C171&gt;=in_BandFloor,C171&lt;=in_BandCeiling,OR(in_Geography="National",COUNTIFS(lst_GeoPreset,in_Geography,lst_GeoState,B171)&gt;0,AND(in_Geography="Custom",ISNUMBER(SEARCH(B171,SUBSTITUTE(in_CustomStates," ",""))))),OR(AND(D171="Endowment",Inputs!$B$14="Y"),AND(D171="Foundation",Inputs!$B$15="Y"),AND(D171="Healthcare",Inputs!$B$16="Y"),AND(D171="Pension",Inputs!$B$17="Y"),AND(D171="OCIO",Inputs!$B$18="Y"),AND(D171="Other",Inputs!$B$19="Y")))),A171&lt;&gt;in_ClientOrg,NOT(AND(in_ExclHarvard="Y",ISNUMBER(SEARCH("Harvard",A171))))),"Y","")</f>
        <v/>
      </c>
      <c r="G171" t="inlineStr">
        <is>
          <t>Joel Cohen</t>
        </is>
      </c>
      <c r="H171" t="inlineStr">
        <is>
          <t>Global Investment Professional, MITIMCo</t>
        </is>
      </c>
      <c r="I171" t="inlineStr">
        <is>
          <t>Investment Officer</t>
        </is>
      </c>
      <c r="J171" s="21" t="n">
        <v>539270</v>
      </c>
      <c r="K171" s="21" t="n">
        <v>1580662</v>
      </c>
      <c r="L171" s="21" t="n">
        <v>2119932</v>
      </c>
      <c r="M171" s="21" t="n">
        <v>12879</v>
      </c>
      <c r="N171" s="21" t="n">
        <v>443550</v>
      </c>
      <c r="O171" s="21" t="n">
        <v>34474</v>
      </c>
      <c r="P171" s="21" t="n">
        <v>2610835</v>
      </c>
      <c r="Q171" s="21" t="n">
        <v>2610835</v>
      </c>
      <c r="R171" s="21">
        <f>IF(Q171="","",Q171*(1+in_GrowthRate)^(YEARFRAC(DATE(2025,6,30),in_AgeToDate)*IF(in_AgeToDate&lt;DATE(2025,6,30),-1,1)+1))</f>
        <v/>
      </c>
      <c r="S171" s="38" t="n">
        <v>2.931114284124835</v>
      </c>
      <c r="T171" s="43">
        <f>HYPERLINK("https://projects.propublica.org/nonprofits/organizations/42103594/202601359349306115/full","view filing")</f>
        <v/>
      </c>
    </row>
    <row r="172">
      <c r="A172" t="inlineStr">
        <is>
          <t>Massachusetts Institute Of Technology</t>
        </is>
      </c>
      <c r="B172" s="20" t="inlineStr">
        <is>
          <t>MA</t>
        </is>
      </c>
      <c r="C172" s="42" t="n">
        <v>27.37</v>
      </c>
      <c r="D172" t="inlineStr">
        <is>
          <t>Endowment</t>
        </is>
      </c>
      <c r="E172" s="20" t="n">
        <v>2025</v>
      </c>
      <c r="F172" s="20">
        <f>IF(AND(OR(in_Mode="All Funds",AND(C172&gt;=in_BandFloor,C172&lt;=in_BandCeiling,OR(in_Geography="National",COUNTIFS(lst_GeoPreset,in_Geography,lst_GeoState,B172)&gt;0,AND(in_Geography="Custom",ISNUMBER(SEARCH(B172,SUBSTITUTE(in_CustomStates," ",""))))),OR(AND(D172="Endowment",Inputs!$B$14="Y"),AND(D172="Foundation",Inputs!$B$15="Y"),AND(D172="Healthcare",Inputs!$B$16="Y"),AND(D172="Pension",Inputs!$B$17="Y"),AND(D172="OCIO",Inputs!$B$18="Y"),AND(D172="Other",Inputs!$B$19="Y")))),A172&lt;&gt;in_ClientOrg,NOT(AND(in_ExclHarvard="Y",ISNUMBER(SEARCH("Harvard",A172))))),"Y","")</f>
        <v/>
      </c>
      <c r="G172" t="inlineStr">
        <is>
          <t>Navneeth Harikumar</t>
        </is>
      </c>
      <c r="H172" t="inlineStr">
        <is>
          <t>Global Investment Professional, MITIMCo</t>
        </is>
      </c>
      <c r="I172" t="inlineStr">
        <is>
          <t>Investment Officer</t>
        </is>
      </c>
      <c r="J172" s="21" t="n">
        <v>546870</v>
      </c>
      <c r="K172" s="21" t="n">
        <v>1859594</v>
      </c>
      <c r="L172" s="21" t="n">
        <v>2406464</v>
      </c>
      <c r="M172" s="21" t="n"/>
      <c r="N172" s="21" t="n">
        <v>511803</v>
      </c>
      <c r="O172" s="21" t="n">
        <v>11718</v>
      </c>
      <c r="P172" s="21" t="n">
        <v>2929985</v>
      </c>
      <c r="Q172" s="21" t="n">
        <v>2537571</v>
      </c>
      <c r="R172" s="21">
        <f>IF(Q172="","",Q172*(1+in_GrowthRate)^(YEARFRAC(DATE(2025,6,30),in_AgeToDate)*IF(in_AgeToDate&lt;DATE(2025,6,30),-1,1)+1))</f>
        <v/>
      </c>
      <c r="S172" s="38" t="n">
        <v>3.400431546802714</v>
      </c>
      <c r="T172" s="43">
        <f>HYPERLINK("https://projects.propublica.org/nonprofits/organizations/42103594/202601359349306115/full","view filing")</f>
        <v/>
      </c>
    </row>
    <row r="173">
      <c r="A173" t="inlineStr">
        <is>
          <t>Massachusetts Institute Of Technology</t>
        </is>
      </c>
      <c r="B173" s="20" t="inlineStr">
        <is>
          <t>MA</t>
        </is>
      </c>
      <c r="C173" s="42" t="n">
        <v>27.37</v>
      </c>
      <c r="D173" t="inlineStr">
        <is>
          <t>Endowment</t>
        </is>
      </c>
      <c r="E173" s="20" t="n">
        <v>2025</v>
      </c>
      <c r="F173" s="20">
        <f>IF(AND(OR(in_Mode="All Funds",AND(C173&gt;=in_BandFloor,C173&lt;=in_BandCeiling,OR(in_Geography="National",COUNTIFS(lst_GeoPreset,in_Geography,lst_GeoState,B173)&gt;0,AND(in_Geography="Custom",ISNUMBER(SEARCH(B173,SUBSTITUTE(in_CustomStates," ",""))))),OR(AND(D173="Endowment",Inputs!$B$14="Y"),AND(D173="Foundation",Inputs!$B$15="Y"),AND(D173="Healthcare",Inputs!$B$16="Y"),AND(D173="Pension",Inputs!$B$17="Y"),AND(D173="OCIO",Inputs!$B$18="Y"),AND(D173="Other",Inputs!$B$19="Y")))),A173&lt;&gt;in_ClientOrg,NOT(AND(in_ExclHarvard="Y",ISNUMBER(SEARCH("Harvard",A173))))),"Y","")</f>
        <v/>
      </c>
      <c r="G173" t="inlineStr">
        <is>
          <t>Ryan Akkina</t>
        </is>
      </c>
      <c r="H173" t="inlineStr">
        <is>
          <t>Global Investment Professional, MITIMCo</t>
        </is>
      </c>
      <c r="I173" t="inlineStr">
        <is>
          <t>Investment Officer</t>
        </is>
      </c>
      <c r="J173" s="21" t="n">
        <v>534255</v>
      </c>
      <c r="K173" s="21" t="n">
        <v>1823473</v>
      </c>
      <c r="L173" s="21" t="n">
        <v>2357728</v>
      </c>
      <c r="M173" s="21" t="n">
        <v>15064</v>
      </c>
      <c r="N173" s="21" t="n">
        <v>506050</v>
      </c>
      <c r="O173" s="21" t="n">
        <v>40489</v>
      </c>
      <c r="P173" s="21" t="n">
        <v>2919331</v>
      </c>
      <c r="Q173" s="21" t="n">
        <v>2563038</v>
      </c>
      <c r="R173" s="21">
        <f>IF(Q173="","",Q173*(1+in_GrowthRate)^(YEARFRAC(DATE(2025,6,30),in_AgeToDate)*IF(in_AgeToDate&lt;DATE(2025,6,30),-1,1)+1))</f>
        <v/>
      </c>
      <c r="S173" s="38" t="n">
        <v>3.413113588080598</v>
      </c>
      <c r="T173" s="43">
        <f>HYPERLINK("https://projects.propublica.org/nonprofits/organizations/42103594/202601359349306115/full","view filing")</f>
        <v/>
      </c>
    </row>
    <row r="174">
      <c r="A174" t="inlineStr">
        <is>
          <t>Massachusetts Institute Of Technology</t>
        </is>
      </c>
      <c r="B174" s="20" t="inlineStr">
        <is>
          <t>MA</t>
        </is>
      </c>
      <c r="C174" s="42" t="n">
        <v>27.37</v>
      </c>
      <c r="D174" t="inlineStr">
        <is>
          <t>Endowment</t>
        </is>
      </c>
      <c r="E174" s="20" t="n">
        <v>2025</v>
      </c>
      <c r="F174" s="20">
        <f>IF(AND(OR(in_Mode="All Funds",AND(C174&gt;=in_BandFloor,C174&lt;=in_BandCeiling,OR(in_Geography="National",COUNTIFS(lst_GeoPreset,in_Geography,lst_GeoState,B174)&gt;0,AND(in_Geography="Custom",ISNUMBER(SEARCH(B174,SUBSTITUTE(in_CustomStates," ",""))))),OR(AND(D174="Endowment",Inputs!$B$14="Y"),AND(D174="Foundation",Inputs!$B$15="Y"),AND(D174="Healthcare",Inputs!$B$16="Y"),AND(D174="Pension",Inputs!$B$17="Y"),AND(D174="OCIO",Inputs!$B$18="Y"),AND(D174="Other",Inputs!$B$19="Y")))),A174&lt;&gt;in_ClientOrg,NOT(AND(in_ExclHarvard="Y",ISNUMBER(SEARCH("Harvard",A174))))),"Y","")</f>
        <v/>
      </c>
      <c r="G174" t="inlineStr">
        <is>
          <t>Thomas Wieand</t>
        </is>
      </c>
      <c r="H174" t="inlineStr">
        <is>
          <t>Global Investment Professional, MITIMCo</t>
        </is>
      </c>
      <c r="I174" t="inlineStr">
        <is>
          <t>Investment Officer</t>
        </is>
      </c>
      <c r="J174" s="21" t="n">
        <v>537103</v>
      </c>
      <c r="K174" s="21" t="n">
        <v>1857245</v>
      </c>
      <c r="L174" s="21" t="n">
        <v>2394348</v>
      </c>
      <c r="M174" s="21" t="n">
        <v>17456</v>
      </c>
      <c r="N174" s="21" t="n">
        <v>525450</v>
      </c>
      <c r="O174" s="21" t="n">
        <v>36641</v>
      </c>
      <c r="P174" s="21" t="n">
        <v>2973895</v>
      </c>
      <c r="Q174" s="21" t="n">
        <v>2622440</v>
      </c>
      <c r="R174" s="21">
        <f>IF(Q174="","",Q174*(1+in_GrowthRate)^(YEARFRAC(DATE(2025,6,30),in_AgeToDate)*IF(in_AgeToDate&lt;DATE(2025,6,30),-1,1)+1))</f>
        <v/>
      </c>
      <c r="S174" s="38" t="n">
        <v>3.457893551143822</v>
      </c>
      <c r="T174" s="43">
        <f>HYPERLINK("https://projects.propublica.org/nonprofits/organizations/42103594/202601359349306115/full","view filing")</f>
        <v/>
      </c>
    </row>
    <row r="175">
      <c r="A175" t="inlineStr">
        <is>
          <t>Massachusetts Institute Of Technology</t>
        </is>
      </c>
      <c r="B175" s="20" t="inlineStr">
        <is>
          <t>MA</t>
        </is>
      </c>
      <c r="C175" s="42" t="n">
        <v>27.37</v>
      </c>
      <c r="D175" t="inlineStr">
        <is>
          <t>Endowment</t>
        </is>
      </c>
      <c r="E175" s="20" t="n">
        <v>2024</v>
      </c>
      <c r="F175" s="20" t="inlineStr"/>
      <c r="G175" t="inlineStr">
        <is>
          <t>Navneeth Harikumar</t>
        </is>
      </c>
      <c r="H175" t="inlineStr">
        <is>
          <t>Global Investment Professional, MITIMCo</t>
        </is>
      </c>
      <c r="I175" t="inlineStr">
        <is>
          <t>Investment Officer</t>
        </is>
      </c>
      <c r="J175" s="21" t="n">
        <v>321076</v>
      </c>
      <c r="K175" s="21" t="n">
        <v>1456051</v>
      </c>
      <c r="L175" s="21" t="n">
        <v>1777127</v>
      </c>
      <c r="M175" s="21" t="n"/>
      <c r="N175" s="21" t="n">
        <v>509618</v>
      </c>
      <c r="O175" s="21" t="n">
        <v>11612</v>
      </c>
      <c r="P175" s="21" t="n">
        <v>2298357</v>
      </c>
      <c r="Q175" s="21" t="n">
        <v>2298357</v>
      </c>
      <c r="R175" s="21">
        <f>IF(Q175="","",Q175*(1+in_GrowthRate)^(YEARFRAC(DATE(2024,6,30),in_AgeToDate)*IF(in_AgeToDate&lt;DATE(2024,6,30),-1,1)+1))</f>
        <v/>
      </c>
      <c r="S175" s="38" t="n">
        <v>4.53491073764467</v>
      </c>
      <c r="T175" s="43">
        <f>HYPERLINK("https://projects.propublica.org/nonprofits/organizations/42103594/202501359349301830/full","view filing")</f>
        <v/>
      </c>
    </row>
    <row r="176">
      <c r="A176" t="inlineStr">
        <is>
          <t>Massachusetts Institute Of Technology</t>
        </is>
      </c>
      <c r="B176" s="20" t="inlineStr">
        <is>
          <t>MA</t>
        </is>
      </c>
      <c r="C176" s="42" t="n">
        <v>27.37</v>
      </c>
      <c r="D176" t="inlineStr">
        <is>
          <t>Endowment</t>
        </is>
      </c>
      <c r="E176" s="20" t="n">
        <v>2024</v>
      </c>
      <c r="F176" s="20" t="inlineStr"/>
      <c r="G176" t="inlineStr">
        <is>
          <t>Ryan Akkina</t>
        </is>
      </c>
      <c r="H176" t="inlineStr">
        <is>
          <t>Global Investment Professional, MITIMCo</t>
        </is>
      </c>
      <c r="I176" t="inlineStr">
        <is>
          <t>Investment Officer</t>
        </is>
      </c>
      <c r="J176" s="21" t="n">
        <v>464691</v>
      </c>
      <c r="K176" s="21" t="n">
        <v>1340506</v>
      </c>
      <c r="L176" s="21" t="n">
        <v>1805197</v>
      </c>
      <c r="M176" s="21" t="n">
        <v>15716</v>
      </c>
      <c r="N176" s="21" t="n">
        <v>504700</v>
      </c>
      <c r="O176" s="21" t="n">
        <v>38113</v>
      </c>
      <c r="P176" s="21" t="n">
        <v>2363726</v>
      </c>
      <c r="Q176" s="21" t="n">
        <v>2024609</v>
      </c>
      <c r="R176" s="21">
        <f>IF(Q176="","",Q176*(1+in_GrowthRate)^(YEARFRAC(DATE(2024,6,30),in_AgeToDate)*IF(in_AgeToDate&lt;DATE(2024,6,30),-1,1)+1))</f>
        <v/>
      </c>
      <c r="S176" s="38" t="n">
        <v>2.88472554880555</v>
      </c>
      <c r="T176" s="43">
        <f>HYPERLINK("https://projects.propublica.org/nonprofits/organizations/42103594/202501359349301830/full","view filing")</f>
        <v/>
      </c>
    </row>
    <row r="177">
      <c r="A177" t="inlineStr">
        <is>
          <t>Massachusetts Institute Of Technology</t>
        </is>
      </c>
      <c r="B177" s="20" t="inlineStr">
        <is>
          <t>MA</t>
        </is>
      </c>
      <c r="C177" s="42" t="n">
        <v>27.37</v>
      </c>
      <c r="D177" t="inlineStr">
        <is>
          <t>Endowment</t>
        </is>
      </c>
      <c r="E177" s="20" t="n">
        <v>2024</v>
      </c>
      <c r="F177" s="20" t="inlineStr"/>
      <c r="G177" t="inlineStr">
        <is>
          <t>Thomas Wieand</t>
        </is>
      </c>
      <c r="H177" t="inlineStr">
        <is>
          <t>Global Investment Professional, MITIMCo</t>
        </is>
      </c>
      <c r="I177" t="inlineStr">
        <is>
          <t>Investment Officer</t>
        </is>
      </c>
      <c r="J177" s="21" t="n">
        <v>490857</v>
      </c>
      <c r="K177" s="21" t="n">
        <v>1326908</v>
      </c>
      <c r="L177" s="21" t="n">
        <v>1817765</v>
      </c>
      <c r="M177" s="21" t="n">
        <v>18483</v>
      </c>
      <c r="N177" s="21" t="n">
        <v>523800</v>
      </c>
      <c r="O177" s="21" t="n">
        <v>31869</v>
      </c>
      <c r="P177" s="21" t="n">
        <v>2391917</v>
      </c>
      <c r="Q177" s="21" t="n">
        <v>2052800</v>
      </c>
      <c r="R177" s="21">
        <f>IF(Q177="","",Q177*(1+in_GrowthRate)^(YEARFRAC(DATE(2024,6,30),in_AgeToDate)*IF(in_AgeToDate&lt;DATE(2024,6,30),-1,1)+1))</f>
        <v/>
      </c>
      <c r="S177" s="38" t="n">
        <v>2.70324758534563</v>
      </c>
      <c r="T177" s="43">
        <f>HYPERLINK("https://projects.propublica.org/nonprofits/organizations/42103594/202501359349301830/full","view filing")</f>
        <v/>
      </c>
    </row>
    <row r="178">
      <c r="A178" t="inlineStr">
        <is>
          <t>Massachusetts Institute Of Technology</t>
        </is>
      </c>
      <c r="B178" s="20" t="inlineStr">
        <is>
          <t>MA</t>
        </is>
      </c>
      <c r="C178" s="42" t="n">
        <v>27.37</v>
      </c>
      <c r="D178" t="inlineStr">
        <is>
          <t>Endowment</t>
        </is>
      </c>
      <c r="E178" s="20" t="n">
        <v>2023</v>
      </c>
      <c r="F178" s="20" t="inlineStr"/>
      <c r="G178" t="inlineStr">
        <is>
          <t>Emma Somers-Roy</t>
        </is>
      </c>
      <c r="H178" t="inlineStr">
        <is>
          <t>Global Investment Professional - MITIMCo</t>
        </is>
      </c>
      <c r="I178" t="inlineStr">
        <is>
          <t>Investment Officer</t>
        </is>
      </c>
      <c r="J178" s="21" t="n">
        <v>425267</v>
      </c>
      <c r="K178" s="21" t="n">
        <v>1403065</v>
      </c>
      <c r="L178" s="21" t="n">
        <v>1828332</v>
      </c>
      <c r="M178" s="21" t="n">
        <v>7090</v>
      </c>
      <c r="N178" s="21" t="n">
        <v>370363</v>
      </c>
      <c r="O178" s="21" t="n">
        <v>34551</v>
      </c>
      <c r="P178" s="21" t="n">
        <v>2240336</v>
      </c>
      <c r="Q178" s="21" t="n">
        <v>1871586</v>
      </c>
      <c r="R178" s="21">
        <f>IF(Q178="","",Q178*(1+in_GrowthRate)^(YEARFRAC(DATE(2023,6,30),in_AgeToDate)*IF(in_AgeToDate&lt;DATE(2023,6,30),-1,1)+1))</f>
        <v/>
      </c>
      <c r="S178" s="38" t="n">
        <v>3.299256702259992</v>
      </c>
      <c r="T178" s="43">
        <f>HYPERLINK("https://projects.propublica.org/nonprofits/organizations/42103594/202441369349318094/full","view filing")</f>
        <v/>
      </c>
    </row>
    <row r="179">
      <c r="A179" t="inlineStr">
        <is>
          <t>Massachusetts Institute Of Technology</t>
        </is>
      </c>
      <c r="B179" s="20" t="inlineStr">
        <is>
          <t>MA</t>
        </is>
      </c>
      <c r="C179" s="42" t="n">
        <v>27.37</v>
      </c>
      <c r="D179" t="inlineStr">
        <is>
          <t>Endowment</t>
        </is>
      </c>
      <c r="E179" s="20" t="n">
        <v>2023</v>
      </c>
      <c r="F179" s="20" t="inlineStr"/>
      <c r="G179" t="inlineStr">
        <is>
          <t>Joel Cohen</t>
        </is>
      </c>
      <c r="H179" t="inlineStr">
        <is>
          <t>Global Investment Professional, MITIMCo</t>
        </is>
      </c>
      <c r="I179" t="inlineStr">
        <is>
          <t>Investment Officer</t>
        </is>
      </c>
      <c r="J179" s="21" t="n">
        <v>428018</v>
      </c>
      <c r="K179" s="21" t="n">
        <v>1375080</v>
      </c>
      <c r="L179" s="21" t="n">
        <v>1803098</v>
      </c>
      <c r="M179" s="21" t="n">
        <v>11601</v>
      </c>
      <c r="N179" s="21" t="n">
        <v>364950</v>
      </c>
      <c r="O179" s="21" t="n">
        <v>31788</v>
      </c>
      <c r="P179" s="21" t="n">
        <v>2211437</v>
      </c>
      <c r="Q179" s="21" t="n">
        <v>2211437</v>
      </c>
      <c r="R179" s="21">
        <f>IF(Q179="","",Q179*(1+in_GrowthRate)^(YEARFRAC(DATE(2023,6,30),in_AgeToDate)*IF(in_AgeToDate&lt;DATE(2023,6,30),-1,1)+1))</f>
        <v/>
      </c>
      <c r="S179" s="38" t="n">
        <v>3.212668626085819</v>
      </c>
      <c r="T179" s="43">
        <f>HYPERLINK("https://projects.propublica.org/nonprofits/organizations/42103594/202441369349318094/full","view filing")</f>
        <v/>
      </c>
    </row>
    <row r="180">
      <c r="A180" t="inlineStr">
        <is>
          <t>Massachusetts Institute Of Technology</t>
        </is>
      </c>
      <c r="B180" s="20" t="inlineStr">
        <is>
          <t>MA</t>
        </is>
      </c>
      <c r="C180" s="42" t="n">
        <v>27.37</v>
      </c>
      <c r="D180" t="inlineStr">
        <is>
          <t>Endowment</t>
        </is>
      </c>
      <c r="E180" s="20" t="n">
        <v>2023</v>
      </c>
      <c r="F180" s="20" t="inlineStr"/>
      <c r="G180" t="inlineStr">
        <is>
          <t>Ryan Akkina</t>
        </is>
      </c>
      <c r="H180" t="inlineStr">
        <is>
          <t>Global Investment Professional - MITIMCo</t>
        </is>
      </c>
      <c r="I180" t="inlineStr">
        <is>
          <t>Investment Officer</t>
        </is>
      </c>
      <c r="J180" s="21" t="n">
        <v>448657</v>
      </c>
      <c r="K180" s="21" t="n">
        <v>1525730</v>
      </c>
      <c r="L180" s="21" t="n">
        <v>1974387</v>
      </c>
      <c r="M180" s="21" t="n">
        <v>14671</v>
      </c>
      <c r="N180" s="21" t="n">
        <v>366567</v>
      </c>
      <c r="O180" s="21" t="n">
        <v>35939</v>
      </c>
      <c r="P180" s="21" t="n">
        <v>2391564</v>
      </c>
      <c r="Q180" s="21" t="n">
        <v>2053814</v>
      </c>
      <c r="R180" s="21">
        <f>IF(Q180="","",Q180*(1+in_GrowthRate)^(YEARFRAC(DATE(2023,6,30),in_AgeToDate)*IF(in_AgeToDate&lt;DATE(2023,6,30),-1,1)+1))</f>
        <v/>
      </c>
      <c r="S180" s="38" t="n">
        <v>3.400660192530151</v>
      </c>
      <c r="T180" s="43">
        <f>HYPERLINK("https://projects.propublica.org/nonprofits/organizations/42103594/202441369349318094/full","view filing")</f>
        <v/>
      </c>
    </row>
    <row r="181">
      <c r="A181" t="inlineStr">
        <is>
          <t>Massachusetts Institute Of Technology</t>
        </is>
      </c>
      <c r="B181" s="20" t="inlineStr">
        <is>
          <t>MA</t>
        </is>
      </c>
      <c r="C181" s="42" t="n">
        <v>27.37</v>
      </c>
      <c r="D181" t="inlineStr">
        <is>
          <t>Endowment</t>
        </is>
      </c>
      <c r="E181" s="20" t="n">
        <v>2023</v>
      </c>
      <c r="F181" s="20" t="inlineStr"/>
      <c r="G181" t="inlineStr">
        <is>
          <t>Thomas Wieand</t>
        </is>
      </c>
      <c r="H181" t="inlineStr">
        <is>
          <t>Global Investment Professional - MITIMCo</t>
        </is>
      </c>
      <c r="I181" t="inlineStr">
        <is>
          <t>Investment Officer</t>
        </is>
      </c>
      <c r="J181" s="21" t="n">
        <v>477921</v>
      </c>
      <c r="K181" s="21" t="n">
        <v>1527939</v>
      </c>
      <c r="L181" s="21" t="n">
        <v>2005860</v>
      </c>
      <c r="M181" s="21" t="n">
        <v>17315</v>
      </c>
      <c r="N181" s="21" t="n">
        <v>402300</v>
      </c>
      <c r="O181" s="21" t="n">
        <v>30580</v>
      </c>
      <c r="P181" s="21" t="n">
        <v>2456055</v>
      </c>
      <c r="Q181" s="21" t="n">
        <v>2087305</v>
      </c>
      <c r="R181" s="21">
        <f>IF(Q181="","",Q181*(1+in_GrowthRate)^(YEARFRAC(DATE(2023,6,30),in_AgeToDate)*IF(in_AgeToDate&lt;DATE(2023,6,30),-1,1)+1))</f>
        <v/>
      </c>
      <c r="S181" s="38" t="n">
        <v>3.197053487919551</v>
      </c>
      <c r="T181" s="43">
        <f>HYPERLINK("https://projects.propublica.org/nonprofits/organizations/42103594/202441369349318094/full","view filing")</f>
        <v/>
      </c>
    </row>
    <row r="182">
      <c r="A182" t="inlineStr">
        <is>
          <t>Massachusetts Institute Of Technology</t>
        </is>
      </c>
      <c r="B182" s="20" t="inlineStr">
        <is>
          <t>MA</t>
        </is>
      </c>
      <c r="C182" s="42" t="n">
        <v>27.37</v>
      </c>
      <c r="D182" t="inlineStr">
        <is>
          <t>Endowment</t>
        </is>
      </c>
      <c r="E182" s="20" t="n">
        <v>2022</v>
      </c>
      <c r="F182" s="20" t="inlineStr"/>
      <c r="G182" t="inlineStr">
        <is>
          <t>Emma Somers-Roy</t>
        </is>
      </c>
      <c r="H182" t="inlineStr">
        <is>
          <t>Global Investment Professional - MITIMCo</t>
        </is>
      </c>
      <c r="I182" t="inlineStr">
        <is>
          <t>Investment Officer</t>
        </is>
      </c>
      <c r="J182" s="21" t="n">
        <v>347675</v>
      </c>
      <c r="K182" s="21" t="n">
        <v>1428070</v>
      </c>
      <c r="L182" s="21" t="n">
        <v>1775745</v>
      </c>
      <c r="M182" s="21" t="n">
        <v>7500</v>
      </c>
      <c r="N182" s="21" t="n">
        <v>399645</v>
      </c>
      <c r="O182" s="21" t="n">
        <v>33514</v>
      </c>
      <c r="P182" s="21" t="n">
        <v>2216404</v>
      </c>
      <c r="Q182" s="21" t="n">
        <v>2216404</v>
      </c>
      <c r="R182" s="21">
        <f>IF(Q182="","",Q182*(1+in_GrowthRate)^(YEARFRAC(DATE(2022,6,30),in_AgeToDate)*IF(in_AgeToDate&lt;DATE(2022,6,30),-1,1)+1))</f>
        <v/>
      </c>
      <c r="S182" s="38" t="n">
        <v>4.107485438987561</v>
      </c>
      <c r="T182" s="43">
        <f>HYPERLINK("https://projects.propublica.org/nonprofits/organizations/42103594/202311329349308061/full","view filing")</f>
        <v/>
      </c>
    </row>
    <row r="183">
      <c r="A183" t="inlineStr">
        <is>
          <t>Massachusetts Institute Of Technology</t>
        </is>
      </c>
      <c r="B183" s="20" t="inlineStr">
        <is>
          <t>MA</t>
        </is>
      </c>
      <c r="C183" s="42" t="n">
        <v>27.37</v>
      </c>
      <c r="D183" t="inlineStr">
        <is>
          <t>Endowment</t>
        </is>
      </c>
      <c r="E183" s="20" t="n">
        <v>2022</v>
      </c>
      <c r="F183" s="20" t="inlineStr"/>
      <c r="G183" t="inlineStr">
        <is>
          <t>Ryan Akkina</t>
        </is>
      </c>
      <c r="H183" t="inlineStr">
        <is>
          <t>Global Investment Professional - MITIMCo</t>
        </is>
      </c>
      <c r="I183" t="inlineStr">
        <is>
          <t>Investment Officer</t>
        </is>
      </c>
      <c r="J183" s="21" t="n">
        <v>422413</v>
      </c>
      <c r="K183" s="21" t="n">
        <v>1543616</v>
      </c>
      <c r="L183" s="21" t="n">
        <v>1966029</v>
      </c>
      <c r="M183" s="21" t="n">
        <v>15063</v>
      </c>
      <c r="N183" s="21" t="n">
        <v>363850</v>
      </c>
      <c r="O183" s="21" t="n">
        <v>35434</v>
      </c>
      <c r="P183" s="21" t="n">
        <v>2380375</v>
      </c>
      <c r="Q183" s="21" t="n">
        <v>2092875</v>
      </c>
      <c r="R183" s="21">
        <f>IF(Q183="","",Q183*(1+in_GrowthRate)^(YEARFRAC(DATE(2022,6,30),in_AgeToDate)*IF(in_AgeToDate&lt;DATE(2022,6,30),-1,1)+1))</f>
        <v/>
      </c>
      <c r="S183" s="38" t="n">
        <v>3.654281473344807</v>
      </c>
      <c r="T183" s="43">
        <f>HYPERLINK("https://projects.propublica.org/nonprofits/organizations/42103594/202311329349308061/full","view filing")</f>
        <v/>
      </c>
    </row>
    <row r="184">
      <c r="A184" t="inlineStr">
        <is>
          <t>Massachusetts Institute Of Technology</t>
        </is>
      </c>
      <c r="B184" s="20" t="inlineStr">
        <is>
          <t>MA</t>
        </is>
      </c>
      <c r="C184" s="42" t="n">
        <v>27.37</v>
      </c>
      <c r="D184" t="inlineStr">
        <is>
          <t>Endowment</t>
        </is>
      </c>
      <c r="E184" s="20" t="n">
        <v>2022</v>
      </c>
      <c r="F184" s="20" t="inlineStr"/>
      <c r="G184" t="inlineStr">
        <is>
          <t>Thomas Wieand</t>
        </is>
      </c>
      <c r="H184" t="inlineStr">
        <is>
          <t>Global Investment Professional - MITIMCo</t>
        </is>
      </c>
      <c r="I184" t="inlineStr">
        <is>
          <t>Investment Officer</t>
        </is>
      </c>
      <c r="J184" s="21" t="n">
        <v>450044</v>
      </c>
      <c r="K184" s="21" t="n">
        <v>1548948</v>
      </c>
      <c r="L184" s="21" t="n">
        <v>1998992</v>
      </c>
      <c r="M184" s="21" t="n">
        <v>17400</v>
      </c>
      <c r="N184" s="21" t="n">
        <v>400650</v>
      </c>
      <c r="O184" s="21" t="n">
        <v>30393</v>
      </c>
      <c r="P184" s="21" t="n">
        <v>2447434</v>
      </c>
      <c r="Q184" s="21" t="n">
        <v>2159934</v>
      </c>
      <c r="R184" s="21">
        <f>IF(Q184="","",Q184*(1+in_GrowthRate)^(YEARFRAC(DATE(2022,6,30),in_AgeToDate)*IF(in_AgeToDate&lt;DATE(2022,6,30),-1,1)+1))</f>
        <v/>
      </c>
      <c r="S184" s="38" t="n">
        <v>3.441770138030948</v>
      </c>
      <c r="T184" s="43">
        <f>HYPERLINK("https://projects.propublica.org/nonprofits/organizations/42103594/202311329349308061/full","view filing")</f>
        <v/>
      </c>
    </row>
    <row r="185">
      <c r="A185" t="inlineStr">
        <is>
          <t>Massachusetts Institute Of Technology</t>
        </is>
      </c>
      <c r="B185" s="20" t="inlineStr">
        <is>
          <t>MA</t>
        </is>
      </c>
      <c r="C185" s="42" t="n">
        <v>27.37</v>
      </c>
      <c r="D185" t="inlineStr">
        <is>
          <t>Endowment</t>
        </is>
      </c>
      <c r="E185" s="20" t="n">
        <v>2022</v>
      </c>
      <c r="F185" s="20" t="inlineStr"/>
      <c r="G185" t="inlineStr">
        <is>
          <t>Vincent Tuohey</t>
        </is>
      </c>
      <c r="H185" t="inlineStr">
        <is>
          <t>Global Investment Professional - MITIMCo</t>
        </is>
      </c>
      <c r="I185" t="inlineStr">
        <is>
          <t>Investment Officer</t>
        </is>
      </c>
      <c r="J185" s="21" t="n">
        <v>400034</v>
      </c>
      <c r="K185" s="21" t="n">
        <v>1332267</v>
      </c>
      <c r="L185" s="21" t="n">
        <v>1732301</v>
      </c>
      <c r="M185" s="21" t="n">
        <v>12810</v>
      </c>
      <c r="N185" s="21" t="n">
        <v>363600</v>
      </c>
      <c r="O185" s="21" t="n">
        <v>34388</v>
      </c>
      <c r="P185" s="21" t="n">
        <v>2143099</v>
      </c>
      <c r="Q185" s="21" t="n">
        <v>2143099</v>
      </c>
      <c r="R185" s="21">
        <f>IF(Q185="","",Q185*(1+in_GrowthRate)^(YEARFRAC(DATE(2022,6,30),in_AgeToDate)*IF(in_AgeToDate&lt;DATE(2022,6,30),-1,1)+1))</f>
        <v/>
      </c>
      <c r="S185" s="38" t="n">
        <v>3.330384417324527</v>
      </c>
      <c r="T185" s="43">
        <f>HYPERLINK("https://projects.propublica.org/nonprofits/organizations/42103594/202311329349308061/full","view filing")</f>
        <v/>
      </c>
    </row>
    <row r="186">
      <c r="A186" t="inlineStr">
        <is>
          <t>Mother Cabrini Health Foundation</t>
        </is>
      </c>
      <c r="B186" s="20" t="inlineStr">
        <is>
          <t>NY</t>
        </is>
      </c>
      <c r="C186" s="42" t="n">
        <v>3.2</v>
      </c>
      <c r="D186" t="inlineStr">
        <is>
          <t>Healthcare</t>
        </is>
      </c>
      <c r="E186" s="20" t="n">
        <v>2024</v>
      </c>
      <c r="F186" s="20">
        <f>IF(AND(OR(in_Mode="All Funds",AND(C186&gt;=in_BandFloor,C186&lt;=in_BandCeiling,OR(in_Geography="National",COUNTIFS(lst_GeoPreset,in_Geography,lst_GeoState,B186)&gt;0,AND(in_Geography="Custom",ISNUMBER(SEARCH(B186,SUBSTITUTE(in_CustomStates," ",""))))),OR(AND(D186="Endowment",Inputs!$B$14="Y"),AND(D186="Foundation",Inputs!$B$15="Y"),AND(D186="Healthcare",Inputs!$B$16="Y"),AND(D186="Pension",Inputs!$B$17="Y"),AND(D186="OCIO",Inputs!$B$18="Y"),AND(D186="Other",Inputs!$B$19="Y")))),A186&lt;&gt;in_ClientOrg,NOT(AND(in_ExclHarvard="Y",ISNUMBER(SEARCH("Harvard",A186))))),"Y","")</f>
        <v/>
      </c>
      <c r="G186" t="inlineStr">
        <is>
          <t>Joon-Young Choi</t>
        </is>
      </c>
      <c r="H186" t="inlineStr">
        <is>
          <t>MD OF PRIVATE INVEST</t>
        </is>
      </c>
      <c r="I186" t="inlineStr">
        <is>
          <t>Managing Director</t>
        </is>
      </c>
      <c r="J186" s="21" t="n"/>
      <c r="K186" s="21" t="n"/>
      <c r="L186" s="21" t="n"/>
      <c r="M186" s="21" t="n"/>
      <c r="N186" s="21" t="n"/>
      <c r="O186" s="21" t="n"/>
      <c r="P186" s="21" t="n">
        <v>938070</v>
      </c>
      <c r="Q186" s="21" t="n">
        <v>938070</v>
      </c>
      <c r="R186" s="21">
        <f>IF(Q186="","",Q186*(1+in_GrowthRate)^(YEARFRAC(DATE(2024,12,31),in_AgeToDate)*IF(in_AgeToDate&lt;DATE(2024,12,31),-1,1)+1))</f>
        <v/>
      </c>
      <c r="S186" s="38" t="n"/>
      <c r="T186" s="43">
        <f>HYPERLINK("https://projects.propublica.org/nonprofits/organizations/830590263/202503219349101675/full","view filing")</f>
        <v/>
      </c>
    </row>
    <row r="187">
      <c r="A187" t="inlineStr">
        <is>
          <t>Mother Cabrini Health Foundation</t>
        </is>
      </c>
      <c r="B187" s="20" t="inlineStr">
        <is>
          <t>NY</t>
        </is>
      </c>
      <c r="C187" s="42" t="n">
        <v>3.2</v>
      </c>
      <c r="D187" t="inlineStr">
        <is>
          <t>Healthcare</t>
        </is>
      </c>
      <c r="E187" s="20" t="n">
        <v>2024</v>
      </c>
      <c r="F187" s="20">
        <f>IF(AND(OR(in_Mode="All Funds",AND(C187&gt;=in_BandFloor,C187&lt;=in_BandCeiling,OR(in_Geography="National",COUNTIFS(lst_GeoPreset,in_Geography,lst_GeoState,B187)&gt;0,AND(in_Geography="Custom",ISNUMBER(SEARCH(B187,SUBSTITUTE(in_CustomStates," ",""))))),OR(AND(D187="Endowment",Inputs!$B$14="Y"),AND(D187="Foundation",Inputs!$B$15="Y"),AND(D187="Healthcare",Inputs!$B$16="Y"),AND(D187="Pension",Inputs!$B$17="Y"),AND(D187="OCIO",Inputs!$B$18="Y"),AND(D187="Other",Inputs!$B$19="Y")))),A187&lt;&gt;in_ClientOrg,NOT(AND(in_ExclHarvard="Y",ISNUMBER(SEARCH("Harvard",A187))))),"Y","")</f>
        <v/>
      </c>
      <c r="G187" t="inlineStr">
        <is>
          <t>Todd Corbin</t>
        </is>
      </c>
      <c r="H187" t="inlineStr">
        <is>
          <t>MD OF INVESTMENTS</t>
        </is>
      </c>
      <c r="I187" t="inlineStr">
        <is>
          <t>Managing Director</t>
        </is>
      </c>
      <c r="J187" s="21" t="n"/>
      <c r="K187" s="21" t="n"/>
      <c r="L187" s="21" t="n"/>
      <c r="M187" s="21" t="n"/>
      <c r="N187" s="21" t="n"/>
      <c r="O187" s="21" t="n"/>
      <c r="P187" s="21" t="n">
        <v>530606</v>
      </c>
      <c r="Q187" s="21" t="n">
        <v>530606</v>
      </c>
      <c r="R187" s="21">
        <f>IF(Q187="","",Q187*(1+in_GrowthRate)^(YEARFRAC(DATE(2024,12,31),in_AgeToDate)*IF(in_AgeToDate&lt;DATE(2024,12,31),-1,1)+1))</f>
        <v/>
      </c>
      <c r="S187" s="38" t="n"/>
      <c r="T187" s="43">
        <f>HYPERLINK("https://projects.propublica.org/nonprofits/organizations/830590263/202503219349101675/full","view filing")</f>
        <v/>
      </c>
    </row>
    <row r="188">
      <c r="A188" t="inlineStr">
        <is>
          <t>Mother Cabrini Health Foundation</t>
        </is>
      </c>
      <c r="B188" s="20" t="inlineStr">
        <is>
          <t>NY</t>
        </is>
      </c>
      <c r="C188" s="42" t="n">
        <v>3.2</v>
      </c>
      <c r="D188" t="inlineStr">
        <is>
          <t>Healthcare</t>
        </is>
      </c>
      <c r="E188" s="20" t="n">
        <v>2023</v>
      </c>
      <c r="F188" s="20" t="inlineStr"/>
      <c r="G188" t="inlineStr">
        <is>
          <t>Jeremy Rosenberg</t>
        </is>
      </c>
      <c r="H188" t="inlineStr">
        <is>
          <t>MD OF PUBLIC INVESTM</t>
        </is>
      </c>
      <c r="I188" t="inlineStr">
        <is>
          <t>Managing Director</t>
        </is>
      </c>
      <c r="J188" s="21" t="n"/>
      <c r="K188" s="21" t="n"/>
      <c r="L188" s="21" t="n"/>
      <c r="M188" s="21" t="n"/>
      <c r="N188" s="21" t="n"/>
      <c r="O188" s="21" t="n"/>
      <c r="P188" s="21" t="n">
        <v>795325</v>
      </c>
      <c r="Q188" s="21" t="n">
        <v>795325</v>
      </c>
      <c r="R188" s="21">
        <f>IF(Q188="","",Q188*(1+in_GrowthRate)^(YEARFRAC(DATE(2023,12,31),in_AgeToDate)*IF(in_AgeToDate&lt;DATE(2023,12,31),-1,1)+1))</f>
        <v/>
      </c>
      <c r="S188" s="38" t="n"/>
      <c r="T188" s="43">
        <f>HYPERLINK("https://projects.propublica.org/nonprofits/organizations/830590263/202433209349104363/full","view filing")</f>
        <v/>
      </c>
    </row>
    <row r="189">
      <c r="A189" t="inlineStr">
        <is>
          <t>Mother Cabrini Health Foundation</t>
        </is>
      </c>
      <c r="B189" s="20" t="inlineStr">
        <is>
          <t>NY</t>
        </is>
      </c>
      <c r="C189" s="42" t="n">
        <v>3.2</v>
      </c>
      <c r="D189" t="inlineStr">
        <is>
          <t>Healthcare</t>
        </is>
      </c>
      <c r="E189" s="20" t="n">
        <v>2023</v>
      </c>
      <c r="F189" s="20" t="inlineStr"/>
      <c r="G189" t="inlineStr">
        <is>
          <t>Joon-Young Choi</t>
        </is>
      </c>
      <c r="H189" t="inlineStr">
        <is>
          <t>MD OF PRIVATE INVEST</t>
        </is>
      </c>
      <c r="I189" t="inlineStr">
        <is>
          <t>Managing Director</t>
        </is>
      </c>
      <c r="J189" s="21" t="n"/>
      <c r="K189" s="21" t="n"/>
      <c r="L189" s="21" t="n"/>
      <c r="M189" s="21" t="n"/>
      <c r="N189" s="21" t="n"/>
      <c r="O189" s="21" t="n"/>
      <c r="P189" s="21" t="n">
        <v>963708</v>
      </c>
      <c r="Q189" s="21" t="n">
        <v>963708</v>
      </c>
      <c r="R189" s="21">
        <f>IF(Q189="","",Q189*(1+in_GrowthRate)^(YEARFRAC(DATE(2023,12,31),in_AgeToDate)*IF(in_AgeToDate&lt;DATE(2023,12,31),-1,1)+1))</f>
        <v/>
      </c>
      <c r="S189" s="38" t="n"/>
      <c r="T189" s="43">
        <f>HYPERLINK("https://projects.propublica.org/nonprofits/organizations/830590263/202433209349104363/full","view filing")</f>
        <v/>
      </c>
    </row>
    <row r="190">
      <c r="A190" t="inlineStr">
        <is>
          <t>Mother Cabrini Health Foundation</t>
        </is>
      </c>
      <c r="B190" s="20" t="inlineStr">
        <is>
          <t>NY</t>
        </is>
      </c>
      <c r="C190" s="42" t="n">
        <v>3.2</v>
      </c>
      <c r="D190" t="inlineStr">
        <is>
          <t>Healthcare</t>
        </is>
      </c>
      <c r="E190" s="20" t="n">
        <v>2023</v>
      </c>
      <c r="F190" s="20" t="inlineStr"/>
      <c r="G190" t="inlineStr">
        <is>
          <t>Wenwen Mcelhoe</t>
        </is>
      </c>
      <c r="H190" t="inlineStr">
        <is>
          <t>MD OF INVESTMENTS</t>
        </is>
      </c>
      <c r="I190" t="inlineStr">
        <is>
          <t>Managing Director</t>
        </is>
      </c>
      <c r="J190" s="21" t="n"/>
      <c r="K190" s="21" t="n"/>
      <c r="L190" s="21" t="n"/>
      <c r="M190" s="21" t="n"/>
      <c r="N190" s="21" t="n"/>
      <c r="O190" s="21" t="n"/>
      <c r="P190" s="21" t="n">
        <v>639385</v>
      </c>
      <c r="Q190" s="21" t="n">
        <v>639385</v>
      </c>
      <c r="R190" s="21">
        <f>IF(Q190="","",Q190*(1+in_GrowthRate)^(YEARFRAC(DATE(2023,12,31),in_AgeToDate)*IF(in_AgeToDate&lt;DATE(2023,12,31),-1,1)+1))</f>
        <v/>
      </c>
      <c r="S190" s="38" t="n"/>
      <c r="T190" s="43">
        <f>HYPERLINK("https://projects.propublica.org/nonprofits/organizations/830590263/202433209349104363/full","view filing")</f>
        <v/>
      </c>
    </row>
    <row r="191">
      <c r="A191" t="inlineStr">
        <is>
          <t>Mother Cabrini Health Foundation</t>
        </is>
      </c>
      <c r="B191" s="20" t="inlineStr">
        <is>
          <t>NY</t>
        </is>
      </c>
      <c r="C191" s="42" t="n">
        <v>3.2</v>
      </c>
      <c r="D191" t="inlineStr">
        <is>
          <t>Healthcare</t>
        </is>
      </c>
      <c r="E191" s="20" t="n">
        <v>2022</v>
      </c>
      <c r="F191" s="20" t="inlineStr"/>
      <c r="G191" t="inlineStr">
        <is>
          <t>Jeremy Rosenberg</t>
        </is>
      </c>
      <c r="H191" t="inlineStr">
        <is>
          <t>MD OF PUBLIC INVESTM</t>
        </is>
      </c>
      <c r="I191" t="inlineStr">
        <is>
          <t>Managing Director</t>
        </is>
      </c>
      <c r="J191" s="21" t="n"/>
      <c r="K191" s="21" t="n"/>
      <c r="L191" s="21" t="n"/>
      <c r="M191" s="21" t="n"/>
      <c r="N191" s="21" t="n"/>
      <c r="O191" s="21" t="n"/>
      <c r="P191" s="21" t="n">
        <v>713730</v>
      </c>
      <c r="Q191" s="21" t="n">
        <v>713730</v>
      </c>
      <c r="R191" s="21">
        <f>IF(Q191="","",Q191*(1+in_GrowthRate)^(YEARFRAC(DATE(2022,12,31),in_AgeToDate)*IF(in_AgeToDate&lt;DATE(2022,12,31),-1,1)+1))</f>
        <v/>
      </c>
      <c r="S191" s="38" t="n"/>
      <c r="T191" s="43">
        <f>HYPERLINK("https://projects.propublica.org/nonprofits/organizations/830590263/202343179349104034/full","view filing")</f>
        <v/>
      </c>
    </row>
    <row r="192">
      <c r="A192" t="inlineStr">
        <is>
          <t>Mother Cabrini Health Foundation</t>
        </is>
      </c>
      <c r="B192" s="20" t="inlineStr">
        <is>
          <t>NY</t>
        </is>
      </c>
      <c r="C192" s="42" t="n">
        <v>3.2</v>
      </c>
      <c r="D192" t="inlineStr">
        <is>
          <t>Healthcare</t>
        </is>
      </c>
      <c r="E192" s="20" t="n">
        <v>2022</v>
      </c>
      <c r="F192" s="20" t="inlineStr"/>
      <c r="G192" t="inlineStr">
        <is>
          <t>Joon-Young Choi</t>
        </is>
      </c>
      <c r="H192" t="inlineStr">
        <is>
          <t>MD OF PRIVATE INVEST</t>
        </is>
      </c>
      <c r="I192" t="inlineStr">
        <is>
          <t>Managing Director</t>
        </is>
      </c>
      <c r="J192" s="21" t="n"/>
      <c r="K192" s="21" t="n"/>
      <c r="L192" s="21" t="n"/>
      <c r="M192" s="21" t="n"/>
      <c r="N192" s="21" t="n"/>
      <c r="O192" s="21" t="n"/>
      <c r="P192" s="21" t="n">
        <v>856098</v>
      </c>
      <c r="Q192" s="21" t="n">
        <v>856098</v>
      </c>
      <c r="R192" s="21">
        <f>IF(Q192="","",Q192*(1+in_GrowthRate)^(YEARFRAC(DATE(2022,12,31),in_AgeToDate)*IF(in_AgeToDate&lt;DATE(2022,12,31),-1,1)+1))</f>
        <v/>
      </c>
      <c r="S192" s="38" t="n"/>
      <c r="T192" s="43">
        <f>HYPERLINK("https://projects.propublica.org/nonprofits/organizations/830590263/202343179349104034/full","view filing")</f>
        <v/>
      </c>
    </row>
    <row r="193">
      <c r="A193" t="inlineStr">
        <is>
          <t>Mother Cabrini Health Foundation</t>
        </is>
      </c>
      <c r="B193" s="20" t="inlineStr">
        <is>
          <t>NY</t>
        </is>
      </c>
      <c r="C193" s="42" t="n">
        <v>3.2</v>
      </c>
      <c r="D193" t="inlineStr">
        <is>
          <t>Healthcare</t>
        </is>
      </c>
      <c r="E193" s="20" t="n">
        <v>2022</v>
      </c>
      <c r="F193" s="20" t="inlineStr"/>
      <c r="G193" t="inlineStr">
        <is>
          <t>Wenwen Mcelhoe</t>
        </is>
      </c>
      <c r="H193" t="inlineStr">
        <is>
          <t>MD OF INVESTMENTS</t>
        </is>
      </c>
      <c r="I193" t="inlineStr">
        <is>
          <t>Managing Director</t>
        </is>
      </c>
      <c r="J193" s="21" t="n"/>
      <c r="K193" s="21" t="n"/>
      <c r="L193" s="21" t="n"/>
      <c r="M193" s="21" t="n"/>
      <c r="N193" s="21" t="n"/>
      <c r="O193" s="21" t="n"/>
      <c r="P193" s="21" t="n">
        <v>761081</v>
      </c>
      <c r="Q193" s="21" t="n">
        <v>761081</v>
      </c>
      <c r="R193" s="21">
        <f>IF(Q193="","",Q193*(1+in_GrowthRate)^(YEARFRAC(DATE(2022,12,31),in_AgeToDate)*IF(in_AgeToDate&lt;DATE(2022,12,31),-1,1)+1))</f>
        <v/>
      </c>
      <c r="S193" s="38" t="n"/>
      <c r="T193" s="43">
        <f>HYPERLINK("https://projects.propublica.org/nonprofits/organizations/830590263/202343179349104034/full","view filing")</f>
        <v/>
      </c>
    </row>
    <row r="194">
      <c r="A194" t="inlineStr">
        <is>
          <t>Museum Of Modern Art</t>
        </is>
      </c>
      <c r="B194" s="20" t="inlineStr">
        <is>
          <t>NY</t>
        </is>
      </c>
      <c r="C194" s="42" t="n">
        <v>1.95</v>
      </c>
      <c r="D194" t="inlineStr">
        <is>
          <t>Other</t>
        </is>
      </c>
      <c r="E194" s="20" t="n">
        <v>2025</v>
      </c>
      <c r="F194" s="20">
        <f>IF(AND(OR(in_Mode="All Funds",AND(C194&gt;=in_BandFloor,C194&lt;=in_BandCeiling,OR(in_Geography="National",COUNTIFS(lst_GeoPreset,in_Geography,lst_GeoState,B194)&gt;0,AND(in_Geography="Custom",ISNUMBER(SEARCH(B194,SUBSTITUTE(in_CustomStates," ",""))))),OR(AND(D194="Endowment",Inputs!$B$14="Y"),AND(D194="Foundation",Inputs!$B$15="Y"),AND(D194="Healthcare",Inputs!$B$16="Y"),AND(D194="Pension",Inputs!$B$17="Y"),AND(D194="OCIO",Inputs!$B$18="Y"),AND(D194="Other",Inputs!$B$19="Y")))),A194&lt;&gt;in_ClientOrg,NOT(AND(in_ExclHarvard="Y",ISNUMBER(SEARCH("Harvard",A194))))),"Y","")</f>
        <v/>
      </c>
      <c r="G194" t="inlineStr">
        <is>
          <t>Gabriel Morrow</t>
        </is>
      </c>
      <c r="H194" t="inlineStr">
        <is>
          <t>Managing Director, Investments</t>
        </is>
      </c>
      <c r="I194" t="inlineStr">
        <is>
          <t>Managing Director</t>
        </is>
      </c>
      <c r="J194" s="21" t="n">
        <v>457151</v>
      </c>
      <c r="K194" s="21" t="n">
        <v>548545</v>
      </c>
      <c r="L194" s="21" t="n">
        <v>1005696</v>
      </c>
      <c r="M194" s="21" t="n">
        <v>23630</v>
      </c>
      <c r="N194" s="21" t="n">
        <v>20700</v>
      </c>
      <c r="O194" s="21" t="n">
        <v>31875</v>
      </c>
      <c r="P194" s="21" t="n">
        <v>1081901</v>
      </c>
      <c r="Q194" s="21" t="n">
        <v>1031901</v>
      </c>
      <c r="R194" s="21">
        <f>IF(Q194="","",Q194*(1+in_GrowthRate)^(YEARFRAC(DATE(2025,6,30),in_AgeToDate)*IF(in_AgeToDate&lt;DATE(2025,6,30),-1,1)+1))</f>
        <v/>
      </c>
      <c r="S194" s="38" t="n">
        <v>1.199920813910502</v>
      </c>
      <c r="T194" s="43">
        <f>HYPERLINK("https://projects.propublica.org/nonprofits/organizations/131624100/202631339349300538/full","view filing")</f>
        <v/>
      </c>
    </row>
    <row r="195">
      <c r="A195" t="inlineStr">
        <is>
          <t>Museum Of Modern Art</t>
        </is>
      </c>
      <c r="B195" s="20" t="inlineStr">
        <is>
          <t>NY</t>
        </is>
      </c>
      <c r="C195" s="42" t="n">
        <v>1.95</v>
      </c>
      <c r="D195" t="inlineStr">
        <is>
          <t>Other</t>
        </is>
      </c>
      <c r="E195" s="20" t="n">
        <v>2024</v>
      </c>
      <c r="F195" s="20" t="inlineStr"/>
      <c r="G195" t="inlineStr">
        <is>
          <t>Gabriel Morrow</t>
        </is>
      </c>
      <c r="H195" t="inlineStr">
        <is>
          <t>Managing Director, Investments</t>
        </is>
      </c>
      <c r="I195" t="inlineStr">
        <is>
          <t>Managing Director</t>
        </is>
      </c>
      <c r="J195" s="21" t="n">
        <v>436007</v>
      </c>
      <c r="K195" s="21" t="n">
        <v>175000</v>
      </c>
      <c r="L195" s="21" t="n">
        <v>611007</v>
      </c>
      <c r="M195" s="21" t="n">
        <v>23130</v>
      </c>
      <c r="N195" s="21" t="n">
        <v>69800</v>
      </c>
      <c r="O195" s="21" t="n">
        <v>28987</v>
      </c>
      <c r="P195" s="21" t="n">
        <v>732924</v>
      </c>
      <c r="Q195" s="21" t="n">
        <v>682924</v>
      </c>
      <c r="R195" s="21">
        <f>IF(Q195="","",Q195*(1+in_GrowthRate)^(YEARFRAC(DATE(2024,6,30),in_AgeToDate)*IF(in_AgeToDate&lt;DATE(2024,6,30),-1,1)+1))</f>
        <v/>
      </c>
      <c r="S195" s="38" t="n">
        <v>0.4013697027800012</v>
      </c>
      <c r="T195" s="43">
        <f>HYPERLINK("https://projects.propublica.org/nonprofits/organizations/131624100/202521349349310217/full","view filing")</f>
        <v/>
      </c>
    </row>
    <row r="196">
      <c r="A196" t="inlineStr">
        <is>
          <t>Northwestern University</t>
        </is>
      </c>
      <c r="B196" s="20" t="inlineStr">
        <is>
          <t>IL</t>
        </is>
      </c>
      <c r="C196" s="42" t="n">
        <v>15.17</v>
      </c>
      <c r="D196" t="inlineStr">
        <is>
          <t>Endowment</t>
        </is>
      </c>
      <c r="E196" s="20" t="n">
        <v>2025</v>
      </c>
      <c r="F196" s="20">
        <f>IF(AND(OR(in_Mode="All Funds",AND(C196&gt;=in_BandFloor,C196&lt;=in_BandCeiling,OR(in_Geography="National",COUNTIFS(lst_GeoPreset,in_Geography,lst_GeoState,B196)&gt;0,AND(in_Geography="Custom",ISNUMBER(SEARCH(B196,SUBSTITUTE(in_CustomStates," ",""))))),OR(AND(D196="Endowment",Inputs!$B$14="Y"),AND(D196="Foundation",Inputs!$B$15="Y"),AND(D196="Healthcare",Inputs!$B$16="Y"),AND(D196="Pension",Inputs!$B$17="Y"),AND(D196="OCIO",Inputs!$B$18="Y"),AND(D196="Other",Inputs!$B$19="Y")))),A196&lt;&gt;in_ClientOrg,NOT(AND(in_ExclHarvard="Y",ISNUMBER(SEARCH("Harvard",A196))))),"Y","")</f>
        <v/>
      </c>
      <c r="G196" t="inlineStr">
        <is>
          <t>Peter A Belytschko</t>
        </is>
      </c>
      <c r="H196" t="inlineStr">
        <is>
          <t>Managing Dir Absolute Return</t>
        </is>
      </c>
      <c r="I196" t="inlineStr">
        <is>
          <t>Managing Director</t>
        </is>
      </c>
      <c r="J196" s="21" t="n">
        <v>513827</v>
      </c>
      <c r="K196" s="21" t="n"/>
      <c r="L196" s="21" t="n">
        <v>513827</v>
      </c>
      <c r="M196" s="21" t="n">
        <v>891808</v>
      </c>
      <c r="N196" s="21" t="n">
        <v>603302</v>
      </c>
      <c r="O196" s="21" t="n">
        <v>15003</v>
      </c>
      <c r="P196" s="21" t="n">
        <v>2023940</v>
      </c>
      <c r="Q196" s="21" t="n">
        <v>1545684</v>
      </c>
      <c r="R196" s="21">
        <f>IF(Q196="","",Q196*(1+in_GrowthRate)^(YEARFRAC(DATE(2025,8,31),in_AgeToDate)*IF(in_AgeToDate&lt;DATE(2025,8,31),-1,1)+1))</f>
        <v/>
      </c>
      <c r="S196" s="38" t="n">
        <v>0</v>
      </c>
      <c r="T196" s="43">
        <f>HYPERLINK("https://projects.propublica.org/nonprofits/organizations/362167817/202611959349301976/full","view filing")</f>
        <v/>
      </c>
    </row>
    <row r="197">
      <c r="A197" t="inlineStr">
        <is>
          <t>Northwestern University</t>
        </is>
      </c>
      <c r="B197" s="20" t="inlineStr">
        <is>
          <t>IL</t>
        </is>
      </c>
      <c r="C197" s="42" t="n">
        <v>15.17</v>
      </c>
      <c r="D197" t="inlineStr">
        <is>
          <t>Endowment</t>
        </is>
      </c>
      <c r="E197" s="20" t="n">
        <v>2024</v>
      </c>
      <c r="F197" s="20" t="inlineStr"/>
      <c r="G197" t="inlineStr">
        <is>
          <t>Harisha Koneru Haigh</t>
        </is>
      </c>
      <c r="H197" t="inlineStr">
        <is>
          <t>Mng Dir Priv Inv &amp; Real Assets</t>
        </is>
      </c>
      <c r="I197" t="inlineStr">
        <is>
          <t>Managing Director</t>
        </is>
      </c>
      <c r="J197" s="21" t="n">
        <v>471560</v>
      </c>
      <c r="K197" s="21" t="n">
        <v>757497</v>
      </c>
      <c r="L197" s="21" t="n">
        <v>1229057</v>
      </c>
      <c r="M197" s="21" t="n">
        <v>18552</v>
      </c>
      <c r="N197" s="21" t="n">
        <v>363000</v>
      </c>
      <c r="O197" s="21" t="n">
        <v>34507</v>
      </c>
      <c r="P197" s="21" t="n">
        <v>1645116</v>
      </c>
      <c r="Q197" s="21" t="n">
        <v>1217619</v>
      </c>
      <c r="R197" s="21">
        <f>IF(Q197="","",Q197*(1+in_GrowthRate)^(YEARFRAC(DATE(2024,8,31),in_AgeToDate)*IF(in_AgeToDate&lt;DATE(2024,8,31),-1,1)+1))</f>
        <v/>
      </c>
      <c r="S197" s="38" t="n">
        <v>1.606363983374332</v>
      </c>
      <c r="T197" s="43">
        <f>HYPERLINK("https://projects.propublica.org/nonprofits/organizations/362167817/202531959349301243/full","view filing")</f>
        <v/>
      </c>
    </row>
    <row r="198">
      <c r="A198" t="inlineStr">
        <is>
          <t>Northwestern University</t>
        </is>
      </c>
      <c r="B198" s="20" t="inlineStr">
        <is>
          <t>IL</t>
        </is>
      </c>
      <c r="C198" s="42" t="n">
        <v>15.17</v>
      </c>
      <c r="D198" t="inlineStr">
        <is>
          <t>Endowment</t>
        </is>
      </c>
      <c r="E198" s="20" t="n">
        <v>2024</v>
      </c>
      <c r="F198" s="20" t="inlineStr"/>
      <c r="G198" t="inlineStr">
        <is>
          <t>Peter A Belytschko</t>
        </is>
      </c>
      <c r="H198" t="inlineStr">
        <is>
          <t>Managing Dir Absolute Return</t>
        </is>
      </c>
      <c r="I198" t="inlineStr">
        <is>
          <t>Managing Director</t>
        </is>
      </c>
      <c r="J198" s="21" t="n">
        <v>494147</v>
      </c>
      <c r="K198" s="21" t="n">
        <v>808984</v>
      </c>
      <c r="L198" s="21" t="n">
        <v>1303131</v>
      </c>
      <c r="M198" s="21" t="n">
        <v>23052</v>
      </c>
      <c r="N198" s="21" t="n">
        <v>363000</v>
      </c>
      <c r="O198" s="21" t="n">
        <v>13035</v>
      </c>
      <c r="P198" s="21" t="n">
        <v>1702218</v>
      </c>
      <c r="Q198" s="21" t="n">
        <v>1223234</v>
      </c>
      <c r="R198" s="21">
        <f>IF(Q198="","",Q198*(1+in_GrowthRate)^(YEARFRAC(DATE(2024,8,31),in_AgeToDate)*IF(in_AgeToDate&lt;DATE(2024,8,31),-1,1)+1))</f>
        <v/>
      </c>
      <c r="S198" s="38" t="n">
        <v>1.637132270356797</v>
      </c>
      <c r="T198" s="43">
        <f>HYPERLINK("https://projects.propublica.org/nonprofits/organizations/362167817/202531959349301243/full","view filing")</f>
        <v/>
      </c>
    </row>
    <row r="199">
      <c r="A199" t="inlineStr">
        <is>
          <t>Northwestern University</t>
        </is>
      </c>
      <c r="B199" s="20" t="inlineStr">
        <is>
          <t>IL</t>
        </is>
      </c>
      <c r="C199" s="42" t="n">
        <v>15.17</v>
      </c>
      <c r="D199" t="inlineStr">
        <is>
          <t>Endowment</t>
        </is>
      </c>
      <c r="E199" s="20" t="n">
        <v>2023</v>
      </c>
      <c r="F199" s="20" t="inlineStr"/>
      <c r="G199" t="inlineStr">
        <is>
          <t>Harisha Koneru Haigh</t>
        </is>
      </c>
      <c r="H199" t="inlineStr">
        <is>
          <t>Mng Dir Priv Inv &amp; Real Assets</t>
        </is>
      </c>
      <c r="I199" t="inlineStr">
        <is>
          <t>Managing Director</t>
        </is>
      </c>
      <c r="J199" s="21" t="n">
        <v>446615</v>
      </c>
      <c r="K199" s="21" t="n">
        <v>840948</v>
      </c>
      <c r="L199" s="21" t="n">
        <v>1287563</v>
      </c>
      <c r="M199" s="21" t="n">
        <v>18360</v>
      </c>
      <c r="N199" s="21" t="n">
        <v>467401</v>
      </c>
      <c r="O199" s="21" t="n">
        <v>30367</v>
      </c>
      <c r="P199" s="21" t="n">
        <v>1803691</v>
      </c>
      <c r="Q199" s="21" t="n">
        <v>1399644</v>
      </c>
      <c r="R199" s="21">
        <f>IF(Q199="","",Q199*(1+in_GrowthRate)^(YEARFRAC(DATE(2023,8,31),in_AgeToDate)*IF(in_AgeToDate&lt;DATE(2023,8,31),-1,1)+1))</f>
        <v/>
      </c>
      <c r="S199" s="38" t="n">
        <v>1.882937205423015</v>
      </c>
      <c r="T199" s="43">
        <f>HYPERLINK("https://projects.propublica.org/nonprofits/organizations/362167817/202421949349301317/full","view filing")</f>
        <v/>
      </c>
    </row>
    <row r="200">
      <c r="A200" t="inlineStr">
        <is>
          <t>Northwestern University</t>
        </is>
      </c>
      <c r="B200" s="20" t="inlineStr">
        <is>
          <t>IL</t>
        </is>
      </c>
      <c r="C200" s="42" t="n">
        <v>15.17</v>
      </c>
      <c r="D200" t="inlineStr">
        <is>
          <t>Endowment</t>
        </is>
      </c>
      <c r="E200" s="20" t="n">
        <v>2023</v>
      </c>
      <c r="F200" s="20" t="inlineStr"/>
      <c r="G200" t="inlineStr">
        <is>
          <t>Peter A Belytschko</t>
        </is>
      </c>
      <c r="H200" t="inlineStr">
        <is>
          <t>Managing Dir Absolute Return</t>
        </is>
      </c>
      <c r="I200" t="inlineStr">
        <is>
          <t>Managing Director</t>
        </is>
      </c>
      <c r="J200" s="21" t="n">
        <v>475712</v>
      </c>
      <c r="K200" s="21" t="n">
        <v>923278</v>
      </c>
      <c r="L200" s="21" t="n">
        <v>1398990</v>
      </c>
      <c r="M200" s="21" t="n">
        <v>21052</v>
      </c>
      <c r="N200" s="21" t="n">
        <v>584006</v>
      </c>
      <c r="O200" s="21" t="n">
        <v>11343</v>
      </c>
      <c r="P200" s="21" t="n">
        <v>2015391</v>
      </c>
      <c r="Q200" s="21" t="n">
        <v>1645619</v>
      </c>
      <c r="R200" s="21">
        <f>IF(Q200="","",Q200*(1+in_GrowthRate)^(YEARFRAC(DATE(2023,8,31),in_AgeToDate)*IF(in_AgeToDate&lt;DATE(2023,8,31),-1,1)+1))</f>
        <v/>
      </c>
      <c r="S200" s="38" t="n">
        <v>1.940833949952913</v>
      </c>
      <c r="T200" s="43">
        <f>HYPERLINK("https://projects.propublica.org/nonprofits/organizations/362167817/202421949349301317/full","view filing")</f>
        <v/>
      </c>
    </row>
    <row r="201">
      <c r="A201" t="inlineStr">
        <is>
          <t>Northwestern University</t>
        </is>
      </c>
      <c r="B201" s="20" t="inlineStr">
        <is>
          <t>IL</t>
        </is>
      </c>
      <c r="C201" s="42" t="n">
        <v>15.17</v>
      </c>
      <c r="D201" t="inlineStr">
        <is>
          <t>Endowment</t>
        </is>
      </c>
      <c r="E201" s="20" t="n">
        <v>2022</v>
      </c>
      <c r="F201" s="20" t="inlineStr"/>
      <c r="G201" t="inlineStr">
        <is>
          <t>Harisha Koneru Haigh</t>
        </is>
      </c>
      <c r="H201" t="inlineStr">
        <is>
          <t>Mng Dir Priv Inv &amp; Real Assets</t>
        </is>
      </c>
      <c r="I201" t="inlineStr">
        <is>
          <t>Managing Director</t>
        </is>
      </c>
      <c r="J201" s="21" t="n">
        <v>429646</v>
      </c>
      <c r="K201" s="21" t="n">
        <v>859718</v>
      </c>
      <c r="L201" s="21" t="n">
        <v>1289364</v>
      </c>
      <c r="M201" s="21" t="n">
        <v>18360</v>
      </c>
      <c r="N201" s="21" t="n">
        <v>520265</v>
      </c>
      <c r="O201" s="21" t="n">
        <v>29462</v>
      </c>
      <c r="P201" s="21" t="n">
        <v>1857451</v>
      </c>
      <c r="Q201" s="21" t="n">
        <v>1462089</v>
      </c>
      <c r="R201" s="21">
        <f>IF(Q201="","",Q201*(1+in_GrowthRate)^(YEARFRAC(DATE(2022,8,31),in_AgeToDate)*IF(in_AgeToDate&lt;DATE(2022,8,31),-1,1)+1))</f>
        <v/>
      </c>
      <c r="S201" s="38" t="n">
        <v>2.000991513944038</v>
      </c>
      <c r="T201" s="43">
        <f>HYPERLINK("https://projects.propublica.org/nonprofits/organizations/362167817/202301989349301715/full","view filing")</f>
        <v/>
      </c>
    </row>
    <row r="202">
      <c r="A202" t="inlineStr">
        <is>
          <t>Northwestern University</t>
        </is>
      </c>
      <c r="B202" s="20" t="inlineStr">
        <is>
          <t>IL</t>
        </is>
      </c>
      <c r="C202" s="42" t="n">
        <v>15.17</v>
      </c>
      <c r="D202" t="inlineStr">
        <is>
          <t>Endowment</t>
        </is>
      </c>
      <c r="E202" s="20" t="n">
        <v>2022</v>
      </c>
      <c r="F202" s="20" t="inlineStr"/>
      <c r="G202" t="inlineStr">
        <is>
          <t>Peter A Belytschko</t>
        </is>
      </c>
      <c r="H202" t="inlineStr">
        <is>
          <t>Managing Dir Absolute Return</t>
        </is>
      </c>
      <c r="I202" t="inlineStr">
        <is>
          <t>Managing Director</t>
        </is>
      </c>
      <c r="J202" s="21" t="n">
        <v>460751</v>
      </c>
      <c r="K202" s="21" t="n">
        <v>827639</v>
      </c>
      <c r="L202" s="21" t="n">
        <v>1288390</v>
      </c>
      <c r="M202" s="21" t="n">
        <v>20052</v>
      </c>
      <c r="N202" s="21" t="n">
        <v>498005</v>
      </c>
      <c r="O202" s="21" t="n">
        <v>11126</v>
      </c>
      <c r="P202" s="21" t="n">
        <v>1817573</v>
      </c>
      <c r="Q202" s="21" t="n">
        <v>1440893</v>
      </c>
      <c r="R202" s="21">
        <f>IF(Q202="","",Q202*(1+in_GrowthRate)^(YEARFRAC(DATE(2022,8,31),in_AgeToDate)*IF(in_AgeToDate&lt;DATE(2022,8,31),-1,1)+1))</f>
        <v/>
      </c>
      <c r="S202" s="38" t="n">
        <v>1.796282590813693</v>
      </c>
      <c r="T202" s="43">
        <f>HYPERLINK("https://projects.propublica.org/nonprofits/organizations/362167817/202301989349301715/full","view filing")</f>
        <v/>
      </c>
    </row>
    <row r="203">
      <c r="A203" t="inlineStr">
        <is>
          <t>President &amp; Trustees Of Colby College</t>
        </is>
      </c>
      <c r="B203" s="20" t="inlineStr">
        <is>
          <t>ME</t>
        </is>
      </c>
      <c r="C203" s="42" t="n">
        <v>1.16</v>
      </c>
      <c r="D203" t="inlineStr">
        <is>
          <t>Endowment</t>
        </is>
      </c>
      <c r="E203" s="20" t="n">
        <v>2025</v>
      </c>
      <c r="F203" s="20">
        <f>IF(AND(OR(in_Mode="All Funds",AND(C203&gt;=in_BandFloor,C203&lt;=in_BandCeiling,OR(in_Geography="National",COUNTIFS(lst_GeoPreset,in_Geography,lst_GeoState,B203)&gt;0,AND(in_Geography="Custom",ISNUMBER(SEARCH(B203,SUBSTITUTE(in_CustomStates," ",""))))),OR(AND(D203="Endowment",Inputs!$B$14="Y"),AND(D203="Foundation",Inputs!$B$15="Y"),AND(D203="Healthcare",Inputs!$B$16="Y"),AND(D203="Pension",Inputs!$B$17="Y"),AND(D203="OCIO",Inputs!$B$18="Y"),AND(D203="Other",Inputs!$B$19="Y")))),A203&lt;&gt;in_ClientOrg,NOT(AND(in_ExclHarvard="Y",ISNUMBER(SEARCH("Harvard",A203))))),"Y","")</f>
        <v/>
      </c>
      <c r="G203" t="inlineStr">
        <is>
          <t>Thomas Martin</t>
        </is>
      </c>
      <c r="H203" t="inlineStr">
        <is>
          <t>Managing Director of Investments</t>
        </is>
      </c>
      <c r="I203" t="inlineStr">
        <is>
          <t>Managing Director</t>
        </is>
      </c>
      <c r="J203" s="21" t="n">
        <v>358750</v>
      </c>
      <c r="K203" s="21" t="n">
        <v>87500</v>
      </c>
      <c r="L203" s="21" t="n">
        <v>446250</v>
      </c>
      <c r="M203" s="21" t="n">
        <v>960</v>
      </c>
      <c r="N203" s="21" t="n"/>
      <c r="O203" s="21" t="n"/>
      <c r="P203" s="21" t="n">
        <v>447210</v>
      </c>
      <c r="Q203" s="21" t="n">
        <v>447210</v>
      </c>
      <c r="R203" s="21">
        <f>IF(Q203="","",Q203*(1+in_GrowthRate)^(YEARFRAC(DATE(2025,6,30),in_AgeToDate)*IF(in_AgeToDate&lt;DATE(2025,6,30),-1,1)+1))</f>
        <v/>
      </c>
      <c r="S203" s="38" t="n">
        <v>0.2439024390243902</v>
      </c>
      <c r="T203" s="43">
        <f>HYPERLINK("https://projects.propublica.org/nonprofits/organizations/10211497/202631319349303008/full","view filing")</f>
        <v/>
      </c>
    </row>
    <row r="204">
      <c r="A204" t="inlineStr">
        <is>
          <t>Princeton University</t>
        </is>
      </c>
      <c r="B204" s="20" t="inlineStr">
        <is>
          <t>NJ</t>
        </is>
      </c>
      <c r="C204" s="42" t="n">
        <v>36.42</v>
      </c>
      <c r="D204" t="inlineStr">
        <is>
          <t>Endowment</t>
        </is>
      </c>
      <c r="E204" s="20" t="n">
        <v>2025</v>
      </c>
      <c r="F204" s="20">
        <f>IF(AND(OR(in_Mode="All Funds",AND(C204&gt;=in_BandFloor,C204&lt;=in_BandCeiling,OR(in_Geography="National",COUNTIFS(lst_GeoPreset,in_Geography,lst_GeoState,B204)&gt;0,AND(in_Geography="Custom",ISNUMBER(SEARCH(B204,SUBSTITUTE(in_CustomStates," ",""))))),OR(AND(D204="Endowment",Inputs!$B$14="Y"),AND(D204="Foundation",Inputs!$B$15="Y"),AND(D204="Healthcare",Inputs!$B$16="Y"),AND(D204="Pension",Inputs!$B$17="Y"),AND(D204="OCIO",Inputs!$B$18="Y"),AND(D204="Other",Inputs!$B$19="Y")))),A204&lt;&gt;in_ClientOrg,NOT(AND(in_ExclHarvard="Y",ISNUMBER(SEARCH("Harvard",A204))))),"Y","")</f>
        <v/>
      </c>
      <c r="G204" t="inlineStr">
        <is>
          <t>Jonathan Erickson</t>
        </is>
      </c>
      <c r="H204" t="inlineStr">
        <is>
          <t>managing director of PRINCO</t>
        </is>
      </c>
      <c r="I204" t="inlineStr">
        <is>
          <t>Managing Director</t>
        </is>
      </c>
      <c r="J204" s="21" t="n">
        <v>1019536</v>
      </c>
      <c r="K204" s="21" t="n">
        <v>1756645</v>
      </c>
      <c r="L204" s="21" t="n">
        <v>2776181</v>
      </c>
      <c r="M204" s="21" t="n">
        <v>9330</v>
      </c>
      <c r="N204" s="21" t="n">
        <v>42140</v>
      </c>
      <c r="O204" s="21" t="n">
        <v>126030</v>
      </c>
      <c r="P204" s="21" t="n">
        <v>2953681</v>
      </c>
      <c r="Q204" s="21" t="n">
        <v>1387394</v>
      </c>
      <c r="R204" s="21">
        <f>IF(Q204="","",Q204*(1+in_GrowthRate)^(YEARFRAC(DATE(2025,6,30),in_AgeToDate)*IF(in_AgeToDate&lt;DATE(2025,6,30),-1,1)+1))</f>
        <v/>
      </c>
      <c r="S204" s="38" t="n">
        <v>1.722984769542223</v>
      </c>
      <c r="T204" s="43">
        <f>HYPERLINK("https://projects.propublica.org/nonprofits/organizations/210634501/202611349349307136/full","view filing")</f>
        <v/>
      </c>
    </row>
    <row r="205">
      <c r="A205" t="inlineStr">
        <is>
          <t>Princeton University</t>
        </is>
      </c>
      <c r="B205" s="20" t="inlineStr">
        <is>
          <t>NJ</t>
        </is>
      </c>
      <c r="C205" s="42" t="n">
        <v>36.42</v>
      </c>
      <c r="D205" t="inlineStr">
        <is>
          <t>Endowment</t>
        </is>
      </c>
      <c r="E205" s="20" t="n">
        <v>2025</v>
      </c>
      <c r="F205" s="20">
        <f>IF(AND(OR(in_Mode="All Funds",AND(C205&gt;=in_BandFloor,C205&lt;=in_BandCeiling,OR(in_Geography="National",COUNTIFS(lst_GeoPreset,in_Geography,lst_GeoState,B205)&gt;0,AND(in_Geography="Custom",ISNUMBER(SEARCH(B205,SUBSTITUTE(in_CustomStates," ",""))))),OR(AND(D205="Endowment",Inputs!$B$14="Y"),AND(D205="Foundation",Inputs!$B$15="Y"),AND(D205="Healthcare",Inputs!$B$16="Y"),AND(D205="Pension",Inputs!$B$17="Y"),AND(D205="OCIO",Inputs!$B$18="Y"),AND(D205="Other",Inputs!$B$19="Y")))),A205&lt;&gt;in_ClientOrg,NOT(AND(in_ExclHarvard="Y",ISNUMBER(SEARCH("Harvard",A205))))),"Y","")</f>
        <v/>
      </c>
      <c r="G205" t="inlineStr">
        <is>
          <t>Susan Butler Ciniglio</t>
        </is>
      </c>
      <c r="H205" t="inlineStr">
        <is>
          <t>managing director of PRINCO</t>
        </is>
      </c>
      <c r="I205" t="inlineStr">
        <is>
          <t>Managing Director</t>
        </is>
      </c>
      <c r="J205" s="21" t="n">
        <v>765603</v>
      </c>
      <c r="K205" s="21" t="n">
        <v>847832</v>
      </c>
      <c r="L205" s="21" t="n">
        <v>1613435</v>
      </c>
      <c r="M205" s="21" t="n">
        <v>72647</v>
      </c>
      <c r="N205" s="21" t="n">
        <v>570681</v>
      </c>
      <c r="O205" s="21" t="n">
        <v>34996</v>
      </c>
      <c r="P205" s="21" t="n">
        <v>2291759</v>
      </c>
      <c r="Q205" s="21" t="n">
        <v>2291759</v>
      </c>
      <c r="R205" s="21">
        <f>IF(Q205="","",Q205*(1+in_GrowthRate)^(YEARFRAC(DATE(2025,6,30),in_AgeToDate)*IF(in_AgeToDate&lt;DATE(2025,6,30),-1,1)+1))</f>
        <v/>
      </c>
      <c r="S205" s="38" t="n">
        <v>1.107404229084787</v>
      </c>
      <c r="T205" s="43">
        <f>HYPERLINK("https://projects.propublica.org/nonprofits/organizations/210634501/202611349349307136/full","view filing")</f>
        <v/>
      </c>
    </row>
    <row r="206">
      <c r="A206" t="inlineStr">
        <is>
          <t>Princeton University</t>
        </is>
      </c>
      <c r="B206" s="20" t="inlineStr">
        <is>
          <t>NJ</t>
        </is>
      </c>
      <c r="C206" s="42" t="n">
        <v>36.42</v>
      </c>
      <c r="D206" t="inlineStr">
        <is>
          <t>Endowment</t>
        </is>
      </c>
      <c r="E206" s="20" t="n">
        <v>2025</v>
      </c>
      <c r="F206" s="20">
        <f>IF(AND(OR(in_Mode="All Funds",AND(C206&gt;=in_BandFloor,C206&lt;=in_BandCeiling,OR(in_Geography="National",COUNTIFS(lst_GeoPreset,in_Geography,lst_GeoState,B206)&gt;0,AND(in_Geography="Custom",ISNUMBER(SEARCH(B206,SUBSTITUTE(in_CustomStates," ",""))))),OR(AND(D206="Endowment",Inputs!$B$14="Y"),AND(D206="Foundation",Inputs!$B$15="Y"),AND(D206="Healthcare",Inputs!$B$16="Y"),AND(D206="Pension",Inputs!$B$17="Y"),AND(D206="OCIO",Inputs!$B$18="Y"),AND(D206="Other",Inputs!$B$19="Y")))),A206&lt;&gt;in_ClientOrg,NOT(AND(in_ExclHarvard="Y",ISNUMBER(SEARCH("Harvard",A206))))),"Y","")</f>
        <v/>
      </c>
      <c r="G206" t="inlineStr">
        <is>
          <t>Tae Kyoon Kim</t>
        </is>
      </c>
      <c r="H206" t="inlineStr">
        <is>
          <t>managing director of PRINCO</t>
        </is>
      </c>
      <c r="I206" t="inlineStr">
        <is>
          <t>Managing Director</t>
        </is>
      </c>
      <c r="J206" s="21" t="n">
        <v>765796</v>
      </c>
      <c r="K206" s="21" t="n">
        <v>1210062</v>
      </c>
      <c r="L206" s="21" t="n">
        <v>1975858</v>
      </c>
      <c r="M206" s="21" t="n">
        <v>73179</v>
      </c>
      <c r="N206" s="21" t="n">
        <v>570681</v>
      </c>
      <c r="O206" s="21" t="n">
        <v>34803</v>
      </c>
      <c r="P206" s="21" t="n">
        <v>2654521</v>
      </c>
      <c r="Q206" s="21" t="n">
        <v>1601974</v>
      </c>
      <c r="R206" s="21">
        <f>IF(Q206="","",Q206*(1+in_GrowthRate)^(YEARFRAC(DATE(2025,6,30),in_AgeToDate)*IF(in_AgeToDate&lt;DATE(2025,6,30),-1,1)+1))</f>
        <v/>
      </c>
      <c r="S206" s="38" t="n">
        <v>1.580136224268604</v>
      </c>
      <c r="T206" s="43">
        <f>HYPERLINK("https://projects.propublica.org/nonprofits/organizations/210634501/202611349349307136/full","view filing")</f>
        <v/>
      </c>
    </row>
    <row r="207">
      <c r="A207" t="inlineStr">
        <is>
          <t>Princeton University</t>
        </is>
      </c>
      <c r="B207" s="20" t="inlineStr">
        <is>
          <t>NJ</t>
        </is>
      </c>
      <c r="C207" s="42" t="n">
        <v>36.42</v>
      </c>
      <c r="D207" t="inlineStr">
        <is>
          <t>Endowment</t>
        </is>
      </c>
      <c r="E207" s="20" t="n">
        <v>2025</v>
      </c>
      <c r="F207" s="20">
        <f>IF(AND(OR(in_Mode="All Funds",AND(C207&gt;=in_BandFloor,C207&lt;=in_BandCeiling,OR(in_Geography="National",COUNTIFS(lst_GeoPreset,in_Geography,lst_GeoState,B207)&gt;0,AND(in_Geography="Custom",ISNUMBER(SEARCH(B207,SUBSTITUTE(in_CustomStates," ",""))))),OR(AND(D207="Endowment",Inputs!$B$14="Y"),AND(D207="Foundation",Inputs!$B$15="Y"),AND(D207="Healthcare",Inputs!$B$16="Y"),AND(D207="Pension",Inputs!$B$17="Y"),AND(D207="OCIO",Inputs!$B$18="Y"),AND(D207="Other",Inputs!$B$19="Y")))),A207&lt;&gt;in_ClientOrg,NOT(AND(in_ExclHarvard="Y",ISNUMBER(SEARCH("Harvard",A207))))),"Y","")</f>
        <v/>
      </c>
      <c r="G207" t="inlineStr">
        <is>
          <t>Ting Zhou</t>
        </is>
      </c>
      <c r="H207" t="inlineStr">
        <is>
          <t>managing director of PRINCO</t>
        </is>
      </c>
      <c r="I207" t="inlineStr">
        <is>
          <t>Managing Director</t>
        </is>
      </c>
      <c r="J207" s="21" t="n">
        <v>600750</v>
      </c>
      <c r="K207" s="21" t="n">
        <v>711813</v>
      </c>
      <c r="L207" s="21" t="n">
        <v>1312563</v>
      </c>
      <c r="M207" s="21" t="n">
        <v>43841</v>
      </c>
      <c r="N207" s="21" t="n">
        <v>460453</v>
      </c>
      <c r="O207" s="21" t="n">
        <v>28094</v>
      </c>
      <c r="P207" s="21" t="n">
        <v>1844951</v>
      </c>
      <c r="Q207" s="21" t="n">
        <v>1844951</v>
      </c>
      <c r="R207" s="21">
        <f>IF(Q207="","",Q207*(1+in_GrowthRate)^(YEARFRAC(DATE(2025,6,30),in_AgeToDate)*IF(in_AgeToDate&lt;DATE(2025,6,30),-1,1)+1))</f>
        <v/>
      </c>
      <c r="S207" s="38" t="n">
        <v>1.184873907615481</v>
      </c>
      <c r="T207" s="43">
        <f>HYPERLINK("https://projects.propublica.org/nonprofits/organizations/210634501/202611349349307136/full","view filing")</f>
        <v/>
      </c>
    </row>
    <row r="208">
      <c r="A208" t="inlineStr">
        <is>
          <t>Princeton University</t>
        </is>
      </c>
      <c r="B208" s="20" t="inlineStr">
        <is>
          <t>NJ</t>
        </is>
      </c>
      <c r="C208" s="42" t="n">
        <v>36.42</v>
      </c>
      <c r="D208" t="inlineStr">
        <is>
          <t>Endowment</t>
        </is>
      </c>
      <c r="E208" s="20" t="n">
        <v>2024</v>
      </c>
      <c r="F208" s="20" t="inlineStr"/>
      <c r="G208" t="inlineStr">
        <is>
          <t>Edward Karns</t>
        </is>
      </c>
      <c r="H208" t="inlineStr">
        <is>
          <t>managing director of PRINCO</t>
        </is>
      </c>
      <c r="I208" t="inlineStr">
        <is>
          <t>Managing Director</t>
        </is>
      </c>
      <c r="J208" s="21" t="n">
        <v>428892</v>
      </c>
      <c r="K208" s="21" t="n">
        <v>1975520</v>
      </c>
      <c r="L208" s="21" t="n">
        <v>2404412</v>
      </c>
      <c r="M208" s="21" t="n">
        <v>621</v>
      </c>
      <c r="N208" s="21" t="n">
        <v>40369</v>
      </c>
      <c r="O208" s="21" t="n">
        <v>37066</v>
      </c>
      <c r="P208" s="21" t="n">
        <v>2482468</v>
      </c>
      <c r="Q208" s="21" t="n">
        <v>1073948</v>
      </c>
      <c r="R208" s="21">
        <f>IF(Q208="","",Q208*(1+in_GrowthRate)^(YEARFRAC(DATE(2024,6,30),in_AgeToDate)*IF(in_AgeToDate&lt;DATE(2024,6,30),-1,1)+1))</f>
        <v/>
      </c>
      <c r="S208" s="38" t="n">
        <v>4.606101302892103</v>
      </c>
      <c r="T208" s="43">
        <f>HYPERLINK("https://projects.propublica.org/nonprofits/organizations/210634501/202511349349305891/full","view filing")</f>
        <v/>
      </c>
    </row>
    <row r="209">
      <c r="A209" t="inlineStr">
        <is>
          <t>Princeton University</t>
        </is>
      </c>
      <c r="B209" s="20" t="inlineStr">
        <is>
          <t>NJ</t>
        </is>
      </c>
      <c r="C209" s="42" t="n">
        <v>36.42</v>
      </c>
      <c r="D209" t="inlineStr">
        <is>
          <t>Endowment</t>
        </is>
      </c>
      <c r="E209" s="20" t="n">
        <v>2024</v>
      </c>
      <c r="F209" s="20" t="inlineStr"/>
      <c r="G209" t="inlineStr">
        <is>
          <t>Jonathan Erickson</t>
        </is>
      </c>
      <c r="H209" t="inlineStr">
        <is>
          <t>managing director of PRINCO</t>
        </is>
      </c>
      <c r="I209" t="inlineStr">
        <is>
          <t>Managing Director</t>
        </is>
      </c>
      <c r="J209" s="21" t="n">
        <v>701454</v>
      </c>
      <c r="K209" s="21" t="n">
        <v>2152729</v>
      </c>
      <c r="L209" s="21" t="n">
        <v>2854183</v>
      </c>
      <c r="M209" s="21" t="n">
        <v>70676</v>
      </c>
      <c r="N209" s="21" t="n">
        <v>355959</v>
      </c>
      <c r="O209" s="21" t="n">
        <v>104325</v>
      </c>
      <c r="P209" s="21" t="n">
        <v>3385143</v>
      </c>
      <c r="Q209" s="21" t="n">
        <v>1595104</v>
      </c>
      <c r="R209" s="21">
        <f>IF(Q209="","",Q209*(1+in_GrowthRate)^(YEARFRAC(DATE(2024,6,30),in_AgeToDate)*IF(in_AgeToDate&lt;DATE(2024,6,30),-1,1)+1))</f>
        <v/>
      </c>
      <c r="S209" s="38" t="n">
        <v>3.068952490113393</v>
      </c>
      <c r="T209" s="43">
        <f>HYPERLINK("https://projects.propublica.org/nonprofits/organizations/210634501/202511349349305891/full","view filing")</f>
        <v/>
      </c>
    </row>
    <row r="210">
      <c r="A210" t="inlineStr">
        <is>
          <t>Princeton University</t>
        </is>
      </c>
      <c r="B210" s="20" t="inlineStr">
        <is>
          <t>NJ</t>
        </is>
      </c>
      <c r="C210" s="42" t="n">
        <v>36.42</v>
      </c>
      <c r="D210" t="inlineStr">
        <is>
          <t>Endowment</t>
        </is>
      </c>
      <c r="E210" s="20" t="n">
        <v>2024</v>
      </c>
      <c r="F210" s="20" t="inlineStr"/>
      <c r="G210" t="inlineStr">
        <is>
          <t>Susan Butler Ciniglio</t>
        </is>
      </c>
      <c r="H210" t="inlineStr">
        <is>
          <t>managing director of PRINCO</t>
        </is>
      </c>
      <c r="I210" t="inlineStr">
        <is>
          <t>Managing Director</t>
        </is>
      </c>
      <c r="J210" s="21" t="n">
        <v>671011</v>
      </c>
      <c r="K210" s="21" t="n">
        <v>792729</v>
      </c>
      <c r="L210" s="21" t="n">
        <v>1463740</v>
      </c>
      <c r="M210" s="21" t="n">
        <v>60340</v>
      </c>
      <c r="N210" s="21" t="n">
        <v>548449</v>
      </c>
      <c r="O210" s="21" t="n">
        <v>27601</v>
      </c>
      <c r="P210" s="21" t="n">
        <v>2100130</v>
      </c>
      <c r="Q210" s="21" t="n">
        <v>2100130</v>
      </c>
      <c r="R210" s="21">
        <f>IF(Q210="","",Q210*(1+in_GrowthRate)^(YEARFRAC(DATE(2024,6,30),in_AgeToDate)*IF(in_AgeToDate&lt;DATE(2024,6,30),-1,1)+1))</f>
        <v/>
      </c>
      <c r="S210" s="38" t="n">
        <v>1.181394939874309</v>
      </c>
      <c r="T210" s="43">
        <f>HYPERLINK("https://projects.propublica.org/nonprofits/organizations/210634501/202511349349305891/full","view filing")</f>
        <v/>
      </c>
    </row>
    <row r="211">
      <c r="A211" t="inlineStr">
        <is>
          <t>Princeton University</t>
        </is>
      </c>
      <c r="B211" s="20" t="inlineStr">
        <is>
          <t>NJ</t>
        </is>
      </c>
      <c r="C211" s="42" t="n">
        <v>36.42</v>
      </c>
      <c r="D211" t="inlineStr">
        <is>
          <t>Endowment</t>
        </is>
      </c>
      <c r="E211" s="20" t="n">
        <v>2024</v>
      </c>
      <c r="F211" s="20" t="inlineStr"/>
      <c r="G211" t="inlineStr">
        <is>
          <t>Tae Kyoon Kim</t>
        </is>
      </c>
      <c r="H211" t="inlineStr">
        <is>
          <t>managing director of PRINCO</t>
        </is>
      </c>
      <c r="I211" t="inlineStr">
        <is>
          <t>Managing Director</t>
        </is>
      </c>
      <c r="J211" s="21" t="n">
        <v>671204</v>
      </c>
      <c r="K211" s="21" t="n">
        <v>1284805</v>
      </c>
      <c r="L211" s="21" t="n">
        <v>1956009</v>
      </c>
      <c r="M211" s="21" t="n">
        <v>61109</v>
      </c>
      <c r="N211" s="21" t="n">
        <v>559947</v>
      </c>
      <c r="O211" s="21" t="n">
        <v>27408</v>
      </c>
      <c r="P211" s="21" t="n">
        <v>2604473</v>
      </c>
      <c r="Q211" s="21" t="n">
        <v>1429668</v>
      </c>
      <c r="R211" s="21">
        <f>IF(Q211="","",Q211*(1+in_GrowthRate)^(YEARFRAC(DATE(2024,6,30),in_AgeToDate)*IF(in_AgeToDate&lt;DATE(2024,6,30),-1,1)+1))</f>
        <v/>
      </c>
      <c r="S211" s="38" t="n">
        <v>1.914179593685377</v>
      </c>
      <c r="T211" s="43">
        <f>HYPERLINK("https://projects.propublica.org/nonprofits/organizations/210634501/202511349349305891/full","view filing")</f>
        <v/>
      </c>
    </row>
    <row r="212">
      <c r="A212" t="inlineStr">
        <is>
          <t>Princeton University</t>
        </is>
      </c>
      <c r="B212" s="20" t="inlineStr">
        <is>
          <t>NJ</t>
        </is>
      </c>
      <c r="C212" s="42" t="n">
        <v>36.42</v>
      </c>
      <c r="D212" t="inlineStr">
        <is>
          <t>Endowment</t>
        </is>
      </c>
      <c r="E212" s="20" t="n">
        <v>2023</v>
      </c>
      <c r="F212" s="20" t="inlineStr"/>
      <c r="G212" t="inlineStr">
        <is>
          <t>Edward Karns</t>
        </is>
      </c>
      <c r="H212" t="inlineStr">
        <is>
          <t>managing director of PRINCO</t>
        </is>
      </c>
      <c r="I212" t="inlineStr">
        <is>
          <t>Managing Director</t>
        </is>
      </c>
      <c r="J212" s="21" t="n">
        <v>627689</v>
      </c>
      <c r="K212" s="21" t="n">
        <v>1816626</v>
      </c>
      <c r="L212" s="21" t="n">
        <v>2444315</v>
      </c>
      <c r="M212" s="21" t="n">
        <v>51543</v>
      </c>
      <c r="N212" s="21" t="n">
        <v>1144127</v>
      </c>
      <c r="O212" s="21" t="n">
        <v>77411</v>
      </c>
      <c r="P212" s="21" t="n">
        <v>3717396</v>
      </c>
      <c r="Q212" s="21" t="n">
        <v>2288853</v>
      </c>
      <c r="R212" s="21">
        <f>IF(Q212="","",Q212*(1+in_GrowthRate)^(YEARFRAC(DATE(2023,6,30),in_AgeToDate)*IF(in_AgeToDate&lt;DATE(2023,6,30),-1,1)+1))</f>
        <v/>
      </c>
      <c r="S212" s="38" t="n">
        <v>2.894149809858066</v>
      </c>
      <c r="T212" s="43">
        <f>HYPERLINK("https://projects.propublica.org/nonprofits/organizations/210634501/202441369349303904/full","view filing")</f>
        <v/>
      </c>
    </row>
    <row r="213">
      <c r="A213" t="inlineStr">
        <is>
          <t>Princeton University</t>
        </is>
      </c>
      <c r="B213" s="20" t="inlineStr">
        <is>
          <t>NJ</t>
        </is>
      </c>
      <c r="C213" s="42" t="n">
        <v>36.42</v>
      </c>
      <c r="D213" t="inlineStr">
        <is>
          <t>Endowment</t>
        </is>
      </c>
      <c r="E213" s="20" t="n">
        <v>2023</v>
      </c>
      <c r="F213" s="20" t="inlineStr"/>
      <c r="G213" t="inlineStr">
        <is>
          <t>James Millar</t>
        </is>
      </c>
      <c r="H213" t="inlineStr">
        <is>
          <t>managing director of PRINCO</t>
        </is>
      </c>
      <c r="I213" t="inlineStr">
        <is>
          <t>Managing Director</t>
        </is>
      </c>
      <c r="J213" s="21" t="n">
        <v>636894</v>
      </c>
      <c r="K213" s="21" t="n">
        <v>4088711</v>
      </c>
      <c r="L213" s="21" t="n">
        <v>4725605</v>
      </c>
      <c r="M213" s="21" t="n">
        <v>53823</v>
      </c>
      <c r="N213" s="21" t="n">
        <v>37371</v>
      </c>
      <c r="O213" s="21" t="n">
        <v>31400</v>
      </c>
      <c r="P213" s="21" t="n">
        <v>4848199</v>
      </c>
      <c r="Q213" s="21" t="n">
        <v>2278110</v>
      </c>
      <c r="R213" s="21">
        <f>IF(Q213="","",Q213*(1+in_GrowthRate)^(YEARFRAC(DATE(2023,6,30),in_AgeToDate)*IF(in_AgeToDate&lt;DATE(2023,6,30),-1,1)+1))</f>
        <v/>
      </c>
      <c r="S213" s="38" t="n">
        <v>6.419766868584097</v>
      </c>
      <c r="T213" s="43">
        <f>HYPERLINK("https://projects.propublica.org/nonprofits/organizations/210634501/202441369349303904/full","view filing")</f>
        <v/>
      </c>
    </row>
    <row r="214">
      <c r="A214" t="inlineStr">
        <is>
          <t>Princeton University</t>
        </is>
      </c>
      <c r="B214" s="20" t="inlineStr">
        <is>
          <t>NJ</t>
        </is>
      </c>
      <c r="C214" s="42" t="n">
        <v>36.42</v>
      </c>
      <c r="D214" t="inlineStr">
        <is>
          <t>Endowment</t>
        </is>
      </c>
      <c r="E214" s="20" t="n">
        <v>2023</v>
      </c>
      <c r="F214" s="20" t="inlineStr"/>
      <c r="G214" t="inlineStr">
        <is>
          <t>Jonathan Erickson</t>
        </is>
      </c>
      <c r="H214" t="inlineStr">
        <is>
          <t>managing director of PRINCO</t>
        </is>
      </c>
      <c r="I214" t="inlineStr">
        <is>
          <t>Managing Director</t>
        </is>
      </c>
      <c r="J214" s="21" t="n">
        <v>664362</v>
      </c>
      <c r="K214" s="21" t="n">
        <v>2252628</v>
      </c>
      <c r="L214" s="21" t="n">
        <v>2916990</v>
      </c>
      <c r="M214" s="21" t="n">
        <v>67721</v>
      </c>
      <c r="N214" s="21" t="n">
        <v>1233056</v>
      </c>
      <c r="O214" s="21" t="n">
        <v>85463</v>
      </c>
      <c r="P214" s="21" t="n">
        <v>4303230</v>
      </c>
      <c r="Q214" s="21" t="n">
        <v>2455862</v>
      </c>
      <c r="R214" s="21">
        <f>IF(Q214="","",Q214*(1+in_GrowthRate)^(YEARFRAC(DATE(2023,6,30),in_AgeToDate)*IF(in_AgeToDate&lt;DATE(2023,6,30),-1,1)+1))</f>
        <v/>
      </c>
      <c r="S214" s="38" t="n">
        <v>3.390663523801783</v>
      </c>
      <c r="T214" s="43">
        <f>HYPERLINK("https://projects.propublica.org/nonprofits/organizations/210634501/202441369349303904/full","view filing")</f>
        <v/>
      </c>
    </row>
    <row r="215">
      <c r="A215" t="inlineStr">
        <is>
          <t>Princeton University</t>
        </is>
      </c>
      <c r="B215" s="20" t="inlineStr">
        <is>
          <t>NJ</t>
        </is>
      </c>
      <c r="C215" s="42" t="n">
        <v>36.42</v>
      </c>
      <c r="D215" t="inlineStr">
        <is>
          <t>Endowment</t>
        </is>
      </c>
      <c r="E215" s="20" t="n">
        <v>2023</v>
      </c>
      <c r="F215" s="20" t="inlineStr"/>
      <c r="G215" t="inlineStr">
        <is>
          <t>Tae Kyoon Kim</t>
        </is>
      </c>
      <c r="H215" t="inlineStr">
        <is>
          <t>managing director of PRINCO</t>
        </is>
      </c>
      <c r="I215" t="inlineStr">
        <is>
          <t>Managing Director</t>
        </is>
      </c>
      <c r="J215" s="21" t="n">
        <v>577062</v>
      </c>
      <c r="K215" s="21" t="n">
        <v>1502466</v>
      </c>
      <c r="L215" s="21" t="n">
        <v>2079528</v>
      </c>
      <c r="M215" s="21" t="n">
        <v>49748</v>
      </c>
      <c r="N215" s="21" t="n">
        <v>1069903</v>
      </c>
      <c r="O215" s="21" t="n">
        <v>31582</v>
      </c>
      <c r="P215" s="21" t="n">
        <v>3230761</v>
      </c>
      <c r="Q215" s="21" t="n">
        <v>2513034</v>
      </c>
      <c r="R215" s="21">
        <f>IF(Q215="","",Q215*(1+in_GrowthRate)^(YEARFRAC(DATE(2023,6,30),in_AgeToDate)*IF(in_AgeToDate&lt;DATE(2023,6,30),-1,1)+1))</f>
        <v/>
      </c>
      <c r="S215" s="38" t="n">
        <v>2.60364744169604</v>
      </c>
      <c r="T215" s="43">
        <f>HYPERLINK("https://projects.propublica.org/nonprofits/organizations/210634501/202441369349303904/full","view filing")</f>
        <v/>
      </c>
    </row>
    <row r="216">
      <c r="A216" t="inlineStr">
        <is>
          <t>Princeton University</t>
        </is>
      </c>
      <c r="B216" s="20" t="inlineStr">
        <is>
          <t>NJ</t>
        </is>
      </c>
      <c r="C216" s="42" t="n">
        <v>36.42</v>
      </c>
      <c r="D216" t="inlineStr">
        <is>
          <t>Endowment</t>
        </is>
      </c>
      <c r="E216" s="20" t="n">
        <v>2022</v>
      </c>
      <c r="F216" s="20" t="inlineStr"/>
      <c r="G216" t="inlineStr">
        <is>
          <t>Edward Karns</t>
        </is>
      </c>
      <c r="H216" t="inlineStr">
        <is>
          <t>managing director of PRINCO</t>
        </is>
      </c>
      <c r="I216" t="inlineStr">
        <is>
          <t>Managing Director</t>
        </is>
      </c>
      <c r="J216" s="21" t="n">
        <v>574445</v>
      </c>
      <c r="K216" s="21" t="n">
        <v>1989551</v>
      </c>
      <c r="L216" s="21" t="n">
        <v>2563996</v>
      </c>
      <c r="M216" s="21" t="n">
        <v>48295</v>
      </c>
      <c r="N216" s="21" t="n">
        <v>952733</v>
      </c>
      <c r="O216" s="21" t="n">
        <v>62506</v>
      </c>
      <c r="P216" s="21" t="n">
        <v>3627530</v>
      </c>
      <c r="Q216" s="21" t="n">
        <v>1939479</v>
      </c>
      <c r="R216" s="21">
        <f>IF(Q216="","",Q216*(1+in_GrowthRate)^(YEARFRAC(DATE(2022,6,30),in_AgeToDate)*IF(in_AgeToDate&lt;DATE(2022,6,30),-1,1)+1))</f>
        <v/>
      </c>
      <c r="S216" s="38" t="n">
        <v>3.46343166012412</v>
      </c>
      <c r="T216" s="43">
        <f>HYPERLINK("https://projects.propublica.org/nonprofits/organizations/210634501/202341359349301724/full","view filing")</f>
        <v/>
      </c>
    </row>
    <row r="217">
      <c r="A217" t="inlineStr">
        <is>
          <t>Princeton University</t>
        </is>
      </c>
      <c r="B217" s="20" t="inlineStr">
        <is>
          <t>NJ</t>
        </is>
      </c>
      <c r="C217" s="42" t="n">
        <v>36.42</v>
      </c>
      <c r="D217" t="inlineStr">
        <is>
          <t>Endowment</t>
        </is>
      </c>
      <c r="E217" s="20" t="n">
        <v>2022</v>
      </c>
      <c r="F217" s="20" t="inlineStr"/>
      <c r="G217" t="inlineStr">
        <is>
          <t>James Millar</t>
        </is>
      </c>
      <c r="H217" t="inlineStr">
        <is>
          <t>managing director of PRINCO</t>
        </is>
      </c>
      <c r="I217" t="inlineStr">
        <is>
          <t>Managing Director</t>
        </is>
      </c>
      <c r="J217" s="21" t="n">
        <v>584102</v>
      </c>
      <c r="K217" s="21" t="n">
        <v>3622492</v>
      </c>
      <c r="L217" s="21" t="n">
        <v>4206594</v>
      </c>
      <c r="M217" s="21" t="n">
        <v>48150</v>
      </c>
      <c r="N217" s="21" t="n">
        <v>648246</v>
      </c>
      <c r="O217" s="21" t="n">
        <v>27495</v>
      </c>
      <c r="P217" s="21" t="n">
        <v>4930485</v>
      </c>
      <c r="Q217" s="21" t="n">
        <v>1920879</v>
      </c>
      <c r="R217" s="21">
        <f>IF(Q217="","",Q217*(1+in_GrowthRate)^(YEARFRAC(DATE(2022,6,30),in_AgeToDate)*IF(in_AgeToDate&lt;DATE(2022,6,30),-1,1)+1))</f>
        <v/>
      </c>
      <c r="S217" s="38" t="n">
        <v>6.201814066721223</v>
      </c>
      <c r="T217" s="43">
        <f>HYPERLINK("https://projects.propublica.org/nonprofits/organizations/210634501/202341359349301724/full","view filing")</f>
        <v/>
      </c>
    </row>
    <row r="218">
      <c r="A218" t="inlineStr">
        <is>
          <t>Princeton University</t>
        </is>
      </c>
      <c r="B218" s="20" t="inlineStr">
        <is>
          <t>NJ</t>
        </is>
      </c>
      <c r="C218" s="42" t="n">
        <v>36.42</v>
      </c>
      <c r="D218" t="inlineStr">
        <is>
          <t>Endowment</t>
        </is>
      </c>
      <c r="E218" s="20" t="n">
        <v>2022</v>
      </c>
      <c r="F218" s="20" t="inlineStr"/>
      <c r="G218" t="inlineStr">
        <is>
          <t>Jonathan Erickson</t>
        </is>
      </c>
      <c r="H218" t="inlineStr">
        <is>
          <t>managing director of PRINCO</t>
        </is>
      </c>
      <c r="I218" t="inlineStr">
        <is>
          <t>Managing Director</t>
        </is>
      </c>
      <c r="J218" s="21" t="n">
        <v>619368</v>
      </c>
      <c r="K218" s="21" t="n">
        <v>1610625</v>
      </c>
      <c r="L218" s="21" t="n">
        <v>2229993</v>
      </c>
      <c r="M218" s="21" t="n">
        <v>63059</v>
      </c>
      <c r="N218" s="21" t="n">
        <v>969500</v>
      </c>
      <c r="O218" s="21" t="n">
        <v>50477</v>
      </c>
      <c r="P218" s="21" t="n">
        <v>3313029</v>
      </c>
      <c r="Q218" s="21" t="n">
        <v>2010904</v>
      </c>
      <c r="R218" s="21">
        <f>IF(Q218="","",Q218*(1+in_GrowthRate)^(YEARFRAC(DATE(2022,6,30),in_AgeToDate)*IF(in_AgeToDate&lt;DATE(2022,6,30),-1,1)+1))</f>
        <v/>
      </c>
      <c r="S218" s="38" t="n">
        <v>2.600433022048282</v>
      </c>
      <c r="T218" s="43">
        <f>HYPERLINK("https://projects.propublica.org/nonprofits/organizations/210634501/202341359349301724/full","view filing")</f>
        <v/>
      </c>
    </row>
    <row r="219">
      <c r="A219" t="inlineStr">
        <is>
          <t>Princeton University</t>
        </is>
      </c>
      <c r="B219" s="20" t="inlineStr">
        <is>
          <t>NJ</t>
        </is>
      </c>
      <c r="C219" s="42" t="n">
        <v>36.42</v>
      </c>
      <c r="D219" t="inlineStr">
        <is>
          <t>Endowment</t>
        </is>
      </c>
      <c r="E219" s="20" t="n">
        <v>2022</v>
      </c>
      <c r="F219" s="20" t="inlineStr"/>
      <c r="G219" t="inlineStr">
        <is>
          <t>Tae Kyoon Kim</t>
        </is>
      </c>
      <c r="H219" t="inlineStr">
        <is>
          <t>managing director of PRINCO</t>
        </is>
      </c>
      <c r="I219" t="inlineStr">
        <is>
          <t>Managing Director</t>
        </is>
      </c>
      <c r="J219" s="21" t="n">
        <v>508843</v>
      </c>
      <c r="K219" s="21" t="n">
        <v>1553625</v>
      </c>
      <c r="L219" s="21" t="n">
        <v>2062468</v>
      </c>
      <c r="M219" s="21" t="n">
        <v>41456</v>
      </c>
      <c r="N219" s="21" t="n">
        <v>884588</v>
      </c>
      <c r="O219" s="21" t="n">
        <v>27695</v>
      </c>
      <c r="P219" s="21" t="n">
        <v>3016207</v>
      </c>
      <c r="Q219" s="21" t="n">
        <v>1999471</v>
      </c>
      <c r="R219" s="21">
        <f>IF(Q219="","",Q219*(1+in_GrowthRate)^(YEARFRAC(DATE(2022,6,30),in_AgeToDate)*IF(in_AgeToDate&lt;DATE(2022,6,30),-1,1)+1))</f>
        <v/>
      </c>
      <c r="S219" s="38" t="n">
        <v>3.05325021666801</v>
      </c>
      <c r="T219" s="43">
        <f>HYPERLINK("https://projects.propublica.org/nonprofits/organizations/210634501/202341359349301724/full","view filing")</f>
        <v/>
      </c>
    </row>
    <row r="220">
      <c r="A220" t="inlineStr">
        <is>
          <t>Robert Wood Johnson Foundation</t>
        </is>
      </c>
      <c r="B220" s="20" t="inlineStr">
        <is>
          <t>NJ</t>
        </is>
      </c>
      <c r="C220" s="42" t="n">
        <v>12.61</v>
      </c>
      <c r="D220" t="inlineStr">
        <is>
          <t>Foundation</t>
        </is>
      </c>
      <c r="E220" s="20" t="n">
        <v>2024</v>
      </c>
      <c r="F220" s="20">
        <f>IF(AND(OR(in_Mode="All Funds",AND(C220&gt;=in_BandFloor,C220&lt;=in_BandCeiling,OR(in_Geography="National",COUNTIFS(lst_GeoPreset,in_Geography,lst_GeoState,B220)&gt;0,AND(in_Geography="Custom",ISNUMBER(SEARCH(B220,SUBSTITUTE(in_CustomStates," ",""))))),OR(AND(D220="Endowment",Inputs!$B$14="Y"),AND(D220="Foundation",Inputs!$B$15="Y"),AND(D220="Healthcare",Inputs!$B$16="Y"),AND(D220="Pension",Inputs!$B$17="Y"),AND(D220="OCIO",Inputs!$B$18="Y"),AND(D220="Other",Inputs!$B$19="Y")))),A220&lt;&gt;in_ClientOrg,NOT(AND(in_ExclHarvard="Y",ISNUMBER(SEARCH("Harvard",A220))))),"Y","")</f>
        <v/>
      </c>
      <c r="G220" t="inlineStr">
        <is>
          <t>Joshua Stern</t>
        </is>
      </c>
      <c r="H220" t="inlineStr">
        <is>
          <t>MD PRIVATE INV</t>
        </is>
      </c>
      <c r="I220" t="inlineStr">
        <is>
          <t>Managing Director</t>
        </is>
      </c>
      <c r="J220" s="21" t="n"/>
      <c r="K220" s="21" t="n"/>
      <c r="L220" s="21" t="n"/>
      <c r="M220" s="21" t="n"/>
      <c r="N220" s="21" t="n"/>
      <c r="O220" s="21" t="n"/>
      <c r="P220" s="21" t="n">
        <v>1053144</v>
      </c>
      <c r="Q220" s="21" t="n">
        <v>1053144</v>
      </c>
      <c r="R220" s="21">
        <f>IF(Q220="","",Q220*(1+in_GrowthRate)^(YEARFRAC(DATE(2024,12,31),in_AgeToDate)*IF(in_AgeToDate&lt;DATE(2024,12,31),-1,1)+1))</f>
        <v/>
      </c>
      <c r="S220" s="38" t="n"/>
      <c r="T220" s="43">
        <f>HYPERLINK("https://projects.propublica.org/nonprofits/organizations/226029397/202503109349101385/full","view filing")</f>
        <v/>
      </c>
    </row>
    <row r="221">
      <c r="A221" t="inlineStr">
        <is>
          <t>Robert Wood Johnson Foundation</t>
        </is>
      </c>
      <c r="B221" s="20" t="inlineStr">
        <is>
          <t>NJ</t>
        </is>
      </c>
      <c r="C221" s="42" t="n">
        <v>12.61</v>
      </c>
      <c r="D221" t="inlineStr">
        <is>
          <t>Foundation</t>
        </is>
      </c>
      <c r="E221" s="20" t="n">
        <v>2024</v>
      </c>
      <c r="F221" s="20">
        <f>IF(AND(OR(in_Mode="All Funds",AND(C221&gt;=in_BandFloor,C221&lt;=in_BandCeiling,OR(in_Geography="National",COUNTIFS(lst_GeoPreset,in_Geography,lst_GeoState,B221)&gt;0,AND(in_Geography="Custom",ISNUMBER(SEARCH(B221,SUBSTITUTE(in_CustomStates," ",""))))),OR(AND(D221="Endowment",Inputs!$B$14="Y"),AND(D221="Foundation",Inputs!$B$15="Y"),AND(D221="Healthcare",Inputs!$B$16="Y"),AND(D221="Pension",Inputs!$B$17="Y"),AND(D221="OCIO",Inputs!$B$18="Y"),AND(D221="Other",Inputs!$B$19="Y")))),A221&lt;&gt;in_ClientOrg,NOT(AND(in_ExclHarvard="Y",ISNUMBER(SEARCH("Harvard",A221))))),"Y","")</f>
        <v/>
      </c>
      <c r="G221" t="inlineStr">
        <is>
          <t>Michael Aswad</t>
        </is>
      </c>
      <c r="H221" t="inlineStr">
        <is>
          <t>MD PRIVATE INV</t>
        </is>
      </c>
      <c r="I221" t="inlineStr">
        <is>
          <t>Managing Director</t>
        </is>
      </c>
      <c r="J221" s="21" t="n"/>
      <c r="K221" s="21" t="n"/>
      <c r="L221" s="21" t="n"/>
      <c r="M221" s="21" t="n"/>
      <c r="N221" s="21" t="n"/>
      <c r="O221" s="21" t="n"/>
      <c r="P221" s="21" t="n">
        <v>1310125</v>
      </c>
      <c r="Q221" s="21" t="n">
        <v>1310125</v>
      </c>
      <c r="R221" s="21">
        <f>IF(Q221="","",Q221*(1+in_GrowthRate)^(YEARFRAC(DATE(2024,12,31),in_AgeToDate)*IF(in_AgeToDate&lt;DATE(2024,12,31),-1,1)+1))</f>
        <v/>
      </c>
      <c r="S221" s="38" t="n"/>
      <c r="T221" s="43">
        <f>HYPERLINK("https://projects.propublica.org/nonprofits/organizations/226029397/202503109349101385/full","view filing")</f>
        <v/>
      </c>
    </row>
    <row r="222">
      <c r="A222" t="inlineStr">
        <is>
          <t>Robert Wood Johnson Foundation</t>
        </is>
      </c>
      <c r="B222" s="20" t="inlineStr">
        <is>
          <t>NJ</t>
        </is>
      </c>
      <c r="C222" s="42" t="n">
        <v>12.61</v>
      </c>
      <c r="D222" t="inlineStr">
        <is>
          <t>Foundation</t>
        </is>
      </c>
      <c r="E222" s="20" t="n">
        <v>2024</v>
      </c>
      <c r="F222" s="20">
        <f>IF(AND(OR(in_Mode="All Funds",AND(C222&gt;=in_BandFloor,C222&lt;=in_BandCeiling,OR(in_Geography="National",COUNTIFS(lst_GeoPreset,in_Geography,lst_GeoState,B222)&gt;0,AND(in_Geography="Custom",ISNUMBER(SEARCH(B222,SUBSTITUTE(in_CustomStates," ",""))))),OR(AND(D222="Endowment",Inputs!$B$14="Y"),AND(D222="Foundation",Inputs!$B$15="Y"),AND(D222="Healthcare",Inputs!$B$16="Y"),AND(D222="Pension",Inputs!$B$17="Y"),AND(D222="OCIO",Inputs!$B$18="Y"),AND(D222="Other",Inputs!$B$19="Y")))),A222&lt;&gt;in_ClientOrg,NOT(AND(in_ExclHarvard="Y",ISNUMBER(SEARCH("Harvard",A222))))),"Y","")</f>
        <v/>
      </c>
      <c r="G222" t="inlineStr">
        <is>
          <t>Warren Stock</t>
        </is>
      </c>
      <c r="H222" t="inlineStr">
        <is>
          <t>MD PUBLIC INV</t>
        </is>
      </c>
      <c r="I222" t="inlineStr">
        <is>
          <t>Managing Director</t>
        </is>
      </c>
      <c r="J222" s="21" t="n"/>
      <c r="K222" s="21" t="n"/>
      <c r="L222" s="21" t="n"/>
      <c r="M222" s="21" t="n"/>
      <c r="N222" s="21" t="n"/>
      <c r="O222" s="21" t="n"/>
      <c r="P222" s="21" t="n">
        <v>1280876</v>
      </c>
      <c r="Q222" s="21" t="n">
        <v>1280876</v>
      </c>
      <c r="R222" s="21">
        <f>IF(Q222="","",Q222*(1+in_GrowthRate)^(YEARFRAC(DATE(2024,12,31),in_AgeToDate)*IF(in_AgeToDate&lt;DATE(2024,12,31),-1,1)+1))</f>
        <v/>
      </c>
      <c r="S222" s="38" t="n"/>
      <c r="T222" s="43">
        <f>HYPERLINK("https://projects.propublica.org/nonprofits/organizations/226029397/202503109349101385/full","view filing")</f>
        <v/>
      </c>
    </row>
    <row r="223">
      <c r="A223" t="inlineStr">
        <is>
          <t>Robert Wood Johnson Foundation</t>
        </is>
      </c>
      <c r="B223" s="20" t="inlineStr">
        <is>
          <t>NJ</t>
        </is>
      </c>
      <c r="C223" s="42" t="n">
        <v>12.61</v>
      </c>
      <c r="D223" t="inlineStr">
        <is>
          <t>Foundation</t>
        </is>
      </c>
      <c r="E223" s="20" t="n">
        <v>2023</v>
      </c>
      <c r="F223" s="20" t="inlineStr"/>
      <c r="G223" t="inlineStr">
        <is>
          <t>Joshua Stern</t>
        </is>
      </c>
      <c r="H223" t="inlineStr">
        <is>
          <t>MD PRIVATE INV</t>
        </is>
      </c>
      <c r="I223" t="inlineStr">
        <is>
          <t>Managing Director</t>
        </is>
      </c>
      <c r="J223" s="21" t="n"/>
      <c r="K223" s="21" t="n"/>
      <c r="L223" s="21" t="n"/>
      <c r="M223" s="21" t="n"/>
      <c r="N223" s="21" t="n"/>
      <c r="O223" s="21" t="n"/>
      <c r="P223" s="21" t="n">
        <v>1069502</v>
      </c>
      <c r="Q223" s="21" t="n">
        <v>1069502</v>
      </c>
      <c r="R223" s="21">
        <f>IF(Q223="","",Q223*(1+in_GrowthRate)^(YEARFRAC(DATE(2023,12,31),in_AgeToDate)*IF(in_AgeToDate&lt;DATE(2023,12,31),-1,1)+1))</f>
        <v/>
      </c>
      <c r="S223" s="38" t="n"/>
      <c r="T223" s="43">
        <f>HYPERLINK("https://projects.propublica.org/nonprofits/organizations/226029397/202443129349100234/full","view filing")</f>
        <v/>
      </c>
    </row>
    <row r="224">
      <c r="A224" t="inlineStr">
        <is>
          <t>Robert Wood Johnson Foundation</t>
        </is>
      </c>
      <c r="B224" s="20" t="inlineStr">
        <is>
          <t>NJ</t>
        </is>
      </c>
      <c r="C224" s="42" t="n">
        <v>12.61</v>
      </c>
      <c r="D224" t="inlineStr">
        <is>
          <t>Foundation</t>
        </is>
      </c>
      <c r="E224" s="20" t="n">
        <v>2023</v>
      </c>
      <c r="F224" s="20" t="inlineStr"/>
      <c r="G224" t="inlineStr">
        <is>
          <t>Michael Aswad</t>
        </is>
      </c>
      <c r="H224" t="inlineStr">
        <is>
          <t>MD PRIVATE INV</t>
        </is>
      </c>
      <c r="I224" t="inlineStr">
        <is>
          <t>Managing Director</t>
        </is>
      </c>
      <c r="J224" s="21" t="n"/>
      <c r="K224" s="21" t="n"/>
      <c r="L224" s="21" t="n"/>
      <c r="M224" s="21" t="n"/>
      <c r="N224" s="21" t="n"/>
      <c r="O224" s="21" t="n"/>
      <c r="P224" s="21" t="n">
        <v>1207587</v>
      </c>
      <c r="Q224" s="21" t="n">
        <v>1207587</v>
      </c>
      <c r="R224" s="21">
        <f>IF(Q224="","",Q224*(1+in_GrowthRate)^(YEARFRAC(DATE(2023,12,31),in_AgeToDate)*IF(in_AgeToDate&lt;DATE(2023,12,31),-1,1)+1))</f>
        <v/>
      </c>
      <c r="S224" s="38" t="n"/>
      <c r="T224" s="43">
        <f>HYPERLINK("https://projects.propublica.org/nonprofits/organizations/226029397/202443129349100234/full","view filing")</f>
        <v/>
      </c>
    </row>
    <row r="225">
      <c r="A225" t="inlineStr">
        <is>
          <t>Robert Wood Johnson Foundation</t>
        </is>
      </c>
      <c r="B225" s="20" t="inlineStr">
        <is>
          <t>NJ</t>
        </is>
      </c>
      <c r="C225" s="42" t="n">
        <v>12.61</v>
      </c>
      <c r="D225" t="inlineStr">
        <is>
          <t>Foundation</t>
        </is>
      </c>
      <c r="E225" s="20" t="n">
        <v>2023</v>
      </c>
      <c r="F225" s="20" t="inlineStr"/>
      <c r="G225" t="inlineStr">
        <is>
          <t>Warren Stock</t>
        </is>
      </c>
      <c r="H225" t="inlineStr">
        <is>
          <t>MD PUBLIC INV</t>
        </is>
      </c>
      <c r="I225" t="inlineStr">
        <is>
          <t>Managing Director</t>
        </is>
      </c>
      <c r="J225" s="21" t="n"/>
      <c r="K225" s="21" t="n"/>
      <c r="L225" s="21" t="n"/>
      <c r="M225" s="21" t="n"/>
      <c r="N225" s="21" t="n"/>
      <c r="O225" s="21" t="n"/>
      <c r="P225" s="21" t="n">
        <v>1170090</v>
      </c>
      <c r="Q225" s="21" t="n">
        <v>1170090</v>
      </c>
      <c r="R225" s="21">
        <f>IF(Q225="","",Q225*(1+in_GrowthRate)^(YEARFRAC(DATE(2023,12,31),in_AgeToDate)*IF(in_AgeToDate&lt;DATE(2023,12,31),-1,1)+1))</f>
        <v/>
      </c>
      <c r="S225" s="38" t="n"/>
      <c r="T225" s="43">
        <f>HYPERLINK("https://projects.propublica.org/nonprofits/organizations/226029397/202443129349100234/full","view filing")</f>
        <v/>
      </c>
    </row>
    <row r="226">
      <c r="A226" t="inlineStr">
        <is>
          <t>Robert Wood Johnson Foundation</t>
        </is>
      </c>
      <c r="B226" s="20" t="inlineStr">
        <is>
          <t>NJ</t>
        </is>
      </c>
      <c r="C226" s="42" t="n">
        <v>12.61</v>
      </c>
      <c r="D226" t="inlineStr">
        <is>
          <t>Foundation</t>
        </is>
      </c>
      <c r="E226" s="20" t="n">
        <v>2022</v>
      </c>
      <c r="F226" s="20" t="inlineStr"/>
      <c r="G226" t="inlineStr">
        <is>
          <t>Michael Aswad</t>
        </is>
      </c>
      <c r="H226" t="inlineStr">
        <is>
          <t>MD PRIVATE INV</t>
        </is>
      </c>
      <c r="I226" t="inlineStr">
        <is>
          <t>Managing Director</t>
        </is>
      </c>
      <c r="J226" s="21" t="n"/>
      <c r="K226" s="21" t="n"/>
      <c r="L226" s="21" t="n"/>
      <c r="M226" s="21" t="n"/>
      <c r="N226" s="21" t="n"/>
      <c r="O226" s="21" t="n"/>
      <c r="P226" s="21" t="n">
        <v>1124013</v>
      </c>
      <c r="Q226" s="21" t="n">
        <v>1124013</v>
      </c>
      <c r="R226" s="21">
        <f>IF(Q226="","",Q226*(1+in_GrowthRate)^(YEARFRAC(DATE(2022,12,31),in_AgeToDate)*IF(in_AgeToDate&lt;DATE(2022,12,31),-1,1)+1))</f>
        <v/>
      </c>
      <c r="S226" s="38" t="n"/>
      <c r="T226" s="43">
        <f>HYPERLINK("https://projects.propublica.org/nonprofits/organizations/226029397/202343139349100304/full","view filing")</f>
        <v/>
      </c>
    </row>
    <row r="227">
      <c r="A227" t="inlineStr">
        <is>
          <t>Robert Wood Johnson Foundation</t>
        </is>
      </c>
      <c r="B227" s="20" t="inlineStr">
        <is>
          <t>NJ</t>
        </is>
      </c>
      <c r="C227" s="42" t="n">
        <v>12.61</v>
      </c>
      <c r="D227" t="inlineStr">
        <is>
          <t>Foundation</t>
        </is>
      </c>
      <c r="E227" s="20" t="n">
        <v>2022</v>
      </c>
      <c r="F227" s="20" t="inlineStr"/>
      <c r="G227" t="inlineStr">
        <is>
          <t>Vanita Gaonkar</t>
        </is>
      </c>
      <c r="H227" t="inlineStr">
        <is>
          <t>MD PUBLIC INV</t>
        </is>
      </c>
      <c r="I227" t="inlineStr">
        <is>
          <t>Managing Director</t>
        </is>
      </c>
      <c r="J227" s="21" t="n"/>
      <c r="K227" s="21" t="n"/>
      <c r="L227" s="21" t="n"/>
      <c r="M227" s="21" t="n"/>
      <c r="N227" s="21" t="n"/>
      <c r="O227" s="21" t="n"/>
      <c r="P227" s="21" t="n">
        <v>941980</v>
      </c>
      <c r="Q227" s="21" t="n">
        <v>941980</v>
      </c>
      <c r="R227" s="21">
        <f>IF(Q227="","",Q227*(1+in_GrowthRate)^(YEARFRAC(DATE(2022,12,31),in_AgeToDate)*IF(in_AgeToDate&lt;DATE(2022,12,31),-1,1)+1))</f>
        <v/>
      </c>
      <c r="S227" s="38" t="n"/>
      <c r="T227" s="43">
        <f>HYPERLINK("https://projects.propublica.org/nonprofits/organizations/226029397/202343139349100304/full","view filing")</f>
        <v/>
      </c>
    </row>
    <row r="228">
      <c r="A228" t="inlineStr">
        <is>
          <t>Robert Wood Johnson Foundation</t>
        </is>
      </c>
      <c r="B228" s="20" t="inlineStr">
        <is>
          <t>NJ</t>
        </is>
      </c>
      <c r="C228" s="42" t="n">
        <v>12.61</v>
      </c>
      <c r="D228" t="inlineStr">
        <is>
          <t>Foundation</t>
        </is>
      </c>
      <c r="E228" s="20" t="n">
        <v>2022</v>
      </c>
      <c r="F228" s="20" t="inlineStr"/>
      <c r="G228" t="inlineStr">
        <is>
          <t>Warren Stock</t>
        </is>
      </c>
      <c r="H228" t="inlineStr">
        <is>
          <t>MD PUBLIC INV</t>
        </is>
      </c>
      <c r="I228" t="inlineStr">
        <is>
          <t>Managing Director</t>
        </is>
      </c>
      <c r="J228" s="21" t="n"/>
      <c r="K228" s="21" t="n"/>
      <c r="L228" s="21" t="n"/>
      <c r="M228" s="21" t="n"/>
      <c r="N228" s="21" t="n"/>
      <c r="O228" s="21" t="n"/>
      <c r="P228" s="21" t="n">
        <v>1080819</v>
      </c>
      <c r="Q228" s="21" t="n">
        <v>1080819</v>
      </c>
      <c r="R228" s="21">
        <f>IF(Q228="","",Q228*(1+in_GrowthRate)^(YEARFRAC(DATE(2022,12,31),in_AgeToDate)*IF(in_AgeToDate&lt;DATE(2022,12,31),-1,1)+1))</f>
        <v/>
      </c>
      <c r="S228" s="38" t="n"/>
      <c r="T228" s="43">
        <f>HYPERLINK("https://projects.propublica.org/nonprofits/organizations/226029397/202343139349100304/full","view filing")</f>
        <v/>
      </c>
    </row>
    <row r="229">
      <c r="A229" t="inlineStr">
        <is>
          <t>Rockefeller Foundation</t>
        </is>
      </c>
      <c r="B229" s="20" t="inlineStr">
        <is>
          <t>NY</t>
        </is>
      </c>
      <c r="C229" s="42" t="n">
        <v>5.4</v>
      </c>
      <c r="D229" t="inlineStr">
        <is>
          <t>Foundation</t>
        </is>
      </c>
      <c r="E229" s="20" t="n">
        <v>2023</v>
      </c>
      <c r="F229" s="20" t="inlineStr"/>
      <c r="G229" t="inlineStr">
        <is>
          <t>Michelle Pak</t>
        </is>
      </c>
      <c r="H229" t="inlineStr">
        <is>
          <t>SR. MANAGING DIRECTO</t>
        </is>
      </c>
      <c r="I229" t="inlineStr">
        <is>
          <t>Senior Managing Director</t>
        </is>
      </c>
      <c r="J229" s="21" t="n"/>
      <c r="K229" s="21" t="n"/>
      <c r="L229" s="21" t="n"/>
      <c r="M229" s="21" t="n"/>
      <c r="N229" s="21" t="n"/>
      <c r="O229" s="21" t="n"/>
      <c r="P229" s="21" t="n">
        <v>712101</v>
      </c>
      <c r="Q229" s="21" t="n">
        <v>712101</v>
      </c>
      <c r="R229" s="21">
        <f>IF(Q229="","",Q229*(1+in_GrowthRate)^(YEARFRAC(DATE(2023,12,31),in_AgeToDate)*IF(in_AgeToDate&lt;DATE(2023,12,31),-1,1)+1))</f>
        <v/>
      </c>
      <c r="S229" s="38" t="n"/>
      <c r="T229" s="43">
        <f>HYPERLINK("https://projects.propublica.org/nonprofits/organizations/131659629/202403139349100635/full","view filing")</f>
        <v/>
      </c>
    </row>
    <row r="230">
      <c r="A230" t="inlineStr">
        <is>
          <t>Rockefeller Foundation</t>
        </is>
      </c>
      <c r="B230" s="20" t="inlineStr">
        <is>
          <t>NY</t>
        </is>
      </c>
      <c r="C230" s="42" t="n">
        <v>5.4</v>
      </c>
      <c r="D230" t="inlineStr">
        <is>
          <t>Foundation</t>
        </is>
      </c>
      <c r="E230" s="20" t="n">
        <v>2022</v>
      </c>
      <c r="F230" s="20" t="inlineStr"/>
      <c r="G230" t="inlineStr">
        <is>
          <t>Michelle Pak</t>
        </is>
      </c>
      <c r="H230" t="inlineStr">
        <is>
          <t>SR. MANAGING DIRECTO</t>
        </is>
      </c>
      <c r="I230" t="inlineStr">
        <is>
          <t>Senior Managing Director</t>
        </is>
      </c>
      <c r="J230" s="21" t="n"/>
      <c r="K230" s="21" t="n"/>
      <c r="L230" s="21" t="n"/>
      <c r="M230" s="21" t="n"/>
      <c r="N230" s="21" t="n"/>
      <c r="O230" s="21" t="n"/>
      <c r="P230" s="21" t="n">
        <v>772907</v>
      </c>
      <c r="Q230" s="21" t="n">
        <v>772907</v>
      </c>
      <c r="R230" s="21">
        <f>IF(Q230="","",Q230*(1+in_GrowthRate)^(YEARFRAC(DATE(2022,12,31),in_AgeToDate)*IF(in_AgeToDate&lt;DATE(2022,12,31),-1,1)+1))</f>
        <v/>
      </c>
      <c r="S230" s="38" t="n"/>
      <c r="T230" s="43">
        <f>HYPERLINK("https://projects.propublica.org/nonprofits/organizations/131659629/202313189349101641/full","view filing")</f>
        <v/>
      </c>
    </row>
    <row r="231">
      <c r="A231" t="inlineStr">
        <is>
          <t>Rockefeller University</t>
        </is>
      </c>
      <c r="B231" s="20" t="inlineStr">
        <is>
          <t>NY</t>
        </is>
      </c>
      <c r="C231" s="42" t="n">
        <v>2.61</v>
      </c>
      <c r="D231" t="inlineStr">
        <is>
          <t>Endowment</t>
        </is>
      </c>
      <c r="E231" s="20" t="n">
        <v>2024</v>
      </c>
      <c r="F231" s="20" t="inlineStr"/>
      <c r="G231" t="inlineStr">
        <is>
          <t>Anouk Van Der Boor</t>
        </is>
      </c>
      <c r="H231" t="inlineStr">
        <is>
          <t>Managing Director, Private Partnerships</t>
        </is>
      </c>
      <c r="I231" t="inlineStr">
        <is>
          <t>Managing Director</t>
        </is>
      </c>
      <c r="J231" s="21" t="n">
        <v>399113</v>
      </c>
      <c r="K231" s="21" t="n">
        <v>400000</v>
      </c>
      <c r="L231" s="21" t="n">
        <v>799113</v>
      </c>
      <c r="M231" s="21" t="n"/>
      <c r="N231" s="21" t="n"/>
      <c r="O231" s="21" t="n">
        <v>58373</v>
      </c>
      <c r="P231" s="21" t="n">
        <v>857486</v>
      </c>
      <c r="Q231" s="21" t="n">
        <v>857486</v>
      </c>
      <c r="R231" s="21">
        <f>IF(Q231="","",Q231*(1+in_GrowthRate)^(YEARFRAC(DATE(2024,6,30),in_AgeToDate)*IF(in_AgeToDate&lt;DATE(2024,6,30),-1,1)+1))</f>
        <v/>
      </c>
      <c r="S231" s="38" t="n">
        <v>1.00222242823461</v>
      </c>
      <c r="T231" s="43">
        <f>HYPERLINK("https://projects.propublica.org/nonprofits/organizations/131624158/202530449349301203/full","view filing")</f>
        <v/>
      </c>
    </row>
    <row r="232">
      <c r="A232" t="inlineStr">
        <is>
          <t>Smithsonian Institute</t>
        </is>
      </c>
      <c r="B232" s="20" t="inlineStr">
        <is>
          <t>DC</t>
        </is>
      </c>
      <c r="C232" s="42" t="n">
        <v>3.63</v>
      </c>
      <c r="D232" t="inlineStr">
        <is>
          <t>Other</t>
        </is>
      </c>
      <c r="E232" s="20" t="n">
        <v>2025</v>
      </c>
      <c r="F232" s="20">
        <f>IF(AND(OR(in_Mode="All Funds",AND(C232&gt;=in_BandFloor,C232&lt;=in_BandCeiling,OR(in_Geography="National",COUNTIFS(lst_GeoPreset,in_Geography,lst_GeoState,B232)&gt;0,AND(in_Geography="Custom",ISNUMBER(SEARCH(B232,SUBSTITUTE(in_CustomStates," ",""))))),OR(AND(D232="Endowment",Inputs!$B$14="Y"),AND(D232="Foundation",Inputs!$B$15="Y"),AND(D232="Healthcare",Inputs!$B$16="Y"),AND(D232="Pension",Inputs!$B$17="Y"),AND(D232="OCIO",Inputs!$B$18="Y"),AND(D232="Other",Inputs!$B$19="Y")))),A232&lt;&gt;in_ClientOrg,NOT(AND(in_ExclHarvard="Y",ISNUMBER(SEARCH("Harvard",A232))))),"Y","")</f>
        <v/>
      </c>
      <c r="G232" t="inlineStr">
        <is>
          <t>Jeffrey Smith</t>
        </is>
      </c>
      <c r="H232" t="inlineStr">
        <is>
          <t>MANAGING DIR, OFFICE OF INVESTMENTS</t>
        </is>
      </c>
      <c r="I232" t="inlineStr">
        <is>
          <t>Managing Director</t>
        </is>
      </c>
      <c r="J232" s="21" t="n">
        <v>291931</v>
      </c>
      <c r="K232" s="21" t="n">
        <v>157074</v>
      </c>
      <c r="L232" s="21" t="n">
        <v>449005</v>
      </c>
      <c r="M232" s="21" t="n">
        <v>712</v>
      </c>
      <c r="N232" s="21" t="n">
        <v>43697</v>
      </c>
      <c r="O232" s="21" t="n">
        <v>40774</v>
      </c>
      <c r="P232" s="21" t="n">
        <v>534188</v>
      </c>
      <c r="Q232" s="21" t="n">
        <v>534188</v>
      </c>
      <c r="R232" s="21">
        <f>IF(Q232="","",Q232*(1+in_GrowthRate)^(YEARFRAC(DATE(2025,9,30),in_AgeToDate)*IF(in_AgeToDate&lt;DATE(2025,9,30),-1,1)+1))</f>
        <v/>
      </c>
      <c r="S232" s="38" t="n">
        <v>0.538051799911623</v>
      </c>
      <c r="T232" s="43">
        <f>HYPERLINK("https://projects.propublica.org/nonprofits/organizations/530206027/202602239349300630/full","view filing")</f>
        <v/>
      </c>
    </row>
    <row r="233">
      <c r="A233" t="inlineStr">
        <is>
          <t>The Board Of Trustees Of The Leland Stanford Junior University</t>
        </is>
      </c>
      <c r="B233" s="20" t="inlineStr">
        <is>
          <t>CA</t>
        </is>
      </c>
      <c r="C233" s="42" t="n">
        <v>40.79</v>
      </c>
      <c r="D233" t="inlineStr">
        <is>
          <t>Endowment</t>
        </is>
      </c>
      <c r="E233" s="20" t="n">
        <v>2022</v>
      </c>
      <c r="F233" s="20" t="inlineStr"/>
      <c r="G233" t="inlineStr">
        <is>
          <t>Mark Shoberg</t>
        </is>
      </c>
      <c r="H233" t="inlineStr">
        <is>
          <t>SR. MD, SMC</t>
        </is>
      </c>
      <c r="I233" t="inlineStr">
        <is>
          <t>Managing Director</t>
        </is>
      </c>
      <c r="J233" s="21" t="n">
        <v>530016</v>
      </c>
      <c r="K233" s="21" t="n">
        <v>1440250</v>
      </c>
      <c r="L233" s="21" t="n">
        <v>1970266</v>
      </c>
      <c r="M233" s="21" t="n">
        <v>557868</v>
      </c>
      <c r="N233" s="21" t="n">
        <v>258974</v>
      </c>
      <c r="O233" s="21" t="n">
        <v>36999</v>
      </c>
      <c r="P233" s="21" t="n">
        <v>2824107</v>
      </c>
      <c r="Q233" s="21" t="n">
        <v>2824107</v>
      </c>
      <c r="R233" s="21">
        <f>IF(Q233="","",Q233*(1+in_GrowthRate)^(YEARFRAC(DATE(2022,8,31),in_AgeToDate)*IF(in_AgeToDate&lt;DATE(2022,8,31),-1,1)+1))</f>
        <v/>
      </c>
      <c r="S233" s="38" t="n">
        <v>2.717370796353318</v>
      </c>
      <c r="T233" s="43">
        <f>HYPERLINK("https://projects.propublica.org/nonprofits/organizations/941156365/202331959349301318/full","view filing")</f>
        <v/>
      </c>
    </row>
    <row r="234">
      <c r="A234" t="inlineStr">
        <is>
          <t>The Trustees Of Grinnell College</t>
        </is>
      </c>
      <c r="B234" s="20" t="inlineStr">
        <is>
          <t>IA</t>
        </is>
      </c>
      <c r="C234" s="42" t="n">
        <v>2.85</v>
      </c>
      <c r="D234" t="inlineStr">
        <is>
          <t>Endowment</t>
        </is>
      </c>
      <c r="E234" s="20" t="n">
        <v>2025</v>
      </c>
      <c r="F234" s="20">
        <f>IF(AND(OR(in_Mode="All Funds",AND(C234&gt;=in_BandFloor,C234&lt;=in_BandCeiling,OR(in_Geography="National",COUNTIFS(lst_GeoPreset,in_Geography,lst_GeoState,B234)&gt;0,AND(in_Geography="Custom",ISNUMBER(SEARCH(B234,SUBSTITUTE(in_CustomStates," ",""))))),OR(AND(D234="Endowment",Inputs!$B$14="Y"),AND(D234="Foundation",Inputs!$B$15="Y"),AND(D234="Healthcare",Inputs!$B$16="Y"),AND(D234="Pension",Inputs!$B$17="Y"),AND(D234="OCIO",Inputs!$B$18="Y"),AND(D234="Other",Inputs!$B$19="Y")))),A234&lt;&gt;in_ClientOrg,NOT(AND(in_ExclHarvard="Y",ISNUMBER(SEARCH("Harvard",A234))))),"Y","")</f>
        <v/>
      </c>
      <c r="G234" t="inlineStr">
        <is>
          <t>Lacey Johnson</t>
        </is>
      </c>
      <c r="H234" t="inlineStr">
        <is>
          <t>MANAGING DIRECTOR, INVESTMENTS</t>
        </is>
      </c>
      <c r="I234" t="inlineStr">
        <is>
          <t>Managing Director</t>
        </is>
      </c>
      <c r="J234" s="21" t="n">
        <v>367279</v>
      </c>
      <c r="K234" s="21" t="n">
        <v>250000</v>
      </c>
      <c r="L234" s="21" t="n">
        <v>617279</v>
      </c>
      <c r="M234" s="21" t="n">
        <v>378</v>
      </c>
      <c r="N234" s="21" t="n">
        <v>34500</v>
      </c>
      <c r="O234" s="21" t="n">
        <v>30790</v>
      </c>
      <c r="P234" s="21" t="n">
        <v>682947</v>
      </c>
      <c r="Q234" s="21" t="n">
        <v>682947</v>
      </c>
      <c r="R234" s="21">
        <f>IF(Q234="","",Q234*(1+in_GrowthRate)^(YEARFRAC(DATE(2025,6,30),in_AgeToDate)*IF(in_AgeToDate&lt;DATE(2025,6,30),-1,1)+1))</f>
        <v/>
      </c>
      <c r="S234" s="38" t="n">
        <v>0.6806814438070241</v>
      </c>
      <c r="T234" s="43">
        <f>HYPERLINK("https://projects.propublica.org/nonprofits/organizations/420680387/202631269349301868/full","view filing")</f>
        <v/>
      </c>
    </row>
    <row r="235">
      <c r="A235" t="inlineStr">
        <is>
          <t>The Trustees Of Grinnell College</t>
        </is>
      </c>
      <c r="B235" s="20" t="inlineStr">
        <is>
          <t>IA</t>
        </is>
      </c>
      <c r="C235" s="42" t="n">
        <v>2.85</v>
      </c>
      <c r="D235" t="inlineStr">
        <is>
          <t>Endowment</t>
        </is>
      </c>
      <c r="E235" s="20" t="n">
        <v>2024</v>
      </c>
      <c r="F235" s="20" t="inlineStr"/>
      <c r="G235" t="inlineStr">
        <is>
          <t>Lacey F Johnson</t>
        </is>
      </c>
      <c r="H235" t="inlineStr">
        <is>
          <t>MANAGING DIRECTOR</t>
        </is>
      </c>
      <c r="I235" t="inlineStr">
        <is>
          <t>Managing Director</t>
        </is>
      </c>
      <c r="J235" s="21" t="n">
        <v>311016</v>
      </c>
      <c r="K235" s="21" t="n">
        <v>90000</v>
      </c>
      <c r="L235" s="21" t="n">
        <v>401016</v>
      </c>
      <c r="M235" s="21" t="n">
        <v>378</v>
      </c>
      <c r="N235" s="21" t="n">
        <v>33000</v>
      </c>
      <c r="O235" s="21" t="n">
        <v>12322</v>
      </c>
      <c r="P235" s="21" t="n">
        <v>446716</v>
      </c>
      <c r="Q235" s="21" t="n">
        <v>446716</v>
      </c>
      <c r="R235" s="21">
        <f>IF(Q235="","",Q235*(1+in_GrowthRate)^(YEARFRAC(DATE(2024,6,30),in_AgeToDate)*IF(in_AgeToDate&lt;DATE(2024,6,30),-1,1)+1))</f>
        <v/>
      </c>
      <c r="S235" s="38" t="n">
        <v>0.2893741801064897</v>
      </c>
      <c r="T235" s="43">
        <f>HYPERLINK("https://projects.propublica.org/nonprofits/organizations/420680387/202511289349300406/full","view filing")</f>
        <v/>
      </c>
    </row>
    <row r="236">
      <c r="A236" t="inlineStr">
        <is>
          <t>The University Of Texas Texas A M Investment Management Company</t>
        </is>
      </c>
      <c r="B236" s="20" t="inlineStr">
        <is>
          <t>TX</t>
        </is>
      </c>
      <c r="C236" s="42" t="n">
        <v>67.84</v>
      </c>
      <c r="D236" t="inlineStr">
        <is>
          <t>Endowment</t>
        </is>
      </c>
      <c r="E236" s="20" t="n">
        <v>2025</v>
      </c>
      <c r="F236" s="20">
        <f>IF(AND(OR(in_Mode="All Funds",AND(C236&gt;=in_BandFloor,C236&lt;=in_BandCeiling,OR(in_Geography="National",COUNTIFS(lst_GeoPreset,in_Geography,lst_GeoState,B236)&gt;0,AND(in_Geography="Custom",ISNUMBER(SEARCH(B236,SUBSTITUTE(in_CustomStates," ",""))))),OR(AND(D236="Endowment",Inputs!$B$14="Y"),AND(D236="Foundation",Inputs!$B$15="Y"),AND(D236="Healthcare",Inputs!$B$16="Y"),AND(D236="Pension",Inputs!$B$17="Y"),AND(D236="OCIO",Inputs!$B$18="Y"),AND(D236="Other",Inputs!$B$19="Y")))),A236&lt;&gt;in_ClientOrg,NOT(AND(in_ExclHarvard="Y",ISNUMBER(SEARCH("Harvard",A236))))),"Y","")</f>
        <v/>
      </c>
      <c r="G236" t="inlineStr">
        <is>
          <t>Amanda Hopper</t>
        </is>
      </c>
      <c r="H236" t="inlineStr">
        <is>
          <t>MANAGING DIRECTOR - INVESTMENTS</t>
        </is>
      </c>
      <c r="I236" t="inlineStr">
        <is>
          <t>Managing Director</t>
        </is>
      </c>
      <c r="J236" s="21" t="n">
        <v>375477</v>
      </c>
      <c r="K236" s="21" t="n">
        <v>360881</v>
      </c>
      <c r="L236" s="21" t="n">
        <v>736358</v>
      </c>
      <c r="M236" s="21" t="n">
        <v>3128</v>
      </c>
      <c r="N236" s="21" t="n">
        <v>945069</v>
      </c>
      <c r="O236" s="21" t="n">
        <v>30551</v>
      </c>
      <c r="P236" s="21" t="n">
        <v>1715106</v>
      </c>
      <c r="Q236" s="21" t="n">
        <v>1373125</v>
      </c>
      <c r="R236" s="21">
        <f>IF(Q236="","",Q236*(1+in_GrowthRate)^(YEARFRAC(DATE(2025,8,31),in_AgeToDate)*IF(in_AgeToDate&lt;DATE(2025,8,31),-1,1)+1))</f>
        <v/>
      </c>
      <c r="S236" s="38" t="n">
        <v>0.9611267800690855</v>
      </c>
      <c r="T236" s="43">
        <f>HYPERLINK("https://projects.propublica.org/nonprofits/organizations/742765082/202641829349300024/full","view filing")</f>
        <v/>
      </c>
    </row>
    <row r="237">
      <c r="A237" t="inlineStr">
        <is>
          <t>The University Of Texas Texas A M Investment Management Company</t>
        </is>
      </c>
      <c r="B237" s="20" t="inlineStr">
        <is>
          <t>TX</t>
        </is>
      </c>
      <c r="C237" s="42" t="n">
        <v>67.84</v>
      </c>
      <c r="D237" t="inlineStr">
        <is>
          <t>Endowment</t>
        </is>
      </c>
      <c r="E237" s="20" t="n">
        <v>2025</v>
      </c>
      <c r="F237" s="20">
        <f>IF(AND(OR(in_Mode="All Funds",AND(C237&gt;=in_BandFloor,C237&lt;=in_BandCeiling,OR(in_Geography="National",COUNTIFS(lst_GeoPreset,in_Geography,lst_GeoState,B237)&gt;0,AND(in_Geography="Custom",ISNUMBER(SEARCH(B237,SUBSTITUTE(in_CustomStates," ",""))))),OR(AND(D237="Endowment",Inputs!$B$14="Y"),AND(D237="Foundation",Inputs!$B$15="Y"),AND(D237="Healthcare",Inputs!$B$16="Y"),AND(D237="Pension",Inputs!$B$17="Y"),AND(D237="OCIO",Inputs!$B$18="Y"),AND(D237="Other",Inputs!$B$19="Y")))),A237&lt;&gt;in_ClientOrg,NOT(AND(in_ExclHarvard="Y",ISNUMBER(SEARCH("Harvard",A237))))),"Y","")</f>
        <v/>
      </c>
      <c r="G237" t="inlineStr">
        <is>
          <t>Anthony Caruso</t>
        </is>
      </c>
      <c r="H237" t="inlineStr">
        <is>
          <t>MANAGING DIRECTOR - INVESTMENTS</t>
        </is>
      </c>
      <c r="I237" t="inlineStr">
        <is>
          <t>Managing Director</t>
        </is>
      </c>
      <c r="J237" s="21" t="n">
        <v>364538</v>
      </c>
      <c r="K237" s="21" t="n">
        <v>476602</v>
      </c>
      <c r="L237" s="21" t="n">
        <v>841140</v>
      </c>
      <c r="M237" s="21" t="n">
        <v>2991</v>
      </c>
      <c r="N237" s="21" t="n">
        <v>979941</v>
      </c>
      <c r="O237" s="21" t="n">
        <v>29451</v>
      </c>
      <c r="P237" s="21" t="n">
        <v>1853523</v>
      </c>
      <c r="Q237" s="21" t="n">
        <v>1395033</v>
      </c>
      <c r="R237" s="21">
        <f>IF(Q237="","",Q237*(1+in_GrowthRate)^(YEARFRAC(DATE(2025,8,31),in_AgeToDate)*IF(in_AgeToDate&lt;DATE(2025,8,31),-1,1)+1))</f>
        <v/>
      </c>
      <c r="S237" s="38" t="n">
        <v>1.307413767563327</v>
      </c>
      <c r="T237" s="43">
        <f>HYPERLINK("https://projects.propublica.org/nonprofits/organizations/742765082/202641829349300024/full","view filing")</f>
        <v/>
      </c>
    </row>
    <row r="238">
      <c r="A238" t="inlineStr">
        <is>
          <t>The University Of Texas Texas A M Investment Management Company</t>
        </is>
      </c>
      <c r="B238" s="20" t="inlineStr">
        <is>
          <t>TX</t>
        </is>
      </c>
      <c r="C238" s="42" t="n">
        <v>67.84</v>
      </c>
      <c r="D238" t="inlineStr">
        <is>
          <t>Endowment</t>
        </is>
      </c>
      <c r="E238" s="20" t="n">
        <v>2025</v>
      </c>
      <c r="F238" s="20">
        <f>IF(AND(OR(in_Mode="All Funds",AND(C238&gt;=in_BandFloor,C238&lt;=in_BandCeiling,OR(in_Geography="National",COUNTIFS(lst_GeoPreset,in_Geography,lst_GeoState,B238)&gt;0,AND(in_Geography="Custom",ISNUMBER(SEARCH(B238,SUBSTITUTE(in_CustomStates," ",""))))),OR(AND(D238="Endowment",Inputs!$B$14="Y"),AND(D238="Foundation",Inputs!$B$15="Y"),AND(D238="Healthcare",Inputs!$B$16="Y"),AND(D238="Pension",Inputs!$B$17="Y"),AND(D238="OCIO",Inputs!$B$18="Y"),AND(D238="Other",Inputs!$B$19="Y")))),A238&lt;&gt;in_ClientOrg,NOT(AND(in_ExclHarvard="Y",ISNUMBER(SEARCH("Harvard",A238))))),"Y","")</f>
        <v/>
      </c>
      <c r="G238" t="inlineStr">
        <is>
          <t>Courtney Powers</t>
        </is>
      </c>
      <c r="H238" t="inlineStr">
        <is>
          <t>MANAGING DIRECTOR - INVESTMENTS</t>
        </is>
      </c>
      <c r="I238" t="inlineStr">
        <is>
          <t>Managing Director</t>
        </is>
      </c>
      <c r="J238" s="21" t="n">
        <v>375328</v>
      </c>
      <c r="K238" s="21" t="n">
        <v>551474</v>
      </c>
      <c r="L238" s="21" t="n">
        <v>926802</v>
      </c>
      <c r="M238" s="21" t="n">
        <v>3424</v>
      </c>
      <c r="N238" s="21" t="n">
        <v>978083</v>
      </c>
      <c r="O238" s="21" t="n">
        <v>30699</v>
      </c>
      <c r="P238" s="21" t="n">
        <v>1939008</v>
      </c>
      <c r="Q238" s="21" t="n">
        <v>1413091</v>
      </c>
      <c r="R238" s="21">
        <f>IF(Q238="","",Q238*(1+in_GrowthRate)^(YEARFRAC(DATE(2025,8,31),in_AgeToDate)*IF(in_AgeToDate&lt;DATE(2025,8,31),-1,1)+1))</f>
        <v/>
      </c>
      <c r="S238" s="38" t="n">
        <v>1.469312174950976</v>
      </c>
      <c r="T238" s="43">
        <f>HYPERLINK("https://projects.propublica.org/nonprofits/organizations/742765082/202641829349300024/full","view filing")</f>
        <v/>
      </c>
    </row>
    <row r="239">
      <c r="A239" t="inlineStr">
        <is>
          <t>The University Of Texas Texas A M Investment Management Company</t>
        </is>
      </c>
      <c r="B239" s="20" t="inlineStr">
        <is>
          <t>TX</t>
        </is>
      </c>
      <c r="C239" s="42" t="n">
        <v>67.84</v>
      </c>
      <c r="D239" t="inlineStr">
        <is>
          <t>Endowment</t>
        </is>
      </c>
      <c r="E239" s="20" t="n">
        <v>2025</v>
      </c>
      <c r="F239" s="20">
        <f>IF(AND(OR(in_Mode="All Funds",AND(C239&gt;=in_BandFloor,C239&lt;=in_BandCeiling,OR(in_Geography="National",COUNTIFS(lst_GeoPreset,in_Geography,lst_GeoState,B239)&gt;0,AND(in_Geography="Custom",ISNUMBER(SEARCH(B239,SUBSTITUTE(in_CustomStates," ",""))))),OR(AND(D239="Endowment",Inputs!$B$14="Y"),AND(D239="Foundation",Inputs!$B$15="Y"),AND(D239="Healthcare",Inputs!$B$16="Y"),AND(D239="Pension",Inputs!$B$17="Y"),AND(D239="OCIO",Inputs!$B$18="Y"),AND(D239="Other",Inputs!$B$19="Y")))),A239&lt;&gt;in_ClientOrg,NOT(AND(in_ExclHarvard="Y",ISNUMBER(SEARCH("Harvard",A239))))),"Y","")</f>
        <v/>
      </c>
      <c r="G239" t="inlineStr">
        <is>
          <t>Craig Thomas</t>
        </is>
      </c>
      <c r="H239" t="inlineStr">
        <is>
          <t>MANAGING DIRECTOR - INVESTMENTS</t>
        </is>
      </c>
      <c r="I239" t="inlineStr">
        <is>
          <t>Managing Director</t>
        </is>
      </c>
      <c r="J239" s="21" t="n">
        <v>344872</v>
      </c>
      <c r="K239" s="21" t="n">
        <v>293564</v>
      </c>
      <c r="L239" s="21" t="n">
        <v>638436</v>
      </c>
      <c r="M239" s="21" t="n">
        <v>2668</v>
      </c>
      <c r="N239" s="21" t="n">
        <v>817732</v>
      </c>
      <c r="O239" s="21" t="n">
        <v>29431</v>
      </c>
      <c r="P239" s="21" t="n">
        <v>1488267</v>
      </c>
      <c r="Q239" s="21" t="n">
        <v>1318288</v>
      </c>
      <c r="R239" s="21">
        <f>IF(Q239="","",Q239*(1+in_GrowthRate)^(YEARFRAC(DATE(2025,8,31),in_AgeToDate)*IF(in_AgeToDate&lt;DATE(2025,8,31),-1,1)+1))</f>
        <v/>
      </c>
      <c r="S239" s="38" t="n">
        <v>0.851225962096082</v>
      </c>
      <c r="T239" s="43">
        <f>HYPERLINK("https://projects.propublica.org/nonprofits/organizations/742765082/202641829349300024/full","view filing")</f>
        <v/>
      </c>
    </row>
    <row r="240">
      <c r="A240" t="inlineStr">
        <is>
          <t>The University Of Texas Texas A M Investment Management Company</t>
        </is>
      </c>
      <c r="B240" s="20" t="inlineStr">
        <is>
          <t>TX</t>
        </is>
      </c>
      <c r="C240" s="42" t="n">
        <v>67.84</v>
      </c>
      <c r="D240" t="inlineStr">
        <is>
          <t>Endowment</t>
        </is>
      </c>
      <c r="E240" s="20" t="n">
        <v>2025</v>
      </c>
      <c r="F240" s="20">
        <f>IF(AND(OR(in_Mode="All Funds",AND(C240&gt;=in_BandFloor,C240&lt;=in_BandCeiling,OR(in_Geography="National",COUNTIFS(lst_GeoPreset,in_Geography,lst_GeoState,B240)&gt;0,AND(in_Geography="Custom",ISNUMBER(SEARCH(B240,SUBSTITUTE(in_CustomStates," ",""))))),OR(AND(D240="Endowment",Inputs!$B$14="Y"),AND(D240="Foundation",Inputs!$B$15="Y"),AND(D240="Healthcare",Inputs!$B$16="Y"),AND(D240="Pension",Inputs!$B$17="Y"),AND(D240="OCIO",Inputs!$B$18="Y"),AND(D240="Other",Inputs!$B$19="Y")))),A240&lt;&gt;in_ClientOrg,NOT(AND(in_ExclHarvard="Y",ISNUMBER(SEARCH("Harvard",A240))))),"Y","")</f>
        <v/>
      </c>
      <c r="G240" t="inlineStr">
        <is>
          <t>Edward Lewis</t>
        </is>
      </c>
      <c r="H240" t="inlineStr">
        <is>
          <t>SENIOR MANAGING DIRECTOR - INVESTMENTS</t>
        </is>
      </c>
      <c r="I240" t="inlineStr">
        <is>
          <t>Senior Managing Director</t>
        </is>
      </c>
      <c r="J240" s="21" t="n">
        <v>479136</v>
      </c>
      <c r="K240" s="21" t="n">
        <v>543889</v>
      </c>
      <c r="L240" s="21" t="n">
        <v>1023025</v>
      </c>
      <c r="M240" s="21" t="n">
        <v>3236</v>
      </c>
      <c r="N240" s="21" t="n">
        <v>1147333</v>
      </c>
      <c r="O240" s="21" t="n">
        <v>30300</v>
      </c>
      <c r="P240" s="21" t="n">
        <v>2203894</v>
      </c>
      <c r="Q240" s="21" t="n">
        <v>1687857</v>
      </c>
      <c r="R240" s="21">
        <f>IF(Q240="","",Q240*(1+in_GrowthRate)^(YEARFRAC(DATE(2025,8,31),in_AgeToDate)*IF(in_AgeToDate&lt;DATE(2025,8,31),-1,1)+1))</f>
        <v/>
      </c>
      <c r="S240" s="38" t="n">
        <v>1.135145344954251</v>
      </c>
      <c r="T240" s="43">
        <f>HYPERLINK("https://projects.propublica.org/nonprofits/organizations/742765082/202641829349300024/full","view filing")</f>
        <v/>
      </c>
    </row>
    <row r="241">
      <c r="A241" t="inlineStr">
        <is>
          <t>The University Of Texas Texas A M Investment Management Company</t>
        </is>
      </c>
      <c r="B241" s="20" t="inlineStr">
        <is>
          <t>TX</t>
        </is>
      </c>
      <c r="C241" s="42" t="n">
        <v>67.84</v>
      </c>
      <c r="D241" t="inlineStr">
        <is>
          <t>Endowment</t>
        </is>
      </c>
      <c r="E241" s="20" t="n">
        <v>2025</v>
      </c>
      <c r="F241" s="20">
        <f>IF(AND(OR(in_Mode="All Funds",AND(C241&gt;=in_BandFloor,C241&lt;=in_BandCeiling,OR(in_Geography="National",COUNTIFS(lst_GeoPreset,in_Geography,lst_GeoState,B241)&gt;0,AND(in_Geography="Custom",ISNUMBER(SEARCH(B241,SUBSTITUTE(in_CustomStates," ",""))))),OR(AND(D241="Endowment",Inputs!$B$14="Y"),AND(D241="Foundation",Inputs!$B$15="Y"),AND(D241="Healthcare",Inputs!$B$16="Y"),AND(D241="Pension",Inputs!$B$17="Y"),AND(D241="OCIO",Inputs!$B$18="Y"),AND(D241="Other",Inputs!$B$19="Y")))),A241&lt;&gt;in_ClientOrg,NOT(AND(in_ExclHarvard="Y",ISNUMBER(SEARCH("Harvard",A241))))),"Y","")</f>
        <v/>
      </c>
      <c r="G241" t="inlineStr">
        <is>
          <t>James R Kampfe</t>
        </is>
      </c>
      <c r="H241" t="inlineStr">
        <is>
          <t>MANAGING DIRECTOR - INVESTMENTS</t>
        </is>
      </c>
      <c r="I241" t="inlineStr">
        <is>
          <t>Managing Director</t>
        </is>
      </c>
      <c r="J241" s="21" t="n">
        <v>355355</v>
      </c>
      <c r="K241" s="21" t="n">
        <v>209576</v>
      </c>
      <c r="L241" s="21" t="n">
        <v>564931</v>
      </c>
      <c r="M241" s="21" t="n">
        <v>885</v>
      </c>
      <c r="N241" s="21" t="n">
        <v>638138</v>
      </c>
      <c r="O241" s="21" t="n">
        <v>29705</v>
      </c>
      <c r="P241" s="21" t="n">
        <v>1233659</v>
      </c>
      <c r="Q241" s="21" t="n">
        <v>1024083</v>
      </c>
      <c r="R241" s="21">
        <f>IF(Q241="","",Q241*(1+in_GrowthRate)^(YEARFRAC(DATE(2025,8,31),in_AgeToDate)*IF(in_AgeToDate&lt;DATE(2025,8,31),-1,1)+1))</f>
        <v/>
      </c>
      <c r="S241" s="38" t="n">
        <v>0.5897651644130517</v>
      </c>
      <c r="T241" s="43">
        <f>HYPERLINK("https://projects.propublica.org/nonprofits/organizations/742765082/202641829349300024/full","view filing")</f>
        <v/>
      </c>
    </row>
    <row r="242">
      <c r="A242" t="inlineStr">
        <is>
          <t>The University Of Texas Texas A M Investment Management Company</t>
        </is>
      </c>
      <c r="B242" s="20" t="inlineStr">
        <is>
          <t>TX</t>
        </is>
      </c>
      <c r="C242" s="42" t="n">
        <v>67.84</v>
      </c>
      <c r="D242" t="inlineStr">
        <is>
          <t>Endowment</t>
        </is>
      </c>
      <c r="E242" s="20" t="n">
        <v>2025</v>
      </c>
      <c r="F242" s="20">
        <f>IF(AND(OR(in_Mode="All Funds",AND(C242&gt;=in_BandFloor,C242&lt;=in_BandCeiling,OR(in_Geography="National",COUNTIFS(lst_GeoPreset,in_Geography,lst_GeoState,B242)&gt;0,AND(in_Geography="Custom",ISNUMBER(SEARCH(B242,SUBSTITUTE(in_CustomStates," ",""))))),OR(AND(D242="Endowment",Inputs!$B$14="Y"),AND(D242="Foundation",Inputs!$B$15="Y"),AND(D242="Healthcare",Inputs!$B$16="Y"),AND(D242="Pension",Inputs!$B$17="Y"),AND(D242="OCIO",Inputs!$B$18="Y"),AND(D242="Other",Inputs!$B$19="Y")))),A242&lt;&gt;in_ClientOrg,NOT(AND(in_ExclHarvard="Y",ISNUMBER(SEARCH("Harvard",A242))))),"Y","")</f>
        <v/>
      </c>
      <c r="G242" t="inlineStr">
        <is>
          <t>Mukund Joshi</t>
        </is>
      </c>
      <c r="H242" t="inlineStr">
        <is>
          <t>MANAGING DIRECTOR - INVESTMENTS</t>
        </is>
      </c>
      <c r="I242" t="inlineStr">
        <is>
          <t>Managing Director</t>
        </is>
      </c>
      <c r="J242" s="21" t="n">
        <v>364489</v>
      </c>
      <c r="K242" s="21" t="n">
        <v>317022</v>
      </c>
      <c r="L242" s="21" t="n">
        <v>681511</v>
      </c>
      <c r="M242" s="21" t="n">
        <v>3114</v>
      </c>
      <c r="N242" s="21" t="n">
        <v>793203</v>
      </c>
      <c r="O242" s="21" t="n">
        <v>29531</v>
      </c>
      <c r="P242" s="21" t="n">
        <v>1507359</v>
      </c>
      <c r="Q242" s="21" t="n">
        <v>1204528</v>
      </c>
      <c r="R242" s="21">
        <f>IF(Q242="","",Q242*(1+in_GrowthRate)^(YEARFRAC(DATE(2025,8,31),in_AgeToDate)*IF(in_AgeToDate&lt;DATE(2025,8,31),-1,1)+1))</f>
        <v/>
      </c>
      <c r="S242" s="38" t="n">
        <v>0.8697711042034191</v>
      </c>
      <c r="T242" s="43">
        <f>HYPERLINK("https://projects.propublica.org/nonprofits/organizations/742765082/202641829349300024/full","view filing")</f>
        <v/>
      </c>
    </row>
    <row r="243">
      <c r="A243" t="inlineStr">
        <is>
          <t>The University Of Texas Texas A M Investment Management Company</t>
        </is>
      </c>
      <c r="B243" s="20" t="inlineStr">
        <is>
          <t>TX</t>
        </is>
      </c>
      <c r="C243" s="42" t="n">
        <v>67.84</v>
      </c>
      <c r="D243" t="inlineStr">
        <is>
          <t>Endowment</t>
        </is>
      </c>
      <c r="E243" s="20" t="n">
        <v>2025</v>
      </c>
      <c r="F243" s="20">
        <f>IF(AND(OR(in_Mode="All Funds",AND(C243&gt;=in_BandFloor,C243&lt;=in_BandCeiling,OR(in_Geography="National",COUNTIFS(lst_GeoPreset,in_Geography,lst_GeoState,B243)&gt;0,AND(in_Geography="Custom",ISNUMBER(SEARCH(B243,SUBSTITUTE(in_CustomStates," ",""))))),OR(AND(D243="Endowment",Inputs!$B$14="Y"),AND(D243="Foundation",Inputs!$B$15="Y"),AND(D243="Healthcare",Inputs!$B$16="Y"),AND(D243="Pension",Inputs!$B$17="Y"),AND(D243="OCIO",Inputs!$B$18="Y"),AND(D243="Other",Inputs!$B$19="Y")))),A243&lt;&gt;in_ClientOrg,NOT(AND(in_ExclHarvard="Y",ISNUMBER(SEARCH("Harvard",A243))))),"Y","")</f>
        <v/>
      </c>
      <c r="G243" t="inlineStr">
        <is>
          <t>Patrick Pace</t>
        </is>
      </c>
      <c r="H243" t="inlineStr">
        <is>
          <t>SENIOR MANAGING DIRECTOR - INVESTMENTS</t>
        </is>
      </c>
      <c r="I243" t="inlineStr">
        <is>
          <t>Senior Managing Director</t>
        </is>
      </c>
      <c r="J243" s="21" t="n">
        <v>460709</v>
      </c>
      <c r="K243" s="21" t="n">
        <v>551135</v>
      </c>
      <c r="L243" s="21" t="n">
        <v>1011844</v>
      </c>
      <c r="M243" s="21" t="n">
        <v>7971</v>
      </c>
      <c r="N243" s="21" t="n">
        <v>1110660</v>
      </c>
      <c r="O243" s="21" t="n">
        <v>30377</v>
      </c>
      <c r="P243" s="21" t="n">
        <v>2160852</v>
      </c>
      <c r="Q243" s="21" t="n">
        <v>1639668</v>
      </c>
      <c r="R243" s="21">
        <f>IF(Q243="","",Q243*(1+in_GrowthRate)^(YEARFRAC(DATE(2025,8,31),in_AgeToDate)*IF(in_AgeToDate&lt;DATE(2025,8,31),-1,1)+1))</f>
        <v/>
      </c>
      <c r="S243" s="38" t="n">
        <v>1.196275740217795</v>
      </c>
      <c r="T243" s="43">
        <f>HYPERLINK("https://projects.propublica.org/nonprofits/organizations/742765082/202641829349300024/full","view filing")</f>
        <v/>
      </c>
    </row>
    <row r="244">
      <c r="A244" t="inlineStr">
        <is>
          <t>The University Of Texas Texas A M Investment Management Company</t>
        </is>
      </c>
      <c r="B244" s="20" t="inlineStr">
        <is>
          <t>TX</t>
        </is>
      </c>
      <c r="C244" s="42" t="n">
        <v>67.84</v>
      </c>
      <c r="D244" t="inlineStr">
        <is>
          <t>Endowment</t>
        </is>
      </c>
      <c r="E244" s="20" t="n">
        <v>2025</v>
      </c>
      <c r="F244" s="20">
        <f>IF(AND(OR(in_Mode="All Funds",AND(C244&gt;=in_BandFloor,C244&lt;=in_BandCeiling,OR(in_Geography="National",COUNTIFS(lst_GeoPreset,in_Geography,lst_GeoState,B244)&gt;0,AND(in_Geography="Custom",ISNUMBER(SEARCH(B244,SUBSTITUTE(in_CustomStates," ",""))))),OR(AND(D244="Endowment",Inputs!$B$14="Y"),AND(D244="Foundation",Inputs!$B$15="Y"),AND(D244="Healthcare",Inputs!$B$16="Y"),AND(D244="Pension",Inputs!$B$17="Y"),AND(D244="OCIO",Inputs!$B$18="Y"),AND(D244="Other",Inputs!$B$19="Y")))),A244&lt;&gt;in_ClientOrg,NOT(AND(in_ExclHarvard="Y",ISNUMBER(SEARCH("Harvard",A244))))),"Y","")</f>
        <v/>
      </c>
      <c r="G244" t="inlineStr">
        <is>
          <t>Rodney R Ruebsahm</t>
        </is>
      </c>
      <c r="H244" t="inlineStr">
        <is>
          <t>SENIOR MANAGING DIRECTOR - INVESTMENTS</t>
        </is>
      </c>
      <c r="I244" t="inlineStr">
        <is>
          <t>Senior Managing Director</t>
        </is>
      </c>
      <c r="J244" s="21" t="n">
        <v>495709</v>
      </c>
      <c r="K244" s="21" t="n">
        <v>892971</v>
      </c>
      <c r="L244" s="21" t="n">
        <v>1388680</v>
      </c>
      <c r="M244" s="21" t="n">
        <v>3038</v>
      </c>
      <c r="N244" s="21" t="n">
        <v>1411452</v>
      </c>
      <c r="O244" s="21" t="n">
        <v>30408</v>
      </c>
      <c r="P244" s="21" t="n">
        <v>2833578</v>
      </c>
      <c r="Q244" s="21" t="n">
        <v>1986590</v>
      </c>
      <c r="R244" s="21">
        <f>IF(Q244="","",Q244*(1+in_GrowthRate)^(YEARFRAC(DATE(2025,8,31),in_AgeToDate)*IF(in_AgeToDate&lt;DATE(2025,8,31),-1,1)+1))</f>
        <v/>
      </c>
      <c r="S244" s="38" t="n">
        <v>1.801401628778174</v>
      </c>
      <c r="T244" s="43">
        <f>HYPERLINK("https://projects.propublica.org/nonprofits/organizations/742765082/202641829349300024/full","view filing")</f>
        <v/>
      </c>
    </row>
    <row r="245">
      <c r="A245" t="inlineStr">
        <is>
          <t>The University Of Texas Texas A M Investment Management Company</t>
        </is>
      </c>
      <c r="B245" s="20" t="inlineStr">
        <is>
          <t>TX</t>
        </is>
      </c>
      <c r="C245" s="42" t="n">
        <v>67.84</v>
      </c>
      <c r="D245" t="inlineStr">
        <is>
          <t>Endowment</t>
        </is>
      </c>
      <c r="E245" s="20" t="n">
        <v>2025</v>
      </c>
      <c r="F245" s="20">
        <f>IF(AND(OR(in_Mode="All Funds",AND(C245&gt;=in_BandFloor,C245&lt;=in_BandCeiling,OR(in_Geography="National",COUNTIFS(lst_GeoPreset,in_Geography,lst_GeoState,B245)&gt;0,AND(in_Geography="Custom",ISNUMBER(SEARCH(B245,SUBSTITUTE(in_CustomStates," ",""))))),OR(AND(D245="Endowment",Inputs!$B$14="Y"),AND(D245="Foundation",Inputs!$B$15="Y"),AND(D245="Healthcare",Inputs!$B$16="Y"),AND(D245="Pension",Inputs!$B$17="Y"),AND(D245="OCIO",Inputs!$B$18="Y"),AND(D245="Other",Inputs!$B$19="Y")))),A245&lt;&gt;in_ClientOrg,NOT(AND(in_ExclHarvard="Y",ISNUMBER(SEARCH("Harvard",A245))))),"Y","")</f>
        <v/>
      </c>
      <c r="G245" t="inlineStr">
        <is>
          <t>Susan Chen</t>
        </is>
      </c>
      <c r="H245" t="inlineStr">
        <is>
          <t>SENIOR MANAGING DIRECTOR - INVESTMENTS</t>
        </is>
      </c>
      <c r="I245" t="inlineStr">
        <is>
          <t>Senior Managing Director</t>
        </is>
      </c>
      <c r="J245" s="21" t="n">
        <v>499953</v>
      </c>
      <c r="K245" s="21" t="n">
        <v>603057</v>
      </c>
      <c r="L245" s="21" t="n">
        <v>1103010</v>
      </c>
      <c r="M245" s="21" t="n">
        <v>3285</v>
      </c>
      <c r="N245" s="21" t="n">
        <v>1376557</v>
      </c>
      <c r="O245" s="21" t="n">
        <v>21164</v>
      </c>
      <c r="P245" s="21" t="n">
        <v>2504016</v>
      </c>
      <c r="Q245" s="21" t="n">
        <v>1935055</v>
      </c>
      <c r="R245" s="21">
        <f>IF(Q245="","",Q245*(1+in_GrowthRate)^(YEARFRAC(DATE(2025,8,31),in_AgeToDate)*IF(in_AgeToDate&lt;DATE(2025,8,31),-1,1)+1))</f>
        <v/>
      </c>
      <c r="S245" s="38" t="n">
        <v>1.206227385374225</v>
      </c>
      <c r="T245" s="43">
        <f>HYPERLINK("https://projects.propublica.org/nonprofits/organizations/742765082/202641829349300024/full","view filing")</f>
        <v/>
      </c>
    </row>
    <row r="246">
      <c r="A246" t="inlineStr">
        <is>
          <t>The University Of Texas Texas A M Investment Management Company</t>
        </is>
      </c>
      <c r="B246" s="20" t="inlineStr">
        <is>
          <t>TX</t>
        </is>
      </c>
      <c r="C246" s="42" t="n">
        <v>67.84</v>
      </c>
      <c r="D246" t="inlineStr">
        <is>
          <t>Endowment</t>
        </is>
      </c>
      <c r="E246" s="20" t="n">
        <v>2025</v>
      </c>
      <c r="F246" s="20">
        <f>IF(AND(OR(in_Mode="All Funds",AND(C246&gt;=in_BandFloor,C246&lt;=in_BandCeiling,OR(in_Geography="National",COUNTIFS(lst_GeoPreset,in_Geography,lst_GeoState,B246)&gt;0,AND(in_Geography="Custom",ISNUMBER(SEARCH(B246,SUBSTITUTE(in_CustomStates," ",""))))),OR(AND(D246="Endowment",Inputs!$B$14="Y"),AND(D246="Foundation",Inputs!$B$15="Y"),AND(D246="Healthcare",Inputs!$B$16="Y"),AND(D246="Pension",Inputs!$B$17="Y"),AND(D246="OCIO",Inputs!$B$18="Y"),AND(D246="Other",Inputs!$B$19="Y")))),A246&lt;&gt;in_ClientOrg,NOT(AND(in_ExclHarvard="Y",ISNUMBER(SEARCH("Harvard",A246))))),"Y","")</f>
        <v/>
      </c>
      <c r="G246" t="inlineStr">
        <is>
          <t>Uziel Yoeli</t>
        </is>
      </c>
      <c r="H246" t="inlineStr">
        <is>
          <t>MANAGING DIRECTOR - RISK MANAGEMENT</t>
        </is>
      </c>
      <c r="I246" t="inlineStr">
        <is>
          <t>Managing Director</t>
        </is>
      </c>
      <c r="J246" s="21" t="n">
        <v>383566</v>
      </c>
      <c r="K246" s="21" t="n">
        <v>268198</v>
      </c>
      <c r="L246" s="21" t="n">
        <v>651764</v>
      </c>
      <c r="M246" s="21" t="n">
        <v>4592</v>
      </c>
      <c r="N246" s="21" t="n">
        <v>724325</v>
      </c>
      <c r="O246" s="21" t="n">
        <v>19982</v>
      </c>
      <c r="P246" s="21" t="n">
        <v>1400663</v>
      </c>
      <c r="Q246" s="21" t="n">
        <v>1132465</v>
      </c>
      <c r="R246" s="21">
        <f>IF(Q246="","",Q246*(1+in_GrowthRate)^(YEARFRAC(DATE(2025,8,31),in_AgeToDate)*IF(in_AgeToDate&lt;DATE(2025,8,31),-1,1)+1))</f>
        <v/>
      </c>
      <c r="S246" s="38" t="n">
        <v>0.6992225588295105</v>
      </c>
      <c r="T246" s="43">
        <f>HYPERLINK("https://projects.propublica.org/nonprofits/organizations/742765082/202641829349300024/full","view filing")</f>
        <v/>
      </c>
    </row>
    <row r="247">
      <c r="A247" t="inlineStr">
        <is>
          <t>The University Of Texas Texas A M Investment Management Company</t>
        </is>
      </c>
      <c r="B247" s="20" t="inlineStr">
        <is>
          <t>TX</t>
        </is>
      </c>
      <c r="C247" s="42" t="n">
        <v>67.84</v>
      </c>
      <c r="D247" t="inlineStr">
        <is>
          <t>Endowment</t>
        </is>
      </c>
      <c r="E247" s="20" t="n">
        <v>2024</v>
      </c>
      <c r="F247" s="20" t="inlineStr"/>
      <c r="G247" t="inlineStr">
        <is>
          <t>Amanda Hopper</t>
        </is>
      </c>
      <c r="H247" t="inlineStr">
        <is>
          <t>MANAGING DIRECTOR - INVESTMENTS</t>
        </is>
      </c>
      <c r="I247" t="inlineStr">
        <is>
          <t>Managing Director</t>
        </is>
      </c>
      <c r="J247" s="21" t="n">
        <v>349991</v>
      </c>
      <c r="K247" s="21" t="n">
        <v>722806</v>
      </c>
      <c r="L247" s="21" t="n">
        <v>1072797</v>
      </c>
      <c r="M247" s="21" t="n">
        <v>2556</v>
      </c>
      <c r="N247" s="21" t="n">
        <v>303470</v>
      </c>
      <c r="O247" s="21" t="n">
        <v>30038</v>
      </c>
      <c r="P247" s="21" t="n">
        <v>1408861</v>
      </c>
      <c r="Q247" s="21" t="n">
        <v>699641</v>
      </c>
      <c r="R247" s="21">
        <f>IF(Q247="","",Q247*(1+in_GrowthRate)^(YEARFRAC(DATE(2024,8,31),in_AgeToDate)*IF(in_AgeToDate&lt;DATE(2024,8,31),-1,1)+1))</f>
        <v/>
      </c>
      <c r="S247" s="38" t="n">
        <v>2.065213105479855</v>
      </c>
      <c r="T247" s="43">
        <f>HYPERLINK("https://projects.propublica.org/nonprofits/organizations/742765082/202541899349300034/full","view filing")</f>
        <v/>
      </c>
    </row>
    <row r="248">
      <c r="A248" t="inlineStr">
        <is>
          <t>The University Of Texas Texas A M Investment Management Company</t>
        </is>
      </c>
      <c r="B248" s="20" t="inlineStr">
        <is>
          <t>TX</t>
        </is>
      </c>
      <c r="C248" s="42" t="n">
        <v>67.84</v>
      </c>
      <c r="D248" t="inlineStr">
        <is>
          <t>Endowment</t>
        </is>
      </c>
      <c r="E248" s="20" t="n">
        <v>2024</v>
      </c>
      <c r="F248" s="20" t="inlineStr"/>
      <c r="G248" t="inlineStr">
        <is>
          <t>Anthony Caruso</t>
        </is>
      </c>
      <c r="H248" t="inlineStr">
        <is>
          <t>MANAGING DIRECTOR - INVESTMENTS</t>
        </is>
      </c>
      <c r="I248" t="inlineStr">
        <is>
          <t>Managing Director</t>
        </is>
      </c>
      <c r="J248" s="21" t="n">
        <v>336799</v>
      </c>
      <c r="K248" s="21" t="n">
        <v>770006</v>
      </c>
      <c r="L248" s="21" t="n">
        <v>1106805</v>
      </c>
      <c r="M248" s="21" t="n">
        <v>2556</v>
      </c>
      <c r="N248" s="21" t="n">
        <v>484939</v>
      </c>
      <c r="O248" s="21" t="n">
        <v>28809</v>
      </c>
      <c r="P248" s="21" t="n">
        <v>1623109</v>
      </c>
      <c r="Q248" s="21" t="n">
        <v>934381</v>
      </c>
      <c r="R248" s="21">
        <f>IF(Q248="","",Q248*(1+in_GrowthRate)^(YEARFRAC(DATE(2024,8,31),in_AgeToDate)*IF(in_AgeToDate&lt;DATE(2024,8,31),-1,1)+1))</f>
        <v/>
      </c>
      <c r="S248" s="38" t="n">
        <v>2.286247880783494</v>
      </c>
      <c r="T248" s="43">
        <f>HYPERLINK("https://projects.propublica.org/nonprofits/organizations/742765082/202541899349300034/full","view filing")</f>
        <v/>
      </c>
    </row>
    <row r="249">
      <c r="A249" t="inlineStr">
        <is>
          <t>The University Of Texas Texas A M Investment Management Company</t>
        </is>
      </c>
      <c r="B249" s="20" t="inlineStr">
        <is>
          <t>TX</t>
        </is>
      </c>
      <c r="C249" s="42" t="n">
        <v>67.84</v>
      </c>
      <c r="D249" t="inlineStr">
        <is>
          <t>Endowment</t>
        </is>
      </c>
      <c r="E249" s="20" t="n">
        <v>2024</v>
      </c>
      <c r="F249" s="20" t="inlineStr"/>
      <c r="G249" t="inlineStr">
        <is>
          <t>Courtney Powers</t>
        </is>
      </c>
      <c r="H249" t="inlineStr">
        <is>
          <t>MANAGING DIRECTOR - INVESTMENTS</t>
        </is>
      </c>
      <c r="I249" t="inlineStr">
        <is>
          <t>Managing Director</t>
        </is>
      </c>
      <c r="J249" s="21" t="n">
        <v>349849</v>
      </c>
      <c r="K249" s="21" t="n">
        <v>956439</v>
      </c>
      <c r="L249" s="21" t="n">
        <v>1306288</v>
      </c>
      <c r="M249" s="21" t="n">
        <v>2976</v>
      </c>
      <c r="N249" s="21" t="n">
        <v>500262</v>
      </c>
      <c r="O249" s="21" t="n">
        <v>30180</v>
      </c>
      <c r="P249" s="21" t="n">
        <v>1839706</v>
      </c>
      <c r="Q249" s="21" t="n">
        <v>901936</v>
      </c>
      <c r="R249" s="21">
        <f>IF(Q249="","",Q249*(1+in_GrowthRate)^(YEARFRAC(DATE(2024,8,31),in_AgeToDate)*IF(in_AgeToDate&lt;DATE(2024,8,31),-1,1)+1))</f>
        <v/>
      </c>
      <c r="S249" s="38" t="n">
        <v>2.73386232345955</v>
      </c>
      <c r="T249" s="43">
        <f>HYPERLINK("https://projects.propublica.org/nonprofits/organizations/742765082/202541899349300034/full","view filing")</f>
        <v/>
      </c>
    </row>
    <row r="250">
      <c r="A250" t="inlineStr">
        <is>
          <t>The University Of Texas Texas A M Investment Management Company</t>
        </is>
      </c>
      <c r="B250" s="20" t="inlineStr">
        <is>
          <t>TX</t>
        </is>
      </c>
      <c r="C250" s="42" t="n">
        <v>67.84</v>
      </c>
      <c r="D250" t="inlineStr">
        <is>
          <t>Endowment</t>
        </is>
      </c>
      <c r="E250" s="20" t="n">
        <v>2024</v>
      </c>
      <c r="F250" s="20" t="inlineStr"/>
      <c r="G250" t="inlineStr">
        <is>
          <t>Craig Thomas</t>
        </is>
      </c>
      <c r="H250" t="inlineStr">
        <is>
          <t>MANAGING DIRECTOR - INVESTMENTS</t>
        </is>
      </c>
      <c r="I250" t="inlineStr">
        <is>
          <t>Managing Director</t>
        </is>
      </c>
      <c r="J250" s="21" t="n">
        <v>284466</v>
      </c>
      <c r="K250" s="21" t="n">
        <v>486952</v>
      </c>
      <c r="L250" s="21" t="n">
        <v>771418</v>
      </c>
      <c r="M250" s="21" t="n">
        <v>2527</v>
      </c>
      <c r="N250" s="21" t="n">
        <v>308147</v>
      </c>
      <c r="O250" s="21" t="n">
        <v>28809</v>
      </c>
      <c r="P250" s="21" t="n">
        <v>1110901</v>
      </c>
      <c r="Q250" s="21" t="n">
        <v>1110901</v>
      </c>
      <c r="R250" s="21">
        <f>IF(Q250="","",Q250*(1+in_GrowthRate)^(YEARFRAC(DATE(2024,8,31),in_AgeToDate)*IF(in_AgeToDate&lt;DATE(2024,8,31),-1,1)+1))</f>
        <v/>
      </c>
      <c r="S250" s="38" t="n">
        <v>1.711810901830096</v>
      </c>
      <c r="T250" s="43">
        <f>HYPERLINK("https://projects.propublica.org/nonprofits/organizations/742765082/202541899349300034/full","view filing")</f>
        <v/>
      </c>
    </row>
    <row r="251">
      <c r="A251" t="inlineStr">
        <is>
          <t>The University Of Texas Texas A M Investment Management Company</t>
        </is>
      </c>
      <c r="B251" s="20" t="inlineStr">
        <is>
          <t>TX</t>
        </is>
      </c>
      <c r="C251" s="42" t="n">
        <v>67.84</v>
      </c>
      <c r="D251" t="inlineStr">
        <is>
          <t>Endowment</t>
        </is>
      </c>
      <c r="E251" s="20" t="n">
        <v>2024</v>
      </c>
      <c r="F251" s="20" t="inlineStr"/>
      <c r="G251" t="inlineStr">
        <is>
          <t>Edward Lewis</t>
        </is>
      </c>
      <c r="H251" t="inlineStr">
        <is>
          <t>SENIOR MANAGING DIRECTOR - INVESTMENTS</t>
        </is>
      </c>
      <c r="I251" t="inlineStr">
        <is>
          <t>Senior Managing Director</t>
        </is>
      </c>
      <c r="J251" s="21" t="n">
        <v>452216</v>
      </c>
      <c r="K251" s="21" t="n">
        <v>1057691</v>
      </c>
      <c r="L251" s="21" t="n">
        <v>1509907</v>
      </c>
      <c r="M251" s="21" t="n">
        <v>2855</v>
      </c>
      <c r="N251" s="21" t="n">
        <v>466046</v>
      </c>
      <c r="O251" s="21" t="n">
        <v>28813</v>
      </c>
      <c r="P251" s="21" t="n">
        <v>2007621</v>
      </c>
      <c r="Q251" s="21" t="n">
        <v>965186</v>
      </c>
      <c r="R251" s="21">
        <f>IF(Q251="","",Q251*(1+in_GrowthRate)^(YEARFRAC(DATE(2024,8,31),in_AgeToDate)*IF(in_AgeToDate&lt;DATE(2024,8,31),-1,1)+1))</f>
        <v/>
      </c>
      <c r="S251" s="38" t="n">
        <v>2.338906628690714</v>
      </c>
      <c r="T251" s="43">
        <f>HYPERLINK("https://projects.propublica.org/nonprofits/organizations/742765082/202541899349300034/full","view filing")</f>
        <v/>
      </c>
    </row>
    <row r="252">
      <c r="A252" t="inlineStr">
        <is>
          <t>The University Of Texas Texas A M Investment Management Company</t>
        </is>
      </c>
      <c r="B252" s="20" t="inlineStr">
        <is>
          <t>TX</t>
        </is>
      </c>
      <c r="C252" s="42" t="n">
        <v>67.84</v>
      </c>
      <c r="D252" t="inlineStr">
        <is>
          <t>Endowment</t>
        </is>
      </c>
      <c r="E252" s="20" t="n">
        <v>2024</v>
      </c>
      <c r="F252" s="20" t="inlineStr"/>
      <c r="G252" t="inlineStr">
        <is>
          <t>James R Kampfe</t>
        </is>
      </c>
      <c r="H252" t="inlineStr">
        <is>
          <t>MANAGING DIRECTOR - INVESTMENTS</t>
        </is>
      </c>
      <c r="I252" t="inlineStr">
        <is>
          <t>Managing Director</t>
        </is>
      </c>
      <c r="J252" s="21" t="n">
        <v>337475</v>
      </c>
      <c r="K252" s="21" t="n">
        <v>414129</v>
      </c>
      <c r="L252" s="21" t="n">
        <v>751604</v>
      </c>
      <c r="M252" s="21" t="n">
        <v>756</v>
      </c>
      <c r="N252" s="21" t="n">
        <v>237626</v>
      </c>
      <c r="O252" s="21" t="n">
        <v>26991</v>
      </c>
      <c r="P252" s="21" t="n">
        <v>1016977</v>
      </c>
      <c r="Q252" s="21" t="n">
        <v>602848</v>
      </c>
      <c r="R252" s="21">
        <f>IF(Q252="","",Q252*(1+in_GrowthRate)^(YEARFRAC(DATE(2024,8,31),in_AgeToDate)*IF(in_AgeToDate&lt;DATE(2024,8,31),-1,1)+1))</f>
        <v/>
      </c>
      <c r="S252" s="38" t="n">
        <v>1.227139788132454</v>
      </c>
      <c r="T252" s="43">
        <f>HYPERLINK("https://projects.propublica.org/nonprofits/organizations/742765082/202541899349300034/full","view filing")</f>
        <v/>
      </c>
    </row>
    <row r="253">
      <c r="A253" t="inlineStr">
        <is>
          <t>The University Of Texas Texas A M Investment Management Company</t>
        </is>
      </c>
      <c r="B253" s="20" t="inlineStr">
        <is>
          <t>TX</t>
        </is>
      </c>
      <c r="C253" s="42" t="n">
        <v>67.84</v>
      </c>
      <c r="D253" t="inlineStr">
        <is>
          <t>Endowment</t>
        </is>
      </c>
      <c r="E253" s="20" t="n">
        <v>2024</v>
      </c>
      <c r="F253" s="20" t="inlineStr"/>
      <c r="G253" t="inlineStr">
        <is>
          <t>Mukund Joshi</t>
        </is>
      </c>
      <c r="H253" t="inlineStr">
        <is>
          <t>MANAGING DIRECTOR - INVESTMENTS</t>
        </is>
      </c>
      <c r="I253" t="inlineStr">
        <is>
          <t>Managing Director</t>
        </is>
      </c>
      <c r="J253" s="21" t="n">
        <v>336657</v>
      </c>
      <c r="K253" s="21" t="n">
        <v>620008</v>
      </c>
      <c r="L253" s="21" t="n">
        <v>956665</v>
      </c>
      <c r="M253" s="21" t="n">
        <v>2556</v>
      </c>
      <c r="N253" s="21" t="n">
        <v>294383</v>
      </c>
      <c r="O253" s="21" t="n">
        <v>29039</v>
      </c>
      <c r="P253" s="21" t="n">
        <v>1282643</v>
      </c>
      <c r="Q253" s="21" t="n">
        <v>672112</v>
      </c>
      <c r="R253" s="21">
        <f>IF(Q253="","",Q253*(1+in_GrowthRate)^(YEARFRAC(DATE(2024,8,31),in_AgeToDate)*IF(in_AgeToDate&lt;DATE(2024,8,31),-1,1)+1))</f>
        <v/>
      </c>
      <c r="S253" s="38" t="n">
        <v>1.841660800161589</v>
      </c>
      <c r="T253" s="43">
        <f>HYPERLINK("https://projects.propublica.org/nonprofits/organizations/742765082/202541899349300034/full","view filing")</f>
        <v/>
      </c>
    </row>
    <row r="254">
      <c r="A254" t="inlineStr">
        <is>
          <t>The University Of Texas Texas A M Investment Management Company</t>
        </is>
      </c>
      <c r="B254" s="20" t="inlineStr">
        <is>
          <t>TX</t>
        </is>
      </c>
      <c r="C254" s="42" t="n">
        <v>67.84</v>
      </c>
      <c r="D254" t="inlineStr">
        <is>
          <t>Endowment</t>
        </is>
      </c>
      <c r="E254" s="20" t="n">
        <v>2024</v>
      </c>
      <c r="F254" s="20" t="inlineStr"/>
      <c r="G254" t="inlineStr">
        <is>
          <t>Patrick Pace</t>
        </is>
      </c>
      <c r="H254" t="inlineStr">
        <is>
          <t>MANAGING DIRECTOR - INVESTMENTS</t>
        </is>
      </c>
      <c r="I254" t="inlineStr">
        <is>
          <t>Managing Director</t>
        </is>
      </c>
      <c r="J254" s="21" t="n">
        <v>420991</v>
      </c>
      <c r="K254" s="21" t="n">
        <v>1172051</v>
      </c>
      <c r="L254" s="21" t="n">
        <v>1593042</v>
      </c>
      <c r="M254" s="21" t="n">
        <v>3110</v>
      </c>
      <c r="N254" s="21" t="n">
        <v>423353</v>
      </c>
      <c r="O254" s="21" t="n">
        <v>29039</v>
      </c>
      <c r="P254" s="21" t="n">
        <v>2048544</v>
      </c>
      <c r="Q254" s="21" t="n">
        <v>896469</v>
      </c>
      <c r="R254" s="21">
        <f>IF(Q254="","",Q254*(1+in_GrowthRate)^(YEARFRAC(DATE(2024,8,31),in_AgeToDate)*IF(in_AgeToDate&lt;DATE(2024,8,31),-1,1)+1))</f>
        <v/>
      </c>
      <c r="S254" s="38" t="n">
        <v>2.784028637191769</v>
      </c>
      <c r="T254" s="43">
        <f>HYPERLINK("https://projects.propublica.org/nonprofits/organizations/742765082/202541899349300034/full","view filing")</f>
        <v/>
      </c>
    </row>
    <row r="255">
      <c r="A255" t="inlineStr">
        <is>
          <t>The University Of Texas Texas A M Investment Management Company</t>
        </is>
      </c>
      <c r="B255" s="20" t="inlineStr">
        <is>
          <t>TX</t>
        </is>
      </c>
      <c r="C255" s="42" t="n">
        <v>67.84</v>
      </c>
      <c r="D255" t="inlineStr">
        <is>
          <t>Endowment</t>
        </is>
      </c>
      <c r="E255" s="20" t="n">
        <v>2024</v>
      </c>
      <c r="F255" s="20" t="inlineStr"/>
      <c r="G255" t="inlineStr">
        <is>
          <t>Rodney R Ruebsahm</t>
        </is>
      </c>
      <c r="H255" t="inlineStr">
        <is>
          <t>SENIOR MANAGING DIRECTOR - INVESTMENTS</t>
        </is>
      </c>
      <c r="I255" t="inlineStr">
        <is>
          <t>Senior Managing Director</t>
        </is>
      </c>
      <c r="J255" s="21" t="n">
        <v>472657</v>
      </c>
      <c r="K255" s="21" t="n">
        <v>1502289</v>
      </c>
      <c r="L255" s="21" t="n">
        <v>1974946</v>
      </c>
      <c r="M255" s="21" t="n">
        <v>2855</v>
      </c>
      <c r="N255" s="21" t="n">
        <v>776626</v>
      </c>
      <c r="O255" s="21" t="n">
        <v>29038</v>
      </c>
      <c r="P255" s="21" t="n">
        <v>2783465</v>
      </c>
      <c r="Q255" s="21" t="n">
        <v>1308442</v>
      </c>
      <c r="R255" s="21">
        <f>IF(Q255="","",Q255*(1+in_GrowthRate)^(YEARFRAC(DATE(2024,8,31),in_AgeToDate)*IF(in_AgeToDate&lt;DATE(2024,8,31),-1,1)+1))</f>
        <v/>
      </c>
      <c r="S255" s="38" t="n">
        <v>3.178391518585359</v>
      </c>
      <c r="T255" s="43">
        <f>HYPERLINK("https://projects.propublica.org/nonprofits/organizations/742765082/202541899349300034/full","view filing")</f>
        <v/>
      </c>
    </row>
    <row r="256">
      <c r="A256" t="inlineStr">
        <is>
          <t>The University Of Texas Texas A M Investment Management Company</t>
        </is>
      </c>
      <c r="B256" s="20" t="inlineStr">
        <is>
          <t>TX</t>
        </is>
      </c>
      <c r="C256" s="42" t="n">
        <v>67.84</v>
      </c>
      <c r="D256" t="inlineStr">
        <is>
          <t>Endowment</t>
        </is>
      </c>
      <c r="E256" s="20" t="n">
        <v>2024</v>
      </c>
      <c r="F256" s="20" t="inlineStr"/>
      <c r="G256" t="inlineStr">
        <is>
          <t>Susan Chen</t>
        </is>
      </c>
      <c r="H256" t="inlineStr">
        <is>
          <t>SENIOR MANAGING DIRECTOR - INVESTMENTS</t>
        </is>
      </c>
      <c r="I256" t="inlineStr">
        <is>
          <t>Senior Managing Director</t>
        </is>
      </c>
      <c r="J256" s="21" t="n">
        <v>475585</v>
      </c>
      <c r="K256" s="21" t="n">
        <v>1153463</v>
      </c>
      <c r="L256" s="21" t="n">
        <v>1629048</v>
      </c>
      <c r="M256" s="21" t="n">
        <v>2556</v>
      </c>
      <c r="N256" s="21" t="n">
        <v>483910</v>
      </c>
      <c r="O256" s="21" t="n">
        <v>21033</v>
      </c>
      <c r="P256" s="21" t="n">
        <v>2136547</v>
      </c>
      <c r="Q256" s="21" t="n">
        <v>1002388</v>
      </c>
      <c r="R256" s="21">
        <f>IF(Q256="","",Q256*(1+in_GrowthRate)^(YEARFRAC(DATE(2024,8,31),in_AgeToDate)*IF(in_AgeToDate&lt;DATE(2024,8,31),-1,1)+1))</f>
        <v/>
      </c>
      <c r="S256" s="38" t="n">
        <v>2.425356140332433</v>
      </c>
      <c r="T256" s="43">
        <f>HYPERLINK("https://projects.propublica.org/nonprofits/organizations/742765082/202541899349300034/full","view filing")</f>
        <v/>
      </c>
    </row>
    <row r="257">
      <c r="A257" t="inlineStr">
        <is>
          <t>The University Of Texas Texas A M Investment Management Company</t>
        </is>
      </c>
      <c r="B257" s="20" t="inlineStr">
        <is>
          <t>TX</t>
        </is>
      </c>
      <c r="C257" s="42" t="n">
        <v>67.84</v>
      </c>
      <c r="D257" t="inlineStr">
        <is>
          <t>Endowment</t>
        </is>
      </c>
      <c r="E257" s="20" t="n">
        <v>2024</v>
      </c>
      <c r="F257" s="20" t="inlineStr"/>
      <c r="G257" t="inlineStr">
        <is>
          <t>Uziel Yoeli</t>
        </is>
      </c>
      <c r="H257" t="inlineStr">
        <is>
          <t>MANAGING DIRECTOR - RISK MANAGEMENT</t>
        </is>
      </c>
      <c r="I257" t="inlineStr">
        <is>
          <t>Managing Director</t>
        </is>
      </c>
      <c r="J257" s="21" t="n">
        <v>372795</v>
      </c>
      <c r="K257" s="21" t="n">
        <v>416291</v>
      </c>
      <c r="L257" s="21" t="n">
        <v>789086</v>
      </c>
      <c r="M257" s="21" t="n">
        <v>2856</v>
      </c>
      <c r="N257" s="21" t="n">
        <v>296248</v>
      </c>
      <c r="O257" s="21" t="n">
        <v>18306</v>
      </c>
      <c r="P257" s="21" t="n">
        <v>1106496</v>
      </c>
      <c r="Q257" s="21" t="n">
        <v>690205</v>
      </c>
      <c r="R257" s="21">
        <f>IF(Q257="","",Q257*(1+in_GrowthRate)^(YEARFRAC(DATE(2024,8,31),in_AgeToDate)*IF(in_AgeToDate&lt;DATE(2024,8,31),-1,1)+1))</f>
        <v/>
      </c>
      <c r="S257" s="38" t="n">
        <v>1.116675384594751</v>
      </c>
      <c r="T257" s="43">
        <f>HYPERLINK("https://projects.propublica.org/nonprofits/organizations/742765082/202541899349300034/full","view filing")</f>
        <v/>
      </c>
    </row>
    <row r="258">
      <c r="A258" t="inlineStr">
        <is>
          <t>The University Of Texas Texas A M Investment Management Company</t>
        </is>
      </c>
      <c r="B258" s="20" t="inlineStr">
        <is>
          <t>TX</t>
        </is>
      </c>
      <c r="C258" s="42" t="n">
        <v>67.84</v>
      </c>
      <c r="D258" t="inlineStr">
        <is>
          <t>Endowment</t>
        </is>
      </c>
      <c r="E258" s="20" t="n">
        <v>2023</v>
      </c>
      <c r="F258" s="20" t="inlineStr"/>
      <c r="G258" t="inlineStr">
        <is>
          <t>Amanda Hopper</t>
        </is>
      </c>
      <c r="H258" t="inlineStr">
        <is>
          <t>MANAGING DIRECTOR</t>
        </is>
      </c>
      <c r="I258" t="inlineStr">
        <is>
          <t>Managing Director</t>
        </is>
      </c>
      <c r="J258" s="21" t="n">
        <v>334559</v>
      </c>
      <c r="K258" s="21" t="n">
        <v>144903</v>
      </c>
      <c r="L258" s="21" t="n">
        <v>479462</v>
      </c>
      <c r="M258" s="21" t="n">
        <v>3008</v>
      </c>
      <c r="N258" s="21" t="n">
        <v>400842</v>
      </c>
      <c r="O258" s="21" t="n">
        <v>29907</v>
      </c>
      <c r="P258" s="21" t="n">
        <v>913219</v>
      </c>
      <c r="Q258" s="21" t="n">
        <v>771883</v>
      </c>
      <c r="R258" s="21">
        <f>IF(Q258="","",Q258*(1+in_GrowthRate)^(YEARFRAC(DATE(2023,8,31),in_AgeToDate)*IF(in_AgeToDate&lt;DATE(2023,8,31),-1,1)+1))</f>
        <v/>
      </c>
      <c r="S258" s="38" t="n">
        <v>0.4331164308836409</v>
      </c>
      <c r="T258" s="43">
        <f>HYPERLINK("https://projects.propublica.org/nonprofits/organizations/742765082/202421919349300237/full","view filing")</f>
        <v/>
      </c>
    </row>
    <row r="259">
      <c r="A259" t="inlineStr">
        <is>
          <t>The University Of Texas Texas A M Investment Management Company</t>
        </is>
      </c>
      <c r="B259" s="20" t="inlineStr">
        <is>
          <t>TX</t>
        </is>
      </c>
      <c r="C259" s="42" t="n">
        <v>67.84</v>
      </c>
      <c r="D259" t="inlineStr">
        <is>
          <t>Endowment</t>
        </is>
      </c>
      <c r="E259" s="20" t="n">
        <v>2023</v>
      </c>
      <c r="F259" s="20" t="inlineStr"/>
      <c r="G259" t="inlineStr">
        <is>
          <t>Anthony Caruso</t>
        </is>
      </c>
      <c r="H259" t="inlineStr">
        <is>
          <t>MANAGING DIRECTOR</t>
        </is>
      </c>
      <c r="I259" t="inlineStr">
        <is>
          <t>Managing Director</t>
        </is>
      </c>
      <c r="J259" s="21" t="n">
        <v>298516</v>
      </c>
      <c r="K259" s="21" t="n">
        <v>118476</v>
      </c>
      <c r="L259" s="21" t="n">
        <v>416992</v>
      </c>
      <c r="M259" s="21" t="n">
        <v>2538</v>
      </c>
      <c r="N259" s="21" t="n">
        <v>552033</v>
      </c>
      <c r="O259" s="21" t="n">
        <v>28704</v>
      </c>
      <c r="P259" s="21" t="n">
        <v>1000267</v>
      </c>
      <c r="Q259" s="21" t="n">
        <v>1000267</v>
      </c>
      <c r="R259" s="21">
        <f>IF(Q259="","",Q259*(1+in_GrowthRate)^(YEARFRAC(DATE(2023,8,31),in_AgeToDate)*IF(in_AgeToDate&lt;DATE(2023,8,31),-1,1)+1))</f>
        <v/>
      </c>
      <c r="S259" s="38" t="n">
        <v>0.3968832491390746</v>
      </c>
      <c r="T259" s="43">
        <f>HYPERLINK("https://projects.propublica.org/nonprofits/organizations/742765082/202421919349300237/full","view filing")</f>
        <v/>
      </c>
    </row>
    <row r="260">
      <c r="A260" t="inlineStr">
        <is>
          <t>The University Of Texas Texas A M Investment Management Company</t>
        </is>
      </c>
      <c r="B260" s="20" t="inlineStr">
        <is>
          <t>TX</t>
        </is>
      </c>
      <c r="C260" s="42" t="n">
        <v>67.84</v>
      </c>
      <c r="D260" t="inlineStr">
        <is>
          <t>Endowment</t>
        </is>
      </c>
      <c r="E260" s="20" t="n">
        <v>2023</v>
      </c>
      <c r="F260" s="20" t="inlineStr"/>
      <c r="G260" t="inlineStr">
        <is>
          <t>Courtney Powers</t>
        </is>
      </c>
      <c r="H260" t="inlineStr">
        <is>
          <t>MANAGING DIRECTOR</t>
        </is>
      </c>
      <c r="I260" t="inlineStr">
        <is>
          <t>Managing Director</t>
        </is>
      </c>
      <c r="J260" s="21" t="n">
        <v>334430</v>
      </c>
      <c r="K260" s="21" t="n">
        <v>140046</v>
      </c>
      <c r="L260" s="21" t="n">
        <v>474476</v>
      </c>
      <c r="M260" s="21" t="n">
        <v>2679</v>
      </c>
      <c r="N260" s="21" t="n">
        <v>573113</v>
      </c>
      <c r="O260" s="21" t="n">
        <v>30036</v>
      </c>
      <c r="P260" s="21" t="n">
        <v>1080304</v>
      </c>
      <c r="Q260" s="21" t="n">
        <v>943310</v>
      </c>
      <c r="R260" s="21">
        <f>IF(Q260="","",Q260*(1+in_GrowthRate)^(YEARFRAC(DATE(2023,8,31),in_AgeToDate)*IF(in_AgeToDate&lt;DATE(2023,8,31),-1,1)+1))</f>
        <v/>
      </c>
      <c r="S260" s="38" t="n">
        <v>0.4187602786831325</v>
      </c>
      <c r="T260" s="43">
        <f>HYPERLINK("https://projects.propublica.org/nonprofits/organizations/742765082/202421919349300237/full","view filing")</f>
        <v/>
      </c>
    </row>
    <row r="261">
      <c r="A261" t="inlineStr">
        <is>
          <t>The University Of Texas Texas A M Investment Management Company</t>
        </is>
      </c>
      <c r="B261" s="20" t="inlineStr">
        <is>
          <t>TX</t>
        </is>
      </c>
      <c r="C261" s="42" t="n">
        <v>67.84</v>
      </c>
      <c r="D261" t="inlineStr">
        <is>
          <t>Endowment</t>
        </is>
      </c>
      <c r="E261" s="20" t="n">
        <v>2023</v>
      </c>
      <c r="F261" s="20" t="inlineStr"/>
      <c r="G261" t="inlineStr">
        <is>
          <t>Edward Lewis</t>
        </is>
      </c>
      <c r="H261" t="inlineStr">
        <is>
          <t>SENIOR MANAGING DIRECTOR</t>
        </is>
      </c>
      <c r="I261" t="inlineStr">
        <is>
          <t>Senior Managing Director</t>
        </is>
      </c>
      <c r="J261" s="21" t="n">
        <v>417488</v>
      </c>
      <c r="K261" s="21" t="n">
        <v>299615</v>
      </c>
      <c r="L261" s="21" t="n">
        <v>717103</v>
      </c>
      <c r="M261" s="21" t="n">
        <v>2639</v>
      </c>
      <c r="N261" s="21" t="n">
        <v>662421</v>
      </c>
      <c r="O261" s="21" t="n">
        <v>28431</v>
      </c>
      <c r="P261" s="21" t="n">
        <v>1410594</v>
      </c>
      <c r="Q261" s="21" t="n">
        <v>1117465</v>
      </c>
      <c r="R261" s="21">
        <f>IF(Q261="","",Q261*(1+in_GrowthRate)^(YEARFRAC(DATE(2023,8,31),in_AgeToDate)*IF(in_AgeToDate&lt;DATE(2023,8,31),-1,1)+1))</f>
        <v/>
      </c>
      <c r="S261" s="38" t="n">
        <v>0.7176613459548538</v>
      </c>
      <c r="T261" s="43">
        <f>HYPERLINK("https://projects.propublica.org/nonprofits/organizations/742765082/202421919349300237/full","view filing")</f>
        <v/>
      </c>
    </row>
    <row r="262">
      <c r="A262" t="inlineStr">
        <is>
          <t>The University Of Texas Texas A M Investment Management Company</t>
        </is>
      </c>
      <c r="B262" s="20" t="inlineStr">
        <is>
          <t>TX</t>
        </is>
      </c>
      <c r="C262" s="42" t="n">
        <v>67.84</v>
      </c>
      <c r="D262" t="inlineStr">
        <is>
          <t>Endowment</t>
        </is>
      </c>
      <c r="E262" s="20" t="n">
        <v>2023</v>
      </c>
      <c r="F262" s="20" t="inlineStr"/>
      <c r="G262" t="inlineStr">
        <is>
          <t>Gary Hill</t>
        </is>
      </c>
      <c r="H262" t="inlineStr">
        <is>
          <t>MANAGING DIRECTOR</t>
        </is>
      </c>
      <c r="I262" t="inlineStr">
        <is>
          <t>Managing Director</t>
        </is>
      </c>
      <c r="J262" s="21" t="n">
        <v>269930</v>
      </c>
      <c r="K262" s="21" t="n">
        <v>170290</v>
      </c>
      <c r="L262" s="21" t="n">
        <v>440220</v>
      </c>
      <c r="M262" s="21" t="n">
        <v>2639</v>
      </c>
      <c r="N262" s="21" t="n">
        <v>181969</v>
      </c>
      <c r="O262" s="21" t="n">
        <v>31036</v>
      </c>
      <c r="P262" s="21" t="n">
        <v>655864</v>
      </c>
      <c r="Q262" s="21" t="n">
        <v>485574</v>
      </c>
      <c r="R262" s="21">
        <f>IF(Q262="","",Q262*(1+in_GrowthRate)^(YEARFRAC(DATE(2023,8,31),in_AgeToDate)*IF(in_AgeToDate&lt;DATE(2023,8,31),-1,1)+1))</f>
        <v/>
      </c>
      <c r="S262" s="38" t="n">
        <v>0.6308672618827104</v>
      </c>
      <c r="T262" s="43">
        <f>HYPERLINK("https://projects.propublica.org/nonprofits/organizations/742765082/202421919349300237/full","view filing")</f>
        <v/>
      </c>
    </row>
    <row r="263">
      <c r="A263" t="inlineStr">
        <is>
          <t>The University Of Texas Texas A M Investment Management Company</t>
        </is>
      </c>
      <c r="B263" s="20" t="inlineStr">
        <is>
          <t>TX</t>
        </is>
      </c>
      <c r="C263" s="42" t="n">
        <v>67.84</v>
      </c>
      <c r="D263" t="inlineStr">
        <is>
          <t>Endowment</t>
        </is>
      </c>
      <c r="E263" s="20" t="n">
        <v>2023</v>
      </c>
      <c r="F263" s="20" t="inlineStr"/>
      <c r="G263" t="inlineStr">
        <is>
          <t>James R Kampfe</t>
        </is>
      </c>
      <c r="H263" t="inlineStr">
        <is>
          <t>MANAGING DIRECTOR</t>
        </is>
      </c>
      <c r="I263" t="inlineStr">
        <is>
          <t>Managing Director</t>
        </is>
      </c>
      <c r="J263" s="21" t="n">
        <v>321203</v>
      </c>
      <c r="K263" s="21" t="n">
        <v>516647</v>
      </c>
      <c r="L263" s="21" t="n">
        <v>837850</v>
      </c>
      <c r="M263" s="21" t="n">
        <v>839</v>
      </c>
      <c r="N263" s="21" t="n">
        <v>440054</v>
      </c>
      <c r="O263" s="21" t="n">
        <v>28599</v>
      </c>
      <c r="P263" s="21" t="n">
        <v>1307342</v>
      </c>
      <c r="Q263" s="21" t="n">
        <v>790695</v>
      </c>
      <c r="R263" s="21">
        <f>IF(Q263="","",Q263*(1+in_GrowthRate)^(YEARFRAC(DATE(2023,8,31),in_AgeToDate)*IF(in_AgeToDate&lt;DATE(2023,8,31),-1,1)+1))</f>
        <v/>
      </c>
      <c r="S263" s="38" t="n">
        <v>1.608475014243329</v>
      </c>
      <c r="T263" s="43">
        <f>HYPERLINK("https://projects.propublica.org/nonprofits/organizations/742765082/202421919349300237/full","view filing")</f>
        <v/>
      </c>
    </row>
    <row r="264">
      <c r="A264" t="inlineStr">
        <is>
          <t>The University Of Texas Texas A M Investment Management Company</t>
        </is>
      </c>
      <c r="B264" s="20" t="inlineStr">
        <is>
          <t>TX</t>
        </is>
      </c>
      <c r="C264" s="42" t="n">
        <v>67.84</v>
      </c>
      <c r="D264" t="inlineStr">
        <is>
          <t>Endowment</t>
        </is>
      </c>
      <c r="E264" s="20" t="n">
        <v>2023</v>
      </c>
      <c r="F264" s="20" t="inlineStr"/>
      <c r="G264" t="inlineStr">
        <is>
          <t>Kenneth Reeves Sr</t>
        </is>
      </c>
      <c r="H264" t="inlineStr">
        <is>
          <t>MANAGING DIRECTOR</t>
        </is>
      </c>
      <c r="I264" t="inlineStr">
        <is>
          <t>Managing Director</t>
        </is>
      </c>
      <c r="J264" s="21" t="n">
        <v>239816</v>
      </c>
      <c r="K264" s="21" t="n">
        <v>71073</v>
      </c>
      <c r="L264" s="21" t="n">
        <v>310889</v>
      </c>
      <c r="M264" s="21" t="n">
        <v>52499</v>
      </c>
      <c r="N264" s="21" t="n">
        <v>20923</v>
      </c>
      <c r="O264" s="21" t="n">
        <v>23182</v>
      </c>
      <c r="P264" s="21" t="n">
        <v>407493</v>
      </c>
      <c r="Q264" s="21" t="n">
        <v>407493</v>
      </c>
      <c r="R264" s="21">
        <f>IF(Q264="","",Q264*(1+in_GrowthRate)^(YEARFRAC(DATE(2023,8,31),in_AgeToDate)*IF(in_AgeToDate&lt;DATE(2023,8,31),-1,1)+1))</f>
        <v/>
      </c>
      <c r="S264" s="38" t="n">
        <v>0.2963647129465924</v>
      </c>
      <c r="T264" s="43">
        <f>HYPERLINK("https://projects.propublica.org/nonprofits/organizations/742765082/202421919349300237/full","view filing")</f>
        <v/>
      </c>
    </row>
    <row r="265">
      <c r="A265" t="inlineStr">
        <is>
          <t>The University Of Texas Texas A M Investment Management Company</t>
        </is>
      </c>
      <c r="B265" s="20" t="inlineStr">
        <is>
          <t>TX</t>
        </is>
      </c>
      <c r="C265" s="42" t="n">
        <v>67.84</v>
      </c>
      <c r="D265" t="inlineStr">
        <is>
          <t>Endowment</t>
        </is>
      </c>
      <c r="E265" s="20" t="n">
        <v>2023</v>
      </c>
      <c r="F265" s="20" t="inlineStr"/>
      <c r="G265" t="inlineStr">
        <is>
          <t>Michael Dean</t>
        </is>
      </c>
      <c r="H265" t="inlineStr">
        <is>
          <t>MANAGING DIRECTOR</t>
        </is>
      </c>
      <c r="I265" t="inlineStr">
        <is>
          <t>Managing Director</t>
        </is>
      </c>
      <c r="J265" s="21" t="n">
        <v>152039</v>
      </c>
      <c r="K265" s="21" t="n">
        <v>231274</v>
      </c>
      <c r="L265" s="21" t="n">
        <v>383313</v>
      </c>
      <c r="M265" s="21" t="n">
        <v>1319</v>
      </c>
      <c r="N265" s="21" t="n">
        <v>13074</v>
      </c>
      <c r="O265" s="21" t="n">
        <v>9157</v>
      </c>
      <c r="P265" s="21" t="n">
        <v>406863</v>
      </c>
      <c r="Q265" s="21" t="n">
        <v>194900</v>
      </c>
      <c r="R265" s="21">
        <f>IF(Q265="","",Q265*(1+in_GrowthRate)^(YEARFRAC(DATE(2023,8,31),in_AgeToDate)*IF(in_AgeToDate&lt;DATE(2023,8,31),-1,1)+1))</f>
        <v/>
      </c>
      <c r="S265" s="38" t="n">
        <v>1.521149178829116</v>
      </c>
      <c r="T265" s="43">
        <f>HYPERLINK("https://projects.propublica.org/nonprofits/organizations/742765082/202421919349300237/full","view filing")</f>
        <v/>
      </c>
    </row>
    <row r="266">
      <c r="A266" t="inlineStr">
        <is>
          <t>The University Of Texas Texas A M Investment Management Company</t>
        </is>
      </c>
      <c r="B266" s="20" t="inlineStr">
        <is>
          <t>TX</t>
        </is>
      </c>
      <c r="C266" s="42" t="n">
        <v>67.84</v>
      </c>
      <c r="D266" t="inlineStr">
        <is>
          <t>Endowment</t>
        </is>
      </c>
      <c r="E266" s="20" t="n">
        <v>2023</v>
      </c>
      <c r="F266" s="20" t="inlineStr"/>
      <c r="G266" t="inlineStr">
        <is>
          <t>Mukund Joshi</t>
        </is>
      </c>
      <c r="H266" t="inlineStr">
        <is>
          <t>MANAGING DIRECTOR</t>
        </is>
      </c>
      <c r="I266" t="inlineStr">
        <is>
          <t>Managing Director</t>
        </is>
      </c>
      <c r="J266" s="21" t="n">
        <v>301720</v>
      </c>
      <c r="K266" s="21" t="n">
        <v>133538</v>
      </c>
      <c r="L266" s="21" t="n">
        <v>435258</v>
      </c>
      <c r="M266" s="21" t="n">
        <v>2539</v>
      </c>
      <c r="N266" s="21" t="n">
        <v>422376</v>
      </c>
      <c r="O266" s="21" t="n">
        <v>28913</v>
      </c>
      <c r="P266" s="21" t="n">
        <v>889086</v>
      </c>
      <c r="Q266" s="21" t="n">
        <v>758662</v>
      </c>
      <c r="R266" s="21">
        <f>IF(Q266="","",Q266*(1+in_GrowthRate)^(YEARFRAC(DATE(2023,8,31),in_AgeToDate)*IF(in_AgeToDate&lt;DATE(2023,8,31),-1,1)+1))</f>
        <v/>
      </c>
      <c r="S266" s="38" t="n">
        <v>0.4425891555084184</v>
      </c>
      <c r="T266" s="43">
        <f>HYPERLINK("https://projects.propublica.org/nonprofits/organizations/742765082/202421919349300237/full","view filing")</f>
        <v/>
      </c>
    </row>
    <row r="267">
      <c r="A267" t="inlineStr">
        <is>
          <t>The University Of Texas Texas A M Investment Management Company</t>
        </is>
      </c>
      <c r="B267" s="20" t="inlineStr">
        <is>
          <t>TX</t>
        </is>
      </c>
      <c r="C267" s="42" t="n">
        <v>67.84</v>
      </c>
      <c r="D267" t="inlineStr">
        <is>
          <t>Endowment</t>
        </is>
      </c>
      <c r="E267" s="20" t="n">
        <v>2023</v>
      </c>
      <c r="F267" s="20" t="inlineStr"/>
      <c r="G267" t="inlineStr">
        <is>
          <t>Patrick Pace</t>
        </is>
      </c>
      <c r="H267" t="inlineStr">
        <is>
          <t>MANAGING DIRECTOR</t>
        </is>
      </c>
      <c r="I267" t="inlineStr">
        <is>
          <t>Managing Director</t>
        </is>
      </c>
      <c r="J267" s="21" t="n">
        <v>397720</v>
      </c>
      <c r="K267" s="21" t="n">
        <v>240956</v>
      </c>
      <c r="L267" s="21" t="n">
        <v>638676</v>
      </c>
      <c r="M267" s="21" t="n">
        <v>3188</v>
      </c>
      <c r="N267" s="21" t="n">
        <v>663844</v>
      </c>
      <c r="O267" s="21" t="n">
        <v>28913</v>
      </c>
      <c r="P267" s="21" t="n">
        <v>1334621</v>
      </c>
      <c r="Q267" s="21" t="n">
        <v>1096816</v>
      </c>
      <c r="R267" s="21">
        <f>IF(Q267="","",Q267*(1+in_GrowthRate)^(YEARFRAC(DATE(2023,8,31),in_AgeToDate)*IF(in_AgeToDate&lt;DATE(2023,8,31),-1,1)+1))</f>
        <v/>
      </c>
      <c r="S267" s="38" t="n">
        <v>0.6058433068490395</v>
      </c>
      <c r="T267" s="43">
        <f>HYPERLINK("https://projects.propublica.org/nonprofits/organizations/742765082/202421919349300237/full","view filing")</f>
        <v/>
      </c>
    </row>
    <row r="268">
      <c r="A268" t="inlineStr">
        <is>
          <t>The University Of Texas Texas A M Investment Management Company</t>
        </is>
      </c>
      <c r="B268" s="20" t="inlineStr">
        <is>
          <t>TX</t>
        </is>
      </c>
      <c r="C268" s="42" t="n">
        <v>67.84</v>
      </c>
      <c r="D268" t="inlineStr">
        <is>
          <t>Endowment</t>
        </is>
      </c>
      <c r="E268" s="20" t="n">
        <v>2023</v>
      </c>
      <c r="F268" s="20" t="inlineStr"/>
      <c r="G268" t="inlineStr">
        <is>
          <t>Rodney R Ruebsahm</t>
        </is>
      </c>
      <c r="H268" t="inlineStr">
        <is>
          <t>SENIOR MANAGING DIRECTOR</t>
        </is>
      </c>
      <c r="I268" t="inlineStr">
        <is>
          <t>Senior Managing Director</t>
        </is>
      </c>
      <c r="J268" s="21" t="n">
        <v>449386</v>
      </c>
      <c r="K268" s="21" t="n">
        <v>296977</v>
      </c>
      <c r="L268" s="21" t="n">
        <v>746363</v>
      </c>
      <c r="M268" s="21" t="n">
        <v>2639</v>
      </c>
      <c r="N268" s="21" t="n">
        <v>889137</v>
      </c>
      <c r="O268" s="21" t="n">
        <v>28913</v>
      </c>
      <c r="P268" s="21" t="n">
        <v>1667052</v>
      </c>
      <c r="Q268" s="21" t="n">
        <v>1375258</v>
      </c>
      <c r="R268" s="21">
        <f>IF(Q268="","",Q268*(1+in_GrowthRate)^(YEARFRAC(DATE(2023,8,31),in_AgeToDate)*IF(in_AgeToDate&lt;DATE(2023,8,31),-1,1)+1))</f>
        <v/>
      </c>
      <c r="S268" s="38" t="n">
        <v>0.6608505827951917</v>
      </c>
      <c r="T268" s="43">
        <f>HYPERLINK("https://projects.propublica.org/nonprofits/organizations/742765082/202421919349300237/full","view filing")</f>
        <v/>
      </c>
    </row>
    <row r="269">
      <c r="A269" t="inlineStr">
        <is>
          <t>The University Of Texas Texas A M Investment Management Company</t>
        </is>
      </c>
      <c r="B269" s="20" t="inlineStr">
        <is>
          <t>TX</t>
        </is>
      </c>
      <c r="C269" s="42" t="n">
        <v>67.84</v>
      </c>
      <c r="D269" t="inlineStr">
        <is>
          <t>Endowment</t>
        </is>
      </c>
      <c r="E269" s="20" t="n">
        <v>2023</v>
      </c>
      <c r="F269" s="20" t="inlineStr"/>
      <c r="G269" t="inlineStr">
        <is>
          <t>Susan Chen</t>
        </is>
      </c>
      <c r="H269" t="inlineStr">
        <is>
          <t>SENIOR MANAGING DIRECTOR</t>
        </is>
      </c>
      <c r="I269" t="inlineStr">
        <is>
          <t>Senior Managing Director</t>
        </is>
      </c>
      <c r="J269" s="21" t="n">
        <v>451877</v>
      </c>
      <c r="K269" s="21" t="n">
        <v>314098</v>
      </c>
      <c r="L269" s="21" t="n">
        <v>765975</v>
      </c>
      <c r="M269" s="21" t="n">
        <v>3159</v>
      </c>
      <c r="N269" s="21" t="n">
        <v>621321</v>
      </c>
      <c r="O269" s="21" t="n">
        <v>21253</v>
      </c>
      <c r="P269" s="21" t="n">
        <v>1411708</v>
      </c>
      <c r="Q269" s="21" t="n">
        <v>1104527</v>
      </c>
      <c r="R269" s="21">
        <f>IF(Q269="","",Q269*(1+in_GrowthRate)^(YEARFRAC(DATE(2023,8,31),in_AgeToDate)*IF(in_AgeToDate&lt;DATE(2023,8,31),-1,1)+1))</f>
        <v/>
      </c>
      <c r="S269" s="38" t="n">
        <v>0.6950962319392224</v>
      </c>
      <c r="T269" s="43">
        <f>HYPERLINK("https://projects.propublica.org/nonprofits/organizations/742765082/202421919349300237/full","view filing")</f>
        <v/>
      </c>
    </row>
    <row r="270">
      <c r="A270" t="inlineStr">
        <is>
          <t>The University Of Texas Texas A M Investment Management Company</t>
        </is>
      </c>
      <c r="B270" s="20" t="inlineStr">
        <is>
          <t>TX</t>
        </is>
      </c>
      <c r="C270" s="42" t="n">
        <v>67.84</v>
      </c>
      <c r="D270" t="inlineStr">
        <is>
          <t>Endowment</t>
        </is>
      </c>
      <c r="E270" s="20" t="n">
        <v>2023</v>
      </c>
      <c r="F270" s="20" t="inlineStr"/>
      <c r="G270" t="inlineStr">
        <is>
          <t>Uziel Yoeli</t>
        </is>
      </c>
      <c r="H270" t="inlineStr">
        <is>
          <t>MANAGING DIRECTOR</t>
        </is>
      </c>
      <c r="I270" t="inlineStr">
        <is>
          <t>Managing Director</t>
        </is>
      </c>
      <c r="J270" s="21" t="n">
        <v>367575</v>
      </c>
      <c r="K270" s="21" t="n">
        <v>573370</v>
      </c>
      <c r="L270" s="21" t="n">
        <v>940945</v>
      </c>
      <c r="M270" s="21" t="n">
        <v>2639</v>
      </c>
      <c r="N270" s="21" t="n">
        <v>442216</v>
      </c>
      <c r="O270" s="21" t="n">
        <v>18610</v>
      </c>
      <c r="P270" s="21" t="n">
        <v>1404410</v>
      </c>
      <c r="Q270" s="21" t="n">
        <v>831040</v>
      </c>
      <c r="R270" s="21">
        <f>IF(Q270="","",Q270*(1+in_GrowthRate)^(YEARFRAC(DATE(2023,8,31),in_AgeToDate)*IF(in_AgeToDate&lt;DATE(2023,8,31),-1,1)+1))</f>
        <v/>
      </c>
      <c r="S270" s="38" t="n">
        <v>1.559872134938448</v>
      </c>
      <c r="T270" s="43">
        <f>HYPERLINK("https://projects.propublica.org/nonprofits/organizations/742765082/202421919349300237/full","view filing")</f>
        <v/>
      </c>
    </row>
    <row r="271">
      <c r="A271" t="inlineStr">
        <is>
          <t>The University Of Texas Texas A M Investment Management Company</t>
        </is>
      </c>
      <c r="B271" s="20" t="inlineStr">
        <is>
          <t>TX</t>
        </is>
      </c>
      <c r="C271" s="42" t="n">
        <v>67.84</v>
      </c>
      <c r="D271" t="inlineStr">
        <is>
          <t>Endowment</t>
        </is>
      </c>
      <c r="E271" s="20" t="n">
        <v>2022</v>
      </c>
      <c r="F271" s="20" t="inlineStr"/>
      <c r="G271" t="inlineStr">
        <is>
          <t>Amanda Hopper</t>
        </is>
      </c>
      <c r="H271" t="inlineStr">
        <is>
          <t>MANAGING DIRECTOR</t>
        </is>
      </c>
      <c r="I271" t="inlineStr">
        <is>
          <t>Managing Director</t>
        </is>
      </c>
      <c r="J271" s="21" t="n">
        <v>296781</v>
      </c>
      <c r="K271" s="21" t="n">
        <v>463524</v>
      </c>
      <c r="L271" s="21" t="n">
        <v>760305</v>
      </c>
      <c r="M271" s="21" t="n">
        <v>2239</v>
      </c>
      <c r="N271" s="21" t="n">
        <v>533376</v>
      </c>
      <c r="O271" s="21" t="n">
        <v>28393</v>
      </c>
      <c r="P271" s="21" t="n">
        <v>1324313</v>
      </c>
      <c r="Q271" s="21" t="n">
        <v>903293</v>
      </c>
      <c r="R271" s="21">
        <f>IF(Q271="","",Q271*(1+in_GrowthRate)^(YEARFRAC(DATE(2022,8,31),in_AgeToDate)*IF(in_AgeToDate&lt;DATE(2022,8,31),-1,1)+1))</f>
        <v/>
      </c>
      <c r="S271" s="38" t="n">
        <v>1.561838527398991</v>
      </c>
      <c r="T271" s="43">
        <f>HYPERLINK("https://projects.propublica.org/nonprofits/organizations/742765082/202331879349300948/full","view filing")</f>
        <v/>
      </c>
    </row>
    <row r="272">
      <c r="A272" t="inlineStr">
        <is>
          <t>The University Of Texas Texas A M Investment Management Company</t>
        </is>
      </c>
      <c r="B272" s="20" t="inlineStr">
        <is>
          <t>TX</t>
        </is>
      </c>
      <c r="C272" s="42" t="n">
        <v>67.84</v>
      </c>
      <c r="D272" t="inlineStr">
        <is>
          <t>Endowment</t>
        </is>
      </c>
      <c r="E272" s="20" t="n">
        <v>2022</v>
      </c>
      <c r="F272" s="20" t="inlineStr"/>
      <c r="G272" t="inlineStr">
        <is>
          <t>Courtney Powers</t>
        </is>
      </c>
      <c r="H272" t="inlineStr">
        <is>
          <t>MANAGING DIRECTOR</t>
        </is>
      </c>
      <c r="I272" t="inlineStr">
        <is>
          <t>Managing Director</t>
        </is>
      </c>
      <c r="J272" s="21" t="n">
        <v>296303</v>
      </c>
      <c r="K272" s="21" t="n">
        <v>478958</v>
      </c>
      <c r="L272" s="21" t="n">
        <v>775261</v>
      </c>
      <c r="M272" s="21" t="n">
        <v>2681</v>
      </c>
      <c r="N272" s="21" t="n">
        <v>690411</v>
      </c>
      <c r="O272" s="21" t="n">
        <v>28870</v>
      </c>
      <c r="P272" s="21" t="n">
        <v>1497223</v>
      </c>
      <c r="Q272" s="21" t="n">
        <v>1063356</v>
      </c>
      <c r="R272" s="21">
        <f>IF(Q272="","",Q272*(1+in_GrowthRate)^(YEARFRAC(DATE(2022,8,31),in_AgeToDate)*IF(in_AgeToDate&lt;DATE(2022,8,31),-1,1)+1))</f>
        <v/>
      </c>
      <c r="S272" s="38" t="n">
        <v>1.616446677893913</v>
      </c>
      <c r="T272" s="43">
        <f>HYPERLINK("https://projects.propublica.org/nonprofits/organizations/742765082/202331879349300948/full","view filing")</f>
        <v/>
      </c>
    </row>
    <row r="273">
      <c r="A273" t="inlineStr">
        <is>
          <t>The University Of Texas Texas A M Investment Management Company</t>
        </is>
      </c>
      <c r="B273" s="20" t="inlineStr">
        <is>
          <t>TX</t>
        </is>
      </c>
      <c r="C273" s="42" t="n">
        <v>67.84</v>
      </c>
      <c r="D273" t="inlineStr">
        <is>
          <t>Endowment</t>
        </is>
      </c>
      <c r="E273" s="20" t="n">
        <v>2022</v>
      </c>
      <c r="F273" s="20" t="inlineStr"/>
      <c r="G273" t="inlineStr">
        <is>
          <t>Edward Lewis</t>
        </is>
      </c>
      <c r="H273" t="inlineStr">
        <is>
          <t>MANAGING DIRECTOR</t>
        </is>
      </c>
      <c r="I273" t="inlineStr">
        <is>
          <t>Managing Director</t>
        </is>
      </c>
      <c r="J273" s="21" t="n">
        <v>395815</v>
      </c>
      <c r="K273" s="21" t="n">
        <v>888000</v>
      </c>
      <c r="L273" s="21" t="n">
        <v>1283815</v>
      </c>
      <c r="M273" s="21" t="n">
        <v>2938</v>
      </c>
      <c r="N273" s="21" t="n">
        <v>684287</v>
      </c>
      <c r="O273" s="21" t="n">
        <v>27336</v>
      </c>
      <c r="P273" s="21" t="n">
        <v>1998376</v>
      </c>
      <c r="Q273" s="21" t="n">
        <v>1199965</v>
      </c>
      <c r="R273" s="21">
        <f>IF(Q273="","",Q273*(1+in_GrowthRate)^(YEARFRAC(DATE(2022,8,31),in_AgeToDate)*IF(in_AgeToDate&lt;DATE(2022,8,31),-1,1)+1))</f>
        <v/>
      </c>
      <c r="S273" s="38" t="n">
        <v>2.243472329244723</v>
      </c>
      <c r="T273" s="43">
        <f>HYPERLINK("https://projects.propublica.org/nonprofits/organizations/742765082/202331879349300948/full","view filing")</f>
        <v/>
      </c>
    </row>
    <row r="274">
      <c r="A274" t="inlineStr">
        <is>
          <t>The University Of Texas Texas A M Investment Management Company</t>
        </is>
      </c>
      <c r="B274" s="20" t="inlineStr">
        <is>
          <t>TX</t>
        </is>
      </c>
      <c r="C274" s="42" t="n">
        <v>67.84</v>
      </c>
      <c r="D274" t="inlineStr">
        <is>
          <t>Endowment</t>
        </is>
      </c>
      <c r="E274" s="20" t="n">
        <v>2022</v>
      </c>
      <c r="F274" s="20" t="inlineStr"/>
      <c r="G274" t="inlineStr">
        <is>
          <t>Gary Hill</t>
        </is>
      </c>
      <c r="H274" t="inlineStr">
        <is>
          <t>MANAGING DIRECTOR</t>
        </is>
      </c>
      <c r="I274" t="inlineStr">
        <is>
          <t>Managing Director</t>
        </is>
      </c>
      <c r="J274" s="21" t="n">
        <v>243637</v>
      </c>
      <c r="K274" s="21" t="n">
        <v>138402</v>
      </c>
      <c r="L274" s="21" t="n">
        <v>382039</v>
      </c>
      <c r="M274" s="21" t="n">
        <v>2538</v>
      </c>
      <c r="N274" s="21" t="n">
        <v>191795</v>
      </c>
      <c r="O274" s="21" t="n">
        <v>29870</v>
      </c>
      <c r="P274" s="21" t="n">
        <v>606242</v>
      </c>
      <c r="Q274" s="21" t="n">
        <v>606242</v>
      </c>
      <c r="R274" s="21">
        <f>IF(Q274="","",Q274*(1+in_GrowthRate)^(YEARFRAC(DATE(2022,8,31),in_AgeToDate)*IF(in_AgeToDate&lt;DATE(2022,8,31),-1,1)+1))</f>
        <v/>
      </c>
      <c r="S274" s="38" t="n">
        <v>0.5680664266921691</v>
      </c>
      <c r="T274" s="43">
        <f>HYPERLINK("https://projects.propublica.org/nonprofits/organizations/742765082/202331879349300948/full","view filing")</f>
        <v/>
      </c>
    </row>
    <row r="275">
      <c r="A275" t="inlineStr">
        <is>
          <t>The University Of Texas Texas A M Investment Management Company</t>
        </is>
      </c>
      <c r="B275" s="20" t="inlineStr">
        <is>
          <t>TX</t>
        </is>
      </c>
      <c r="C275" s="42" t="n">
        <v>67.84</v>
      </c>
      <c r="D275" t="inlineStr">
        <is>
          <t>Endowment</t>
        </is>
      </c>
      <c r="E275" s="20" t="n">
        <v>2022</v>
      </c>
      <c r="F275" s="20" t="inlineStr"/>
      <c r="G275" t="inlineStr">
        <is>
          <t>James R Kampfe</t>
        </is>
      </c>
      <c r="H275" t="inlineStr">
        <is>
          <t>MANAGING DIRECTOR</t>
        </is>
      </c>
      <c r="I275" t="inlineStr">
        <is>
          <t>Managing Director</t>
        </is>
      </c>
      <c r="J275" s="21" t="n">
        <v>298970</v>
      </c>
      <c r="K275" s="21" t="n">
        <v>488304</v>
      </c>
      <c r="L275" s="21" t="n">
        <v>787274</v>
      </c>
      <c r="M275" s="21" t="n">
        <v>839</v>
      </c>
      <c r="N275" s="21" t="n">
        <v>541297</v>
      </c>
      <c r="O275" s="21" t="n">
        <v>29870</v>
      </c>
      <c r="P275" s="21" t="n">
        <v>1359280</v>
      </c>
      <c r="Q275" s="21" t="n">
        <v>870976</v>
      </c>
      <c r="R275" s="21">
        <f>IF(Q275="","",Q275*(1+in_GrowthRate)^(YEARFRAC(DATE(2022,8,31),in_AgeToDate)*IF(in_AgeToDate&lt;DATE(2022,8,31),-1,1)+1))</f>
        <v/>
      </c>
      <c r="S275" s="38" t="n">
        <v>1.633287620831521</v>
      </c>
      <c r="T275" s="43">
        <f>HYPERLINK("https://projects.propublica.org/nonprofits/organizations/742765082/202331879349300948/full","view filing")</f>
        <v/>
      </c>
    </row>
    <row r="276">
      <c r="A276" t="inlineStr">
        <is>
          <t>The University Of Texas Texas A M Investment Management Company</t>
        </is>
      </c>
      <c r="B276" s="20" t="inlineStr">
        <is>
          <t>TX</t>
        </is>
      </c>
      <c r="C276" s="42" t="n">
        <v>67.84</v>
      </c>
      <c r="D276" t="inlineStr">
        <is>
          <t>Endowment</t>
        </is>
      </c>
      <c r="E276" s="20" t="n">
        <v>2022</v>
      </c>
      <c r="F276" s="20" t="inlineStr"/>
      <c r="G276" t="inlineStr">
        <is>
          <t>Kenneth Reeves Sr</t>
        </is>
      </c>
      <c r="H276" t="inlineStr">
        <is>
          <t>MANAGING DIRECTOR</t>
        </is>
      </c>
      <c r="I276" t="inlineStr">
        <is>
          <t>Managing Director</t>
        </is>
      </c>
      <c r="J276" s="21" t="n"/>
      <c r="K276" s="21" t="n"/>
      <c r="L276" s="21" t="n"/>
      <c r="M276" s="21" t="n"/>
      <c r="N276" s="21" t="n"/>
      <c r="O276" s="21" t="n"/>
      <c r="P276" s="21" t="n">
        <v>16304</v>
      </c>
      <c r="Q276" s="21" t="n">
        <v>16304</v>
      </c>
      <c r="R276" s="21">
        <f>IF(Q276="","",Q276*(1+in_GrowthRate)^(YEARFRAC(DATE(2022,8,31),in_AgeToDate)*IF(in_AgeToDate&lt;DATE(2022,8,31),-1,1)+1))</f>
        <v/>
      </c>
      <c r="S276" s="38" t="n"/>
      <c r="T276" s="43">
        <f>HYPERLINK("https://projects.propublica.org/nonprofits/organizations/742765082/202331879349300948/full","view filing")</f>
        <v/>
      </c>
    </row>
    <row r="277">
      <c r="A277" t="inlineStr">
        <is>
          <t>The University Of Texas Texas A M Investment Management Company</t>
        </is>
      </c>
      <c r="B277" s="20" t="inlineStr">
        <is>
          <t>TX</t>
        </is>
      </c>
      <c r="C277" s="42" t="n">
        <v>67.84</v>
      </c>
      <c r="D277" t="inlineStr">
        <is>
          <t>Endowment</t>
        </is>
      </c>
      <c r="E277" s="20" t="n">
        <v>2022</v>
      </c>
      <c r="F277" s="20" t="inlineStr"/>
      <c r="G277" t="inlineStr">
        <is>
          <t>Michael Dean</t>
        </is>
      </c>
      <c r="H277" t="inlineStr">
        <is>
          <t>MANAGING DIRECTOR</t>
        </is>
      </c>
      <c r="I277" t="inlineStr">
        <is>
          <t>Managing Director</t>
        </is>
      </c>
      <c r="J277" s="21" t="n">
        <v>261576</v>
      </c>
      <c r="K277" s="21" t="n">
        <v>139114</v>
      </c>
      <c r="L277" s="21" t="n">
        <v>400690</v>
      </c>
      <c r="M277" s="21" t="n">
        <v>2939</v>
      </c>
      <c r="N277" s="21" t="n">
        <v>183138</v>
      </c>
      <c r="O277" s="21" t="n">
        <v>17736</v>
      </c>
      <c r="P277" s="21" t="n">
        <v>604503</v>
      </c>
      <c r="Q277" s="21" t="n">
        <v>484685</v>
      </c>
      <c r="R277" s="21">
        <f>IF(Q277="","",Q277*(1+in_GrowthRate)^(YEARFRAC(DATE(2022,8,31),in_AgeToDate)*IF(in_AgeToDate&lt;DATE(2022,8,31),-1,1)+1))</f>
        <v/>
      </c>
      <c r="S277" s="38" t="n">
        <v>0.5318301373214668</v>
      </c>
      <c r="T277" s="43">
        <f>HYPERLINK("https://projects.propublica.org/nonprofits/organizations/742765082/202331879349300948/full","view filing")</f>
        <v/>
      </c>
    </row>
    <row r="278">
      <c r="A278" t="inlineStr">
        <is>
          <t>The University Of Texas Texas A M Investment Management Company</t>
        </is>
      </c>
      <c r="B278" s="20" t="inlineStr">
        <is>
          <t>TX</t>
        </is>
      </c>
      <c r="C278" s="42" t="n">
        <v>67.84</v>
      </c>
      <c r="D278" t="inlineStr">
        <is>
          <t>Endowment</t>
        </is>
      </c>
      <c r="E278" s="20" t="n">
        <v>2022</v>
      </c>
      <c r="F278" s="20" t="inlineStr"/>
      <c r="G278" t="inlineStr">
        <is>
          <t>Patrick Pace</t>
        </is>
      </c>
      <c r="H278" t="inlineStr">
        <is>
          <t>MANAGING DIRECTOR</t>
        </is>
      </c>
      <c r="I278" t="inlineStr">
        <is>
          <t>Managing Director</t>
        </is>
      </c>
      <c r="J278" s="21" t="n">
        <v>359373</v>
      </c>
      <c r="K278" s="21" t="n">
        <v>640330</v>
      </c>
      <c r="L278" s="21" t="n">
        <v>999703</v>
      </c>
      <c r="M278" s="21" t="n">
        <v>2639</v>
      </c>
      <c r="N278" s="21" t="n">
        <v>806741</v>
      </c>
      <c r="O278" s="21" t="n">
        <v>27088</v>
      </c>
      <c r="P278" s="21" t="n">
        <v>1836171</v>
      </c>
      <c r="Q278" s="21" t="n">
        <v>1239535</v>
      </c>
      <c r="R278" s="21">
        <f>IF(Q278="","",Q278*(1+in_GrowthRate)^(YEARFRAC(DATE(2022,8,31),in_AgeToDate)*IF(in_AgeToDate&lt;DATE(2022,8,31),-1,1)+1))</f>
        <v/>
      </c>
      <c r="S278" s="38" t="n">
        <v>1.781797742178739</v>
      </c>
      <c r="T278" s="43">
        <f>HYPERLINK("https://projects.propublica.org/nonprofits/organizations/742765082/202331879349300948/full","view filing")</f>
        <v/>
      </c>
    </row>
    <row r="279">
      <c r="A279" t="inlineStr">
        <is>
          <t>The University Of Texas Texas A M Investment Management Company</t>
        </is>
      </c>
      <c r="B279" s="20" t="inlineStr">
        <is>
          <t>TX</t>
        </is>
      </c>
      <c r="C279" s="42" t="n">
        <v>67.84</v>
      </c>
      <c r="D279" t="inlineStr">
        <is>
          <t>Endowment</t>
        </is>
      </c>
      <c r="E279" s="20" t="n">
        <v>2022</v>
      </c>
      <c r="F279" s="20" t="inlineStr"/>
      <c r="G279" t="inlineStr">
        <is>
          <t>Rodney R Ruebsahm</t>
        </is>
      </c>
      <c r="H279" t="inlineStr">
        <is>
          <t>SENIOR MANAGING DIRECTOR</t>
        </is>
      </c>
      <c r="I279" t="inlineStr">
        <is>
          <t>Senior Managing Director</t>
        </is>
      </c>
      <c r="J279" s="21" t="n">
        <v>419373</v>
      </c>
      <c r="K279" s="21" t="n">
        <v>915032</v>
      </c>
      <c r="L279" s="21" t="n">
        <v>1334405</v>
      </c>
      <c r="M279" s="21" t="n">
        <v>3093</v>
      </c>
      <c r="N279" s="21" t="n">
        <v>1095975</v>
      </c>
      <c r="O279" s="21" t="n">
        <v>27800</v>
      </c>
      <c r="P279" s="21" t="n">
        <v>2461273</v>
      </c>
      <c r="Q279" s="21" t="n">
        <v>1640981</v>
      </c>
      <c r="R279" s="21">
        <f>IF(Q279="","",Q279*(1+in_GrowthRate)^(YEARFRAC(DATE(2022,8,31),in_AgeToDate)*IF(in_AgeToDate&lt;DATE(2022,8,31),-1,1)+1))</f>
        <v/>
      </c>
      <c r="S279" s="38" t="n">
        <v>2.181904891349705</v>
      </c>
      <c r="T279" s="43">
        <f>HYPERLINK("https://projects.propublica.org/nonprofits/organizations/742765082/202331879349300948/full","view filing")</f>
        <v/>
      </c>
    </row>
    <row r="280">
      <c r="A280" t="inlineStr">
        <is>
          <t>The University Of Texas Texas A M Investment Management Company</t>
        </is>
      </c>
      <c r="B280" s="20" t="inlineStr">
        <is>
          <t>TX</t>
        </is>
      </c>
      <c r="C280" s="42" t="n">
        <v>67.84</v>
      </c>
      <c r="D280" t="inlineStr">
        <is>
          <t>Endowment</t>
        </is>
      </c>
      <c r="E280" s="20" t="n">
        <v>2022</v>
      </c>
      <c r="F280" s="20" t="inlineStr"/>
      <c r="G280" t="inlineStr">
        <is>
          <t>Scott Slayton</t>
        </is>
      </c>
      <c r="H280" t="inlineStr">
        <is>
          <t>MANAGING DIRECTOR</t>
        </is>
      </c>
      <c r="I280" t="inlineStr">
        <is>
          <t>Managing Director</t>
        </is>
      </c>
      <c r="J280" s="21" t="n">
        <v>362399</v>
      </c>
      <c r="K280" s="21" t="n">
        <v>729633</v>
      </c>
      <c r="L280" s="21" t="n">
        <v>1092032</v>
      </c>
      <c r="M280" s="21" t="n">
        <v>2638</v>
      </c>
      <c r="N280" s="21" t="n">
        <v>24650</v>
      </c>
      <c r="O280" s="21" t="n">
        <v>26596</v>
      </c>
      <c r="P280" s="21" t="n">
        <v>1145916</v>
      </c>
      <c r="Q280" s="21" t="n">
        <v>476718</v>
      </c>
      <c r="R280" s="21">
        <f>IF(Q280="","",Q280*(1+in_GrowthRate)^(YEARFRAC(DATE(2022,8,31),in_AgeToDate)*IF(in_AgeToDate&lt;DATE(2022,8,31),-1,1)+1))</f>
        <v/>
      </c>
      <c r="S280" s="38" t="n">
        <v>2.013341648293732</v>
      </c>
      <c r="T280" s="43">
        <f>HYPERLINK("https://projects.propublica.org/nonprofits/organizations/742765082/202331879349300948/full","view filing")</f>
        <v/>
      </c>
    </row>
    <row r="281">
      <c r="A281" t="inlineStr">
        <is>
          <t>The University Of Texas Texas A M Investment Management Company</t>
        </is>
      </c>
      <c r="B281" s="20" t="inlineStr">
        <is>
          <t>TX</t>
        </is>
      </c>
      <c r="C281" s="42" t="n">
        <v>67.84</v>
      </c>
      <c r="D281" t="inlineStr">
        <is>
          <t>Endowment</t>
        </is>
      </c>
      <c r="E281" s="20" t="n">
        <v>2022</v>
      </c>
      <c r="F281" s="20" t="inlineStr"/>
      <c r="G281" t="inlineStr">
        <is>
          <t>Susan Chen</t>
        </is>
      </c>
      <c r="H281" t="inlineStr">
        <is>
          <t>SENIOR MANAGING DIRECTOR</t>
        </is>
      </c>
      <c r="I281" t="inlineStr">
        <is>
          <t>Senior Managing Director</t>
        </is>
      </c>
      <c r="J281" s="21" t="n">
        <v>421755</v>
      </c>
      <c r="K281" s="21" t="n">
        <v>929483</v>
      </c>
      <c r="L281" s="21" t="n">
        <v>1351238</v>
      </c>
      <c r="M281" s="21" t="n">
        <v>2777</v>
      </c>
      <c r="N281" s="21" t="n">
        <v>843643</v>
      </c>
      <c r="O281" s="21" t="n">
        <v>20497</v>
      </c>
      <c r="P281" s="21" t="n">
        <v>2218155</v>
      </c>
      <c r="Q281" s="21" t="n">
        <v>1382890</v>
      </c>
      <c r="R281" s="21">
        <f>IF(Q281="","",Q281*(1+in_GrowthRate)^(YEARFRAC(DATE(2022,8,31),in_AgeToDate)*IF(in_AgeToDate&lt;DATE(2022,8,31),-1,1)+1))</f>
        <v/>
      </c>
      <c r="S281" s="38" t="n">
        <v>2.203845834667046</v>
      </c>
      <c r="T281" s="43">
        <f>HYPERLINK("https://projects.propublica.org/nonprofits/organizations/742765082/202331879349300948/full","view filing")</f>
        <v/>
      </c>
    </row>
    <row r="282">
      <c r="A282" t="inlineStr">
        <is>
          <t>The University Of Texas Texas A M Investment Management Company</t>
        </is>
      </c>
      <c r="B282" s="20" t="inlineStr">
        <is>
          <t>TX</t>
        </is>
      </c>
      <c r="C282" s="42" t="n">
        <v>67.84</v>
      </c>
      <c r="D282" t="inlineStr">
        <is>
          <t>Endowment</t>
        </is>
      </c>
      <c r="E282" s="20" t="n">
        <v>2022</v>
      </c>
      <c r="F282" s="20" t="inlineStr"/>
      <c r="G282" t="inlineStr">
        <is>
          <t>Uziel Yoeli</t>
        </is>
      </c>
      <c r="H282" t="inlineStr">
        <is>
          <t>MANAGING DIRECTOR</t>
        </is>
      </c>
      <c r="I282" t="inlineStr">
        <is>
          <t>Managing Director</t>
        </is>
      </c>
      <c r="J282" s="21" t="n">
        <v>343576</v>
      </c>
      <c r="K282" s="21" t="n">
        <v>552508</v>
      </c>
      <c r="L282" s="21" t="n">
        <v>896084</v>
      </c>
      <c r="M282" s="21" t="n">
        <v>2939</v>
      </c>
      <c r="N282" s="21" t="n">
        <v>598020</v>
      </c>
      <c r="O282" s="21" t="n">
        <v>17736</v>
      </c>
      <c r="P282" s="21" t="n">
        <v>1514779</v>
      </c>
      <c r="Q282" s="21" t="n">
        <v>962271</v>
      </c>
      <c r="R282" s="21">
        <f>IF(Q282="","",Q282*(1+in_GrowthRate)^(YEARFRAC(DATE(2022,8,31),in_AgeToDate)*IF(in_AgeToDate&lt;DATE(2022,8,31),-1,1)+1))</f>
        <v/>
      </c>
      <c r="S282" s="38" t="n">
        <v>1.608109996041633</v>
      </c>
      <c r="T282" s="43">
        <f>HYPERLINK("https://projects.propublica.org/nonprofits/organizations/742765082/202331879349300948/full","view filing")</f>
        <v/>
      </c>
    </row>
    <row r="283">
      <c r="A283" t="inlineStr">
        <is>
          <t>Trustees Of Dartmouth College</t>
        </is>
      </c>
      <c r="B283" s="20" t="inlineStr">
        <is>
          <t>NH</t>
        </is>
      </c>
      <c r="C283" s="42" t="n">
        <v>8.960000000000001</v>
      </c>
      <c r="D283" t="inlineStr">
        <is>
          <t>Endowment</t>
        </is>
      </c>
      <c r="E283" s="20" t="n">
        <v>2025</v>
      </c>
      <c r="F283" s="20">
        <f>IF(AND(OR(in_Mode="All Funds",AND(C283&gt;=in_BandFloor,C283&lt;=in_BandCeiling,OR(in_Geography="National",COUNTIFS(lst_GeoPreset,in_Geography,lst_GeoState,B283)&gt;0,AND(in_Geography="Custom",ISNUMBER(SEARCH(B283,SUBSTITUTE(in_CustomStates," ",""))))),OR(AND(D283="Endowment",Inputs!$B$14="Y"),AND(D283="Foundation",Inputs!$B$15="Y"),AND(D283="Healthcare",Inputs!$B$16="Y"),AND(D283="Pension",Inputs!$B$17="Y"),AND(D283="OCIO",Inputs!$B$18="Y"),AND(D283="Other",Inputs!$B$19="Y")))),A283&lt;&gt;in_ClientOrg,NOT(AND(in_ExclHarvard="Y",ISNUMBER(SEARCH("Harvard",A283))))),"Y","")</f>
        <v/>
      </c>
      <c r="G283" t="inlineStr">
        <is>
          <t>Jessica Jones</t>
        </is>
      </c>
      <c r="H283" t="inlineStr">
        <is>
          <t>Managing Director, Investment Office</t>
        </is>
      </c>
      <c r="I283" t="inlineStr">
        <is>
          <t>Managing Director</t>
        </is>
      </c>
      <c r="J283" s="21" t="n">
        <v>477362</v>
      </c>
      <c r="K283" s="21" t="n">
        <v>811461</v>
      </c>
      <c r="L283" s="21" t="n">
        <v>1288823</v>
      </c>
      <c r="M283" s="21" t="n">
        <v>1389</v>
      </c>
      <c r="N283" s="21" t="n">
        <v>31050</v>
      </c>
      <c r="O283" s="21" t="n">
        <v>20157</v>
      </c>
      <c r="P283" s="21" t="n">
        <v>1341419</v>
      </c>
      <c r="Q283" s="21" t="n">
        <v>1341419</v>
      </c>
      <c r="R283" s="21">
        <f>IF(Q283="","",Q283*(1+in_GrowthRate)^(YEARFRAC(DATE(2025,6,30),in_AgeToDate)*IF(in_AgeToDate&lt;DATE(2025,6,30),-1,1)+1))</f>
        <v/>
      </c>
      <c r="S283" s="38" t="n">
        <v>1.699886040363498</v>
      </c>
      <c r="T283" s="43">
        <f>HYPERLINK("https://projects.propublica.org/nonprofits/organizations/20222111/202631339349300048/full","view filing")</f>
        <v/>
      </c>
    </row>
    <row r="284">
      <c r="A284" t="inlineStr">
        <is>
          <t>Trustees Of Dartmouth College</t>
        </is>
      </c>
      <c r="B284" s="20" t="inlineStr">
        <is>
          <t>NH</t>
        </is>
      </c>
      <c r="C284" s="42" t="n">
        <v>8.960000000000001</v>
      </c>
      <c r="D284" t="inlineStr">
        <is>
          <t>Endowment</t>
        </is>
      </c>
      <c r="E284" s="20" t="n">
        <v>2025</v>
      </c>
      <c r="F284" s="20">
        <f>IF(AND(OR(in_Mode="All Funds",AND(C284&gt;=in_BandFloor,C284&lt;=in_BandCeiling,OR(in_Geography="National",COUNTIFS(lst_GeoPreset,in_Geography,lst_GeoState,B284)&gt;0,AND(in_Geography="Custom",ISNUMBER(SEARCH(B284,SUBSTITUTE(in_CustomStates," ",""))))),OR(AND(D284="Endowment",Inputs!$B$14="Y"),AND(D284="Foundation",Inputs!$B$15="Y"),AND(D284="Healthcare",Inputs!$B$16="Y"),AND(D284="Pension",Inputs!$B$17="Y"),AND(D284="OCIO",Inputs!$B$18="Y"),AND(D284="Other",Inputs!$B$19="Y")))),A284&lt;&gt;in_ClientOrg,NOT(AND(in_ExclHarvard="Y",ISNUMBER(SEARCH("Harvard",A284))))),"Y","")</f>
        <v/>
      </c>
      <c r="G284" t="inlineStr">
        <is>
          <t>Michael P Sullivan</t>
        </is>
      </c>
      <c r="H284" t="inlineStr">
        <is>
          <t>Managing Director, Investment Office</t>
        </is>
      </c>
      <c r="I284" t="inlineStr">
        <is>
          <t>Managing Director</t>
        </is>
      </c>
      <c r="J284" s="21" t="n">
        <v>550793</v>
      </c>
      <c r="K284" s="21" t="n">
        <v>1072301</v>
      </c>
      <c r="L284" s="21" t="n">
        <v>1623094</v>
      </c>
      <c r="M284" s="21" t="n">
        <v>1159</v>
      </c>
      <c r="N284" s="21" t="n">
        <v>31050</v>
      </c>
      <c r="O284" s="21" t="n">
        <v>20406</v>
      </c>
      <c r="P284" s="21" t="n">
        <v>1675709</v>
      </c>
      <c r="Q284" s="21" t="n">
        <v>1675709</v>
      </c>
      <c r="R284" s="21">
        <f>IF(Q284="","",Q284*(1+in_GrowthRate)^(YEARFRAC(DATE(2025,6,30),in_AgeToDate)*IF(in_AgeToDate&lt;DATE(2025,6,30),-1,1)+1))</f>
        <v/>
      </c>
      <c r="S284" s="38" t="n">
        <v>1.946831205189608</v>
      </c>
      <c r="T284" s="43">
        <f>HYPERLINK("https://projects.propublica.org/nonprofits/organizations/20222111/202631339349300048/full","view filing")</f>
        <v/>
      </c>
    </row>
    <row r="285">
      <c r="A285" t="inlineStr">
        <is>
          <t>Trustees Of Dartmouth College</t>
        </is>
      </c>
      <c r="B285" s="20" t="inlineStr">
        <is>
          <t>NH</t>
        </is>
      </c>
      <c r="C285" s="42" t="n">
        <v>8.960000000000001</v>
      </c>
      <c r="D285" t="inlineStr">
        <is>
          <t>Endowment</t>
        </is>
      </c>
      <c r="E285" s="20" t="n">
        <v>2025</v>
      </c>
      <c r="F285" s="20">
        <f>IF(AND(OR(in_Mode="All Funds",AND(C285&gt;=in_BandFloor,C285&lt;=in_BandCeiling,OR(in_Geography="National",COUNTIFS(lst_GeoPreset,in_Geography,lst_GeoState,B285)&gt;0,AND(in_Geography="Custom",ISNUMBER(SEARCH(B285,SUBSTITUTE(in_CustomStates," ",""))))),OR(AND(D285="Endowment",Inputs!$B$14="Y"),AND(D285="Foundation",Inputs!$B$15="Y"),AND(D285="Healthcare",Inputs!$B$16="Y"),AND(D285="Pension",Inputs!$B$17="Y"),AND(D285="OCIO",Inputs!$B$18="Y"),AND(D285="Other",Inputs!$B$19="Y")))),A285&lt;&gt;in_ClientOrg,NOT(AND(in_ExclHarvard="Y",ISNUMBER(SEARCH("Harvard",A285))))),"Y","")</f>
        <v/>
      </c>
      <c r="G285" t="inlineStr">
        <is>
          <t>Michael R Sullivan</t>
        </is>
      </c>
      <c r="H285" t="inlineStr">
        <is>
          <t>Managing Director, Investment Office</t>
        </is>
      </c>
      <c r="I285" t="inlineStr">
        <is>
          <t>Managing Director</t>
        </is>
      </c>
      <c r="J285" s="21" t="n">
        <v>437584</v>
      </c>
      <c r="K285" s="21" t="n">
        <v>605654</v>
      </c>
      <c r="L285" s="21" t="n">
        <v>1043238</v>
      </c>
      <c r="M285" s="21" t="n">
        <v>1164</v>
      </c>
      <c r="N285" s="21" t="n">
        <v>24150</v>
      </c>
      <c r="O285" s="21" t="n">
        <v>15604</v>
      </c>
      <c r="P285" s="21" t="n">
        <v>1084156</v>
      </c>
      <c r="Q285" s="21" t="n">
        <v>1084156</v>
      </c>
      <c r="R285" s="21">
        <f>IF(Q285="","",Q285*(1+in_GrowthRate)^(YEARFRAC(DATE(2025,6,30),in_AgeToDate)*IF(in_AgeToDate&lt;DATE(2025,6,30),-1,1)+1))</f>
        <v/>
      </c>
      <c r="S285" s="38" t="n">
        <v>1.384086255438956</v>
      </c>
      <c r="T285" s="43">
        <f>HYPERLINK("https://projects.propublica.org/nonprofits/organizations/20222111/202631339349300048/full","view filing")</f>
        <v/>
      </c>
    </row>
    <row r="286">
      <c r="A286" t="inlineStr">
        <is>
          <t>Trustees Of Dartmouth College</t>
        </is>
      </c>
      <c r="B286" s="20" t="inlineStr">
        <is>
          <t>NH</t>
        </is>
      </c>
      <c r="C286" s="42" t="n">
        <v>8.960000000000001</v>
      </c>
      <c r="D286" t="inlineStr">
        <is>
          <t>Endowment</t>
        </is>
      </c>
      <c r="E286" s="20" t="n">
        <v>2024</v>
      </c>
      <c r="F286" s="20" t="inlineStr"/>
      <c r="G286" t="inlineStr">
        <is>
          <t>Jessica Jones</t>
        </is>
      </c>
      <c r="H286" t="inlineStr">
        <is>
          <t>Managing Director, Investment Office</t>
        </is>
      </c>
      <c r="I286" t="inlineStr">
        <is>
          <t>Managing Director</t>
        </is>
      </c>
      <c r="J286" s="21" t="n">
        <v>466918</v>
      </c>
      <c r="K286" s="21" t="n">
        <v>768896</v>
      </c>
      <c r="L286" s="21" t="n">
        <v>1235814</v>
      </c>
      <c r="M286" s="21" t="n">
        <v>1159</v>
      </c>
      <c r="N286" s="21" t="n">
        <v>29700</v>
      </c>
      <c r="O286" s="21" t="n">
        <v>19479</v>
      </c>
      <c r="P286" s="21" t="n">
        <v>1286152</v>
      </c>
      <c r="Q286" s="21" t="n">
        <v>1286152</v>
      </c>
      <c r="R286" s="21">
        <f>IF(Q286="","",Q286*(1+in_GrowthRate)^(YEARFRAC(DATE(2024,6,30),in_AgeToDate)*IF(in_AgeToDate&lt;DATE(2024,6,30),-1,1)+1))</f>
        <v/>
      </c>
      <c r="S286" s="38" t="n">
        <v>1.64674739461747</v>
      </c>
      <c r="T286" s="43">
        <f>HYPERLINK("https://projects.propublica.org/nonprofits/organizations/20222111/202501339349306270/full","view filing")</f>
        <v/>
      </c>
    </row>
    <row r="287">
      <c r="A287" t="inlineStr">
        <is>
          <t>Trustees Of Dartmouth College</t>
        </is>
      </c>
      <c r="B287" s="20" t="inlineStr">
        <is>
          <t>NH</t>
        </is>
      </c>
      <c r="C287" s="42" t="n">
        <v>8.960000000000001</v>
      </c>
      <c r="D287" t="inlineStr">
        <is>
          <t>Endowment</t>
        </is>
      </c>
      <c r="E287" s="20" t="n">
        <v>2024</v>
      </c>
      <c r="F287" s="20" t="inlineStr"/>
      <c r="G287" t="inlineStr">
        <is>
          <t>Michael Sullivan</t>
        </is>
      </c>
      <c r="H287" t="inlineStr">
        <is>
          <t>Managing Director, Investment Office</t>
        </is>
      </c>
      <c r="I287" t="inlineStr">
        <is>
          <t>Managing Director</t>
        </is>
      </c>
      <c r="J287" s="21" t="n">
        <v>538152</v>
      </c>
      <c r="K287" s="21" t="n">
        <v>1003125</v>
      </c>
      <c r="L287" s="21" t="n">
        <v>1541277</v>
      </c>
      <c r="M287" s="21" t="n">
        <v>1159</v>
      </c>
      <c r="N287" s="21" t="n">
        <v>29700</v>
      </c>
      <c r="O287" s="21" t="n">
        <v>20157</v>
      </c>
      <c r="P287" s="21" t="n">
        <v>1592293</v>
      </c>
      <c r="Q287" s="21" t="n">
        <v>1592293</v>
      </c>
      <c r="R287" s="21">
        <f>IF(Q287="","",Q287*(1+in_GrowthRate)^(YEARFRAC(DATE(2024,6,30),in_AgeToDate)*IF(in_AgeToDate&lt;DATE(2024,6,30),-1,1)+1))</f>
        <v/>
      </c>
      <c r="S287" s="38" t="n">
        <v>1.864017972617402</v>
      </c>
      <c r="T287" s="43">
        <f>HYPERLINK("https://projects.propublica.org/nonprofits/organizations/20222111/202501339349306270/full","view filing")</f>
        <v/>
      </c>
    </row>
    <row r="288">
      <c r="A288" t="inlineStr">
        <is>
          <t>Trustees Of Dartmouth College</t>
        </is>
      </c>
      <c r="B288" s="20" t="inlineStr">
        <is>
          <t>NH</t>
        </is>
      </c>
      <c r="C288" s="42" t="n">
        <v>8.960000000000001</v>
      </c>
      <c r="D288" t="inlineStr">
        <is>
          <t>Endowment</t>
        </is>
      </c>
      <c r="E288" s="20" t="n">
        <v>2023</v>
      </c>
      <c r="F288" s="20" t="inlineStr"/>
      <c r="G288" t="inlineStr">
        <is>
          <t>Jessica Jones</t>
        </is>
      </c>
      <c r="H288" t="inlineStr">
        <is>
          <t>Managing Director, Investment Office</t>
        </is>
      </c>
      <c r="I288" t="inlineStr">
        <is>
          <t>Managing Director</t>
        </is>
      </c>
      <c r="J288" s="21" t="n">
        <v>447589</v>
      </c>
      <c r="K288" s="21" t="n">
        <v>714762</v>
      </c>
      <c r="L288" s="21" t="n">
        <v>1162351</v>
      </c>
      <c r="M288" s="21" t="n">
        <v>1159</v>
      </c>
      <c r="N288" s="21" t="n">
        <v>27450</v>
      </c>
      <c r="O288" s="21" t="n">
        <v>17306</v>
      </c>
      <c r="P288" s="21" t="n">
        <v>1208266</v>
      </c>
      <c r="Q288" s="21" t="n">
        <v>1208266</v>
      </c>
      <c r="R288" s="21">
        <f>IF(Q288="","",Q288*(1+in_GrowthRate)^(YEARFRAC(DATE(2023,6,30),in_AgeToDate)*IF(in_AgeToDate&lt;DATE(2023,6,30),-1,1)+1))</f>
        <v/>
      </c>
      <c r="S288" s="38" t="n">
        <v>1.596915920632545</v>
      </c>
      <c r="T288" s="43">
        <f>HYPERLINK("https://projects.propublica.org/nonprofits/organizations/20222111/202441359349306269/full","view filing")</f>
        <v/>
      </c>
    </row>
    <row r="289">
      <c r="A289" t="inlineStr">
        <is>
          <t>Trustees Of Dartmouth College</t>
        </is>
      </c>
      <c r="B289" s="20" t="inlineStr">
        <is>
          <t>NH</t>
        </is>
      </c>
      <c r="C289" s="42" t="n">
        <v>8.960000000000001</v>
      </c>
      <c r="D289" t="inlineStr">
        <is>
          <t>Endowment</t>
        </is>
      </c>
      <c r="E289" s="20" t="n">
        <v>2023</v>
      </c>
      <c r="F289" s="20" t="inlineStr"/>
      <c r="G289" t="inlineStr">
        <is>
          <t>Michael Sullivan</t>
        </is>
      </c>
      <c r="H289" t="inlineStr">
        <is>
          <t>Managing Director, Investment Office</t>
        </is>
      </c>
      <c r="I289" t="inlineStr">
        <is>
          <t>Managing Director</t>
        </is>
      </c>
      <c r="J289" s="21" t="n">
        <v>514126</v>
      </c>
      <c r="K289" s="21" t="n">
        <v>1000000</v>
      </c>
      <c r="L289" s="21" t="n">
        <v>1514126</v>
      </c>
      <c r="M289" s="21" t="n">
        <v>1159</v>
      </c>
      <c r="N289" s="21" t="n">
        <v>27450</v>
      </c>
      <c r="O289" s="21" t="n">
        <v>19320</v>
      </c>
      <c r="P289" s="21" t="n">
        <v>1562055</v>
      </c>
      <c r="Q289" s="21" t="n">
        <v>1562055</v>
      </c>
      <c r="R289" s="21">
        <f>IF(Q289="","",Q289*(1+in_GrowthRate)^(YEARFRAC(DATE(2023,6,30),in_AgeToDate)*IF(in_AgeToDate&lt;DATE(2023,6,30),-1,1)+1))</f>
        <v/>
      </c>
      <c r="S289" s="38" t="n">
        <v>1.945048490058857</v>
      </c>
      <c r="T289" s="43">
        <f>HYPERLINK("https://projects.propublica.org/nonprofits/organizations/20222111/202441359349306269/full","view filing")</f>
        <v/>
      </c>
    </row>
    <row r="290">
      <c r="A290" t="inlineStr">
        <is>
          <t>Trustees Of Dartmouth College</t>
        </is>
      </c>
      <c r="B290" s="20" t="inlineStr">
        <is>
          <t>NH</t>
        </is>
      </c>
      <c r="C290" s="42" t="n">
        <v>8.960000000000001</v>
      </c>
      <c r="D290" t="inlineStr">
        <is>
          <t>Endowment</t>
        </is>
      </c>
      <c r="E290" s="20" t="n">
        <v>2022</v>
      </c>
      <c r="F290" s="20" t="inlineStr"/>
      <c r="G290" t="inlineStr">
        <is>
          <t>Jessica Jones</t>
        </is>
      </c>
      <c r="H290" t="inlineStr">
        <is>
          <t>Managing Director, Investment Office</t>
        </is>
      </c>
      <c r="I290" t="inlineStr">
        <is>
          <t>Managing Director</t>
        </is>
      </c>
      <c r="J290" s="21" t="n">
        <v>412308</v>
      </c>
      <c r="K290" s="21" t="n">
        <v>582000</v>
      </c>
      <c r="L290" s="21" t="n">
        <v>994308</v>
      </c>
      <c r="M290" s="21" t="n">
        <v>1159</v>
      </c>
      <c r="N290" s="21" t="n">
        <v>26100</v>
      </c>
      <c r="O290" s="21" t="n">
        <v>15850</v>
      </c>
      <c r="P290" s="21" t="n">
        <v>1037417</v>
      </c>
      <c r="Q290" s="21" t="n">
        <v>1037417</v>
      </c>
      <c r="R290" s="21">
        <f>IF(Q290="","",Q290*(1+in_GrowthRate)^(YEARFRAC(DATE(2022,6,30),in_AgeToDate)*IF(in_AgeToDate&lt;DATE(2022,6,30),-1,1)+1))</f>
        <v/>
      </c>
      <c r="S290" s="38" t="n">
        <v>1.411566110771559</v>
      </c>
      <c r="T290" s="43">
        <f>HYPERLINK("https://projects.propublica.org/nonprofits/organizations/20222111/202311329349301631/full","view filing")</f>
        <v/>
      </c>
    </row>
    <row r="291">
      <c r="A291" t="inlineStr">
        <is>
          <t>Trustees Of Dartmouth College</t>
        </is>
      </c>
      <c r="B291" s="20" t="inlineStr">
        <is>
          <t>NH</t>
        </is>
      </c>
      <c r="C291" s="42" t="n">
        <v>8.960000000000001</v>
      </c>
      <c r="D291" t="inlineStr">
        <is>
          <t>Endowment</t>
        </is>
      </c>
      <c r="E291" s="20" t="n">
        <v>2022</v>
      </c>
      <c r="F291" s="20" t="inlineStr"/>
      <c r="G291" t="inlineStr">
        <is>
          <t>Michael Sullivan</t>
        </is>
      </c>
      <c r="H291" t="inlineStr">
        <is>
          <t>Managing Director, Investment Office</t>
        </is>
      </c>
      <c r="I291" t="inlineStr">
        <is>
          <t>Managing Director</t>
        </is>
      </c>
      <c r="J291" s="21" t="n">
        <v>458602</v>
      </c>
      <c r="K291" s="21" t="n">
        <v>665550</v>
      </c>
      <c r="L291" s="21" t="n">
        <v>1124152</v>
      </c>
      <c r="M291" s="21" t="n">
        <v>1159</v>
      </c>
      <c r="N291" s="21" t="n">
        <v>26100</v>
      </c>
      <c r="O291" s="21" t="n">
        <v>18970</v>
      </c>
      <c r="P291" s="21" t="n">
        <v>1170381</v>
      </c>
      <c r="Q291" s="21" t="n">
        <v>1170381</v>
      </c>
      <c r="R291" s="21">
        <f>IF(Q291="","",Q291*(1+in_GrowthRate)^(YEARFRAC(DATE(2022,6,30),in_AgeToDate)*IF(in_AgeToDate&lt;DATE(2022,6,30),-1,1)+1))</f>
        <v/>
      </c>
      <c r="S291" s="38" t="n">
        <v>1.451258389627607</v>
      </c>
      <c r="T291" s="43">
        <f>HYPERLINK("https://projects.propublica.org/nonprofits/organizations/20222111/202311329349301631/full","view filing")</f>
        <v/>
      </c>
    </row>
    <row r="292">
      <c r="A292" t="inlineStr">
        <is>
          <t>Trustees Of Mount Holyoke College</t>
        </is>
      </c>
      <c r="B292" s="20" t="inlineStr">
        <is>
          <t>MA</t>
        </is>
      </c>
      <c r="C292" s="42" t="n">
        <v>1.18</v>
      </c>
      <c r="D292" t="inlineStr">
        <is>
          <t>Endowment</t>
        </is>
      </c>
      <c r="E292" s="20" t="n">
        <v>2025</v>
      </c>
      <c r="F292" s="20">
        <f>IF(AND(OR(in_Mode="All Funds",AND(C292&gt;=in_BandFloor,C292&lt;=in_BandCeiling,OR(in_Geography="National",COUNTIFS(lst_GeoPreset,in_Geography,lst_GeoState,B292)&gt;0,AND(in_Geography="Custom",ISNUMBER(SEARCH(B292,SUBSTITUTE(in_CustomStates," ",""))))),OR(AND(D292="Endowment",Inputs!$B$14="Y"),AND(D292="Foundation",Inputs!$B$15="Y"),AND(D292="Healthcare",Inputs!$B$16="Y"),AND(D292="Pension",Inputs!$B$17="Y"),AND(D292="OCIO",Inputs!$B$18="Y"),AND(D292="Other",Inputs!$B$19="Y")))),A292&lt;&gt;in_ClientOrg,NOT(AND(in_ExclHarvard="Y",ISNUMBER(SEARCH("Harvard",A292))))),"Y","")</f>
        <v/>
      </c>
      <c r="G292" t="inlineStr">
        <is>
          <t>Thomas Cote</t>
        </is>
      </c>
      <c r="H292" t="inlineStr">
        <is>
          <t>MANAGING DIRECTOR, INVESTMENT OFFICE</t>
        </is>
      </c>
      <c r="I292" t="inlineStr">
        <is>
          <t>Managing Director</t>
        </is>
      </c>
      <c r="J292" s="21" t="n">
        <v>312515</v>
      </c>
      <c r="K292" s="21" t="n">
        <v>160750</v>
      </c>
      <c r="L292" s="21" t="n">
        <v>473265</v>
      </c>
      <c r="M292" s="21" t="n"/>
      <c r="N292" s="21" t="n">
        <v>20035</v>
      </c>
      <c r="O292" s="21" t="n">
        <v>27903</v>
      </c>
      <c r="P292" s="21" t="n">
        <v>521203</v>
      </c>
      <c r="Q292" s="21" t="n">
        <v>521203</v>
      </c>
      <c r="R292" s="21">
        <f>IF(Q292="","",Q292*(1+in_GrowthRate)^(YEARFRAC(DATE(2025,6,30),in_AgeToDate)*IF(in_AgeToDate&lt;DATE(2025,6,30),-1,1)+1))</f>
        <v/>
      </c>
      <c r="S292" s="38" t="n">
        <v>0.5143753099851207</v>
      </c>
      <c r="T292" s="43">
        <f>HYPERLINK("https://projects.propublica.org/nonprofits/organizations/42103578/202611359349306066/full","view filing")</f>
        <v/>
      </c>
    </row>
    <row r="293">
      <c r="A293" t="inlineStr">
        <is>
          <t>Trustees Of The Estate Of Bernice Pauahi Bishop</t>
        </is>
      </c>
      <c r="B293" s="20" t="inlineStr">
        <is>
          <t>HI</t>
        </is>
      </c>
      <c r="C293" s="42" t="n">
        <v>11.66</v>
      </c>
      <c r="D293" t="inlineStr">
        <is>
          <t>Endowment</t>
        </is>
      </c>
      <c r="E293" s="20" t="n">
        <v>2025</v>
      </c>
      <c r="F293" s="20">
        <f>IF(AND(OR(in_Mode="All Funds",AND(C293&gt;=in_BandFloor,C293&lt;=in_BandCeiling,OR(in_Geography="National",COUNTIFS(lst_GeoPreset,in_Geography,lst_GeoState,B293)&gt;0,AND(in_Geography="Custom",ISNUMBER(SEARCH(B293,SUBSTITUTE(in_CustomStates," ",""))))),OR(AND(D293="Endowment",Inputs!$B$14="Y"),AND(D293="Foundation",Inputs!$B$15="Y"),AND(D293="Healthcare",Inputs!$B$16="Y"),AND(D293="Pension",Inputs!$B$17="Y"),AND(D293="OCIO",Inputs!$B$18="Y"),AND(D293="Other",Inputs!$B$19="Y")))),A293&lt;&gt;in_ClientOrg,NOT(AND(in_ExclHarvard="Y",ISNUMBER(SEARCH("Harvard",A293))))),"Y","")</f>
        <v/>
      </c>
      <c r="G293" t="inlineStr">
        <is>
          <t>Burton Yuen</t>
        </is>
      </c>
      <c r="H293" t="inlineStr">
        <is>
          <t>MANAGING DIR. - FIN'L ASSETS</t>
        </is>
      </c>
      <c r="I293" t="inlineStr">
        <is>
          <t>Managing Director</t>
        </is>
      </c>
      <c r="J293" s="21" t="n">
        <v>673258</v>
      </c>
      <c r="K293" s="21" t="n">
        <v>500000</v>
      </c>
      <c r="L293" s="21" t="n">
        <v>1173258</v>
      </c>
      <c r="M293" s="21" t="n">
        <v>3564</v>
      </c>
      <c r="N293" s="21" t="n">
        <v>55650</v>
      </c>
      <c r="O293" s="21" t="n">
        <v>23414</v>
      </c>
      <c r="P293" s="21" t="n">
        <v>1255886</v>
      </c>
      <c r="Q293" s="21" t="n">
        <v>1255886</v>
      </c>
      <c r="R293" s="21">
        <f>IF(Q293="","",Q293*(1+in_GrowthRate)^(YEARFRAC(DATE(2025,6,30),in_AgeToDate)*IF(in_AgeToDate&lt;DATE(2025,6,30),-1,1)+1))</f>
        <v/>
      </c>
      <c r="S293" s="38" t="n">
        <v>0.7426573468120691</v>
      </c>
      <c r="T293" s="43">
        <f>HYPERLINK("https://projects.propublica.org/nonprofits/organizations/990073480/202601359349302395/full","view filing")</f>
        <v/>
      </c>
    </row>
    <row r="294">
      <c r="A294" t="inlineStr">
        <is>
          <t>Trustees Of The Estate Of Bernice Pauahi Bishop</t>
        </is>
      </c>
      <c r="B294" s="20" t="inlineStr">
        <is>
          <t>HI</t>
        </is>
      </c>
      <c r="C294" s="42" t="n">
        <v>11.66</v>
      </c>
      <c r="D294" t="inlineStr">
        <is>
          <t>Endowment</t>
        </is>
      </c>
      <c r="E294" s="20" t="n">
        <v>2025</v>
      </c>
      <c r="F294" s="20">
        <f>IF(AND(OR(in_Mode="All Funds",AND(C294&gt;=in_BandFloor,C294&lt;=in_BandCeiling,OR(in_Geography="National",COUNTIFS(lst_GeoPreset,in_Geography,lst_GeoState,B294)&gt;0,AND(in_Geography="Custom",ISNUMBER(SEARCH(B294,SUBSTITUTE(in_CustomStates," ",""))))),OR(AND(D294="Endowment",Inputs!$B$14="Y"),AND(D294="Foundation",Inputs!$B$15="Y"),AND(D294="Healthcare",Inputs!$B$16="Y"),AND(D294="Pension",Inputs!$B$17="Y"),AND(D294="OCIO",Inputs!$B$18="Y"),AND(D294="Other",Inputs!$B$19="Y")))),A294&lt;&gt;in_ClientOrg,NOT(AND(in_ExclHarvard="Y",ISNUMBER(SEARCH("Harvard",A294))))),"Y","")</f>
        <v/>
      </c>
      <c r="G294" t="inlineStr">
        <is>
          <t>David Ames</t>
        </is>
      </c>
      <c r="H294" t="inlineStr">
        <is>
          <t>MANAGING DIR. - FIN'L ASSETS</t>
        </is>
      </c>
      <c r="I294" t="inlineStr">
        <is>
          <t>Managing Director</t>
        </is>
      </c>
      <c r="J294" s="21" t="n">
        <v>443675</v>
      </c>
      <c r="K294" s="21" t="n">
        <v>400000</v>
      </c>
      <c r="L294" s="21" t="n">
        <v>843675</v>
      </c>
      <c r="M294" s="21" t="n">
        <v>486</v>
      </c>
      <c r="N294" s="21" t="n">
        <v>51587</v>
      </c>
      <c r="O294" s="21" t="n">
        <v>9710</v>
      </c>
      <c r="P294" s="21" t="n">
        <v>905458</v>
      </c>
      <c r="Q294" s="21" t="n">
        <v>905458</v>
      </c>
      <c r="R294" s="21">
        <f>IF(Q294="","",Q294*(1+in_GrowthRate)^(YEARFRAC(DATE(2025,6,30),in_AgeToDate)*IF(in_AgeToDate&lt;DATE(2025,6,30),-1,1)+1))</f>
        <v/>
      </c>
      <c r="S294" s="38" t="n">
        <v>0.901560827182059</v>
      </c>
      <c r="T294" s="43">
        <f>HYPERLINK("https://projects.propublica.org/nonprofits/organizations/990073480/202601359349302395/full","view filing")</f>
        <v/>
      </c>
    </row>
    <row r="295">
      <c r="A295" t="inlineStr">
        <is>
          <t>Trustees Of The Estate Of Bernice Pauahi Bishop</t>
        </is>
      </c>
      <c r="B295" s="20" t="inlineStr">
        <is>
          <t>HI</t>
        </is>
      </c>
      <c r="C295" s="42" t="n">
        <v>11.66</v>
      </c>
      <c r="D295" t="inlineStr">
        <is>
          <t>Endowment</t>
        </is>
      </c>
      <c r="E295" s="20" t="n">
        <v>2025</v>
      </c>
      <c r="F295" s="20">
        <f>IF(AND(OR(in_Mode="All Funds",AND(C295&gt;=in_BandFloor,C295&lt;=in_BandCeiling,OR(in_Geography="National",COUNTIFS(lst_GeoPreset,in_Geography,lst_GeoState,B295)&gt;0,AND(in_Geography="Custom",ISNUMBER(SEARCH(B295,SUBSTITUTE(in_CustomStates," ",""))))),OR(AND(D295="Endowment",Inputs!$B$14="Y"),AND(D295="Foundation",Inputs!$B$15="Y"),AND(D295="Healthcare",Inputs!$B$16="Y"),AND(D295="Pension",Inputs!$B$17="Y"),AND(D295="OCIO",Inputs!$B$18="Y"),AND(D295="Other",Inputs!$B$19="Y")))),A295&lt;&gt;in_ClientOrg,NOT(AND(in_ExclHarvard="Y",ISNUMBER(SEARCH("Harvard",A295))))),"Y","")</f>
        <v/>
      </c>
      <c r="G295" t="inlineStr">
        <is>
          <t>Jeff Heidsieck</t>
        </is>
      </c>
      <c r="H295" t="inlineStr">
        <is>
          <t>MANAGING DIR. - FIN'L ASSETS</t>
        </is>
      </c>
      <c r="I295" t="inlineStr">
        <is>
          <t>Managing Director</t>
        </is>
      </c>
      <c r="J295" s="21" t="n">
        <v>443766</v>
      </c>
      <c r="K295" s="21" t="n">
        <v>370000</v>
      </c>
      <c r="L295" s="21" t="n">
        <v>813766</v>
      </c>
      <c r="M295" s="21" t="n">
        <v>3606</v>
      </c>
      <c r="N295" s="21" t="n">
        <v>56566</v>
      </c>
      <c r="O295" s="21" t="n">
        <v>1223</v>
      </c>
      <c r="P295" s="21" t="n">
        <v>875161</v>
      </c>
      <c r="Q295" s="21" t="n">
        <v>875161</v>
      </c>
      <c r="R295" s="21">
        <f>IF(Q295="","",Q295*(1+in_GrowthRate)^(YEARFRAC(DATE(2025,6,30),in_AgeToDate)*IF(in_AgeToDate&lt;DATE(2025,6,30),-1,1)+1))</f>
        <v/>
      </c>
      <c r="S295" s="38" t="n">
        <v>0.8337727541091476</v>
      </c>
      <c r="T295" s="43">
        <f>HYPERLINK("https://projects.propublica.org/nonprofits/organizations/990073480/202601359349302395/full","view filing")</f>
        <v/>
      </c>
    </row>
    <row r="296">
      <c r="A296" t="inlineStr">
        <is>
          <t>Trustees Of The Estate Of Bernice Pauahi Bishop</t>
        </is>
      </c>
      <c r="B296" s="20" t="inlineStr">
        <is>
          <t>HI</t>
        </is>
      </c>
      <c r="C296" s="42" t="n">
        <v>11.66</v>
      </c>
      <c r="D296" t="inlineStr">
        <is>
          <t>Endowment</t>
        </is>
      </c>
      <c r="E296" s="20" t="n">
        <v>2025</v>
      </c>
      <c r="F296" s="20">
        <f>IF(AND(OR(in_Mode="All Funds",AND(C296&gt;=in_BandFloor,C296&lt;=in_BandCeiling,OR(in_Geography="National",COUNTIFS(lst_GeoPreset,in_Geography,lst_GeoState,B296)&gt;0,AND(in_Geography="Custom",ISNUMBER(SEARCH(B296,SUBSTITUTE(in_CustomStates," ",""))))),OR(AND(D296="Endowment",Inputs!$B$14="Y"),AND(D296="Foundation",Inputs!$B$15="Y"),AND(D296="Healthcare",Inputs!$B$16="Y"),AND(D296="Pension",Inputs!$B$17="Y"),AND(D296="OCIO",Inputs!$B$18="Y"),AND(D296="Other",Inputs!$B$19="Y")))),A296&lt;&gt;in_ClientOrg,NOT(AND(in_ExclHarvard="Y",ISNUMBER(SEARCH("Harvard",A296))))),"Y","")</f>
        <v/>
      </c>
      <c r="G296" t="inlineStr">
        <is>
          <t>Jon Iwatani</t>
        </is>
      </c>
      <c r="H296" t="inlineStr">
        <is>
          <t>MANAGING DIR. - FIN'L ASSETS</t>
        </is>
      </c>
      <c r="I296" t="inlineStr">
        <is>
          <t>Managing Director</t>
        </is>
      </c>
      <c r="J296" s="21" t="n">
        <v>519705</v>
      </c>
      <c r="K296" s="21" t="n">
        <v>400000</v>
      </c>
      <c r="L296" s="21" t="n">
        <v>919705</v>
      </c>
      <c r="M296" s="21" t="n">
        <v>3744</v>
      </c>
      <c r="N296" s="21" t="n">
        <v>56386</v>
      </c>
      <c r="O296" s="21" t="n">
        <v>11993</v>
      </c>
      <c r="P296" s="21" t="n">
        <v>991828</v>
      </c>
      <c r="Q296" s="21" t="n">
        <v>991828</v>
      </c>
      <c r="R296" s="21">
        <f>IF(Q296="","",Q296*(1+in_GrowthRate)^(YEARFRAC(DATE(2025,6,30),in_AgeToDate)*IF(in_AgeToDate&lt;DATE(2025,6,30),-1,1)+1))</f>
        <v/>
      </c>
      <c r="S296" s="38" t="n">
        <v>0.7696674074715464</v>
      </c>
      <c r="T296" s="43">
        <f>HYPERLINK("https://projects.propublica.org/nonprofits/organizations/990073480/202601359349302395/full","view filing")</f>
        <v/>
      </c>
    </row>
    <row r="297">
      <c r="A297" t="inlineStr">
        <is>
          <t>Trustees Of The Estate Of Bernice Pauahi Bishop</t>
        </is>
      </c>
      <c r="B297" s="20" t="inlineStr">
        <is>
          <t>HI</t>
        </is>
      </c>
      <c r="C297" s="42" t="n">
        <v>11.66</v>
      </c>
      <c r="D297" t="inlineStr">
        <is>
          <t>Endowment</t>
        </is>
      </c>
      <c r="E297" s="20" t="n">
        <v>2024</v>
      </c>
      <c r="F297" s="20" t="inlineStr"/>
      <c r="G297" t="inlineStr">
        <is>
          <t>Burton Yuen</t>
        </is>
      </c>
      <c r="H297" t="inlineStr">
        <is>
          <t>MANAGING DIR. - FIN'L ASSETS</t>
        </is>
      </c>
      <c r="I297" t="inlineStr">
        <is>
          <t>Managing Director</t>
        </is>
      </c>
      <c r="J297" s="21" t="n">
        <v>663342</v>
      </c>
      <c r="K297" s="21" t="n">
        <v>540000</v>
      </c>
      <c r="L297" s="21" t="n">
        <v>1203342</v>
      </c>
      <c r="M297" s="21" t="n">
        <v>3564</v>
      </c>
      <c r="N297" s="21" t="n">
        <v>43454</v>
      </c>
      <c r="O297" s="21" t="n">
        <v>21481</v>
      </c>
      <c r="P297" s="21" t="n">
        <v>1271841</v>
      </c>
      <c r="Q297" s="21" t="n">
        <v>1271841</v>
      </c>
      <c r="R297" s="21">
        <f>IF(Q297="","",Q297*(1+in_GrowthRate)^(YEARFRAC(DATE(2024,6,30),in_AgeToDate)*IF(in_AgeToDate&lt;DATE(2024,6,30),-1,1)+1))</f>
        <v/>
      </c>
      <c r="S297" s="38" t="n">
        <v>0.8140597158027081</v>
      </c>
      <c r="T297" s="43">
        <f>HYPERLINK("https://projects.propublica.org/nonprofits/organizations/990073480/202521359349307492/full","view filing")</f>
        <v/>
      </c>
    </row>
    <row r="298">
      <c r="A298" t="inlineStr">
        <is>
          <t>Trustees Of The Estate Of Bernice Pauahi Bishop</t>
        </is>
      </c>
      <c r="B298" s="20" t="inlineStr">
        <is>
          <t>HI</t>
        </is>
      </c>
      <c r="C298" s="42" t="n">
        <v>11.66</v>
      </c>
      <c r="D298" t="inlineStr">
        <is>
          <t>Endowment</t>
        </is>
      </c>
      <c r="E298" s="20" t="n">
        <v>2024</v>
      </c>
      <c r="F298" s="20" t="inlineStr"/>
      <c r="G298" t="inlineStr">
        <is>
          <t>Cara Nakamura</t>
        </is>
      </c>
      <c r="H298" t="inlineStr">
        <is>
          <t>MANAGING DIR. - FIN'L ASSETS</t>
        </is>
      </c>
      <c r="I298" t="inlineStr">
        <is>
          <t>Managing Director</t>
        </is>
      </c>
      <c r="J298" s="21" t="n">
        <v>487433</v>
      </c>
      <c r="K298" s="21" t="n">
        <v>470000</v>
      </c>
      <c r="L298" s="21" t="n">
        <v>957433</v>
      </c>
      <c r="M298" s="21" t="n">
        <v>990</v>
      </c>
      <c r="N298" s="21" t="n">
        <v>45143</v>
      </c>
      <c r="O298" s="21" t="n">
        <v>33389</v>
      </c>
      <c r="P298" s="21" t="n">
        <v>1036955</v>
      </c>
      <c r="Q298" s="21" t="n">
        <v>1036955</v>
      </c>
      <c r="R298" s="21">
        <f>IF(Q298="","",Q298*(1+in_GrowthRate)^(YEARFRAC(DATE(2024,6,30),in_AgeToDate)*IF(in_AgeToDate&lt;DATE(2024,6,30),-1,1)+1))</f>
        <v/>
      </c>
      <c r="S298" s="38" t="n">
        <v>0.9642350846167576</v>
      </c>
      <c r="T298" s="43">
        <f>HYPERLINK("https://projects.propublica.org/nonprofits/organizations/990073480/202521359349307492/full","view filing")</f>
        <v/>
      </c>
    </row>
    <row r="299">
      <c r="A299" t="inlineStr">
        <is>
          <t>Trustees Of The Estate Of Bernice Pauahi Bishop</t>
        </is>
      </c>
      <c r="B299" s="20" t="inlineStr">
        <is>
          <t>HI</t>
        </is>
      </c>
      <c r="C299" s="42" t="n">
        <v>11.66</v>
      </c>
      <c r="D299" t="inlineStr">
        <is>
          <t>Endowment</t>
        </is>
      </c>
      <c r="E299" s="20" t="n">
        <v>2024</v>
      </c>
      <c r="F299" s="20" t="inlineStr"/>
      <c r="G299" t="inlineStr">
        <is>
          <t>David Ames</t>
        </is>
      </c>
      <c r="H299" t="inlineStr">
        <is>
          <t>MANAGING DIR. - FIN'L ASSETS</t>
        </is>
      </c>
      <c r="I299" t="inlineStr">
        <is>
          <t>Managing Director</t>
        </is>
      </c>
      <c r="J299" s="21" t="n">
        <v>384552</v>
      </c>
      <c r="K299" s="21" t="n">
        <v>350000</v>
      </c>
      <c r="L299" s="21" t="n">
        <v>734552</v>
      </c>
      <c r="M299" s="21" t="n">
        <v>486</v>
      </c>
      <c r="N299" s="21" t="n">
        <v>50431</v>
      </c>
      <c r="O299" s="21" t="n">
        <v>9159</v>
      </c>
      <c r="P299" s="21" t="n">
        <v>794628</v>
      </c>
      <c r="Q299" s="21" t="n">
        <v>794628</v>
      </c>
      <c r="R299" s="21">
        <f>IF(Q299="","",Q299*(1+in_GrowthRate)^(YEARFRAC(DATE(2024,6,30),in_AgeToDate)*IF(in_AgeToDate&lt;DATE(2024,6,30),-1,1)+1))</f>
        <v/>
      </c>
      <c r="S299" s="38" t="n">
        <v>0.9101499927188</v>
      </c>
      <c r="T299" s="43">
        <f>HYPERLINK("https://projects.propublica.org/nonprofits/organizations/990073480/202521359349307492/full","view filing")</f>
        <v/>
      </c>
    </row>
    <row r="300">
      <c r="A300" t="inlineStr">
        <is>
          <t>Trustees Of The Estate Of Bernice Pauahi Bishop</t>
        </is>
      </c>
      <c r="B300" s="20" t="inlineStr">
        <is>
          <t>HI</t>
        </is>
      </c>
      <c r="C300" s="42" t="n">
        <v>11.66</v>
      </c>
      <c r="D300" t="inlineStr">
        <is>
          <t>Endowment</t>
        </is>
      </c>
      <c r="E300" s="20" t="n">
        <v>2024</v>
      </c>
      <c r="F300" s="20" t="inlineStr"/>
      <c r="G300" t="inlineStr">
        <is>
          <t>Jon Iwatani</t>
        </is>
      </c>
      <c r="H300" t="inlineStr">
        <is>
          <t>MANAGING DIR. - FIN'L ASSETS</t>
        </is>
      </c>
      <c r="I300" t="inlineStr">
        <is>
          <t>Managing Director</t>
        </is>
      </c>
      <c r="J300" s="21" t="n">
        <v>498830</v>
      </c>
      <c r="K300" s="21" t="n">
        <v>450000</v>
      </c>
      <c r="L300" s="21" t="n">
        <v>948830</v>
      </c>
      <c r="M300" s="21" t="n">
        <v>2322</v>
      </c>
      <c r="N300" s="21" t="n">
        <v>50908</v>
      </c>
      <c r="O300" s="21" t="n">
        <v>11800</v>
      </c>
      <c r="P300" s="21" t="n">
        <v>1013860</v>
      </c>
      <c r="Q300" s="21" t="n">
        <v>1013860</v>
      </c>
      <c r="R300" s="21">
        <f>IF(Q300="","",Q300*(1+in_GrowthRate)^(YEARFRAC(DATE(2024,6,30),in_AgeToDate)*IF(in_AgeToDate&lt;DATE(2024,6,30),-1,1)+1))</f>
        <v/>
      </c>
      <c r="S300" s="38" t="n">
        <v>0.9021109395986608</v>
      </c>
      <c r="T300" s="43">
        <f>HYPERLINK("https://projects.propublica.org/nonprofits/organizations/990073480/202521359349307492/full","view filing")</f>
        <v/>
      </c>
    </row>
    <row r="301">
      <c r="A301" t="inlineStr">
        <is>
          <t>Trustees Of The Estate Of Bernice Pauahi Bishop</t>
        </is>
      </c>
      <c r="B301" s="20" t="inlineStr">
        <is>
          <t>HI</t>
        </is>
      </c>
      <c r="C301" s="42" t="n">
        <v>11.66</v>
      </c>
      <c r="D301" t="inlineStr">
        <is>
          <t>Endowment</t>
        </is>
      </c>
      <c r="E301" s="20" t="n">
        <v>2024</v>
      </c>
      <c r="F301" s="20" t="inlineStr"/>
      <c r="G301" t="inlineStr">
        <is>
          <t>Walter Thoemmes</t>
        </is>
      </c>
      <c r="H301" t="inlineStr">
        <is>
          <t>MD, KS COMMERCIAL REAL ESTATE</t>
        </is>
      </c>
      <c r="I301" t="inlineStr">
        <is>
          <t>Managing Director</t>
        </is>
      </c>
      <c r="J301" s="21" t="n">
        <v>360904</v>
      </c>
      <c r="K301" s="21" t="n">
        <v>35014</v>
      </c>
      <c r="L301" s="21" t="n">
        <v>395918</v>
      </c>
      <c r="M301" s="21" t="n">
        <v>2758</v>
      </c>
      <c r="N301" s="21" t="n">
        <v>37101</v>
      </c>
      <c r="O301" s="21" t="n">
        <v>25202</v>
      </c>
      <c r="P301" s="21" t="n">
        <v>460979</v>
      </c>
      <c r="Q301" s="21" t="n">
        <v>460979</v>
      </c>
      <c r="R301" s="21">
        <f>IF(Q301="","",Q301*(1+in_GrowthRate)^(YEARFRAC(DATE(2024,6,30),in_AgeToDate)*IF(in_AgeToDate&lt;DATE(2024,6,30),-1,1)+1))</f>
        <v/>
      </c>
      <c r="S301" s="38" t="n">
        <v>0.09701748941546783</v>
      </c>
      <c r="T301" s="43">
        <f>HYPERLINK("https://projects.propublica.org/nonprofits/organizations/990073480/202521359349307492/full","view filing")</f>
        <v/>
      </c>
    </row>
    <row r="302">
      <c r="A302" t="inlineStr">
        <is>
          <t>Trustees Of The Estate Of Bernice Pauahi Bishop</t>
        </is>
      </c>
      <c r="B302" s="20" t="inlineStr">
        <is>
          <t>HI</t>
        </is>
      </c>
      <c r="C302" s="42" t="n">
        <v>11.66</v>
      </c>
      <c r="D302" t="inlineStr">
        <is>
          <t>Endowment</t>
        </is>
      </c>
      <c r="E302" s="20" t="n">
        <v>2023</v>
      </c>
      <c r="F302" s="20" t="inlineStr"/>
      <c r="G302" t="inlineStr">
        <is>
          <t>Burton Yuen</t>
        </is>
      </c>
      <c r="H302" t="inlineStr">
        <is>
          <t>MANAGING DIR. - FIN'L ASSETS</t>
        </is>
      </c>
      <c r="I302" t="inlineStr">
        <is>
          <t>Managing Director</t>
        </is>
      </c>
      <c r="J302" s="21" t="n">
        <v>651819</v>
      </c>
      <c r="K302" s="21" t="n">
        <v>775000</v>
      </c>
      <c r="L302" s="21" t="n">
        <v>1426819</v>
      </c>
      <c r="M302" s="21" t="n">
        <v>3564</v>
      </c>
      <c r="N302" s="21" t="n">
        <v>56390</v>
      </c>
      <c r="O302" s="21" t="n">
        <v>20300</v>
      </c>
      <c r="P302" s="21" t="n">
        <v>1507073</v>
      </c>
      <c r="Q302" s="21" t="n">
        <v>1507073</v>
      </c>
      <c r="R302" s="21">
        <f>IF(Q302="","",Q302*(1+in_GrowthRate)^(YEARFRAC(DATE(2023,6,30),in_AgeToDate)*IF(in_AgeToDate&lt;DATE(2023,6,30),-1,1)+1))</f>
        <v/>
      </c>
      <c r="S302" s="38" t="n">
        <v>1.1889803764542</v>
      </c>
      <c r="T302" s="43">
        <f>HYPERLINK("https://projects.propublica.org/nonprofits/organizations/990073480/202421369349309122/full","view filing")</f>
        <v/>
      </c>
    </row>
    <row r="303">
      <c r="A303" t="inlineStr">
        <is>
          <t>Trustees Of The Estate Of Bernice Pauahi Bishop</t>
        </is>
      </c>
      <c r="B303" s="20" t="inlineStr">
        <is>
          <t>HI</t>
        </is>
      </c>
      <c r="C303" s="42" t="n">
        <v>11.66</v>
      </c>
      <c r="D303" t="inlineStr">
        <is>
          <t>Endowment</t>
        </is>
      </c>
      <c r="E303" s="20" t="n">
        <v>2023</v>
      </c>
      <c r="F303" s="20" t="inlineStr"/>
      <c r="G303" t="inlineStr">
        <is>
          <t>Cara Nakamura</t>
        </is>
      </c>
      <c r="H303" t="inlineStr">
        <is>
          <t>MANAGING DIR. - FIN'L ASSETS</t>
        </is>
      </c>
      <c r="I303" t="inlineStr">
        <is>
          <t>Managing Director</t>
        </is>
      </c>
      <c r="J303" s="21" t="n">
        <v>465926</v>
      </c>
      <c r="K303" s="21" t="n">
        <v>675000</v>
      </c>
      <c r="L303" s="21" t="n">
        <v>1140926</v>
      </c>
      <c r="M303" s="21" t="n">
        <v>810</v>
      </c>
      <c r="N303" s="21" t="n">
        <v>50923</v>
      </c>
      <c r="O303" s="21" t="n">
        <v>28205</v>
      </c>
      <c r="P303" s="21" t="n">
        <v>1220864</v>
      </c>
      <c r="Q303" s="21" t="n">
        <v>1220864</v>
      </c>
      <c r="R303" s="21">
        <f>IF(Q303="","",Q303*(1+in_GrowthRate)^(YEARFRAC(DATE(2023,6,30),in_AgeToDate)*IF(in_AgeToDate&lt;DATE(2023,6,30),-1,1)+1))</f>
        <v/>
      </c>
      <c r="S303" s="38" t="n">
        <v>1.448727909582208</v>
      </c>
      <c r="T303" s="43">
        <f>HYPERLINK("https://projects.propublica.org/nonprofits/organizations/990073480/202421369349309122/full","view filing")</f>
        <v/>
      </c>
    </row>
    <row r="304">
      <c r="A304" t="inlineStr">
        <is>
          <t>Trustees Of The Estate Of Bernice Pauahi Bishop</t>
        </is>
      </c>
      <c r="B304" s="20" t="inlineStr">
        <is>
          <t>HI</t>
        </is>
      </c>
      <c r="C304" s="42" t="n">
        <v>11.66</v>
      </c>
      <c r="D304" t="inlineStr">
        <is>
          <t>Endowment</t>
        </is>
      </c>
      <c r="E304" s="20" t="n">
        <v>2023</v>
      </c>
      <c r="F304" s="20" t="inlineStr"/>
      <c r="G304" t="inlineStr">
        <is>
          <t>David Ames</t>
        </is>
      </c>
      <c r="H304" t="inlineStr">
        <is>
          <t>MANAGING DIR. - FIN'L ASSETS</t>
        </is>
      </c>
      <c r="I304" t="inlineStr">
        <is>
          <t>Managing Director</t>
        </is>
      </c>
      <c r="J304" s="21" t="n">
        <v>340791</v>
      </c>
      <c r="K304" s="21" t="n">
        <v>400000</v>
      </c>
      <c r="L304" s="21" t="n">
        <v>740791</v>
      </c>
      <c r="M304" s="21" t="n">
        <v>432</v>
      </c>
      <c r="N304" s="21" t="n">
        <v>44434</v>
      </c>
      <c r="O304" s="21" t="n">
        <v>12661</v>
      </c>
      <c r="P304" s="21" t="n">
        <v>798318</v>
      </c>
      <c r="Q304" s="21" t="n">
        <v>798318</v>
      </c>
      <c r="R304" s="21">
        <f>IF(Q304="","",Q304*(1+in_GrowthRate)^(YEARFRAC(DATE(2023,6,30),in_AgeToDate)*IF(in_AgeToDate&lt;DATE(2023,6,30),-1,1)+1))</f>
        <v/>
      </c>
      <c r="S304" s="38" t="n">
        <v>1.173739916840527</v>
      </c>
      <c r="T304" s="43">
        <f>HYPERLINK("https://projects.propublica.org/nonprofits/organizations/990073480/202421369349309122/full","view filing")</f>
        <v/>
      </c>
    </row>
    <row r="305">
      <c r="A305" t="inlineStr">
        <is>
          <t>Trustees Of The Estate Of Bernice Pauahi Bishop</t>
        </is>
      </c>
      <c r="B305" s="20" t="inlineStr">
        <is>
          <t>HI</t>
        </is>
      </c>
      <c r="C305" s="42" t="n">
        <v>11.66</v>
      </c>
      <c r="D305" t="inlineStr">
        <is>
          <t>Endowment</t>
        </is>
      </c>
      <c r="E305" s="20" t="n">
        <v>2023</v>
      </c>
      <c r="F305" s="20" t="inlineStr"/>
      <c r="G305" t="inlineStr">
        <is>
          <t>Jon Iwatani</t>
        </is>
      </c>
      <c r="H305" t="inlineStr">
        <is>
          <t>MANAGING DIR. - FIN'L ASSETS</t>
        </is>
      </c>
      <c r="I305" t="inlineStr">
        <is>
          <t>Managing Director</t>
        </is>
      </c>
      <c r="J305" s="21" t="n">
        <v>474125</v>
      </c>
      <c r="K305" s="21" t="n">
        <v>675000</v>
      </c>
      <c r="L305" s="21" t="n">
        <v>1149125</v>
      </c>
      <c r="M305" s="21" t="n">
        <v>2322</v>
      </c>
      <c r="N305" s="21" t="n">
        <v>50916</v>
      </c>
      <c r="O305" s="21" t="n">
        <v>10928</v>
      </c>
      <c r="P305" s="21" t="n">
        <v>1213291</v>
      </c>
      <c r="Q305" s="21" t="n">
        <v>1213291</v>
      </c>
      <c r="R305" s="21">
        <f>IF(Q305="","",Q305*(1+in_GrowthRate)^(YEARFRAC(DATE(2023,6,30),in_AgeToDate)*IF(in_AgeToDate&lt;DATE(2023,6,30),-1,1)+1))</f>
        <v/>
      </c>
      <c r="S305" s="38" t="n">
        <v>1.423675191141577</v>
      </c>
      <c r="T305" s="43">
        <f>HYPERLINK("https://projects.propublica.org/nonprofits/organizations/990073480/202421369349309122/full","view filing")</f>
        <v/>
      </c>
    </row>
    <row r="306">
      <c r="A306" t="inlineStr">
        <is>
          <t>Trustees Of The Estate Of Bernice Pauahi Bishop</t>
        </is>
      </c>
      <c r="B306" s="20" t="inlineStr">
        <is>
          <t>HI</t>
        </is>
      </c>
      <c r="C306" s="42" t="n">
        <v>11.66</v>
      </c>
      <c r="D306" t="inlineStr">
        <is>
          <t>Endowment</t>
        </is>
      </c>
      <c r="E306" s="20" t="n">
        <v>2022</v>
      </c>
      <c r="F306" s="20" t="inlineStr"/>
      <c r="G306" t="inlineStr">
        <is>
          <t>Burton Yuen</t>
        </is>
      </c>
      <c r="H306" t="inlineStr">
        <is>
          <t>MANAGING DIR. - FIN'L ASSETS</t>
        </is>
      </c>
      <c r="I306" t="inlineStr">
        <is>
          <t>Managing Director</t>
        </is>
      </c>
      <c r="J306" s="21" t="n">
        <v>653237</v>
      </c>
      <c r="K306" s="21" t="n">
        <v>651528</v>
      </c>
      <c r="L306" s="21" t="n">
        <v>1304765</v>
      </c>
      <c r="M306" s="21" t="n">
        <v>2322</v>
      </c>
      <c r="N306" s="21" t="n">
        <v>46953</v>
      </c>
      <c r="O306" s="21" t="n">
        <v>19035</v>
      </c>
      <c r="P306" s="21" t="n">
        <v>1373075</v>
      </c>
      <c r="Q306" s="21" t="n">
        <v>1373075</v>
      </c>
      <c r="R306" s="21">
        <f>IF(Q306="","",Q306*(1+in_GrowthRate)^(YEARFRAC(DATE(2022,6,30),in_AgeToDate)*IF(in_AgeToDate&lt;DATE(2022,6,30),-1,1)+1))</f>
        <v/>
      </c>
      <c r="S306" s="38" t="n">
        <v>0.9973837979171418</v>
      </c>
      <c r="T306" s="43">
        <f>HYPERLINK("https://projects.propublica.org/nonprofits/organizations/990073480/202321359349304577/full","view filing")</f>
        <v/>
      </c>
    </row>
    <row r="307">
      <c r="A307" t="inlineStr">
        <is>
          <t>Trustees Of The Estate Of Bernice Pauahi Bishop</t>
        </is>
      </c>
      <c r="B307" s="20" t="inlineStr">
        <is>
          <t>HI</t>
        </is>
      </c>
      <c r="C307" s="42" t="n">
        <v>11.66</v>
      </c>
      <c r="D307" t="inlineStr">
        <is>
          <t>Endowment</t>
        </is>
      </c>
      <c r="E307" s="20" t="n">
        <v>2022</v>
      </c>
      <c r="F307" s="20" t="inlineStr"/>
      <c r="G307" t="inlineStr">
        <is>
          <t>Cara Nakamura</t>
        </is>
      </c>
      <c r="H307" t="inlineStr">
        <is>
          <t>MANAGING DIR. - FIN'L ASSETS</t>
        </is>
      </c>
      <c r="I307" t="inlineStr">
        <is>
          <t>Managing Director</t>
        </is>
      </c>
      <c r="J307" s="21" t="n">
        <v>436778</v>
      </c>
      <c r="K307" s="21" t="n">
        <v>429675</v>
      </c>
      <c r="L307" s="21" t="n">
        <v>866453</v>
      </c>
      <c r="M307" s="21" t="n">
        <v>540</v>
      </c>
      <c r="N307" s="21" t="n">
        <v>39613</v>
      </c>
      <c r="O307" s="21" t="n">
        <v>21503</v>
      </c>
      <c r="P307" s="21" t="n">
        <v>928109</v>
      </c>
      <c r="Q307" s="21" t="n">
        <v>928109</v>
      </c>
      <c r="R307" s="21">
        <f>IF(Q307="","",Q307*(1+in_GrowthRate)^(YEARFRAC(DATE(2022,6,30),in_AgeToDate)*IF(in_AgeToDate&lt;DATE(2022,6,30),-1,1)+1))</f>
        <v/>
      </c>
      <c r="S307" s="38" t="n">
        <v>0.9837377340433813</v>
      </c>
      <c r="T307" s="43">
        <f>HYPERLINK("https://projects.propublica.org/nonprofits/organizations/990073480/202321359349304577/full","view filing")</f>
        <v/>
      </c>
    </row>
    <row r="308">
      <c r="A308" t="inlineStr">
        <is>
          <t>Trustees Of The Estate Of Bernice Pauahi Bishop</t>
        </is>
      </c>
      <c r="B308" s="20" t="inlineStr">
        <is>
          <t>HI</t>
        </is>
      </c>
      <c r="C308" s="42" t="n">
        <v>11.66</v>
      </c>
      <c r="D308" t="inlineStr">
        <is>
          <t>Endowment</t>
        </is>
      </c>
      <c r="E308" s="20" t="n">
        <v>2022</v>
      </c>
      <c r="F308" s="20" t="inlineStr"/>
      <c r="G308" t="inlineStr">
        <is>
          <t>Jon Iwatani</t>
        </is>
      </c>
      <c r="H308" t="inlineStr">
        <is>
          <t>MANAGING DIR. - FIN'L ASSETS</t>
        </is>
      </c>
      <c r="I308" t="inlineStr">
        <is>
          <t>Managing Director</t>
        </is>
      </c>
      <c r="J308" s="21" t="n">
        <v>441011</v>
      </c>
      <c r="K308" s="21" t="n">
        <v>429675</v>
      </c>
      <c r="L308" s="21" t="n">
        <v>870686</v>
      </c>
      <c r="M308" s="21" t="n">
        <v>2322</v>
      </c>
      <c r="N308" s="21" t="n">
        <v>47375</v>
      </c>
      <c r="O308" s="21" t="n">
        <v>9738</v>
      </c>
      <c r="P308" s="21" t="n">
        <v>930121</v>
      </c>
      <c r="Q308" s="21" t="n">
        <v>930121</v>
      </c>
      <c r="R308" s="21">
        <f>IF(Q308="","",Q308*(1+in_GrowthRate)^(YEARFRAC(DATE(2022,6,30),in_AgeToDate)*IF(in_AgeToDate&lt;DATE(2022,6,30),-1,1)+1))</f>
        <v/>
      </c>
      <c r="S308" s="38" t="n">
        <v>0.97429542573768</v>
      </c>
      <c r="T308" s="43">
        <f>HYPERLINK("https://projects.propublica.org/nonprofits/organizations/990073480/202321359349304577/full","view filing")</f>
        <v/>
      </c>
    </row>
    <row r="309">
      <c r="A309" t="inlineStr">
        <is>
          <t>Uaw Retiree Medical Benefits Tr</t>
        </is>
      </c>
      <c r="B309" s="20" t="inlineStr">
        <is>
          <t>MI</t>
        </is>
      </c>
      <c r="C309" s="42" t="n">
        <v>61.42</v>
      </c>
      <c r="D309" t="inlineStr">
        <is>
          <t>Pension</t>
        </is>
      </c>
      <c r="E309" s="20" t="n">
        <v>2024</v>
      </c>
      <c r="F309" s="20">
        <f>IF(AND(OR(in_Mode="All Funds",AND(C309&gt;=in_BandFloor,C309&lt;=in_BandCeiling,OR(in_Geography="National",COUNTIFS(lst_GeoPreset,in_Geography,lst_GeoState,B309)&gt;0,AND(in_Geography="Custom",ISNUMBER(SEARCH(B309,SUBSTITUTE(in_CustomStates," ",""))))),OR(AND(D309="Endowment",Inputs!$B$14="Y"),AND(D309="Foundation",Inputs!$B$15="Y"),AND(D309="Healthcare",Inputs!$B$16="Y"),AND(D309="Pension",Inputs!$B$17="Y"),AND(D309="OCIO",Inputs!$B$18="Y"),AND(D309="Other",Inputs!$B$19="Y")))),A309&lt;&gt;in_ClientOrg,NOT(AND(in_ExclHarvard="Y",ISNUMBER(SEARCH("Harvard",A309))))),"Y","")</f>
        <v/>
      </c>
      <c r="G309" t="inlineStr">
        <is>
          <t>Cameron Hamilton-Wright</t>
        </is>
      </c>
      <c r="H309" t="inlineStr">
        <is>
          <t>SR MANAGING DIR PORTFOLIO STRA</t>
        </is>
      </c>
      <c r="I309" t="inlineStr">
        <is>
          <t>Senior Managing Director</t>
        </is>
      </c>
      <c r="J309" s="21" t="n">
        <v>518278</v>
      </c>
      <c r="K309" s="21" t="n"/>
      <c r="L309" s="21" t="n">
        <v>518278</v>
      </c>
      <c r="M309" s="21" t="n">
        <v>990</v>
      </c>
      <c r="N309" s="21" t="n">
        <v>23000</v>
      </c>
      <c r="O309" s="21" t="n">
        <v>28947</v>
      </c>
      <c r="P309" s="21" t="n">
        <v>571215</v>
      </c>
      <c r="Q309" s="21" t="n">
        <v>571215</v>
      </c>
      <c r="R309" s="21">
        <f>IF(Q309="","",Q309*(1+in_GrowthRate)^(YEARFRAC(DATE(2024,12,31),in_AgeToDate)*IF(in_AgeToDate&lt;DATE(2024,12,31),-1,1)+1))</f>
        <v/>
      </c>
      <c r="S309" s="38" t="n">
        <v>0</v>
      </c>
      <c r="T309" s="43">
        <f>HYPERLINK("https://projects.propublica.org/nonprofits/organizations/900424876/202503189349310215/full","view filing")</f>
        <v/>
      </c>
    </row>
    <row r="310">
      <c r="A310" t="inlineStr">
        <is>
          <t>Uaw Retiree Medical Benefits Tr</t>
        </is>
      </c>
      <c r="B310" s="20" t="inlineStr">
        <is>
          <t>MI</t>
        </is>
      </c>
      <c r="C310" s="42" t="n">
        <v>61.42</v>
      </c>
      <c r="D310" t="inlineStr">
        <is>
          <t>Pension</t>
        </is>
      </c>
      <c r="E310" s="20" t="n">
        <v>2024</v>
      </c>
      <c r="F310" s="20">
        <f>IF(AND(OR(in_Mode="All Funds",AND(C310&gt;=in_BandFloor,C310&lt;=in_BandCeiling,OR(in_Geography="National",COUNTIFS(lst_GeoPreset,in_Geography,lst_GeoState,B310)&gt;0,AND(in_Geography="Custom",ISNUMBER(SEARCH(B310,SUBSTITUTE(in_CustomStates," ",""))))),OR(AND(D310="Endowment",Inputs!$B$14="Y"),AND(D310="Foundation",Inputs!$B$15="Y"),AND(D310="Healthcare",Inputs!$B$16="Y"),AND(D310="Pension",Inputs!$B$17="Y"),AND(D310="OCIO",Inputs!$B$18="Y"),AND(D310="Other",Inputs!$B$19="Y")))),A310&lt;&gt;in_ClientOrg,NOT(AND(in_ExclHarvard="Y",ISNUMBER(SEARCH("Harvard",A310))))),"Y","")</f>
        <v/>
      </c>
      <c r="G310" t="inlineStr">
        <is>
          <t>Kenneth Stemme</t>
        </is>
      </c>
      <c r="H310" t="inlineStr">
        <is>
          <t>SR MANAGING DIR INCOME STRATEG</t>
        </is>
      </c>
      <c r="I310" t="inlineStr">
        <is>
          <t>Senior Managing Director</t>
        </is>
      </c>
      <c r="J310" s="21" t="n">
        <v>378605</v>
      </c>
      <c r="K310" s="21" t="n">
        <v>380936</v>
      </c>
      <c r="L310" s="21" t="n">
        <v>759541</v>
      </c>
      <c r="M310" s="21" t="n">
        <v>2838</v>
      </c>
      <c r="N310" s="21" t="n">
        <v>15343</v>
      </c>
      <c r="O310" s="21" t="n">
        <v>28947</v>
      </c>
      <c r="P310" s="21" t="n">
        <v>806669</v>
      </c>
      <c r="Q310" s="21" t="n">
        <v>806669</v>
      </c>
      <c r="R310" s="21">
        <f>IF(Q310="","",Q310*(1+in_GrowthRate)^(YEARFRAC(DATE(2024,12,31),in_AgeToDate)*IF(in_AgeToDate&lt;DATE(2024,12,31),-1,1)+1))</f>
        <v/>
      </c>
      <c r="S310" s="38" t="n">
        <v>1.006156812509079</v>
      </c>
      <c r="T310" s="43">
        <f>HYPERLINK("https://projects.propublica.org/nonprofits/organizations/900424876/202503189349310215/full","view filing")</f>
        <v/>
      </c>
    </row>
    <row r="311">
      <c r="A311" t="inlineStr">
        <is>
          <t>Uaw Retiree Medical Benefits Tr</t>
        </is>
      </c>
      <c r="B311" s="20" t="inlineStr">
        <is>
          <t>MI</t>
        </is>
      </c>
      <c r="C311" s="42" t="n">
        <v>61.42</v>
      </c>
      <c r="D311" t="inlineStr">
        <is>
          <t>Pension</t>
        </is>
      </c>
      <c r="E311" s="20" t="n">
        <v>2023</v>
      </c>
      <c r="F311" s="20" t="inlineStr"/>
      <c r="G311" t="inlineStr">
        <is>
          <t>Kenneth Stemme</t>
        </is>
      </c>
      <c r="H311" t="inlineStr">
        <is>
          <t>Sr Managing Dir Income Strateg</t>
        </is>
      </c>
      <c r="I311" t="inlineStr">
        <is>
          <t>Senior Managing Director</t>
        </is>
      </c>
      <c r="J311" s="21" t="n">
        <v>311824</v>
      </c>
      <c r="K311" s="21" t="n">
        <v>198159</v>
      </c>
      <c r="L311" s="21" t="n">
        <v>509983</v>
      </c>
      <c r="M311" s="21" t="n">
        <v>2635</v>
      </c>
      <c r="N311" s="21" t="n">
        <v>12646</v>
      </c>
      <c r="O311" s="21" t="n">
        <v>27228</v>
      </c>
      <c r="P311" s="21" t="n">
        <v>552492</v>
      </c>
      <c r="Q311" s="21" t="n">
        <v>552492</v>
      </c>
      <c r="R311" s="21">
        <f>IF(Q311="","",Q311*(1+in_GrowthRate)^(YEARFRAC(DATE(2023,12,31),in_AgeToDate)*IF(in_AgeToDate&lt;DATE(2023,12,31),-1,1)+1))</f>
        <v/>
      </c>
      <c r="S311" s="38" t="n">
        <v>0.6354834778593053</v>
      </c>
      <c r="T311" s="43">
        <f>HYPERLINK("https://projects.propublica.org/nonprofits/organizations/900424876/202403199349306100/full","view filing")</f>
        <v/>
      </c>
    </row>
    <row r="312">
      <c r="A312" t="inlineStr">
        <is>
          <t>Uc Berkeley Management Company</t>
        </is>
      </c>
      <c r="B312" s="20" t="inlineStr">
        <is>
          <t>CA</t>
        </is>
      </c>
      <c r="C312" s="42" t="n">
        <v>3.39</v>
      </c>
      <c r="D312" t="inlineStr">
        <is>
          <t>Endowment</t>
        </is>
      </c>
      <c r="E312" s="20" t="n">
        <v>2025</v>
      </c>
      <c r="F312" s="20">
        <f>IF(AND(OR(in_Mode="All Funds",AND(C312&gt;=in_BandFloor,C312&lt;=in_BandCeiling,OR(in_Geography="National",COUNTIFS(lst_GeoPreset,in_Geography,lst_GeoState,B312)&gt;0,AND(in_Geography="Custom",ISNUMBER(SEARCH(B312,SUBSTITUTE(in_CustomStates," ",""))))),OR(AND(D312="Endowment",Inputs!$B$14="Y"),AND(D312="Foundation",Inputs!$B$15="Y"),AND(D312="Healthcare",Inputs!$B$16="Y"),AND(D312="Pension",Inputs!$B$17="Y"),AND(D312="OCIO",Inputs!$B$18="Y"),AND(D312="Other",Inputs!$B$19="Y")))),A312&lt;&gt;in_ClientOrg,NOT(AND(in_ExclHarvard="Y",ISNUMBER(SEARCH("Harvard",A312))))),"Y","")</f>
        <v/>
      </c>
      <c r="G312" t="inlineStr">
        <is>
          <t>David Bahr</t>
        </is>
      </c>
      <c r="H312" t="inlineStr">
        <is>
          <t>Managing Director</t>
        </is>
      </c>
      <c r="I312" t="inlineStr">
        <is>
          <t>Managing Director</t>
        </is>
      </c>
      <c r="J312" s="21" t="n">
        <v>351237</v>
      </c>
      <c r="K312" s="21" t="n">
        <v>189162</v>
      </c>
      <c r="L312" s="21" t="n">
        <v>540399</v>
      </c>
      <c r="M312" s="21" t="n"/>
      <c r="N312" s="21" t="n">
        <v>44357</v>
      </c>
      <c r="O312" s="21" t="n">
        <v>4056</v>
      </c>
      <c r="P312" s="21" t="n">
        <v>588812</v>
      </c>
      <c r="Q312" s="21" t="n">
        <v>588812</v>
      </c>
      <c r="R312" s="21">
        <f>IF(Q312="","",Q312*(1+in_GrowthRate)^(YEARFRAC(DATE(2025,6,30),in_AgeToDate)*IF(in_AgeToDate&lt;DATE(2025,6,30),-1,1)+1))</f>
        <v/>
      </c>
      <c r="S312" s="38" t="n">
        <v>0.5385594342281708</v>
      </c>
      <c r="T312" s="43">
        <f>HYPERLINK("https://projects.propublica.org/nonprofits/organizations/270652636/202601359349316565/full","view filing")</f>
        <v/>
      </c>
    </row>
    <row r="313">
      <c r="A313" t="inlineStr">
        <is>
          <t>Uc Berkeley Management Company</t>
        </is>
      </c>
      <c r="B313" s="20" t="inlineStr">
        <is>
          <t>CA</t>
        </is>
      </c>
      <c r="C313" s="42" t="n">
        <v>3.39</v>
      </c>
      <c r="D313" t="inlineStr">
        <is>
          <t>Endowment</t>
        </is>
      </c>
      <c r="E313" s="20" t="n">
        <v>2025</v>
      </c>
      <c r="F313" s="20">
        <f>IF(AND(OR(in_Mode="All Funds",AND(C313&gt;=in_BandFloor,C313&lt;=in_BandCeiling,OR(in_Geography="National",COUNTIFS(lst_GeoPreset,in_Geography,lst_GeoState,B313)&gt;0,AND(in_Geography="Custom",ISNUMBER(SEARCH(B313,SUBSTITUTE(in_CustomStates," ",""))))),OR(AND(D313="Endowment",Inputs!$B$14="Y"),AND(D313="Foundation",Inputs!$B$15="Y"),AND(D313="Healthcare",Inputs!$B$16="Y"),AND(D313="Pension",Inputs!$B$17="Y"),AND(D313="OCIO",Inputs!$B$18="Y"),AND(D313="Other",Inputs!$B$19="Y")))),A313&lt;&gt;in_ClientOrg,NOT(AND(in_ExclHarvard="Y",ISNUMBER(SEARCH("Harvard",A313))))),"Y","")</f>
        <v/>
      </c>
      <c r="G313" t="inlineStr">
        <is>
          <t>Melody Ing</t>
        </is>
      </c>
      <c r="H313" t="inlineStr">
        <is>
          <t>Managing Director</t>
        </is>
      </c>
      <c r="I313" t="inlineStr">
        <is>
          <t>Managing Director</t>
        </is>
      </c>
      <c r="J313" s="21" t="n">
        <v>405898</v>
      </c>
      <c r="K313" s="21" t="n">
        <v>235200</v>
      </c>
      <c r="L313" s="21" t="n">
        <v>641098</v>
      </c>
      <c r="M313" s="21" t="n"/>
      <c r="N313" s="21" t="n">
        <v>44850</v>
      </c>
      <c r="O313" s="21" t="n">
        <v>14090</v>
      </c>
      <c r="P313" s="21" t="n">
        <v>700038</v>
      </c>
      <c r="Q313" s="21" t="n">
        <v>700038</v>
      </c>
      <c r="R313" s="21">
        <f>IF(Q313="","",Q313*(1+in_GrowthRate)^(YEARFRAC(DATE(2025,6,30),in_AgeToDate)*IF(in_AgeToDate&lt;DATE(2025,6,30),-1,1)+1))</f>
        <v/>
      </c>
      <c r="S313" s="38" t="n">
        <v>0.5794559224238602</v>
      </c>
      <c r="T313" s="43">
        <f>HYPERLINK("https://projects.propublica.org/nonprofits/organizations/270652636/202601359349316565/full","view filing")</f>
        <v/>
      </c>
    </row>
    <row r="314">
      <c r="A314" t="inlineStr">
        <is>
          <t>Uc Berkeley Management Company</t>
        </is>
      </c>
      <c r="B314" s="20" t="inlineStr">
        <is>
          <t>CA</t>
        </is>
      </c>
      <c r="C314" s="42" t="n">
        <v>3.39</v>
      </c>
      <c r="D314" t="inlineStr">
        <is>
          <t>Endowment</t>
        </is>
      </c>
      <c r="E314" s="20" t="n">
        <v>2024</v>
      </c>
      <c r="F314" s="20" t="inlineStr"/>
      <c r="G314" t="inlineStr">
        <is>
          <t>David Bahr</t>
        </is>
      </c>
      <c r="H314" t="inlineStr">
        <is>
          <t>MANAGING DIRECTOR</t>
        </is>
      </c>
      <c r="I314" t="inlineStr">
        <is>
          <t>Managing Director</t>
        </is>
      </c>
      <c r="J314" s="21" t="n">
        <v>326080</v>
      </c>
      <c r="K314" s="21" t="n">
        <v>206065</v>
      </c>
      <c r="L314" s="21" t="n">
        <v>532145</v>
      </c>
      <c r="M314" s="21" t="n"/>
      <c r="N314" s="21" t="n">
        <v>42900</v>
      </c>
      <c r="O314" s="21" t="n">
        <v>15476</v>
      </c>
      <c r="P314" s="21" t="n">
        <v>590521</v>
      </c>
      <c r="Q314" s="21" t="n">
        <v>590521</v>
      </c>
      <c r="R314" s="21">
        <f>IF(Q314="","",Q314*(1+in_GrowthRate)^(YEARFRAC(DATE(2024,6,30),in_AgeToDate)*IF(in_AgeToDate&lt;DATE(2024,6,30),-1,1)+1))</f>
        <v/>
      </c>
      <c r="S314" s="38" t="n">
        <v>0.6319461481844946</v>
      </c>
      <c r="T314" s="43">
        <f>HYPERLINK("https://projects.propublica.org/nonprofits/organizations/270652636/202511229349302776/full","view filing")</f>
        <v/>
      </c>
    </row>
    <row r="315">
      <c r="A315" t="inlineStr">
        <is>
          <t>Uc Berkeley Management Company</t>
        </is>
      </c>
      <c r="B315" s="20" t="inlineStr">
        <is>
          <t>CA</t>
        </is>
      </c>
      <c r="C315" s="42" t="n">
        <v>3.39</v>
      </c>
      <c r="D315" t="inlineStr">
        <is>
          <t>Endowment</t>
        </is>
      </c>
      <c r="E315" s="20" t="n">
        <v>2024</v>
      </c>
      <c r="F315" s="20" t="inlineStr"/>
      <c r="G315" t="inlineStr">
        <is>
          <t>Melody Ing</t>
        </is>
      </c>
      <c r="H315" t="inlineStr">
        <is>
          <t>MANAGING DIRECTOR</t>
        </is>
      </c>
      <c r="I315" t="inlineStr">
        <is>
          <t>Managing Director</t>
        </is>
      </c>
      <c r="J315" s="21" t="n">
        <v>385081</v>
      </c>
      <c r="K315" s="21" t="n">
        <v>226669</v>
      </c>
      <c r="L315" s="21" t="n">
        <v>611750</v>
      </c>
      <c r="M315" s="21" t="n"/>
      <c r="N315" s="21" t="n">
        <v>42900</v>
      </c>
      <c r="O315" s="21" t="n">
        <v>10630</v>
      </c>
      <c r="P315" s="21" t="n">
        <v>665280</v>
      </c>
      <c r="Q315" s="21" t="n">
        <v>665280</v>
      </c>
      <c r="R315" s="21">
        <f>IF(Q315="","",Q315*(1+in_GrowthRate)^(YEARFRAC(DATE(2024,6,30),in_AgeToDate)*IF(in_AgeToDate&lt;DATE(2024,6,30),-1,1)+1))</f>
        <v/>
      </c>
      <c r="S315" s="38" t="n">
        <v>0.5886268083857682</v>
      </c>
      <c r="T315" s="43">
        <f>HYPERLINK("https://projects.propublica.org/nonprofits/organizations/270652636/202511229349302776/full","view filing")</f>
        <v/>
      </c>
    </row>
    <row r="316">
      <c r="A316" t="inlineStr">
        <is>
          <t>Uc Berkeley Management Company</t>
        </is>
      </c>
      <c r="B316" s="20" t="inlineStr">
        <is>
          <t>CA</t>
        </is>
      </c>
      <c r="C316" s="42" t="n">
        <v>3.39</v>
      </c>
      <c r="D316" t="inlineStr">
        <is>
          <t>Endowment</t>
        </is>
      </c>
      <c r="E316" s="20" t="n">
        <v>2024</v>
      </c>
      <c r="F316" s="20" t="inlineStr"/>
      <c r="G316" t="inlineStr">
        <is>
          <t>Steven Algert</t>
        </is>
      </c>
      <c r="H316" t="inlineStr">
        <is>
          <t>MANAGING DIRECTOR</t>
        </is>
      </c>
      <c r="I316" t="inlineStr">
        <is>
          <t>Managing Director</t>
        </is>
      </c>
      <c r="J316" s="21" t="n">
        <v>165275</v>
      </c>
      <c r="K316" s="21" t="n">
        <v>178500</v>
      </c>
      <c r="L316" s="21" t="n">
        <v>343775</v>
      </c>
      <c r="M316" s="21" t="n">
        <v>23722</v>
      </c>
      <c r="N316" s="21" t="n">
        <v>39315</v>
      </c>
      <c r="O316" s="21" t="n">
        <v>22025</v>
      </c>
      <c r="P316" s="21" t="n">
        <v>428837</v>
      </c>
      <c r="Q316" s="21" t="n">
        <v>428837</v>
      </c>
      <c r="R316" s="21">
        <f>IF(Q316="","",Q316*(1+in_GrowthRate)^(YEARFRAC(DATE(2024,6,30),in_AgeToDate)*IF(in_AgeToDate&lt;DATE(2024,6,30),-1,1)+1))</f>
        <v/>
      </c>
      <c r="S316" s="38" t="n">
        <v>1.080018151565572</v>
      </c>
      <c r="T316" s="43">
        <f>HYPERLINK("https://projects.propublica.org/nonprofits/organizations/270652636/202511229349302776/full","view filing")</f>
        <v/>
      </c>
    </row>
    <row r="317">
      <c r="A317" t="inlineStr">
        <is>
          <t>Ucsf Foundation Investment Company</t>
        </is>
      </c>
      <c r="B317" s="20" t="inlineStr">
        <is>
          <t>CA</t>
        </is>
      </c>
      <c r="C317" s="42" t="n">
        <v>2.95</v>
      </c>
      <c r="D317" t="inlineStr">
        <is>
          <t>Endowment</t>
        </is>
      </c>
      <c r="E317" s="20" t="n">
        <v>2025</v>
      </c>
      <c r="F317" s="20">
        <f>IF(AND(OR(in_Mode="All Funds",AND(C317&gt;=in_BandFloor,C317&lt;=in_BandCeiling,OR(in_Geography="National",COUNTIFS(lst_GeoPreset,in_Geography,lst_GeoState,B317)&gt;0,AND(in_Geography="Custom",ISNUMBER(SEARCH(B317,SUBSTITUTE(in_CustomStates," ",""))))),OR(AND(D317="Endowment",Inputs!$B$14="Y"),AND(D317="Foundation",Inputs!$B$15="Y"),AND(D317="Healthcare",Inputs!$B$16="Y"),AND(D317="Pension",Inputs!$B$17="Y"),AND(D317="OCIO",Inputs!$B$18="Y"),AND(D317="Other",Inputs!$B$19="Y")))),A317&lt;&gt;in_ClientOrg,NOT(AND(in_ExclHarvard="Y",ISNUMBER(SEARCH("Harvard",A317))))),"Y","")</f>
        <v/>
      </c>
      <c r="G317" t="inlineStr">
        <is>
          <t>Ashley Artim</t>
        </is>
      </c>
      <c r="H317" t="inlineStr">
        <is>
          <t>MANAGING DIRECTOR</t>
        </is>
      </c>
      <c r="I317" t="inlineStr">
        <is>
          <t>Managing Director</t>
        </is>
      </c>
      <c r="J317" s="21" t="n">
        <v>355239</v>
      </c>
      <c r="K317" s="21" t="n">
        <v>134000</v>
      </c>
      <c r="L317" s="21" t="n">
        <v>489239</v>
      </c>
      <c r="M317" s="21" t="n">
        <v>1108</v>
      </c>
      <c r="N317" s="21" t="n">
        <v>69000</v>
      </c>
      <c r="O317" s="21" t="n">
        <v>45098</v>
      </c>
      <c r="P317" s="21" t="n">
        <v>604445</v>
      </c>
      <c r="Q317" s="21" t="n">
        <v>604445</v>
      </c>
      <c r="R317" s="21">
        <f>IF(Q317="","",Q317*(1+in_GrowthRate)^(YEARFRAC(DATE(2025,6,30),in_AgeToDate)*IF(in_AgeToDate&lt;DATE(2025,6,30),-1,1)+1))</f>
        <v/>
      </c>
      <c r="S317" s="38" t="n">
        <v>0.3772108355220007</v>
      </c>
      <c r="T317" s="43">
        <f>HYPERLINK("https://projects.propublica.org/nonprofits/organizations/473599471/202631259349303618/full","view filing")</f>
        <v/>
      </c>
    </row>
    <row r="318">
      <c r="A318" t="inlineStr">
        <is>
          <t>Ucsf Foundation Investment Company</t>
        </is>
      </c>
      <c r="B318" s="20" t="inlineStr">
        <is>
          <t>CA</t>
        </is>
      </c>
      <c r="C318" s="42" t="n">
        <v>2.95</v>
      </c>
      <c r="D318" t="inlineStr">
        <is>
          <t>Endowment</t>
        </is>
      </c>
      <c r="E318" s="20" t="n">
        <v>2025</v>
      </c>
      <c r="F318" s="20">
        <f>IF(AND(OR(in_Mode="All Funds",AND(C318&gt;=in_BandFloor,C318&lt;=in_BandCeiling,OR(in_Geography="National",COUNTIFS(lst_GeoPreset,in_Geography,lst_GeoState,B318)&gt;0,AND(in_Geography="Custom",ISNUMBER(SEARCH(B318,SUBSTITUTE(in_CustomStates," ",""))))),OR(AND(D318="Endowment",Inputs!$B$14="Y"),AND(D318="Foundation",Inputs!$B$15="Y"),AND(D318="Healthcare",Inputs!$B$16="Y"),AND(D318="Pension",Inputs!$B$17="Y"),AND(D318="OCIO",Inputs!$B$18="Y"),AND(D318="Other",Inputs!$B$19="Y")))),A318&lt;&gt;in_ClientOrg,NOT(AND(in_ExclHarvard="Y",ISNUMBER(SEARCH("Harvard",A318))))),"Y","")</f>
        <v/>
      </c>
      <c r="G318" t="inlineStr">
        <is>
          <t>Nikita Gujral</t>
        </is>
      </c>
      <c r="H318" t="inlineStr">
        <is>
          <t>MANAGING DIRECTOR</t>
        </is>
      </c>
      <c r="I318" t="inlineStr">
        <is>
          <t>Managing Director</t>
        </is>
      </c>
      <c r="J318" s="21" t="n">
        <v>438086</v>
      </c>
      <c r="K318" s="21" t="n">
        <v>306000</v>
      </c>
      <c r="L318" s="21" t="n">
        <v>744086</v>
      </c>
      <c r="M318" s="21" t="n">
        <v>3131</v>
      </c>
      <c r="N318" s="21" t="n">
        <v>69000</v>
      </c>
      <c r="O318" s="21" t="n">
        <v>46512</v>
      </c>
      <c r="P318" s="21" t="n">
        <v>862729</v>
      </c>
      <c r="Q318" s="21" t="n">
        <v>862729</v>
      </c>
      <c r="R318" s="21">
        <f>IF(Q318="","",Q318*(1+in_GrowthRate)^(YEARFRAC(DATE(2025,6,30),in_AgeToDate)*IF(in_AgeToDate&lt;DATE(2025,6,30),-1,1)+1))</f>
        <v/>
      </c>
      <c r="S318" s="38" t="n">
        <v>0.6984929899608753</v>
      </c>
      <c r="T318" s="43">
        <f>HYPERLINK("https://projects.propublica.org/nonprofits/organizations/473599471/202631259349303618/full","view filing")</f>
        <v/>
      </c>
    </row>
    <row r="319">
      <c r="A319" t="inlineStr">
        <is>
          <t>Ucsf Foundation Investment Company</t>
        </is>
      </c>
      <c r="B319" s="20" t="inlineStr">
        <is>
          <t>CA</t>
        </is>
      </c>
      <c r="C319" s="42" t="n">
        <v>2.95</v>
      </c>
      <c r="D319" t="inlineStr">
        <is>
          <t>Endowment</t>
        </is>
      </c>
      <c r="E319" s="20" t="n">
        <v>2024</v>
      </c>
      <c r="F319" s="20" t="inlineStr"/>
      <c r="G319" t="inlineStr">
        <is>
          <t>David Schofield</t>
        </is>
      </c>
      <c r="H319" t="inlineStr">
        <is>
          <t>MANAGING DIRECTOR</t>
        </is>
      </c>
      <c r="I319" t="inlineStr">
        <is>
          <t>Managing Director</t>
        </is>
      </c>
      <c r="J319" s="21" t="n">
        <v>76200</v>
      </c>
      <c r="K319" s="21" t="n">
        <v>150000</v>
      </c>
      <c r="L319" s="21" t="n">
        <v>226200</v>
      </c>
      <c r="M319" s="21" t="n">
        <v>3030</v>
      </c>
      <c r="N319" s="21" t="n">
        <v>11467</v>
      </c>
      <c r="O319" s="21" t="n">
        <v>3873</v>
      </c>
      <c r="P319" s="21" t="n">
        <v>244570</v>
      </c>
      <c r="Q319" s="21" t="n">
        <v>244570</v>
      </c>
      <c r="R319" s="21">
        <f>IF(Q319="","",Q319*(1+in_GrowthRate)^(YEARFRAC(DATE(2024,6,30),in_AgeToDate)*IF(in_AgeToDate&lt;DATE(2024,6,30),-1,1)+1))</f>
        <v/>
      </c>
      <c r="S319" s="38" t="n">
        <v>1.968503937007874</v>
      </c>
      <c r="T319" s="43">
        <f>HYPERLINK("https://projects.propublica.org/nonprofits/organizations/473599471/202531329349306253/full","view filing")</f>
        <v/>
      </c>
    </row>
    <row r="320">
      <c r="A320" t="inlineStr">
        <is>
          <t>Ucsf Foundation Investment Company</t>
        </is>
      </c>
      <c r="B320" s="20" t="inlineStr">
        <is>
          <t>CA</t>
        </is>
      </c>
      <c r="C320" s="42" t="n">
        <v>2.95</v>
      </c>
      <c r="D320" t="inlineStr">
        <is>
          <t>Endowment</t>
        </is>
      </c>
      <c r="E320" s="20" t="n">
        <v>2024</v>
      </c>
      <c r="F320" s="20" t="inlineStr"/>
      <c r="G320" t="inlineStr">
        <is>
          <t>Nikita Gujral</t>
        </is>
      </c>
      <c r="H320" t="inlineStr">
        <is>
          <t>MANAGING DIRECTOR</t>
        </is>
      </c>
      <c r="I320" t="inlineStr">
        <is>
          <t>Managing Director</t>
        </is>
      </c>
      <c r="J320" s="21" t="n">
        <v>426222</v>
      </c>
      <c r="K320" s="21" t="n">
        <v>350000</v>
      </c>
      <c r="L320" s="21" t="n">
        <v>776222</v>
      </c>
      <c r="M320" s="21" t="n">
        <v>2299</v>
      </c>
      <c r="N320" s="21" t="n">
        <v>66000</v>
      </c>
      <c r="O320" s="21" t="n">
        <v>43036</v>
      </c>
      <c r="P320" s="21" t="n">
        <v>887557</v>
      </c>
      <c r="Q320" s="21" t="n">
        <v>887557</v>
      </c>
      <c r="R320" s="21">
        <f>IF(Q320="","",Q320*(1+in_GrowthRate)^(YEARFRAC(DATE(2024,6,30),in_AgeToDate)*IF(in_AgeToDate&lt;DATE(2024,6,30),-1,1)+1))</f>
        <v/>
      </c>
      <c r="S320" s="38" t="n">
        <v>0.8211683113494845</v>
      </c>
      <c r="T320" s="43">
        <f>HYPERLINK("https://projects.propublica.org/nonprofits/organizations/473599471/202531329349306253/full","view filing")</f>
        <v/>
      </c>
    </row>
    <row r="321">
      <c r="A321" t="inlineStr">
        <is>
          <t>Ucsf Foundation Investment Company</t>
        </is>
      </c>
      <c r="B321" s="20" t="inlineStr">
        <is>
          <t>CA</t>
        </is>
      </c>
      <c r="C321" s="42" t="n">
        <v>2.95</v>
      </c>
      <c r="D321" t="inlineStr">
        <is>
          <t>Endowment</t>
        </is>
      </c>
      <c r="E321" s="20" t="n">
        <v>2023</v>
      </c>
      <c r="F321" s="20" t="inlineStr"/>
      <c r="G321" t="inlineStr">
        <is>
          <t>David Schofield</t>
        </is>
      </c>
      <c r="H321" t="inlineStr">
        <is>
          <t>MANAGING DIRECTOR</t>
        </is>
      </c>
      <c r="I321" t="inlineStr">
        <is>
          <t>Managing Director</t>
        </is>
      </c>
      <c r="J321" s="21" t="n">
        <v>407043</v>
      </c>
      <c r="K321" s="21" t="n">
        <v>307500</v>
      </c>
      <c r="L321" s="21" t="n">
        <v>714543</v>
      </c>
      <c r="M321" s="21" t="n">
        <v>12054</v>
      </c>
      <c r="N321" s="21" t="n">
        <v>61000</v>
      </c>
      <c r="O321" s="21" t="n">
        <v>13199</v>
      </c>
      <c r="P321" s="21" t="n">
        <v>800796</v>
      </c>
      <c r="Q321" s="21" t="n">
        <v>800796</v>
      </c>
      <c r="R321" s="21">
        <f>IF(Q321="","",Q321*(1+in_GrowthRate)^(YEARFRAC(DATE(2023,6,30),in_AgeToDate)*IF(in_AgeToDate&lt;DATE(2023,6,30),-1,1)+1))</f>
        <v/>
      </c>
      <c r="S321" s="38" t="n">
        <v>0.7554484415651418</v>
      </c>
      <c r="T321" s="43">
        <f>HYPERLINK("https://projects.propublica.org/nonprofits/organizations/473599471/202411359349313316/full","view filing")</f>
        <v/>
      </c>
    </row>
    <row r="322">
      <c r="A322" t="inlineStr">
        <is>
          <t>Ucsf Foundation Investment Company</t>
        </is>
      </c>
      <c r="B322" s="20" t="inlineStr">
        <is>
          <t>CA</t>
        </is>
      </c>
      <c r="C322" s="42" t="n">
        <v>2.95</v>
      </c>
      <c r="D322" t="inlineStr">
        <is>
          <t>Endowment</t>
        </is>
      </c>
      <c r="E322" s="20" t="n">
        <v>2023</v>
      </c>
      <c r="F322" s="20" t="inlineStr"/>
      <c r="G322" t="inlineStr">
        <is>
          <t>Nikita Gujral</t>
        </is>
      </c>
      <c r="H322" t="inlineStr">
        <is>
          <t>MANAGING DIRECTOR</t>
        </is>
      </c>
      <c r="I322" t="inlineStr">
        <is>
          <t>Managing Director</t>
        </is>
      </c>
      <c r="J322" s="21" t="n">
        <v>401134</v>
      </c>
      <c r="K322" s="21" t="n">
        <v>307500</v>
      </c>
      <c r="L322" s="21" t="n">
        <v>708634</v>
      </c>
      <c r="M322" s="21" t="n">
        <v>2224</v>
      </c>
      <c r="N322" s="21" t="n">
        <v>61000</v>
      </c>
      <c r="O322" s="21" t="n">
        <v>39779</v>
      </c>
      <c r="P322" s="21" t="n">
        <v>811637</v>
      </c>
      <c r="Q322" s="21" t="n">
        <v>811637</v>
      </c>
      <c r="R322" s="21">
        <f>IF(Q322="","",Q322*(1+in_GrowthRate)^(YEARFRAC(DATE(2023,6,30),in_AgeToDate)*IF(in_AgeToDate&lt;DATE(2023,6,30),-1,1)+1))</f>
        <v/>
      </c>
      <c r="S322" s="38" t="n">
        <v>0.7665767548998589</v>
      </c>
      <c r="T322" s="43">
        <f>HYPERLINK("https://projects.propublica.org/nonprofits/organizations/473599471/202411359349313316/full","view filing")</f>
        <v/>
      </c>
    </row>
    <row r="323">
      <c r="A323" t="inlineStr">
        <is>
          <t>Ucsf Foundation Investment Company</t>
        </is>
      </c>
      <c r="B323" s="20" t="inlineStr">
        <is>
          <t>CA</t>
        </is>
      </c>
      <c r="C323" s="42" t="n">
        <v>2.95</v>
      </c>
      <c r="D323" t="inlineStr">
        <is>
          <t>Endowment</t>
        </is>
      </c>
      <c r="E323" s="20" t="n">
        <v>2022</v>
      </c>
      <c r="F323" s="20" t="inlineStr"/>
      <c r="G323" t="inlineStr">
        <is>
          <t>David Schofield</t>
        </is>
      </c>
      <c r="H323" t="inlineStr">
        <is>
          <t>MANAGING DIRECTOR</t>
        </is>
      </c>
      <c r="I323" t="inlineStr">
        <is>
          <t>Managing Director</t>
        </is>
      </c>
      <c r="J323" s="21" t="n">
        <v>395438</v>
      </c>
      <c r="K323" s="21" t="n">
        <v>375000</v>
      </c>
      <c r="L323" s="21" t="n">
        <v>770438</v>
      </c>
      <c r="M323" s="21" t="n">
        <v>11898</v>
      </c>
      <c r="N323" s="21" t="n">
        <v>58000</v>
      </c>
      <c r="O323" s="21" t="n">
        <v>11631</v>
      </c>
      <c r="P323" s="21" t="n">
        <v>851967</v>
      </c>
      <c r="Q323" s="21" t="n">
        <v>851967</v>
      </c>
      <c r="R323" s="21">
        <f>IF(Q323="","",Q323*(1+in_GrowthRate)^(YEARFRAC(DATE(2022,6,30),in_AgeToDate)*IF(in_AgeToDate&lt;DATE(2022,6,30),-1,1)+1))</f>
        <v/>
      </c>
      <c r="S323" s="38" t="n">
        <v>0.9483155387190912</v>
      </c>
      <c r="T323" s="43">
        <f>HYPERLINK("https://projects.propublica.org/nonprofits/organizations/473599471/202331249349301898/full","view filing")</f>
        <v/>
      </c>
    </row>
    <row r="324">
      <c r="A324" t="inlineStr">
        <is>
          <t>Ucsf Foundation Investment Company</t>
        </is>
      </c>
      <c r="B324" s="20" t="inlineStr">
        <is>
          <t>CA</t>
        </is>
      </c>
      <c r="C324" s="42" t="n">
        <v>2.95</v>
      </c>
      <c r="D324" t="inlineStr">
        <is>
          <t>Endowment</t>
        </is>
      </c>
      <c r="E324" s="20" t="n">
        <v>2022</v>
      </c>
      <c r="F324" s="20" t="inlineStr"/>
      <c r="G324" t="inlineStr">
        <is>
          <t>Nikita Gurjal</t>
        </is>
      </c>
      <c r="H324" t="inlineStr">
        <is>
          <t>MANAGING DIRECTOR</t>
        </is>
      </c>
      <c r="I324" t="inlineStr">
        <is>
          <t>Managing Director</t>
        </is>
      </c>
      <c r="J324" s="21" t="n">
        <v>388911</v>
      </c>
      <c r="K324" s="21" t="n">
        <v>375000</v>
      </c>
      <c r="L324" s="21" t="n">
        <v>763911</v>
      </c>
      <c r="M324" s="21" t="n">
        <v>2256</v>
      </c>
      <c r="N324" s="21" t="n">
        <v>58000</v>
      </c>
      <c r="O324" s="21" t="n">
        <v>36035</v>
      </c>
      <c r="P324" s="21" t="n">
        <v>860202</v>
      </c>
      <c r="Q324" s="21" t="n">
        <v>860202</v>
      </c>
      <c r="R324" s="21">
        <f>IF(Q324="","",Q324*(1+in_GrowthRate)^(YEARFRAC(DATE(2022,6,30),in_AgeToDate)*IF(in_AgeToDate&lt;DATE(2022,6,30),-1,1)+1))</f>
        <v/>
      </c>
      <c r="S324" s="38" t="n">
        <v>0.9642308908722047</v>
      </c>
      <c r="T324" s="43">
        <f>HYPERLINK("https://projects.propublica.org/nonprofits/organizations/473599471/202331249349301898/full","view filing")</f>
        <v/>
      </c>
    </row>
    <row r="325">
      <c r="A325" t="inlineStr">
        <is>
          <t>Unc Management Company Inc</t>
        </is>
      </c>
      <c r="B325" s="20" t="inlineStr">
        <is>
          <t>NC</t>
        </is>
      </c>
      <c r="C325" s="42" t="n">
        <v>6.22</v>
      </c>
      <c r="D325" t="inlineStr">
        <is>
          <t>Endowment</t>
        </is>
      </c>
      <c r="E325" s="20" t="n">
        <v>2025</v>
      </c>
      <c r="F325" s="20">
        <f>IF(AND(OR(in_Mode="All Funds",AND(C325&gt;=in_BandFloor,C325&lt;=in_BandCeiling,OR(in_Geography="National",COUNTIFS(lst_GeoPreset,in_Geography,lst_GeoState,B325)&gt;0,AND(in_Geography="Custom",ISNUMBER(SEARCH(B325,SUBSTITUTE(in_CustomStates," ",""))))),OR(AND(D325="Endowment",Inputs!$B$14="Y"),AND(D325="Foundation",Inputs!$B$15="Y"),AND(D325="Healthcare",Inputs!$B$16="Y"),AND(D325="Pension",Inputs!$B$17="Y"),AND(D325="OCIO",Inputs!$B$18="Y"),AND(D325="Other",Inputs!$B$19="Y")))),A325&lt;&gt;in_ClientOrg,NOT(AND(in_ExclHarvard="Y",ISNUMBER(SEARCH("Harvard",A325))))),"Y","")</f>
        <v/>
      </c>
      <c r="G325" t="inlineStr">
        <is>
          <t>Angela Moss</t>
        </is>
      </c>
      <c r="H325" t="inlineStr">
        <is>
          <t>MANAGING DIRECTOR, INVESTMENTS</t>
        </is>
      </c>
      <c r="I325" t="inlineStr">
        <is>
          <t>Managing Director</t>
        </is>
      </c>
      <c r="J325" s="21" t="n">
        <v>427814</v>
      </c>
      <c r="K325" s="21" t="n">
        <v>694513</v>
      </c>
      <c r="L325" s="21" t="n">
        <v>1122327</v>
      </c>
      <c r="M325" s="21" t="n">
        <v>2624</v>
      </c>
      <c r="N325" s="21" t="n">
        <v>494005</v>
      </c>
      <c r="O325" s="21" t="n">
        <v>45323</v>
      </c>
      <c r="P325" s="21" t="n">
        <v>1664279</v>
      </c>
      <c r="Q325" s="21" t="n">
        <v>1422625</v>
      </c>
      <c r="R325" s="21">
        <f>IF(Q325="","",Q325*(1+in_GrowthRate)^(YEARFRAC(DATE(2025,6,30),in_AgeToDate)*IF(in_AgeToDate&lt;DATE(2025,6,30),-1,1)+1))</f>
        <v/>
      </c>
      <c r="S325" s="38" t="n">
        <v>1.623399421243812</v>
      </c>
      <c r="T325" s="43">
        <f>HYPERLINK("https://projects.propublica.org/nonprofits/organizations/364516257/202611329349304711/full","view filing")</f>
        <v/>
      </c>
    </row>
    <row r="326">
      <c r="A326" t="inlineStr">
        <is>
          <t>Unc Management Company Inc</t>
        </is>
      </c>
      <c r="B326" s="20" t="inlineStr">
        <is>
          <t>NC</t>
        </is>
      </c>
      <c r="C326" s="42" t="n">
        <v>6.22</v>
      </c>
      <c r="D326" t="inlineStr">
        <is>
          <t>Endowment</t>
        </is>
      </c>
      <c r="E326" s="20" t="n">
        <v>2025</v>
      </c>
      <c r="F326" s="20">
        <f>IF(AND(OR(in_Mode="All Funds",AND(C326&gt;=in_BandFloor,C326&lt;=in_BandCeiling,OR(in_Geography="National",COUNTIFS(lst_GeoPreset,in_Geography,lst_GeoState,B326)&gt;0,AND(in_Geography="Custom",ISNUMBER(SEARCH(B326,SUBSTITUTE(in_CustomStates," ",""))))),OR(AND(D326="Endowment",Inputs!$B$14="Y"),AND(D326="Foundation",Inputs!$B$15="Y"),AND(D326="Healthcare",Inputs!$B$16="Y"),AND(D326="Pension",Inputs!$B$17="Y"),AND(D326="OCIO",Inputs!$B$18="Y"),AND(D326="Other",Inputs!$B$19="Y")))),A326&lt;&gt;in_ClientOrg,NOT(AND(in_ExclHarvard="Y",ISNUMBER(SEARCH("Harvard",A326))))),"Y","")</f>
        <v/>
      </c>
      <c r="G326" t="inlineStr">
        <is>
          <t>Chris Bartholomew</t>
        </is>
      </c>
      <c r="H326" t="inlineStr">
        <is>
          <t>MANAGING DIRECTOR, INVESTMENTS</t>
        </is>
      </c>
      <c r="I326" t="inlineStr">
        <is>
          <t>Managing Director</t>
        </is>
      </c>
      <c r="J326" s="21" t="n">
        <v>427315</v>
      </c>
      <c r="K326" s="21" t="n">
        <v>720246</v>
      </c>
      <c r="L326" s="21" t="n">
        <v>1147561</v>
      </c>
      <c r="M326" s="21" t="n">
        <v>780</v>
      </c>
      <c r="N326" s="21" t="n">
        <v>512191</v>
      </c>
      <c r="O326" s="21" t="n">
        <v>47073</v>
      </c>
      <c r="P326" s="21" t="n">
        <v>1707605</v>
      </c>
      <c r="Q326" s="21" t="n">
        <v>1461999</v>
      </c>
      <c r="R326" s="21">
        <f>IF(Q326="","",Q326*(1+in_GrowthRate)^(YEARFRAC(DATE(2025,6,30),in_AgeToDate)*IF(in_AgeToDate&lt;DATE(2025,6,30),-1,1)+1))</f>
        <v/>
      </c>
      <c r="S326" s="38" t="n">
        <v>1.685515369224109</v>
      </c>
      <c r="T326" s="43">
        <f>HYPERLINK("https://projects.propublica.org/nonprofits/organizations/364516257/202611329349304711/full","view filing")</f>
        <v/>
      </c>
    </row>
    <row r="327">
      <c r="A327" t="inlineStr">
        <is>
          <t>Unc Management Company Inc</t>
        </is>
      </c>
      <c r="B327" s="20" t="inlineStr">
        <is>
          <t>NC</t>
        </is>
      </c>
      <c r="C327" s="42" t="n">
        <v>6.22</v>
      </c>
      <c r="D327" t="inlineStr">
        <is>
          <t>Endowment</t>
        </is>
      </c>
      <c r="E327" s="20" t="n">
        <v>2025</v>
      </c>
      <c r="F327" s="20">
        <f>IF(AND(OR(in_Mode="All Funds",AND(C327&gt;=in_BandFloor,C327&lt;=in_BandCeiling,OR(in_Geography="National",COUNTIFS(lst_GeoPreset,in_Geography,lst_GeoState,B327)&gt;0,AND(in_Geography="Custom",ISNUMBER(SEARCH(B327,SUBSTITUTE(in_CustomStates," ",""))))),OR(AND(D327="Endowment",Inputs!$B$14="Y"),AND(D327="Foundation",Inputs!$B$15="Y"),AND(D327="Healthcare",Inputs!$B$16="Y"),AND(D327="Pension",Inputs!$B$17="Y"),AND(D327="OCIO",Inputs!$B$18="Y"),AND(D327="Other",Inputs!$B$19="Y")))),A327&lt;&gt;in_ClientOrg,NOT(AND(in_ExclHarvard="Y",ISNUMBER(SEARCH("Harvard",A327))))),"Y","")</f>
        <v/>
      </c>
      <c r="G327" t="inlineStr">
        <is>
          <t>Chris Rudolph</t>
        </is>
      </c>
      <c r="H327" t="inlineStr">
        <is>
          <t>MANAGING DIRECTOR, INVESTMENTS</t>
        </is>
      </c>
      <c r="I327" t="inlineStr">
        <is>
          <t>Managing Director</t>
        </is>
      </c>
      <c r="J327" s="21" t="n">
        <v>424615</v>
      </c>
      <c r="K327" s="21" t="n">
        <v>698060</v>
      </c>
      <c r="L327" s="21" t="n">
        <v>1122675</v>
      </c>
      <c r="M327" s="21" t="n">
        <v>2228</v>
      </c>
      <c r="N327" s="21" t="n">
        <v>497552</v>
      </c>
      <c r="O327" s="21" t="n">
        <v>48717</v>
      </c>
      <c r="P327" s="21" t="n">
        <v>1671172</v>
      </c>
      <c r="Q327" s="21" t="n">
        <v>1429518</v>
      </c>
      <c r="R327" s="21">
        <f>IF(Q327="","",Q327*(1+in_GrowthRate)^(YEARFRAC(DATE(2025,6,30),in_AgeToDate)*IF(in_AgeToDate&lt;DATE(2025,6,30),-1,1)+1))</f>
        <v/>
      </c>
      <c r="S327" s="38" t="n">
        <v>1.643983373173345</v>
      </c>
      <c r="T327" s="43">
        <f>HYPERLINK("https://projects.propublica.org/nonprofits/organizations/364516257/202611329349304711/full","view filing")</f>
        <v/>
      </c>
    </row>
    <row r="328">
      <c r="A328" t="inlineStr">
        <is>
          <t>Unc Management Company Inc</t>
        </is>
      </c>
      <c r="B328" s="20" t="inlineStr">
        <is>
          <t>NC</t>
        </is>
      </c>
      <c r="C328" s="42" t="n">
        <v>6.22</v>
      </c>
      <c r="D328" t="inlineStr">
        <is>
          <t>Endowment</t>
        </is>
      </c>
      <c r="E328" s="20" t="n">
        <v>2025</v>
      </c>
      <c r="F328" s="20">
        <f>IF(AND(OR(in_Mode="All Funds",AND(C328&gt;=in_BandFloor,C328&lt;=in_BandCeiling,OR(in_Geography="National",COUNTIFS(lst_GeoPreset,in_Geography,lst_GeoState,B328)&gt;0,AND(in_Geography="Custom",ISNUMBER(SEARCH(B328,SUBSTITUTE(in_CustomStates," ",""))))),OR(AND(D328="Endowment",Inputs!$B$14="Y"),AND(D328="Foundation",Inputs!$B$15="Y"),AND(D328="Healthcare",Inputs!$B$16="Y"),AND(D328="Pension",Inputs!$B$17="Y"),AND(D328="OCIO",Inputs!$B$18="Y"),AND(D328="Other",Inputs!$B$19="Y")))),A328&lt;&gt;in_ClientOrg,NOT(AND(in_ExclHarvard="Y",ISNUMBER(SEARCH("Harvard",A328))))),"Y","")</f>
        <v/>
      </c>
      <c r="G328" t="inlineStr">
        <is>
          <t>Matthew Lesesky</t>
        </is>
      </c>
      <c r="H328" t="inlineStr">
        <is>
          <t>MANAGING DIRECTOR, INVESTMENTS</t>
        </is>
      </c>
      <c r="I328" t="inlineStr">
        <is>
          <t>Managing Director</t>
        </is>
      </c>
      <c r="J328" s="21" t="n">
        <v>426815</v>
      </c>
      <c r="K328" s="21" t="n">
        <v>704481</v>
      </c>
      <c r="L328" s="21" t="n">
        <v>1131296</v>
      </c>
      <c r="M328" s="21" t="n">
        <v>1170</v>
      </c>
      <c r="N328" s="21" t="n">
        <v>497825</v>
      </c>
      <c r="O328" s="21" t="n">
        <v>48017</v>
      </c>
      <c r="P328" s="21" t="n">
        <v>1678308</v>
      </c>
      <c r="Q328" s="21" t="n">
        <v>1434101</v>
      </c>
      <c r="R328" s="21">
        <f>IF(Q328="","",Q328*(1+in_GrowthRate)^(YEARFRAC(DATE(2025,6,30),in_AgeToDate)*IF(in_AgeToDate&lt;DATE(2025,6,30),-1,1)+1))</f>
        <v/>
      </c>
      <c r="S328" s="38" t="n">
        <v>1.650553518503333</v>
      </c>
      <c r="T328" s="43">
        <f>HYPERLINK("https://projects.propublica.org/nonprofits/organizations/364516257/202611329349304711/full","view filing")</f>
        <v/>
      </c>
    </row>
    <row r="329">
      <c r="A329" t="inlineStr">
        <is>
          <t>Unc Management Company Inc</t>
        </is>
      </c>
      <c r="B329" s="20" t="inlineStr">
        <is>
          <t>NC</t>
        </is>
      </c>
      <c r="C329" s="42" t="n">
        <v>6.22</v>
      </c>
      <c r="D329" t="inlineStr">
        <is>
          <t>Endowment</t>
        </is>
      </c>
      <c r="E329" s="20" t="n">
        <v>2025</v>
      </c>
      <c r="F329" s="20">
        <f>IF(AND(OR(in_Mode="All Funds",AND(C329&gt;=in_BandFloor,C329&lt;=in_BandCeiling,OR(in_Geography="National",COUNTIFS(lst_GeoPreset,in_Geography,lst_GeoState,B329)&gt;0,AND(in_Geography="Custom",ISNUMBER(SEARCH(B329,SUBSTITUTE(in_CustomStates," ",""))))),OR(AND(D329="Endowment",Inputs!$B$14="Y"),AND(D329="Foundation",Inputs!$B$15="Y"),AND(D329="Healthcare",Inputs!$B$16="Y"),AND(D329="Pension",Inputs!$B$17="Y"),AND(D329="OCIO",Inputs!$B$18="Y"),AND(D329="Other",Inputs!$B$19="Y")))),A329&lt;&gt;in_ClientOrg,NOT(AND(in_ExclHarvard="Y",ISNUMBER(SEARCH("Harvard",A329))))),"Y","")</f>
        <v/>
      </c>
      <c r="G329" t="inlineStr">
        <is>
          <t>Rodgers Harshbarger</t>
        </is>
      </c>
      <c r="H329" t="inlineStr">
        <is>
          <t>MANAGING DIRECTOR, INVESTMENTS</t>
        </is>
      </c>
      <c r="I329" t="inlineStr">
        <is>
          <t>Managing Director</t>
        </is>
      </c>
      <c r="J329" s="21" t="n">
        <v>426815</v>
      </c>
      <c r="K329" s="21" t="n">
        <v>702207</v>
      </c>
      <c r="L329" s="21" t="n">
        <v>1129022</v>
      </c>
      <c r="M329" s="21" t="n">
        <v>1341</v>
      </c>
      <c r="N329" s="21" t="n">
        <v>487357</v>
      </c>
      <c r="O329" s="21" t="n">
        <v>46510</v>
      </c>
      <c r="P329" s="21" t="n">
        <v>1664230</v>
      </c>
      <c r="Q329" s="21" t="n">
        <v>1412588</v>
      </c>
      <c r="R329" s="21">
        <f>IF(Q329="","",Q329*(1+in_GrowthRate)^(YEARFRAC(DATE(2025,6,30),in_AgeToDate)*IF(in_AgeToDate&lt;DATE(2025,6,30),-1,1)+1))</f>
        <v/>
      </c>
      <c r="S329" s="38" t="n">
        <v>1.645225683258555</v>
      </c>
      <c r="T329" s="43">
        <f>HYPERLINK("https://projects.propublica.org/nonprofits/organizations/364516257/202611329349304711/full","view filing")</f>
        <v/>
      </c>
    </row>
    <row r="330">
      <c r="A330" t="inlineStr">
        <is>
          <t>Unc Management Company Inc</t>
        </is>
      </c>
      <c r="B330" s="20" t="inlineStr">
        <is>
          <t>NC</t>
        </is>
      </c>
      <c r="C330" s="42" t="n">
        <v>6.22</v>
      </c>
      <c r="D330" t="inlineStr">
        <is>
          <t>Endowment</t>
        </is>
      </c>
      <c r="E330" s="20" t="n">
        <v>2024</v>
      </c>
      <c r="F330" s="20" t="inlineStr"/>
      <c r="G330" t="inlineStr">
        <is>
          <t>Angela Moss</t>
        </is>
      </c>
      <c r="H330" t="inlineStr">
        <is>
          <t>MANAGING DIRECTOR, INVESTMENTS</t>
        </is>
      </c>
      <c r="I330" t="inlineStr">
        <is>
          <t>Managing Director</t>
        </is>
      </c>
      <c r="J330" s="21" t="n">
        <v>393621</v>
      </c>
      <c r="K330" s="21" t="n">
        <v>476589</v>
      </c>
      <c r="L330" s="21" t="n">
        <v>870210</v>
      </c>
      <c r="M330" s="21" t="n">
        <v>1170</v>
      </c>
      <c r="N330" s="21" t="n">
        <v>200023</v>
      </c>
      <c r="O330" s="21" t="n">
        <v>43455</v>
      </c>
      <c r="P330" s="21" t="n">
        <v>1114858</v>
      </c>
      <c r="Q330" s="21" t="n">
        <v>896805</v>
      </c>
      <c r="R330" s="21">
        <f>IF(Q330="","",Q330*(1+in_GrowthRate)^(YEARFRAC(DATE(2024,6,30),in_AgeToDate)*IF(in_AgeToDate&lt;DATE(2024,6,30),-1,1)+1))</f>
        <v/>
      </c>
      <c r="S330" s="38" t="n">
        <v>1.210781436966015</v>
      </c>
      <c r="T330" s="43">
        <f>HYPERLINK("https://projects.propublica.org/nonprofits/organizations/364516257/202531199349301443/full","view filing")</f>
        <v/>
      </c>
    </row>
    <row r="331">
      <c r="A331" t="inlineStr">
        <is>
          <t>Unc Management Company Inc</t>
        </is>
      </c>
      <c r="B331" s="20" t="inlineStr">
        <is>
          <t>NC</t>
        </is>
      </c>
      <c r="C331" s="42" t="n">
        <v>6.22</v>
      </c>
      <c r="D331" t="inlineStr">
        <is>
          <t>Endowment</t>
        </is>
      </c>
      <c r="E331" s="20" t="n">
        <v>2024</v>
      </c>
      <c r="F331" s="20" t="inlineStr"/>
      <c r="G331" t="inlineStr">
        <is>
          <t>Chris Bartholomew</t>
        </is>
      </c>
      <c r="H331" t="inlineStr">
        <is>
          <t>MANAGING DIRECTOR, INVESTMENTS</t>
        </is>
      </c>
      <c r="I331" t="inlineStr">
        <is>
          <t>Managing Director</t>
        </is>
      </c>
      <c r="J331" s="21" t="n">
        <v>393321</v>
      </c>
      <c r="K331" s="21" t="n">
        <v>486880</v>
      </c>
      <c r="L331" s="21" t="n">
        <v>880201</v>
      </c>
      <c r="M331" s="21" t="n">
        <v>780</v>
      </c>
      <c r="N331" s="21" t="n">
        <v>203359</v>
      </c>
      <c r="O331" s="21" t="n">
        <v>44418</v>
      </c>
      <c r="P331" s="21" t="n">
        <v>1128758</v>
      </c>
      <c r="Q331" s="21" t="n">
        <v>905991</v>
      </c>
      <c r="R331" s="21">
        <f>IF(Q331="","",Q331*(1+in_GrowthRate)^(YEARFRAC(DATE(2024,6,30),in_AgeToDate)*IF(in_AgeToDate&lt;DATE(2024,6,30),-1,1)+1))</f>
        <v/>
      </c>
      <c r="S331" s="38" t="n">
        <v>1.237869323021145</v>
      </c>
      <c r="T331" s="43">
        <f>HYPERLINK("https://projects.propublica.org/nonprofits/organizations/364516257/202531199349301443/full","view filing")</f>
        <v/>
      </c>
    </row>
    <row r="332">
      <c r="A332" t="inlineStr">
        <is>
          <t>Unc Management Company Inc</t>
        </is>
      </c>
      <c r="B332" s="20" t="inlineStr">
        <is>
          <t>NC</t>
        </is>
      </c>
      <c r="C332" s="42" t="n">
        <v>6.22</v>
      </c>
      <c r="D332" t="inlineStr">
        <is>
          <t>Endowment</t>
        </is>
      </c>
      <c r="E332" s="20" t="n">
        <v>2024</v>
      </c>
      <c r="F332" s="20" t="inlineStr"/>
      <c r="G332" t="inlineStr">
        <is>
          <t>Chris Rudolph</t>
        </is>
      </c>
      <c r="H332" t="inlineStr">
        <is>
          <t>MANAGING DIRECTOR, INVESTMENTS</t>
        </is>
      </c>
      <c r="I332" t="inlineStr">
        <is>
          <t>Managing Director</t>
        </is>
      </c>
      <c r="J332" s="21" t="n">
        <v>390571</v>
      </c>
      <c r="K332" s="21" t="n">
        <v>476589</v>
      </c>
      <c r="L332" s="21" t="n">
        <v>867160</v>
      </c>
      <c r="M332" s="21" t="n">
        <v>1170</v>
      </c>
      <c r="N332" s="21" t="n">
        <v>200023</v>
      </c>
      <c r="O332" s="21" t="n">
        <v>46433</v>
      </c>
      <c r="P332" s="21" t="n">
        <v>1114786</v>
      </c>
      <c r="Q332" s="21" t="n">
        <v>896733</v>
      </c>
      <c r="R332" s="21">
        <f>IF(Q332="","",Q332*(1+in_GrowthRate)^(YEARFRAC(DATE(2024,6,30),in_AgeToDate)*IF(in_AgeToDate&lt;DATE(2024,6,30),-1,1)+1))</f>
        <v/>
      </c>
      <c r="S332" s="38" t="n">
        <v>1.220236525497285</v>
      </c>
      <c r="T332" s="43">
        <f>HYPERLINK("https://projects.propublica.org/nonprofits/organizations/364516257/202531199349301443/full","view filing")</f>
        <v/>
      </c>
    </row>
    <row r="333">
      <c r="A333" t="inlineStr">
        <is>
          <t>Unc Management Company Inc</t>
        </is>
      </c>
      <c r="B333" s="20" t="inlineStr">
        <is>
          <t>NC</t>
        </is>
      </c>
      <c r="C333" s="42" t="n">
        <v>6.22</v>
      </c>
      <c r="D333" t="inlineStr">
        <is>
          <t>Endowment</t>
        </is>
      </c>
      <c r="E333" s="20" t="n">
        <v>2024</v>
      </c>
      <c r="F333" s="20" t="inlineStr"/>
      <c r="G333" t="inlineStr">
        <is>
          <t>Matthew Lesesky</t>
        </is>
      </c>
      <c r="H333" t="inlineStr">
        <is>
          <t>MANAGING DIRECTOR, INVESTMENTS</t>
        </is>
      </c>
      <c r="I333" t="inlineStr">
        <is>
          <t>Managing Director</t>
        </is>
      </c>
      <c r="J333" s="21" t="n">
        <v>392621</v>
      </c>
      <c r="K333" s="21" t="n">
        <v>482865</v>
      </c>
      <c r="L333" s="21" t="n">
        <v>875486</v>
      </c>
      <c r="M333" s="21" t="n">
        <v>1170</v>
      </c>
      <c r="N333" s="21" t="n">
        <v>201689</v>
      </c>
      <c r="O333" s="21" t="n">
        <v>44383</v>
      </c>
      <c r="P333" s="21" t="n">
        <v>1122728</v>
      </c>
      <c r="Q333" s="21" t="n">
        <v>901183</v>
      </c>
      <c r="R333" s="21">
        <f>IF(Q333="","",Q333*(1+in_GrowthRate)^(YEARFRAC(DATE(2024,6,30),in_AgeToDate)*IF(in_AgeToDate&lt;DATE(2024,6,30),-1,1)+1))</f>
        <v/>
      </c>
      <c r="S333" s="38" t="n">
        <v>1.229850160842135</v>
      </c>
      <c r="T333" s="43">
        <f>HYPERLINK("https://projects.propublica.org/nonprofits/organizations/364516257/202531199349301443/full","view filing")</f>
        <v/>
      </c>
    </row>
    <row r="334">
      <c r="A334" t="inlineStr">
        <is>
          <t>Unc Management Company Inc</t>
        </is>
      </c>
      <c r="B334" s="20" t="inlineStr">
        <is>
          <t>NC</t>
        </is>
      </c>
      <c r="C334" s="42" t="n">
        <v>6.22</v>
      </c>
      <c r="D334" t="inlineStr">
        <is>
          <t>Endowment</t>
        </is>
      </c>
      <c r="E334" s="20" t="n">
        <v>2024</v>
      </c>
      <c r="F334" s="20" t="inlineStr"/>
      <c r="G334" t="inlineStr">
        <is>
          <t>Rodgers Harshbarger</t>
        </is>
      </c>
      <c r="H334" t="inlineStr">
        <is>
          <t>MANAGING DIRECTOR, INVESTMENTS</t>
        </is>
      </c>
      <c r="I334" t="inlineStr">
        <is>
          <t>Managing Director</t>
        </is>
      </c>
      <c r="J334" s="21" t="n">
        <v>393967</v>
      </c>
      <c r="K334" s="21" t="n">
        <v>494813</v>
      </c>
      <c r="L334" s="21" t="n">
        <v>888780</v>
      </c>
      <c r="M334" s="21" t="n">
        <v>1170</v>
      </c>
      <c r="N334" s="21" t="n">
        <v>204446</v>
      </c>
      <c r="O334" s="21" t="n">
        <v>44376</v>
      </c>
      <c r="P334" s="21" t="n">
        <v>1138772</v>
      </c>
      <c r="Q334" s="21" t="n">
        <v>908025</v>
      </c>
      <c r="R334" s="21">
        <f>IF(Q334="","",Q334*(1+in_GrowthRate)^(YEARFRAC(DATE(2024,6,30),in_AgeToDate)*IF(in_AgeToDate&lt;DATE(2024,6,30),-1,1)+1))</f>
        <v/>
      </c>
      <c r="S334" s="38" t="n">
        <v>1.255975754314448</v>
      </c>
      <c r="T334" s="43">
        <f>HYPERLINK("https://projects.propublica.org/nonprofits/organizations/364516257/202531199349301443/full","view filing")</f>
        <v/>
      </c>
    </row>
    <row r="335">
      <c r="A335" t="inlineStr">
        <is>
          <t>Unc Management Company Inc</t>
        </is>
      </c>
      <c r="B335" s="20" t="inlineStr">
        <is>
          <t>NC</t>
        </is>
      </c>
      <c r="C335" s="42" t="n">
        <v>6.22</v>
      </c>
      <c r="D335" t="inlineStr">
        <is>
          <t>Endowment</t>
        </is>
      </c>
      <c r="E335" s="20" t="n">
        <v>2023</v>
      </c>
      <c r="F335" s="20" t="inlineStr"/>
      <c r="G335" t="inlineStr">
        <is>
          <t>Angela Moss</t>
        </is>
      </c>
      <c r="H335" t="inlineStr">
        <is>
          <t>MANAGING DIRECTOR, INVESTMENTS</t>
        </is>
      </c>
      <c r="I335" t="inlineStr">
        <is>
          <t>Managing Director</t>
        </is>
      </c>
      <c r="J335" s="21" t="n">
        <v>310044</v>
      </c>
      <c r="K335" s="21" t="n">
        <v>448565</v>
      </c>
      <c r="L335" s="21" t="n">
        <v>758609</v>
      </c>
      <c r="M335" s="21" t="n">
        <v>1170</v>
      </c>
      <c r="N335" s="21" t="n">
        <v>274971</v>
      </c>
      <c r="O335" s="21" t="n">
        <v>41483</v>
      </c>
      <c r="P335" s="21" t="n">
        <v>1076233</v>
      </c>
      <c r="Q335" s="21" t="n">
        <v>861835</v>
      </c>
      <c r="R335" s="21">
        <f>IF(Q335="","",Q335*(1+in_GrowthRate)^(YEARFRAC(DATE(2023,6,30),in_AgeToDate)*IF(in_AgeToDate&lt;DATE(2023,6,30),-1,1)+1))</f>
        <v/>
      </c>
      <c r="S335" s="38" t="n">
        <v>1.446778521758202</v>
      </c>
      <c r="T335" s="43">
        <f>HYPERLINK("https://projects.propublica.org/nonprofits/organizations/364516257/202431319349304158/full","view filing")</f>
        <v/>
      </c>
    </row>
    <row r="336">
      <c r="A336" t="inlineStr">
        <is>
          <t>Unc Management Company Inc</t>
        </is>
      </c>
      <c r="B336" s="20" t="inlineStr">
        <is>
          <t>NC</t>
        </is>
      </c>
      <c r="C336" s="42" t="n">
        <v>6.22</v>
      </c>
      <c r="D336" t="inlineStr">
        <is>
          <t>Endowment</t>
        </is>
      </c>
      <c r="E336" s="20" t="n">
        <v>2023</v>
      </c>
      <c r="F336" s="20" t="inlineStr"/>
      <c r="G336" t="inlineStr">
        <is>
          <t>Chris Bartholomew</t>
        </is>
      </c>
      <c r="H336" t="inlineStr">
        <is>
          <t>MANAGING DIRECTOR, INVESTMENTS</t>
        </is>
      </c>
      <c r="I336" t="inlineStr">
        <is>
          <t>Managing Director</t>
        </is>
      </c>
      <c r="J336" s="21" t="n">
        <v>309844</v>
      </c>
      <c r="K336" s="21" t="n">
        <v>448397</v>
      </c>
      <c r="L336" s="21" t="n">
        <v>758241</v>
      </c>
      <c r="M336" s="21" t="n">
        <v>780</v>
      </c>
      <c r="N336" s="21" t="n">
        <v>277438</v>
      </c>
      <c r="O336" s="21" t="n">
        <v>42418</v>
      </c>
      <c r="P336" s="21" t="n">
        <v>1078877</v>
      </c>
      <c r="Q336" s="21" t="n">
        <v>866861</v>
      </c>
      <c r="R336" s="21">
        <f>IF(Q336="","",Q336*(1+in_GrowthRate)^(YEARFRAC(DATE(2023,6,30),in_AgeToDate)*IF(in_AgeToDate&lt;DATE(2023,6,30),-1,1)+1))</f>
        <v/>
      </c>
      <c r="S336" s="38" t="n">
        <v>1.447170188869237</v>
      </c>
      <c r="T336" s="43">
        <f>HYPERLINK("https://projects.propublica.org/nonprofits/organizations/364516257/202431319349304158/full","view filing")</f>
        <v/>
      </c>
    </row>
    <row r="337">
      <c r="A337" t="inlineStr">
        <is>
          <t>Unc Management Company Inc</t>
        </is>
      </c>
      <c r="B337" s="20" t="inlineStr">
        <is>
          <t>NC</t>
        </is>
      </c>
      <c r="C337" s="42" t="n">
        <v>6.22</v>
      </c>
      <c r="D337" t="inlineStr">
        <is>
          <t>Endowment</t>
        </is>
      </c>
      <c r="E337" s="20" t="n">
        <v>2023</v>
      </c>
      <c r="F337" s="20" t="inlineStr"/>
      <c r="G337" t="inlineStr">
        <is>
          <t>Chris Rudolph</t>
        </is>
      </c>
      <c r="H337" t="inlineStr">
        <is>
          <t>MANAGING DIRECTOR, INVESTMENTS</t>
        </is>
      </c>
      <c r="I337" t="inlineStr">
        <is>
          <t>Managing Director</t>
        </is>
      </c>
      <c r="J337" s="21" t="n">
        <v>307194</v>
      </c>
      <c r="K337" s="21" t="n">
        <v>446939</v>
      </c>
      <c r="L337" s="21" t="n">
        <v>754133</v>
      </c>
      <c r="M337" s="21" t="n">
        <v>1170</v>
      </c>
      <c r="N337" s="21" t="n">
        <v>274971</v>
      </c>
      <c r="O337" s="21" t="n">
        <v>44333</v>
      </c>
      <c r="P337" s="21" t="n">
        <v>1074607</v>
      </c>
      <c r="Q337" s="21" t="n">
        <v>861766</v>
      </c>
      <c r="R337" s="21">
        <f>IF(Q337="","",Q337*(1+in_GrowthRate)^(YEARFRAC(DATE(2023,6,30),in_AgeToDate)*IF(in_AgeToDate&lt;DATE(2023,6,30),-1,1)+1))</f>
        <v/>
      </c>
      <c r="S337" s="38" t="n">
        <v>1.454907973463023</v>
      </c>
      <c r="T337" s="43">
        <f>HYPERLINK("https://projects.propublica.org/nonprofits/organizations/364516257/202431319349304158/full","view filing")</f>
        <v/>
      </c>
    </row>
    <row r="338">
      <c r="A338" t="inlineStr">
        <is>
          <t>Unc Management Company Inc</t>
        </is>
      </c>
      <c r="B338" s="20" t="inlineStr">
        <is>
          <t>NC</t>
        </is>
      </c>
      <c r="C338" s="42" t="n">
        <v>6.22</v>
      </c>
      <c r="D338" t="inlineStr">
        <is>
          <t>Endowment</t>
        </is>
      </c>
      <c r="E338" s="20" t="n">
        <v>2023</v>
      </c>
      <c r="F338" s="20" t="inlineStr"/>
      <c r="G338" t="inlineStr">
        <is>
          <t>Matthew Lesesky</t>
        </is>
      </c>
      <c r="H338" t="inlineStr">
        <is>
          <t>MANAGING DIRECTOR, INVESTMENTS</t>
        </is>
      </c>
      <c r="I338" t="inlineStr">
        <is>
          <t>Managing Director</t>
        </is>
      </c>
      <c r="J338" s="21" t="n">
        <v>309294</v>
      </c>
      <c r="K338" s="21" t="n">
        <v>448338</v>
      </c>
      <c r="L338" s="21" t="n">
        <v>757632</v>
      </c>
      <c r="M338" s="21" t="n">
        <v>1170</v>
      </c>
      <c r="N338" s="21" t="n">
        <v>277386</v>
      </c>
      <c r="O338" s="21" t="n">
        <v>42860</v>
      </c>
      <c r="P338" s="21" t="n">
        <v>1079048</v>
      </c>
      <c r="Q338" s="21" t="n">
        <v>867088</v>
      </c>
      <c r="R338" s="21">
        <f>IF(Q338="","",Q338*(1+in_GrowthRate)^(YEARFRAC(DATE(2023,6,30),in_AgeToDate)*IF(in_AgeToDate&lt;DATE(2023,6,30),-1,1)+1))</f>
        <v/>
      </c>
      <c r="S338" s="38" t="n">
        <v>1.449552852625657</v>
      </c>
      <c r="T338" s="43">
        <f>HYPERLINK("https://projects.propublica.org/nonprofits/organizations/364516257/202431319349304158/full","view filing")</f>
        <v/>
      </c>
    </row>
    <row r="339">
      <c r="A339" t="inlineStr">
        <is>
          <t>Unc Management Company Inc</t>
        </is>
      </c>
      <c r="B339" s="20" t="inlineStr">
        <is>
          <t>NC</t>
        </is>
      </c>
      <c r="C339" s="42" t="n">
        <v>6.22</v>
      </c>
      <c r="D339" t="inlineStr">
        <is>
          <t>Endowment</t>
        </is>
      </c>
      <c r="E339" s="20" t="n">
        <v>2023</v>
      </c>
      <c r="F339" s="20" t="inlineStr"/>
      <c r="G339" t="inlineStr">
        <is>
          <t>Rodgers Harshbarger</t>
        </is>
      </c>
      <c r="H339" t="inlineStr">
        <is>
          <t>MANAGING DIRECTOR, INVESTMENTS</t>
        </is>
      </c>
      <c r="I339" t="inlineStr">
        <is>
          <t>Managing Director</t>
        </is>
      </c>
      <c r="J339" s="21" t="n">
        <v>318160</v>
      </c>
      <c r="K339" s="21" t="n">
        <v>468649</v>
      </c>
      <c r="L339" s="21" t="n">
        <v>786809</v>
      </c>
      <c r="M339" s="21" t="n">
        <v>1170</v>
      </c>
      <c r="N339" s="21" t="n">
        <v>289653</v>
      </c>
      <c r="O339" s="21" t="n">
        <v>41976</v>
      </c>
      <c r="P339" s="21" t="n">
        <v>1119608</v>
      </c>
      <c r="Q339" s="21" t="n">
        <v>899814</v>
      </c>
      <c r="R339" s="21">
        <f>IF(Q339="","",Q339*(1+in_GrowthRate)^(YEARFRAC(DATE(2023,6,30),in_AgeToDate)*IF(in_AgeToDate&lt;DATE(2023,6,30),-1,1)+1))</f>
        <v/>
      </c>
      <c r="S339" s="38" t="n">
        <v>1.472997862710586</v>
      </c>
      <c r="T339" s="43">
        <f>HYPERLINK("https://projects.propublica.org/nonprofits/organizations/364516257/202431319349304158/full","view filing")</f>
        <v/>
      </c>
    </row>
    <row r="340">
      <c r="A340" t="inlineStr">
        <is>
          <t>University Of Chicago</t>
        </is>
      </c>
      <c r="B340" s="20" t="inlineStr">
        <is>
          <t>IL</t>
        </is>
      </c>
      <c r="C340" s="42" t="n">
        <v>10.62</v>
      </c>
      <c r="D340" t="inlineStr">
        <is>
          <t>Endowment</t>
        </is>
      </c>
      <c r="E340" s="20" t="n">
        <v>2024</v>
      </c>
      <c r="F340" s="20" t="inlineStr"/>
      <c r="G340" t="inlineStr">
        <is>
          <t>Joanna Rupp</t>
        </is>
      </c>
      <c r="H340" t="inlineStr">
        <is>
          <t>ASST VP/MNG DIR PE</t>
        </is>
      </c>
      <c r="I340" t="inlineStr">
        <is>
          <t>Managing Director</t>
        </is>
      </c>
      <c r="J340" s="21" t="n">
        <v>562072</v>
      </c>
      <c r="K340" s="21" t="n">
        <v>890476</v>
      </c>
      <c r="L340" s="21" t="n">
        <v>1452548</v>
      </c>
      <c r="M340" s="21" t="n"/>
      <c r="N340" s="21" t="n">
        <v>26400</v>
      </c>
      <c r="O340" s="21" t="n">
        <v>25371</v>
      </c>
      <c r="P340" s="21" t="n">
        <v>1504319</v>
      </c>
      <c r="Q340" s="21" t="n">
        <v>1504319</v>
      </c>
      <c r="R340" s="21">
        <f>IF(Q340="","",Q340*(1+in_GrowthRate)^(YEARFRAC(DATE(2024,6,30),in_AgeToDate)*IF(in_AgeToDate&lt;DATE(2024,6,30),-1,1)+1))</f>
        <v/>
      </c>
      <c r="S340" s="38" t="n">
        <v>1.58427390085256</v>
      </c>
      <c r="T340" s="43">
        <f>HYPERLINK("https://projects.propublica.org/nonprofits/organizations/362177139/202541359349309109/full","view filing")</f>
        <v/>
      </c>
    </row>
    <row r="341">
      <c r="A341" t="inlineStr">
        <is>
          <t>University Of Chicago</t>
        </is>
      </c>
      <c r="B341" s="20" t="inlineStr">
        <is>
          <t>IL</t>
        </is>
      </c>
      <c r="C341" s="42" t="n">
        <v>10.62</v>
      </c>
      <c r="D341" t="inlineStr">
        <is>
          <t>Endowment</t>
        </is>
      </c>
      <c r="E341" s="20" t="n">
        <v>2024</v>
      </c>
      <c r="F341" s="20" t="inlineStr"/>
      <c r="G341" t="inlineStr">
        <is>
          <t>Patrick O'Hara</t>
        </is>
      </c>
      <c r="H341" t="inlineStr">
        <is>
          <t>ASSI VP, COO AND MG DIR</t>
        </is>
      </c>
      <c r="I341" t="inlineStr">
        <is>
          <t>Managing Director</t>
        </is>
      </c>
      <c r="J341" s="21" t="n">
        <v>99102</v>
      </c>
      <c r="K341" s="21" t="n">
        <v>436169</v>
      </c>
      <c r="L341" s="21" t="n">
        <v>535271</v>
      </c>
      <c r="M341" s="21" t="n"/>
      <c r="N341" s="21" t="n">
        <v>1597</v>
      </c>
      <c r="O341" s="21" t="n">
        <v>2350</v>
      </c>
      <c r="P341" s="21" t="n">
        <v>539218</v>
      </c>
      <c r="Q341" s="21" t="n">
        <v>539218</v>
      </c>
      <c r="R341" s="21">
        <f>IF(Q341="","",Q341*(1+in_GrowthRate)^(YEARFRAC(DATE(2024,6,30),in_AgeToDate)*IF(in_AgeToDate&lt;DATE(2024,6,30),-1,1)+1))</f>
        <v/>
      </c>
      <c r="S341" s="38" t="n">
        <v>4.401212891768077</v>
      </c>
      <c r="T341" s="43">
        <f>HYPERLINK("https://projects.propublica.org/nonprofits/organizations/362177139/202541359349309109/full","view filing")</f>
        <v/>
      </c>
    </row>
    <row r="342">
      <c r="A342" t="inlineStr">
        <is>
          <t>University Of Chicago</t>
        </is>
      </c>
      <c r="B342" s="20" t="inlineStr">
        <is>
          <t>IL</t>
        </is>
      </c>
      <c r="C342" s="42" t="n">
        <v>10.62</v>
      </c>
      <c r="D342" t="inlineStr">
        <is>
          <t>Endowment</t>
        </is>
      </c>
      <c r="E342" s="20" t="n">
        <v>2023</v>
      </c>
      <c r="F342" s="20" t="inlineStr"/>
      <c r="G342" t="inlineStr">
        <is>
          <t>Matthew Stone</t>
        </is>
      </c>
      <c r="H342" t="inlineStr">
        <is>
          <t>Managing Director of Public Markets</t>
        </is>
      </c>
      <c r="I342" t="inlineStr">
        <is>
          <t>Managing Director</t>
        </is>
      </c>
      <c r="J342" s="21" t="n">
        <v>410730</v>
      </c>
      <c r="K342" s="21" t="n">
        <v>1334135</v>
      </c>
      <c r="L342" s="21" t="n">
        <v>1744865</v>
      </c>
      <c r="M342" s="21" t="n">
        <v>81456</v>
      </c>
      <c r="N342" s="21" t="n">
        <v>24400</v>
      </c>
      <c r="O342" s="21" t="n">
        <v>23560</v>
      </c>
      <c r="P342" s="21" t="n">
        <v>1874281</v>
      </c>
      <c r="Q342" s="21" t="n">
        <v>1874281</v>
      </c>
      <c r="R342" s="21">
        <f>IF(Q342="","",Q342*(1+in_GrowthRate)^(YEARFRAC(DATE(2023,6,30),in_AgeToDate)*IF(in_AgeToDate&lt;DATE(2023,6,30),-1,1)+1))</f>
        <v/>
      </c>
      <c r="S342" s="38" t="n">
        <v>3.248204416526672</v>
      </c>
      <c r="T342" s="43">
        <f>HYPERLINK("https://projects.propublica.org/nonprofits/organizations/362177139/202421349349306107/full","view filing")</f>
        <v/>
      </c>
    </row>
    <row r="343">
      <c r="A343" t="inlineStr">
        <is>
          <t>University Of Chicago</t>
        </is>
      </c>
      <c r="B343" s="20" t="inlineStr">
        <is>
          <t>IL</t>
        </is>
      </c>
      <c r="C343" s="42" t="n">
        <v>10.62</v>
      </c>
      <c r="D343" t="inlineStr">
        <is>
          <t>Endowment</t>
        </is>
      </c>
      <c r="E343" s="20" t="n">
        <v>2022</v>
      </c>
      <c r="F343" s="20" t="inlineStr"/>
      <c r="G343" t="inlineStr">
        <is>
          <t>Joanna Rupp</t>
        </is>
      </c>
      <c r="H343" t="inlineStr">
        <is>
          <t>Managing Director Private Equity</t>
        </is>
      </c>
      <c r="I343" t="inlineStr">
        <is>
          <t>Managing Director</t>
        </is>
      </c>
      <c r="J343" s="21" t="n">
        <v>521406</v>
      </c>
      <c r="K343" s="21" t="n">
        <v>986319</v>
      </c>
      <c r="L343" s="21" t="n">
        <v>1507725</v>
      </c>
      <c r="M343" s="21" t="n"/>
      <c r="N343" s="21" t="n">
        <v>23200</v>
      </c>
      <c r="O343" s="21" t="n">
        <v>44774</v>
      </c>
      <c r="P343" s="21" t="n">
        <v>1575699</v>
      </c>
      <c r="Q343" s="21" t="n">
        <v>1575699</v>
      </c>
      <c r="R343" s="21">
        <f>IF(Q343="","",Q343*(1+in_GrowthRate)^(YEARFRAC(DATE(2022,6,30),in_AgeToDate)*IF(in_AgeToDate&lt;DATE(2022,6,30),-1,1)+1))</f>
        <v/>
      </c>
      <c r="S343" s="38" t="n">
        <v>1.891652570166051</v>
      </c>
      <c r="T343" s="43">
        <f>HYPERLINK("https://projects.propublica.org/nonprofits/organizations/362177139/202321329349307887/full","view filing")</f>
        <v/>
      </c>
    </row>
    <row r="344">
      <c r="A344" t="inlineStr">
        <is>
          <t>University Of Illinois Foundation</t>
        </is>
      </c>
      <c r="B344" s="20" t="inlineStr">
        <is>
          <t>IL</t>
        </is>
      </c>
      <c r="C344" s="42" t="n">
        <v>3.8</v>
      </c>
      <c r="D344" t="inlineStr">
        <is>
          <t>Endowment</t>
        </is>
      </c>
      <c r="E344" s="20" t="n">
        <v>2025</v>
      </c>
      <c r="F344" s="20">
        <f>IF(AND(OR(in_Mode="All Funds",AND(C344&gt;=in_BandFloor,C344&lt;=in_BandCeiling,OR(in_Geography="National",COUNTIFS(lst_GeoPreset,in_Geography,lst_GeoState,B344)&gt;0,AND(in_Geography="Custom",ISNUMBER(SEARCH(B344,SUBSTITUTE(in_CustomStates," ",""))))),OR(AND(D344="Endowment",Inputs!$B$14="Y"),AND(D344="Foundation",Inputs!$B$15="Y"),AND(D344="Healthcare",Inputs!$B$16="Y"),AND(D344="Pension",Inputs!$B$17="Y"),AND(D344="OCIO",Inputs!$B$18="Y"),AND(D344="Other",Inputs!$B$19="Y")))),A344&lt;&gt;in_ClientOrg,NOT(AND(in_ExclHarvard="Y",ISNUMBER(SEARCH("Harvard",A344))))),"Y","")</f>
        <v/>
      </c>
      <c r="G344" t="inlineStr">
        <is>
          <t>Frank Robinson</t>
        </is>
      </c>
      <c r="H344" t="inlineStr">
        <is>
          <t>Managing Director</t>
        </is>
      </c>
      <c r="I344" t="inlineStr">
        <is>
          <t>Managing Director</t>
        </is>
      </c>
      <c r="J344" s="21" t="n">
        <v>368910</v>
      </c>
      <c r="K344" s="21" t="n">
        <v>375000</v>
      </c>
      <c r="L344" s="21" t="n">
        <v>743910</v>
      </c>
      <c r="M344" s="21" t="n"/>
      <c r="N344" s="21" t="n">
        <v>25650</v>
      </c>
      <c r="O344" s="21" t="n">
        <v>33177</v>
      </c>
      <c r="P344" s="21" t="n">
        <v>802737</v>
      </c>
      <c r="Q344" s="21" t="n">
        <v>802737</v>
      </c>
      <c r="R344" s="21">
        <f>IF(Q344="","",Q344*(1+in_GrowthRate)^(YEARFRAC(DATE(2025,6,30),in_AgeToDate)*IF(in_AgeToDate&lt;DATE(2025,6,30),-1,1)+1))</f>
        <v/>
      </c>
      <c r="S344" s="38" t="n">
        <v>1.016508091404408</v>
      </c>
      <c r="T344" s="43">
        <f>HYPERLINK("https://projects.propublica.org/nonprofits/organizations/376006007/202631359349306108/full","view filing")</f>
        <v/>
      </c>
    </row>
    <row r="345">
      <c r="A345" t="inlineStr">
        <is>
          <t>University Of Illinois Foundation</t>
        </is>
      </c>
      <c r="B345" s="20" t="inlineStr">
        <is>
          <t>IL</t>
        </is>
      </c>
      <c r="C345" s="42" t="n">
        <v>3.8</v>
      </c>
      <c r="D345" t="inlineStr">
        <is>
          <t>Endowment</t>
        </is>
      </c>
      <c r="E345" s="20" t="n">
        <v>2025</v>
      </c>
      <c r="F345" s="20">
        <f>IF(AND(OR(in_Mode="All Funds",AND(C345&gt;=in_BandFloor,C345&lt;=in_BandCeiling,OR(in_Geography="National",COUNTIFS(lst_GeoPreset,in_Geography,lst_GeoState,B345)&gt;0,AND(in_Geography="Custom",ISNUMBER(SEARCH(B345,SUBSTITUTE(in_CustomStates," ",""))))),OR(AND(D345="Endowment",Inputs!$B$14="Y"),AND(D345="Foundation",Inputs!$B$15="Y"),AND(D345="Healthcare",Inputs!$B$16="Y"),AND(D345="Pension",Inputs!$B$17="Y"),AND(D345="OCIO",Inputs!$B$18="Y"),AND(D345="Other",Inputs!$B$19="Y")))),A345&lt;&gt;in_ClientOrg,NOT(AND(in_ExclHarvard="Y",ISNUMBER(SEARCH("Harvard",A345))))),"Y","")</f>
        <v/>
      </c>
      <c r="G345" t="inlineStr">
        <is>
          <t>Jeremy Heer</t>
        </is>
      </c>
      <c r="H345" t="inlineStr">
        <is>
          <t>Managing Director</t>
        </is>
      </c>
      <c r="I345" t="inlineStr">
        <is>
          <t>Managing Director</t>
        </is>
      </c>
      <c r="J345" s="21" t="n">
        <v>336516</v>
      </c>
      <c r="K345" s="21" t="n">
        <v>300000</v>
      </c>
      <c r="L345" s="21" t="n">
        <v>636516</v>
      </c>
      <c r="M345" s="21" t="n"/>
      <c r="N345" s="21" t="n">
        <v>25650</v>
      </c>
      <c r="O345" s="21" t="n">
        <v>30621</v>
      </c>
      <c r="P345" s="21" t="n">
        <v>692787</v>
      </c>
      <c r="Q345" s="21" t="n">
        <v>692787</v>
      </c>
      <c r="R345" s="21">
        <f>IF(Q345="","",Q345*(1+in_GrowthRate)^(YEARFRAC(DATE(2025,6,30),in_AgeToDate)*IF(in_AgeToDate&lt;DATE(2025,6,30),-1,1)+1))</f>
        <v/>
      </c>
      <c r="S345" s="38" t="n">
        <v>0.8914880718895981</v>
      </c>
      <c r="T345" s="43">
        <f>HYPERLINK("https://projects.propublica.org/nonprofits/organizations/376006007/202631359349306108/full","view filing")</f>
        <v/>
      </c>
    </row>
    <row r="346">
      <c r="A346" t="inlineStr">
        <is>
          <t>University Of Illinois Foundation</t>
        </is>
      </c>
      <c r="B346" s="20" t="inlineStr">
        <is>
          <t>IL</t>
        </is>
      </c>
      <c r="C346" s="42" t="n">
        <v>3.8</v>
      </c>
      <c r="D346" t="inlineStr">
        <is>
          <t>Endowment</t>
        </is>
      </c>
      <c r="E346" s="20" t="n">
        <v>2025</v>
      </c>
      <c r="F346" s="20">
        <f>IF(AND(OR(in_Mode="All Funds",AND(C346&gt;=in_BandFloor,C346&lt;=in_BandCeiling,OR(in_Geography="National",COUNTIFS(lst_GeoPreset,in_Geography,lst_GeoState,B346)&gt;0,AND(in_Geography="Custom",ISNUMBER(SEARCH(B346,SUBSTITUTE(in_CustomStates," ",""))))),OR(AND(D346="Endowment",Inputs!$B$14="Y"),AND(D346="Foundation",Inputs!$B$15="Y"),AND(D346="Healthcare",Inputs!$B$16="Y"),AND(D346="Pension",Inputs!$B$17="Y"),AND(D346="OCIO",Inputs!$B$18="Y"),AND(D346="Other",Inputs!$B$19="Y")))),A346&lt;&gt;in_ClientOrg,NOT(AND(in_ExclHarvard="Y",ISNUMBER(SEARCH("Harvard",A346))))),"Y","")</f>
        <v/>
      </c>
      <c r="G346" t="inlineStr">
        <is>
          <t>Matthew Mcganity</t>
        </is>
      </c>
      <c r="H346" t="inlineStr">
        <is>
          <t>Managing Director</t>
        </is>
      </c>
      <c r="I346" t="inlineStr">
        <is>
          <t>Managing Director</t>
        </is>
      </c>
      <c r="J346" s="21" t="n">
        <v>369636</v>
      </c>
      <c r="K346" s="21" t="n">
        <v>375000</v>
      </c>
      <c r="L346" s="21" t="n">
        <v>744636</v>
      </c>
      <c r="M346" s="21" t="n"/>
      <c r="N346" s="21" t="n">
        <v>25650</v>
      </c>
      <c r="O346" s="21" t="n">
        <v>25471</v>
      </c>
      <c r="P346" s="21" t="n">
        <v>795757</v>
      </c>
      <c r="Q346" s="21" t="n">
        <v>795757</v>
      </c>
      <c r="R346" s="21">
        <f>IF(Q346="","",Q346*(1+in_GrowthRate)^(YEARFRAC(DATE(2025,6,30),in_AgeToDate)*IF(in_AgeToDate&lt;DATE(2025,6,30),-1,1)+1))</f>
        <v/>
      </c>
      <c r="S346" s="38" t="n">
        <v>1.014511573548031</v>
      </c>
      <c r="T346" s="43">
        <f>HYPERLINK("https://projects.propublica.org/nonprofits/organizations/376006007/202631359349306108/full","view filing")</f>
        <v/>
      </c>
    </row>
    <row r="347">
      <c r="A347" t="inlineStr">
        <is>
          <t>University Of Illinois Foundation</t>
        </is>
      </c>
      <c r="B347" s="20" t="inlineStr">
        <is>
          <t>IL</t>
        </is>
      </c>
      <c r="C347" s="42" t="n">
        <v>3.8</v>
      </c>
      <c r="D347" t="inlineStr">
        <is>
          <t>Endowment</t>
        </is>
      </c>
      <c r="E347" s="20" t="n">
        <v>2024</v>
      </c>
      <c r="F347" s="20" t="inlineStr"/>
      <c r="G347" t="inlineStr">
        <is>
          <t>Frank Robinson</t>
        </is>
      </c>
      <c r="H347" t="inlineStr">
        <is>
          <t>Managing Director</t>
        </is>
      </c>
      <c r="I347" t="inlineStr">
        <is>
          <t>Managing Director</t>
        </is>
      </c>
      <c r="J347" s="21" t="n">
        <v>369000</v>
      </c>
      <c r="K347" s="21" t="n">
        <v>375000</v>
      </c>
      <c r="L347" s="21" t="n">
        <v>744000</v>
      </c>
      <c r="M347" s="21" t="n"/>
      <c r="N347" s="21" t="n">
        <v>24130</v>
      </c>
      <c r="O347" s="21" t="n">
        <v>30563</v>
      </c>
      <c r="P347" s="21" t="n">
        <v>798693</v>
      </c>
      <c r="Q347" s="21" t="n">
        <v>798693</v>
      </c>
      <c r="R347" s="21">
        <f>IF(Q347="","",Q347*(1+in_GrowthRate)^(YEARFRAC(DATE(2024,6,30),in_AgeToDate)*IF(in_AgeToDate&lt;DATE(2024,6,30),-1,1)+1))</f>
        <v/>
      </c>
      <c r="S347" s="38" t="n">
        <v>1.016260162601626</v>
      </c>
      <c r="T347" s="43">
        <f>HYPERLINK("https://projects.propublica.org/nonprofits/organizations/376006007/202541259349303159/full","view filing")</f>
        <v/>
      </c>
    </row>
    <row r="348">
      <c r="A348" t="inlineStr">
        <is>
          <t>University Of Illinois Foundation</t>
        </is>
      </c>
      <c r="B348" s="20" t="inlineStr">
        <is>
          <t>IL</t>
        </is>
      </c>
      <c r="C348" s="42" t="n">
        <v>3.8</v>
      </c>
      <c r="D348" t="inlineStr">
        <is>
          <t>Endowment</t>
        </is>
      </c>
      <c r="E348" s="20" t="n">
        <v>2024</v>
      </c>
      <c r="F348" s="20" t="inlineStr"/>
      <c r="G348" t="inlineStr">
        <is>
          <t>Matthew Mcganity</t>
        </is>
      </c>
      <c r="H348" t="inlineStr">
        <is>
          <t>Managing Director</t>
        </is>
      </c>
      <c r="I348" t="inlineStr">
        <is>
          <t>Managing Director</t>
        </is>
      </c>
      <c r="J348" s="21" t="n">
        <v>371871</v>
      </c>
      <c r="K348" s="21" t="n">
        <v>375000</v>
      </c>
      <c r="L348" s="21" t="n">
        <v>746871</v>
      </c>
      <c r="M348" s="21" t="n"/>
      <c r="N348" s="21" t="n">
        <v>25764</v>
      </c>
      <c r="O348" s="21" t="n">
        <v>19516</v>
      </c>
      <c r="P348" s="21" t="n">
        <v>792151</v>
      </c>
      <c r="Q348" s="21" t="n">
        <v>792151</v>
      </c>
      <c r="R348" s="21">
        <f>IF(Q348="","",Q348*(1+in_GrowthRate)^(YEARFRAC(DATE(2024,6,30),in_AgeToDate)*IF(in_AgeToDate&lt;DATE(2024,6,30),-1,1)+1))</f>
        <v/>
      </c>
      <c r="S348" s="38" t="n">
        <v>1.008414208152827</v>
      </c>
      <c r="T348" s="43">
        <f>HYPERLINK("https://projects.propublica.org/nonprofits/organizations/376006007/202541259349303159/full","view filing")</f>
        <v/>
      </c>
    </row>
    <row r="349">
      <c r="A349" t="inlineStr">
        <is>
          <t>University Of Illinois Foundation</t>
        </is>
      </c>
      <c r="B349" s="20" t="inlineStr">
        <is>
          <t>IL</t>
        </is>
      </c>
      <c r="C349" s="42" t="n">
        <v>3.8</v>
      </c>
      <c r="D349" t="inlineStr">
        <is>
          <t>Endowment</t>
        </is>
      </c>
      <c r="E349" s="20" t="n">
        <v>2023</v>
      </c>
      <c r="F349" s="20" t="inlineStr"/>
      <c r="G349" t="inlineStr">
        <is>
          <t>Frank Robinson</t>
        </is>
      </c>
      <c r="H349" t="inlineStr">
        <is>
          <t>Managing Director</t>
        </is>
      </c>
      <c r="I349" t="inlineStr">
        <is>
          <t>Managing Director</t>
        </is>
      </c>
      <c r="J349" s="21" t="n">
        <v>120370</v>
      </c>
      <c r="K349" s="21" t="n">
        <v>175000</v>
      </c>
      <c r="L349" s="21" t="n">
        <v>295370</v>
      </c>
      <c r="M349" s="21" t="n">
        <v>3089</v>
      </c>
      <c r="N349" s="21" t="n">
        <v>16684</v>
      </c>
      <c r="O349" s="21" t="n">
        <v>15127</v>
      </c>
      <c r="P349" s="21" t="n">
        <v>330270</v>
      </c>
      <c r="Q349" s="21" t="n">
        <v>330270</v>
      </c>
      <c r="R349" s="21">
        <f>IF(Q349="","",Q349*(1+in_GrowthRate)^(YEARFRAC(DATE(2023,6,30),in_AgeToDate)*IF(in_AgeToDate&lt;DATE(2023,6,30),-1,1)+1))</f>
        <v/>
      </c>
      <c r="S349" s="38" t="n">
        <v>1.453850627232699</v>
      </c>
      <c r="T349" s="43">
        <f>HYPERLINK("https://projects.propublica.org/nonprofits/organizations/376006007/202401239349301400/full","view filing")</f>
        <v/>
      </c>
    </row>
    <row r="350">
      <c r="A350" t="inlineStr">
        <is>
          <t>University Of Illinois Foundation</t>
        </is>
      </c>
      <c r="B350" s="20" t="inlineStr">
        <is>
          <t>IL</t>
        </is>
      </c>
      <c r="C350" s="42" t="n">
        <v>3.8</v>
      </c>
      <c r="D350" t="inlineStr">
        <is>
          <t>Endowment</t>
        </is>
      </c>
      <c r="E350" s="20" t="n">
        <v>2023</v>
      </c>
      <c r="F350" s="20" t="inlineStr"/>
      <c r="G350" t="inlineStr">
        <is>
          <t>Matthew Mcganity</t>
        </is>
      </c>
      <c r="H350" t="inlineStr">
        <is>
          <t>Managing Director</t>
        </is>
      </c>
      <c r="I350" t="inlineStr">
        <is>
          <t>Managing Director</t>
        </is>
      </c>
      <c r="J350" s="21" t="n">
        <v>121018</v>
      </c>
      <c r="K350" s="21" t="n">
        <v>175000</v>
      </c>
      <c r="L350" s="21" t="n">
        <v>296018</v>
      </c>
      <c r="M350" s="21" t="n">
        <v>8500</v>
      </c>
      <c r="N350" s="21" t="n">
        <v>18318</v>
      </c>
      <c r="O350" s="21" t="n">
        <v>8705</v>
      </c>
      <c r="P350" s="21" t="n">
        <v>331541</v>
      </c>
      <c r="Q350" s="21" t="n">
        <v>331541</v>
      </c>
      <c r="R350" s="21">
        <f>IF(Q350="","",Q350*(1+in_GrowthRate)^(YEARFRAC(DATE(2023,6,30),in_AgeToDate)*IF(in_AgeToDate&lt;DATE(2023,6,30),-1,1)+1))</f>
        <v/>
      </c>
      <c r="S350" s="38" t="n">
        <v>1.446065874498009</v>
      </c>
      <c r="T350" s="43">
        <f>HYPERLINK("https://projects.propublica.org/nonprofits/organizations/376006007/202401239349301400/full","view filing")</f>
        <v/>
      </c>
    </row>
    <row r="351">
      <c r="A351" t="inlineStr">
        <is>
          <t>University Of Massachusetts Foundation Inc</t>
        </is>
      </c>
      <c r="B351" s="20" t="inlineStr">
        <is>
          <t>MA</t>
        </is>
      </c>
      <c r="C351" s="42" t="n">
        <v>1.8</v>
      </c>
      <c r="D351" t="inlineStr">
        <is>
          <t>Endowment</t>
        </is>
      </c>
      <c r="E351" s="20" t="n">
        <v>2025</v>
      </c>
      <c r="F351" s="20">
        <f>IF(AND(OR(in_Mode="All Funds",AND(C351&gt;=in_BandFloor,C351&lt;=in_BandCeiling,OR(in_Geography="National",COUNTIFS(lst_GeoPreset,in_Geography,lst_GeoState,B351)&gt;0,AND(in_Geography="Custom",ISNUMBER(SEARCH(B351,SUBSTITUTE(in_CustomStates," ",""))))),OR(AND(D351="Endowment",Inputs!$B$14="Y"),AND(D351="Foundation",Inputs!$B$15="Y"),AND(D351="Healthcare",Inputs!$B$16="Y"),AND(D351="Pension",Inputs!$B$17="Y"),AND(D351="OCIO",Inputs!$B$18="Y"),AND(D351="Other",Inputs!$B$19="Y")))),A351&lt;&gt;in_ClientOrg,NOT(AND(in_ExclHarvard="Y",ISNUMBER(SEARCH("Harvard",A351))))),"Y","")</f>
        <v/>
      </c>
      <c r="G351" t="inlineStr">
        <is>
          <t>Geoffrey Bowes</t>
        </is>
      </c>
      <c r="H351" t="inlineStr">
        <is>
          <t>MANAGING DIRECTOR, INVESTMENT TEAM</t>
        </is>
      </c>
      <c r="I351" t="inlineStr">
        <is>
          <t>Managing Director</t>
        </is>
      </c>
      <c r="J351" s="21" t="n">
        <v>326437</v>
      </c>
      <c r="K351" s="21" t="n">
        <v>103350</v>
      </c>
      <c r="L351" s="21" t="n">
        <v>429787</v>
      </c>
      <c r="M351" s="21" t="n">
        <v>134039</v>
      </c>
      <c r="N351" s="21" t="n">
        <v>137850</v>
      </c>
      <c r="O351" s="21" t="n">
        <v>42076</v>
      </c>
      <c r="P351" s="21" t="n">
        <v>743752</v>
      </c>
      <c r="Q351" s="21" t="n">
        <v>634386</v>
      </c>
      <c r="R351" s="21">
        <f>IF(Q351="","",Q351*(1+in_GrowthRate)^(YEARFRAC(DATE(2025,6,30),in_AgeToDate)*IF(in_AgeToDate&lt;DATE(2025,6,30),-1,1)+1))</f>
        <v/>
      </c>
      <c r="S351" s="38" t="n">
        <v>0.316600140302723</v>
      </c>
      <c r="T351" s="43">
        <f>HYPERLINK("https://projects.propublica.org/nonprofits/organizations/46013152/202601359349306395/full","view filing")</f>
        <v/>
      </c>
    </row>
    <row r="352">
      <c r="A352" t="inlineStr">
        <is>
          <t>University Of Massachusetts Foundation Inc</t>
        </is>
      </c>
      <c r="B352" s="20" t="inlineStr">
        <is>
          <t>MA</t>
        </is>
      </c>
      <c r="C352" s="42" t="n">
        <v>1.8</v>
      </c>
      <c r="D352" t="inlineStr">
        <is>
          <t>Endowment</t>
        </is>
      </c>
      <c r="E352" s="20" t="n">
        <v>2024</v>
      </c>
      <c r="F352" s="20" t="inlineStr"/>
      <c r="G352" t="inlineStr">
        <is>
          <t>Geoffrey Bowes</t>
        </is>
      </c>
      <c r="H352" t="inlineStr">
        <is>
          <t>MANAGING DIRECTOR, INVESTMENT TEAM</t>
        </is>
      </c>
      <c r="I352" t="inlineStr">
        <is>
          <t>Managing Director</t>
        </is>
      </c>
      <c r="J352" s="21" t="n">
        <v>310553</v>
      </c>
      <c r="K352" s="21" t="n">
        <v>118875</v>
      </c>
      <c r="L352" s="21" t="n">
        <v>429428</v>
      </c>
      <c r="M352" s="21" t="n">
        <v>161987</v>
      </c>
      <c r="N352" s="21" t="n">
        <v>151875</v>
      </c>
      <c r="O352" s="21" t="n">
        <v>33129</v>
      </c>
      <c r="P352" s="21" t="n">
        <v>776419</v>
      </c>
      <c r="Q352" s="21" t="n">
        <v>614432</v>
      </c>
      <c r="R352" s="21">
        <f>IF(Q352="","",Q352*(1+in_GrowthRate)^(YEARFRAC(DATE(2024,6,30),in_AgeToDate)*IF(in_AgeToDate&lt;DATE(2024,6,30),-1,1)+1))</f>
        <v/>
      </c>
      <c r="S352" s="38" t="n">
        <v>0.3827849030600252</v>
      </c>
      <c r="T352" s="43">
        <f>HYPERLINK("https://projects.propublica.org/nonprofits/organizations/46013152/202541359349312684/full","view filing")</f>
        <v/>
      </c>
    </row>
    <row r="353">
      <c r="A353" t="inlineStr">
        <is>
          <t>University Of Massachusetts Foundation Inc</t>
        </is>
      </c>
      <c r="B353" s="20" t="inlineStr">
        <is>
          <t>MA</t>
        </is>
      </c>
      <c r="C353" s="42" t="n">
        <v>1.8</v>
      </c>
      <c r="D353" t="inlineStr">
        <is>
          <t>Endowment</t>
        </is>
      </c>
      <c r="E353" s="20" t="n">
        <v>2023</v>
      </c>
      <c r="F353" s="20" t="inlineStr"/>
      <c r="G353" t="inlineStr">
        <is>
          <t>Geoffrey Bowes</t>
        </is>
      </c>
      <c r="H353" t="inlineStr">
        <is>
          <t>MANAGING DIRECTOR, INVESTMENT TEAM</t>
        </is>
      </c>
      <c r="I353" t="inlineStr">
        <is>
          <t>Managing Director</t>
        </is>
      </c>
      <c r="J353" s="21" t="n">
        <v>316433</v>
      </c>
      <c r="K353" s="21" t="n">
        <v>192390</v>
      </c>
      <c r="L353" s="21" t="n">
        <v>508823</v>
      </c>
      <c r="M353" s="21" t="n"/>
      <c r="N353" s="21" t="n">
        <v>230210</v>
      </c>
      <c r="O353" s="21" t="n">
        <v>26601</v>
      </c>
      <c r="P353" s="21" t="n">
        <v>765634</v>
      </c>
      <c r="Q353" s="21" t="n">
        <v>665779</v>
      </c>
      <c r="R353" s="21">
        <f>IF(Q353="","",Q353*(1+in_GrowthRate)^(YEARFRAC(DATE(2023,6,30),in_AgeToDate)*IF(in_AgeToDate&lt;DATE(2023,6,30),-1,1)+1))</f>
        <v/>
      </c>
      <c r="S353" s="38" t="n">
        <v>0.6079960054735125</v>
      </c>
      <c r="T353" s="43">
        <f>HYPERLINK("https://projects.propublica.org/nonprofits/organizations/46013152/202431369349310888/full","view filing")</f>
        <v/>
      </c>
    </row>
    <row r="354">
      <c r="A354" t="inlineStr">
        <is>
          <t>University Of Massachusetts Foundation Inc</t>
        </is>
      </c>
      <c r="B354" s="20" t="inlineStr">
        <is>
          <t>MA</t>
        </is>
      </c>
      <c r="C354" s="42" t="n">
        <v>1.8</v>
      </c>
      <c r="D354" t="inlineStr">
        <is>
          <t>Endowment</t>
        </is>
      </c>
      <c r="E354" s="20" t="n">
        <v>2022</v>
      </c>
      <c r="F354" s="20" t="inlineStr"/>
      <c r="G354" t="inlineStr">
        <is>
          <t>Geoffrey Bowes</t>
        </is>
      </c>
      <c r="H354" t="inlineStr">
        <is>
          <t>MANAGING DIRECTOR, INVESTMENT TEAM</t>
        </is>
      </c>
      <c r="I354" t="inlineStr">
        <is>
          <t>Managing Director</t>
        </is>
      </c>
      <c r="J354" s="21" t="n">
        <v>317013</v>
      </c>
      <c r="K354" s="21" t="n">
        <v>39625</v>
      </c>
      <c r="L354" s="21" t="n">
        <v>356638</v>
      </c>
      <c r="M354" s="21" t="n"/>
      <c r="N354" s="21" t="n">
        <v>128855</v>
      </c>
      <c r="O354" s="21" t="n">
        <v>33401</v>
      </c>
      <c r="P354" s="21" t="n">
        <v>518894</v>
      </c>
      <c r="Q354" s="21" t="n">
        <v>518894</v>
      </c>
      <c r="R354" s="21">
        <f>IF(Q354="","",Q354*(1+in_GrowthRate)^(YEARFRAC(DATE(2022,6,30),in_AgeToDate)*IF(in_AgeToDate&lt;DATE(2022,6,30),-1,1)+1))</f>
        <v/>
      </c>
      <c r="S354" s="38" t="n">
        <v>0.1249948740272481</v>
      </c>
      <c r="T354" s="43">
        <f>HYPERLINK("https://projects.propublica.org/nonprofits/organizations/46013152/202321359349308972/full","view filing")</f>
        <v/>
      </c>
    </row>
    <row r="355">
      <c r="A355" t="inlineStr">
        <is>
          <t>University Of Notre Dame Du Lac</t>
        </is>
      </c>
      <c r="B355" s="20" t="inlineStr">
        <is>
          <t>IN</t>
        </is>
      </c>
      <c r="C355" s="42" t="n">
        <v>20.09</v>
      </c>
      <c r="D355" t="inlineStr">
        <is>
          <t>Endowment</t>
        </is>
      </c>
      <c r="E355" s="20" t="n">
        <v>2024</v>
      </c>
      <c r="F355" s="20" t="inlineStr"/>
      <c r="G355" t="inlineStr">
        <is>
          <t>Mark C Krcmaric Jd Mba</t>
        </is>
      </c>
      <c r="H355" t="inlineStr">
        <is>
          <t>Managing Director &amp; Chief Operating Officer, Investment Office</t>
        </is>
      </c>
      <c r="I355" t="inlineStr">
        <is>
          <t>Managing Director</t>
        </is>
      </c>
      <c r="J355" s="21" t="n">
        <v>236986</v>
      </c>
      <c r="K355" s="21" t="n">
        <v>1051552</v>
      </c>
      <c r="L355" s="21" t="n">
        <v>1288538</v>
      </c>
      <c r="M355" s="21" t="n">
        <v>62525</v>
      </c>
      <c r="N355" s="21" t="n">
        <v>23776</v>
      </c>
      <c r="O355" s="21" t="n">
        <v>10208</v>
      </c>
      <c r="P355" s="21" t="n">
        <v>1385047</v>
      </c>
      <c r="Q355" s="21" t="n">
        <v>1385047</v>
      </c>
      <c r="R355" s="21">
        <f>IF(Q355="","",Q355*(1+in_GrowthRate)^(YEARFRAC(DATE(2024,6,30),in_AgeToDate)*IF(in_AgeToDate&lt;DATE(2024,6,30),-1,1)+1))</f>
        <v/>
      </c>
      <c r="S355" s="38" t="n">
        <v>4.437190382554244</v>
      </c>
      <c r="T355" s="43">
        <f>HYPERLINK("https://projects.propublica.org/nonprofits/organizations/350868188/202511349349304776/full","view filing")</f>
        <v/>
      </c>
    </row>
    <row r="356">
      <c r="A356" t="inlineStr">
        <is>
          <t>University Of Notre Dame Du Lac</t>
        </is>
      </c>
      <c r="B356" s="20" t="inlineStr">
        <is>
          <t>IN</t>
        </is>
      </c>
      <c r="C356" s="42" t="n">
        <v>20.09</v>
      </c>
      <c r="D356" t="inlineStr">
        <is>
          <t>Endowment</t>
        </is>
      </c>
      <c r="E356" s="20" t="n">
        <v>2024</v>
      </c>
      <c r="F356" s="20" t="inlineStr"/>
      <c r="G356" t="inlineStr">
        <is>
          <t>Timothy W Dolezal</t>
        </is>
      </c>
      <c r="H356" t="inlineStr">
        <is>
          <t>Managing Director, Investment Office</t>
        </is>
      </c>
      <c r="I356" t="inlineStr">
        <is>
          <t>Managing Director</t>
        </is>
      </c>
      <c r="J356" s="21" t="n">
        <v>512558</v>
      </c>
      <c r="K356" s="21" t="n">
        <v>1407233</v>
      </c>
      <c r="L356" s="21" t="n">
        <v>1919791</v>
      </c>
      <c r="M356" s="21" t="n">
        <v>23925</v>
      </c>
      <c r="N356" s="21" t="n">
        <v>855000</v>
      </c>
      <c r="O356" s="21" t="n">
        <v>28687</v>
      </c>
      <c r="P356" s="21" t="n">
        <v>2827403</v>
      </c>
      <c r="Q356" s="21" t="n">
        <v>2703903</v>
      </c>
      <c r="R356" s="21">
        <f>IF(Q356="","",Q356*(1+in_GrowthRate)^(YEARFRAC(DATE(2024,6,30),in_AgeToDate)*IF(in_AgeToDate&lt;DATE(2024,6,30),-1,1)+1))</f>
        <v/>
      </c>
      <c r="S356" s="38" t="n">
        <v>2.745509776454567</v>
      </c>
      <c r="T356" s="43">
        <f>HYPERLINK("https://projects.propublica.org/nonprofits/organizations/350868188/202511349349304776/full","view filing")</f>
        <v/>
      </c>
    </row>
    <row r="357">
      <c r="A357" t="inlineStr">
        <is>
          <t>University Of Notre Dame Du Lac</t>
        </is>
      </c>
      <c r="B357" s="20" t="inlineStr">
        <is>
          <t>IN</t>
        </is>
      </c>
      <c r="C357" s="42" t="n">
        <v>20.09</v>
      </c>
      <c r="D357" t="inlineStr">
        <is>
          <t>Endowment</t>
        </is>
      </c>
      <c r="E357" s="20" t="n">
        <v>2023</v>
      </c>
      <c r="F357" s="20" t="inlineStr"/>
      <c r="G357" t="inlineStr">
        <is>
          <t>Mark C Krcmaric Jd Mba</t>
        </is>
      </c>
      <c r="H357" t="inlineStr">
        <is>
          <t>Managing Director &amp; Chief Operating Officer, Investment Office</t>
        </is>
      </c>
      <c r="I357" t="inlineStr">
        <is>
          <t>Managing Director</t>
        </is>
      </c>
      <c r="J357" s="21" t="n">
        <v>431785</v>
      </c>
      <c r="K357" s="21" t="n">
        <v>912004</v>
      </c>
      <c r="L357" s="21" t="n">
        <v>1343789</v>
      </c>
      <c r="M357" s="21" t="n">
        <v>20680</v>
      </c>
      <c r="N357" s="21" t="n">
        <v>30500</v>
      </c>
      <c r="O357" s="21" t="n">
        <v>19933</v>
      </c>
      <c r="P357" s="21" t="n">
        <v>1414902</v>
      </c>
      <c r="Q357" s="21" t="n">
        <v>1414902</v>
      </c>
      <c r="R357" s="21">
        <f>IF(Q357="","",Q357*(1+in_GrowthRate)^(YEARFRAC(DATE(2023,6,30),in_AgeToDate)*IF(in_AgeToDate&lt;DATE(2023,6,30),-1,1)+1))</f>
        <v/>
      </c>
      <c r="S357" s="38" t="n">
        <v>2.11217156686777</v>
      </c>
      <c r="T357" s="43">
        <f>HYPERLINK("https://projects.propublica.org/nonprofits/organizations/350868188/202411349349301721/full","view filing")</f>
        <v/>
      </c>
    </row>
    <row r="358">
      <c r="A358" t="inlineStr">
        <is>
          <t>University Of Notre Dame Du Lac</t>
        </is>
      </c>
      <c r="B358" s="20" t="inlineStr">
        <is>
          <t>IN</t>
        </is>
      </c>
      <c r="C358" s="42" t="n">
        <v>20.09</v>
      </c>
      <c r="D358" t="inlineStr">
        <is>
          <t>Endowment</t>
        </is>
      </c>
      <c r="E358" s="20" t="n">
        <v>2023</v>
      </c>
      <c r="F358" s="20" t="inlineStr"/>
      <c r="G358" t="inlineStr">
        <is>
          <t>Timothy W Dolezal</t>
        </is>
      </c>
      <c r="H358" t="inlineStr">
        <is>
          <t>Managing Director, Investment Office</t>
        </is>
      </c>
      <c r="I358" t="inlineStr">
        <is>
          <t>Managing Director</t>
        </is>
      </c>
      <c r="J358" s="21" t="n">
        <v>499243</v>
      </c>
      <c r="K358" s="21" t="n">
        <v>1188468</v>
      </c>
      <c r="L358" s="21" t="n">
        <v>1687711</v>
      </c>
      <c r="M358" s="21" t="n">
        <v>20500</v>
      </c>
      <c r="N358" s="21" t="n">
        <v>648000</v>
      </c>
      <c r="O358" s="21" t="n">
        <v>28389</v>
      </c>
      <c r="P358" s="21" t="n">
        <v>2384600</v>
      </c>
      <c r="Q358" s="21" t="n">
        <v>2384600</v>
      </c>
      <c r="R358" s="21">
        <f>IF(Q358="","",Q358*(1+in_GrowthRate)^(YEARFRAC(DATE(2023,6,30),in_AgeToDate)*IF(in_AgeToDate&lt;DATE(2023,6,30),-1,1)+1))</f>
        <v/>
      </c>
      <c r="S358" s="38" t="n">
        <v>2.380540137768582</v>
      </c>
      <c r="T358" s="43">
        <f>HYPERLINK("https://projects.propublica.org/nonprofits/organizations/350868188/202411349349301721/full","view filing")</f>
        <v/>
      </c>
    </row>
    <row r="359">
      <c r="A359" t="inlineStr">
        <is>
          <t>University Of Notre Dame Du Lac</t>
        </is>
      </c>
      <c r="B359" s="20" t="inlineStr">
        <is>
          <t>IN</t>
        </is>
      </c>
      <c r="C359" s="42" t="n">
        <v>20.09</v>
      </c>
      <c r="D359" t="inlineStr">
        <is>
          <t>Endowment</t>
        </is>
      </c>
      <c r="E359" s="20" t="n">
        <v>2022</v>
      </c>
      <c r="F359" s="20" t="inlineStr"/>
      <c r="G359" t="inlineStr">
        <is>
          <t>Mark C Krcmaric Jd Mba</t>
        </is>
      </c>
      <c r="H359" t="inlineStr">
        <is>
          <t>Managing Director &amp; Chief Operating Officer, Investment Office</t>
        </is>
      </c>
      <c r="I359" t="inlineStr">
        <is>
          <t>Managing Director</t>
        </is>
      </c>
      <c r="J359" s="21" t="n">
        <v>409463</v>
      </c>
      <c r="K359" s="21" t="n">
        <v>1284535</v>
      </c>
      <c r="L359" s="21" t="n">
        <v>1693998</v>
      </c>
      <c r="M359" s="21" t="n">
        <v>19776</v>
      </c>
      <c r="N359" s="21" t="n">
        <v>29000</v>
      </c>
      <c r="O359" s="21" t="n">
        <v>19383</v>
      </c>
      <c r="P359" s="21" t="n">
        <v>1762157</v>
      </c>
      <c r="Q359" s="21" t="n">
        <v>1762157</v>
      </c>
      <c r="R359" s="21">
        <f>IF(Q359="","",Q359*(1+in_GrowthRate)^(YEARFRAC(DATE(2022,6,30),in_AgeToDate)*IF(in_AgeToDate&lt;DATE(2022,6,30),-1,1)+1))</f>
        <v/>
      </c>
      <c r="S359" s="38" t="n">
        <v>3.137121058557184</v>
      </c>
      <c r="T359" s="43">
        <f>HYPERLINK("https://projects.propublica.org/nonprofits/organizations/350868188/202341329349307024/full","view filing")</f>
        <v/>
      </c>
    </row>
    <row r="360">
      <c r="A360" t="inlineStr">
        <is>
          <t>University Of Richmond</t>
        </is>
      </c>
      <c r="B360" s="20" t="inlineStr">
        <is>
          <t>VA</t>
        </is>
      </c>
      <c r="C360" s="42" t="n">
        <v>5.9</v>
      </c>
      <c r="D360" t="inlineStr">
        <is>
          <t>Endowment</t>
        </is>
      </c>
      <c r="E360" s="20" t="n">
        <v>2024</v>
      </c>
      <c r="F360" s="20" t="inlineStr"/>
      <c r="G360" t="inlineStr">
        <is>
          <t>Jeffrey Hires</t>
        </is>
      </c>
      <c r="H360" t="inlineStr">
        <is>
          <t>Managing Director, SMC</t>
        </is>
      </c>
      <c r="I360" t="inlineStr">
        <is>
          <t>Managing Director</t>
        </is>
      </c>
      <c r="J360" s="21" t="n">
        <v>400181</v>
      </c>
      <c r="K360" s="21" t="n">
        <v>459250</v>
      </c>
      <c r="L360" s="21" t="n">
        <v>859431</v>
      </c>
      <c r="M360" s="21" t="n">
        <v>2173</v>
      </c>
      <c r="N360" s="21" t="n">
        <v>33000</v>
      </c>
      <c r="O360" s="21" t="n">
        <v>25384</v>
      </c>
      <c r="P360" s="21" t="n">
        <v>919988</v>
      </c>
      <c r="Q360" s="21" t="n">
        <v>919988</v>
      </c>
      <c r="R360" s="21">
        <f>IF(Q360="","",Q360*(1+in_GrowthRate)^(YEARFRAC(DATE(2024,6,30),in_AgeToDate)*IF(in_AgeToDate&lt;DATE(2024,6,30),-1,1)+1))</f>
        <v/>
      </c>
      <c r="S360" s="38" t="n">
        <v>1.147605708416941</v>
      </c>
      <c r="T360" s="43">
        <f>HYPERLINK("https://projects.propublica.org/nonprofits/organizations/540505965/202511339349306036/full","view filing")</f>
        <v/>
      </c>
    </row>
    <row r="361">
      <c r="A361" t="inlineStr">
        <is>
          <t>University Of Richmond</t>
        </is>
      </c>
      <c r="B361" s="20" t="inlineStr">
        <is>
          <t>VA</t>
        </is>
      </c>
      <c r="C361" s="42" t="n">
        <v>5.9</v>
      </c>
      <c r="D361" t="inlineStr">
        <is>
          <t>Endowment</t>
        </is>
      </c>
      <c r="E361" s="20" t="n">
        <v>2022</v>
      </c>
      <c r="F361" s="20" t="inlineStr"/>
      <c r="G361" t="inlineStr">
        <is>
          <t>Karen Welch</t>
        </is>
      </c>
      <c r="H361" t="inlineStr">
        <is>
          <t>MANAGING DIRECTOR, SMC</t>
        </is>
      </c>
      <c r="I361" t="inlineStr">
        <is>
          <t>Managing Director</t>
        </is>
      </c>
      <c r="J361" s="21" t="n">
        <v>279787</v>
      </c>
      <c r="K361" s="21" t="n">
        <v>511409</v>
      </c>
      <c r="L361" s="21" t="n">
        <v>791196</v>
      </c>
      <c r="M361" s="21" t="n">
        <v>14257</v>
      </c>
      <c r="N361" s="21" t="n">
        <v>14669</v>
      </c>
      <c r="O361" s="21" t="n">
        <v>25444</v>
      </c>
      <c r="P361" s="21" t="n">
        <v>845566</v>
      </c>
      <c r="Q361" s="21" t="n">
        <v>845566</v>
      </c>
      <c r="R361" s="21">
        <f>IF(Q361="","",Q361*(1+in_GrowthRate)^(YEARFRAC(DATE(2022,6,30),in_AgeToDate)*IF(in_AgeToDate&lt;DATE(2022,6,30),-1,1)+1))</f>
        <v/>
      </c>
      <c r="S361" s="38" t="n">
        <v>1.827851186795669</v>
      </c>
      <c r="T361" s="43">
        <f>HYPERLINK("https://projects.propublica.org/nonprofits/organizations/540505965/202331359349300218/full","view filing")</f>
        <v/>
      </c>
    </row>
    <row r="362">
      <c r="A362" t="inlineStr">
        <is>
          <t>University Of Richmond</t>
        </is>
      </c>
      <c r="B362" s="20" t="inlineStr">
        <is>
          <t>VA</t>
        </is>
      </c>
      <c r="C362" s="42" t="n">
        <v>5.9</v>
      </c>
      <c r="D362" t="inlineStr">
        <is>
          <t>Endowment</t>
        </is>
      </c>
      <c r="E362" s="20" t="n">
        <v>2022</v>
      </c>
      <c r="F362" s="20" t="inlineStr"/>
      <c r="G362" t="inlineStr">
        <is>
          <t>Steven Henderson</t>
        </is>
      </c>
      <c r="H362" t="inlineStr">
        <is>
          <t>MANAGING DIRECTOR, SMC</t>
        </is>
      </c>
      <c r="I362" t="inlineStr">
        <is>
          <t>Managing Director</t>
        </is>
      </c>
      <c r="J362" s="21" t="n">
        <v>160971</v>
      </c>
      <c r="K362" s="21" t="n">
        <v>591501</v>
      </c>
      <c r="L362" s="21" t="n">
        <v>752472</v>
      </c>
      <c r="M362" s="21" t="n">
        <v>32011</v>
      </c>
      <c r="N362" s="21" t="n">
        <v>29169</v>
      </c>
      <c r="O362" s="21" t="n">
        <v>73886</v>
      </c>
      <c r="P362" s="21" t="n">
        <v>887538</v>
      </c>
      <c r="Q362" s="21" t="n">
        <v>887538</v>
      </c>
      <c r="R362" s="21">
        <f>IF(Q362="","",Q362*(1+in_GrowthRate)^(YEARFRAC(DATE(2022,6,30),in_AgeToDate)*IF(in_AgeToDate&lt;DATE(2022,6,30),-1,1)+1))</f>
        <v/>
      </c>
      <c r="S362" s="38" t="n">
        <v>3.674581135732523</v>
      </c>
      <c r="T362" s="43">
        <f>HYPERLINK("https://projects.propublica.org/nonprofits/organizations/540505965/202331359349300218/full","view filing")</f>
        <v/>
      </c>
    </row>
    <row r="363">
      <c r="A363" t="inlineStr">
        <is>
          <t>University Of Virginia Investment Management Company</t>
        </is>
      </c>
      <c r="B363" s="20" t="inlineStr">
        <is>
          <t>VA</t>
        </is>
      </c>
      <c r="C363" s="42" t="n">
        <v>15.5</v>
      </c>
      <c r="D363" t="inlineStr">
        <is>
          <t>Endowment</t>
        </is>
      </c>
      <c r="E363" s="20" t="n">
        <v>2025</v>
      </c>
      <c r="F363" s="20">
        <f>IF(AND(OR(in_Mode="All Funds",AND(C363&gt;=in_BandFloor,C363&lt;=in_BandCeiling,OR(in_Geography="National",COUNTIFS(lst_GeoPreset,in_Geography,lst_GeoState,B363)&gt;0,AND(in_Geography="Custom",ISNUMBER(SEARCH(B363,SUBSTITUTE(in_CustomStates," ",""))))),OR(AND(D363="Endowment",Inputs!$B$14="Y"),AND(D363="Foundation",Inputs!$B$15="Y"),AND(D363="Healthcare",Inputs!$B$16="Y"),AND(D363="Pension",Inputs!$B$17="Y"),AND(D363="OCIO",Inputs!$B$18="Y"),AND(D363="Other",Inputs!$B$19="Y")))),A363&lt;&gt;in_ClientOrg,NOT(AND(in_ExclHarvard="Y",ISNUMBER(SEARCH("Harvard",A363))))),"Y","")</f>
        <v/>
      </c>
      <c r="G363" t="inlineStr">
        <is>
          <t>Adrienne C Clough</t>
        </is>
      </c>
      <c r="H363" t="inlineStr">
        <is>
          <t>MANAGING DIRECTOR</t>
        </is>
      </c>
      <c r="I363" t="inlineStr">
        <is>
          <t>Managing Director</t>
        </is>
      </c>
      <c r="J363" s="21" t="n">
        <v>435000</v>
      </c>
      <c r="K363" s="21" t="n">
        <v>408333</v>
      </c>
      <c r="L363" s="21" t="n">
        <v>843333</v>
      </c>
      <c r="M363" s="21" t="n">
        <v>293457</v>
      </c>
      <c r="N363" s="21" t="n">
        <v>352547</v>
      </c>
      <c r="O363" s="21" t="n">
        <v>840</v>
      </c>
      <c r="P363" s="21" t="n">
        <v>1490177</v>
      </c>
      <c r="Q363" s="21" t="n">
        <v>1217856</v>
      </c>
      <c r="R363" s="21">
        <f>IF(Q363="","",Q363*(1+in_GrowthRate)^(YEARFRAC(DATE(2025,6,30),in_AgeToDate)*IF(in_AgeToDate&lt;DATE(2025,6,30),-1,1)+1))</f>
        <v/>
      </c>
      <c r="S363" s="38" t="n">
        <v>0.9386965517241379</v>
      </c>
      <c r="T363" s="43">
        <f>HYPERLINK("https://projects.propublica.org/nonprofits/organizations/562462804/202611359349306486/full","view filing")</f>
        <v/>
      </c>
    </row>
    <row r="364">
      <c r="A364" t="inlineStr">
        <is>
          <t>University Of Virginia Investment Management Company</t>
        </is>
      </c>
      <c r="B364" s="20" t="inlineStr">
        <is>
          <t>VA</t>
        </is>
      </c>
      <c r="C364" s="42" t="n">
        <v>15.5</v>
      </c>
      <c r="D364" t="inlineStr">
        <is>
          <t>Endowment</t>
        </is>
      </c>
      <c r="E364" s="20" t="n">
        <v>2025</v>
      </c>
      <c r="F364" s="20">
        <f>IF(AND(OR(in_Mode="All Funds",AND(C364&gt;=in_BandFloor,C364&lt;=in_BandCeiling,OR(in_Geography="National",COUNTIFS(lst_GeoPreset,in_Geography,lst_GeoState,B364)&gt;0,AND(in_Geography="Custom",ISNUMBER(SEARCH(B364,SUBSTITUTE(in_CustomStates," ",""))))),OR(AND(D364="Endowment",Inputs!$B$14="Y"),AND(D364="Foundation",Inputs!$B$15="Y"),AND(D364="Healthcare",Inputs!$B$16="Y"),AND(D364="Pension",Inputs!$B$17="Y"),AND(D364="OCIO",Inputs!$B$18="Y"),AND(D364="Other",Inputs!$B$19="Y")))),A364&lt;&gt;in_ClientOrg,NOT(AND(in_ExclHarvard="Y",ISNUMBER(SEARCH("Harvard",A364))))),"Y","")</f>
        <v/>
      </c>
      <c r="G364" t="inlineStr">
        <is>
          <t>Eric J Bundonis</t>
        </is>
      </c>
      <c r="H364" t="inlineStr">
        <is>
          <t>MANAGING DIRECTOR</t>
        </is>
      </c>
      <c r="I364" t="inlineStr">
        <is>
          <t>Managing Director</t>
        </is>
      </c>
      <c r="J364" s="21" t="n">
        <v>438781</v>
      </c>
      <c r="K364" s="21" t="n">
        <v>458333</v>
      </c>
      <c r="L364" s="21" t="n">
        <v>897114</v>
      </c>
      <c r="M364" s="21" t="n">
        <v>652580</v>
      </c>
      <c r="N364" s="21" t="n">
        <v>452547</v>
      </c>
      <c r="O364" s="21" t="n">
        <v>26718</v>
      </c>
      <c r="P364" s="21" t="n">
        <v>2028959</v>
      </c>
      <c r="Q364" s="21" t="n">
        <v>1425864</v>
      </c>
      <c r="R364" s="21">
        <f>IF(Q364="","",Q364*(1+in_GrowthRate)^(YEARFRAC(DATE(2025,6,30),in_AgeToDate)*IF(in_AgeToDate&lt;DATE(2025,6,30),-1,1)+1))</f>
        <v/>
      </c>
      <c r="S364" s="38" t="n">
        <v>1.044559814577204</v>
      </c>
      <c r="T364" s="43">
        <f>HYPERLINK("https://projects.propublica.org/nonprofits/organizations/562462804/202611359349306486/full","view filing")</f>
        <v/>
      </c>
    </row>
    <row r="365">
      <c r="A365" t="inlineStr">
        <is>
          <t>University Of Virginia Investment Management Company</t>
        </is>
      </c>
      <c r="B365" s="20" t="inlineStr">
        <is>
          <t>VA</t>
        </is>
      </c>
      <c r="C365" s="42" t="n">
        <v>15.5</v>
      </c>
      <c r="D365" t="inlineStr">
        <is>
          <t>Endowment</t>
        </is>
      </c>
      <c r="E365" s="20" t="n">
        <v>2025</v>
      </c>
      <c r="F365" s="20">
        <f>IF(AND(OR(in_Mode="All Funds",AND(C365&gt;=in_BandFloor,C365&lt;=in_BandCeiling,OR(in_Geography="National",COUNTIFS(lst_GeoPreset,in_Geography,lst_GeoState,B365)&gt;0,AND(in_Geography="Custom",ISNUMBER(SEARCH(B365,SUBSTITUTE(in_CustomStates," ",""))))),OR(AND(D365="Endowment",Inputs!$B$14="Y"),AND(D365="Foundation",Inputs!$B$15="Y"),AND(D365="Healthcare",Inputs!$B$16="Y"),AND(D365="Pension",Inputs!$B$17="Y"),AND(D365="OCIO",Inputs!$B$18="Y"),AND(D365="Other",Inputs!$B$19="Y")))),A365&lt;&gt;in_ClientOrg,NOT(AND(in_ExclHarvard="Y",ISNUMBER(SEARCH("Harvard",A365))))),"Y","")</f>
        <v/>
      </c>
      <c r="G365" t="inlineStr">
        <is>
          <t>J Matthew Dorchuck</t>
        </is>
      </c>
      <c r="H365" t="inlineStr">
        <is>
          <t>MANAGING DIRECTOR</t>
        </is>
      </c>
      <c r="I365" t="inlineStr">
        <is>
          <t>Managing Director</t>
        </is>
      </c>
      <c r="J365" s="21" t="n">
        <v>398877</v>
      </c>
      <c r="K365" s="21" t="n">
        <v>433333</v>
      </c>
      <c r="L365" s="21" t="n">
        <v>832210</v>
      </c>
      <c r="M365" s="21" t="n">
        <v>603214</v>
      </c>
      <c r="N365" s="21" t="n">
        <v>402547</v>
      </c>
      <c r="O365" s="21" t="n">
        <v>27664</v>
      </c>
      <c r="P365" s="21" t="n">
        <v>1865635</v>
      </c>
      <c r="Q365" s="21" t="n">
        <v>1307927</v>
      </c>
      <c r="R365" s="21">
        <f>IF(Q365="","",Q365*(1+in_GrowthRate)^(YEARFRAC(DATE(2025,6,30),in_AgeToDate)*IF(in_AgeToDate&lt;DATE(2025,6,30),-1,1)+1))</f>
        <v/>
      </c>
      <c r="S365" s="38" t="n">
        <v>1.086382518921873</v>
      </c>
      <c r="T365" s="43">
        <f>HYPERLINK("https://projects.propublica.org/nonprofits/organizations/562462804/202611359349306486/full","view filing")</f>
        <v/>
      </c>
    </row>
    <row r="366">
      <c r="A366" t="inlineStr">
        <is>
          <t>University Of Virginia Investment Management Company</t>
        </is>
      </c>
      <c r="B366" s="20" t="inlineStr">
        <is>
          <t>VA</t>
        </is>
      </c>
      <c r="C366" s="42" t="n">
        <v>15.5</v>
      </c>
      <c r="D366" t="inlineStr">
        <is>
          <t>Endowment</t>
        </is>
      </c>
      <c r="E366" s="20" t="n">
        <v>2025</v>
      </c>
      <c r="F366" s="20">
        <f>IF(AND(OR(in_Mode="All Funds",AND(C366&gt;=in_BandFloor,C366&lt;=in_BandCeiling,OR(in_Geography="National",COUNTIFS(lst_GeoPreset,in_Geography,lst_GeoState,B366)&gt;0,AND(in_Geography="Custom",ISNUMBER(SEARCH(B366,SUBSTITUTE(in_CustomStates," ",""))))),OR(AND(D366="Endowment",Inputs!$B$14="Y"),AND(D366="Foundation",Inputs!$B$15="Y"),AND(D366="Healthcare",Inputs!$B$16="Y"),AND(D366="Pension",Inputs!$B$17="Y"),AND(D366="OCIO",Inputs!$B$18="Y"),AND(D366="Other",Inputs!$B$19="Y")))),A366&lt;&gt;in_ClientOrg,NOT(AND(in_ExclHarvard="Y",ISNUMBER(SEARCH("Harvard",A366))))),"Y","")</f>
        <v/>
      </c>
      <c r="G366" t="inlineStr">
        <is>
          <t>Jason M Love</t>
        </is>
      </c>
      <c r="H366" t="inlineStr">
        <is>
          <t>MANAGING DIRECTOR</t>
        </is>
      </c>
      <c r="I366" t="inlineStr">
        <is>
          <t>Managing Director</t>
        </is>
      </c>
      <c r="J366" s="21" t="n">
        <v>445973</v>
      </c>
      <c r="K366" s="21" t="n">
        <v>466667</v>
      </c>
      <c r="L366" s="21" t="n">
        <v>912640</v>
      </c>
      <c r="M366" s="21" t="n">
        <v>740627</v>
      </c>
      <c r="N366" s="21" t="n">
        <v>469213</v>
      </c>
      <c r="O366" s="21" t="n">
        <v>32027</v>
      </c>
      <c r="P366" s="21" t="n">
        <v>2154507</v>
      </c>
      <c r="Q366" s="21" t="n">
        <v>1471412</v>
      </c>
      <c r="R366" s="21">
        <f>IF(Q366="","",Q366*(1+in_GrowthRate)^(YEARFRAC(DATE(2025,6,30),in_AgeToDate)*IF(in_AgeToDate&lt;DATE(2025,6,30),-1,1)+1))</f>
        <v/>
      </c>
      <c r="S366" s="38" t="n">
        <v>1.046401912223386</v>
      </c>
      <c r="T366" s="43">
        <f>HYPERLINK("https://projects.propublica.org/nonprofits/organizations/562462804/202611359349306486/full","view filing")</f>
        <v/>
      </c>
    </row>
    <row r="367">
      <c r="A367" t="inlineStr">
        <is>
          <t>University Of Virginia Investment Management Company</t>
        </is>
      </c>
      <c r="B367" s="20" t="inlineStr">
        <is>
          <t>VA</t>
        </is>
      </c>
      <c r="C367" s="42" t="n">
        <v>15.5</v>
      </c>
      <c r="D367" t="inlineStr">
        <is>
          <t>Endowment</t>
        </is>
      </c>
      <c r="E367" s="20" t="n">
        <v>2025</v>
      </c>
      <c r="F367" s="20">
        <f>IF(AND(OR(in_Mode="All Funds",AND(C367&gt;=in_BandFloor,C367&lt;=in_BandCeiling,OR(in_Geography="National",COUNTIFS(lst_GeoPreset,in_Geography,lst_GeoState,B367)&gt;0,AND(in_Geography="Custom",ISNUMBER(SEARCH(B367,SUBSTITUTE(in_CustomStates," ",""))))),OR(AND(D367="Endowment",Inputs!$B$14="Y"),AND(D367="Foundation",Inputs!$B$15="Y"),AND(D367="Healthcare",Inputs!$B$16="Y"),AND(D367="Pension",Inputs!$B$17="Y"),AND(D367="OCIO",Inputs!$B$18="Y"),AND(D367="Other",Inputs!$B$19="Y")))),A367&lt;&gt;in_ClientOrg,NOT(AND(in_ExclHarvard="Y",ISNUMBER(SEARCH("Harvard",A367))))),"Y","")</f>
        <v/>
      </c>
      <c r="G367" t="inlineStr">
        <is>
          <t>Lindsay R Larsen</t>
        </is>
      </c>
      <c r="H367" t="inlineStr">
        <is>
          <t>MANAGING DIRECTOR</t>
        </is>
      </c>
      <c r="I367" t="inlineStr">
        <is>
          <t>Managing Director</t>
        </is>
      </c>
      <c r="J367" s="21" t="n">
        <v>575884</v>
      </c>
      <c r="K367" s="21" t="n">
        <v>441667</v>
      </c>
      <c r="L367" s="21" t="n">
        <v>1017551</v>
      </c>
      <c r="M367" s="21" t="n">
        <v>924046</v>
      </c>
      <c r="N367" s="21" t="n">
        <v>419213</v>
      </c>
      <c r="O367" s="21" t="n">
        <v>15643</v>
      </c>
      <c r="P367" s="21" t="n">
        <v>2376453</v>
      </c>
      <c r="Q367" s="21" t="n">
        <v>1522584</v>
      </c>
      <c r="R367" s="21">
        <f>IF(Q367="","",Q367*(1+in_GrowthRate)^(YEARFRAC(DATE(2025,6,30),in_AgeToDate)*IF(in_AgeToDate&lt;DATE(2025,6,30),-1,1)+1))</f>
        <v/>
      </c>
      <c r="S367" s="38" t="n">
        <v>0.7669374387897563</v>
      </c>
      <c r="T367" s="43">
        <f>HYPERLINK("https://projects.propublica.org/nonprofits/organizations/562462804/202611359349306486/full","view filing")</f>
        <v/>
      </c>
    </row>
    <row r="368">
      <c r="A368" t="inlineStr">
        <is>
          <t>University Of Virginia Investment Management Company</t>
        </is>
      </c>
      <c r="B368" s="20" t="inlineStr">
        <is>
          <t>VA</t>
        </is>
      </c>
      <c r="C368" s="42" t="n">
        <v>15.5</v>
      </c>
      <c r="D368" t="inlineStr">
        <is>
          <t>Endowment</t>
        </is>
      </c>
      <c r="E368" s="20" t="n">
        <v>2024</v>
      </c>
      <c r="F368" s="20" t="inlineStr"/>
      <c r="G368" t="inlineStr">
        <is>
          <t>Adrienne C Clough</t>
        </is>
      </c>
      <c r="H368" t="inlineStr">
        <is>
          <t>MANAGING DIRECTOR</t>
        </is>
      </c>
      <c r="I368" t="inlineStr">
        <is>
          <t>Managing Director</t>
        </is>
      </c>
      <c r="J368" s="21" t="n">
        <v>412500</v>
      </c>
      <c r="K368" s="21" t="n">
        <v>220000</v>
      </c>
      <c r="L368" s="21" t="n">
        <v>632500</v>
      </c>
      <c r="M368" s="21" t="n">
        <v>273441</v>
      </c>
      <c r="N368" s="21" t="n">
        <v>578963</v>
      </c>
      <c r="O368" s="21" t="n">
        <v>840</v>
      </c>
      <c r="P368" s="21" t="n">
        <v>1485744</v>
      </c>
      <c r="Q368" s="21" t="n">
        <v>1485744</v>
      </c>
      <c r="R368" s="21">
        <f>IF(Q368="","",Q368*(1+in_GrowthRate)^(YEARFRAC(DATE(2024,6,30),in_AgeToDate)*IF(in_AgeToDate&lt;DATE(2024,6,30),-1,1)+1))</f>
        <v/>
      </c>
      <c r="S368" s="38" t="n">
        <v>0.5333333333333333</v>
      </c>
      <c r="T368" s="43">
        <f>HYPERLINK("https://projects.propublica.org/nonprofits/organizations/562462804/202521359349304017/full","view filing")</f>
        <v/>
      </c>
    </row>
    <row r="369">
      <c r="A369" t="inlineStr">
        <is>
          <t>University Of Virginia Investment Management Company</t>
        </is>
      </c>
      <c r="B369" s="20" t="inlineStr">
        <is>
          <t>VA</t>
        </is>
      </c>
      <c r="C369" s="42" t="n">
        <v>15.5</v>
      </c>
      <c r="D369" t="inlineStr">
        <is>
          <t>Endowment</t>
        </is>
      </c>
      <c r="E369" s="20" t="n">
        <v>2024</v>
      </c>
      <c r="F369" s="20" t="inlineStr"/>
      <c r="G369" t="inlineStr">
        <is>
          <t>E Sargent Mcgowan</t>
        </is>
      </c>
      <c r="H369" t="inlineStr">
        <is>
          <t>MANAGING DIRECTOR</t>
        </is>
      </c>
      <c r="I369" t="inlineStr">
        <is>
          <t>Managing Director</t>
        </is>
      </c>
      <c r="J369" s="21" t="n">
        <v>474473</v>
      </c>
      <c r="K369" s="21" t="n">
        <v>100000</v>
      </c>
      <c r="L369" s="21" t="n">
        <v>574473</v>
      </c>
      <c r="M369" s="21" t="n">
        <v>1575030</v>
      </c>
      <c r="N369" s="21" t="n">
        <v>1123606</v>
      </c>
      <c r="O369" s="21" t="n">
        <v>25256</v>
      </c>
      <c r="P369" s="21" t="n">
        <v>3298365</v>
      </c>
      <c r="Q369" s="21" t="n">
        <v>2261192</v>
      </c>
      <c r="R369" s="21">
        <f>IF(Q369="","",Q369*(1+in_GrowthRate)^(YEARFRAC(DATE(2024,6,30),in_AgeToDate)*IF(in_AgeToDate&lt;DATE(2024,6,30),-1,1)+1))</f>
        <v/>
      </c>
      <c r="S369" s="38" t="n">
        <v>0.2107601486280568</v>
      </c>
      <c r="T369" s="43">
        <f>HYPERLINK("https://projects.propublica.org/nonprofits/organizations/562462804/202521359349304017/full","view filing")</f>
        <v/>
      </c>
    </row>
    <row r="370">
      <c r="A370" t="inlineStr">
        <is>
          <t>University Of Virginia Investment Management Company</t>
        </is>
      </c>
      <c r="B370" s="20" t="inlineStr">
        <is>
          <t>VA</t>
        </is>
      </c>
      <c r="C370" s="42" t="n">
        <v>15.5</v>
      </c>
      <c r="D370" t="inlineStr">
        <is>
          <t>Endowment</t>
        </is>
      </c>
      <c r="E370" s="20" t="n">
        <v>2024</v>
      </c>
      <c r="F370" s="20" t="inlineStr"/>
      <c r="G370" t="inlineStr">
        <is>
          <t>Eric J Bundonis</t>
        </is>
      </c>
      <c r="H370" t="inlineStr">
        <is>
          <t>MANAGING DIRECTOR</t>
        </is>
      </c>
      <c r="I370" t="inlineStr">
        <is>
          <t>Managing Director</t>
        </is>
      </c>
      <c r="J370" s="21" t="n">
        <v>408789</v>
      </c>
      <c r="K370" s="21" t="n">
        <v>120000</v>
      </c>
      <c r="L370" s="21" t="n">
        <v>528789</v>
      </c>
      <c r="M370" s="21" t="n">
        <v>608785</v>
      </c>
      <c r="N370" s="21" t="n">
        <v>760511</v>
      </c>
      <c r="O370" s="21" t="n">
        <v>25775</v>
      </c>
      <c r="P370" s="21" t="n">
        <v>1923860</v>
      </c>
      <c r="Q370" s="21" t="n">
        <v>1683860</v>
      </c>
      <c r="R370" s="21">
        <f>IF(Q370="","",Q370*(1+in_GrowthRate)^(YEARFRAC(DATE(2024,6,30),in_AgeToDate)*IF(in_AgeToDate&lt;DATE(2024,6,30),-1,1)+1))</f>
        <v/>
      </c>
      <c r="S370" s="38" t="n">
        <v>0.293549973213565</v>
      </c>
      <c r="T370" s="43">
        <f>HYPERLINK("https://projects.propublica.org/nonprofits/organizations/562462804/202521359349304017/full","view filing")</f>
        <v/>
      </c>
    </row>
    <row r="371">
      <c r="A371" t="inlineStr">
        <is>
          <t>University Of Virginia Investment Management Company</t>
        </is>
      </c>
      <c r="B371" s="20" t="inlineStr">
        <is>
          <t>VA</t>
        </is>
      </c>
      <c r="C371" s="42" t="n">
        <v>15.5</v>
      </c>
      <c r="D371" t="inlineStr">
        <is>
          <t>Endowment</t>
        </is>
      </c>
      <c r="E371" s="20" t="n">
        <v>2024</v>
      </c>
      <c r="F371" s="20" t="inlineStr"/>
      <c r="G371" t="inlineStr">
        <is>
          <t>J Matthew Dorchuck</t>
        </is>
      </c>
      <c r="H371" t="inlineStr">
        <is>
          <t>MANAGING DIRECTOR BEG 7/23</t>
        </is>
      </c>
      <c r="I371" t="inlineStr">
        <is>
          <t>Managing Director</t>
        </is>
      </c>
      <c r="J371" s="21" t="n">
        <v>346363</v>
      </c>
      <c r="K371" s="21" t="n">
        <v>132000</v>
      </c>
      <c r="L371" s="21" t="n">
        <v>478363</v>
      </c>
      <c r="M371" s="21" t="n">
        <v>678301</v>
      </c>
      <c r="N371" s="21" t="n">
        <v>669737</v>
      </c>
      <c r="O371" s="21" t="n">
        <v>20573</v>
      </c>
      <c r="P371" s="21" t="n">
        <v>1846974</v>
      </c>
      <c r="Q371" s="21" t="n">
        <v>1487580</v>
      </c>
      <c r="R371" s="21">
        <f>IF(Q371="","",Q371*(1+in_GrowthRate)^(YEARFRAC(DATE(2024,6,30),in_AgeToDate)*IF(in_AgeToDate&lt;DATE(2024,6,30),-1,1)+1))</f>
        <v/>
      </c>
      <c r="S371" s="38" t="n">
        <v>0.3811030623940779</v>
      </c>
      <c r="T371" s="43">
        <f>HYPERLINK("https://projects.propublica.org/nonprofits/organizations/562462804/202521359349304017/full","view filing")</f>
        <v/>
      </c>
    </row>
    <row r="372">
      <c r="A372" t="inlineStr">
        <is>
          <t>University Of Virginia Investment Management Company</t>
        </is>
      </c>
      <c r="B372" s="20" t="inlineStr">
        <is>
          <t>VA</t>
        </is>
      </c>
      <c r="C372" s="42" t="n">
        <v>15.5</v>
      </c>
      <c r="D372" t="inlineStr">
        <is>
          <t>Endowment</t>
        </is>
      </c>
      <c r="E372" s="20" t="n">
        <v>2024</v>
      </c>
      <c r="F372" s="20" t="inlineStr"/>
      <c r="G372" t="inlineStr">
        <is>
          <t>Jason M Love</t>
        </is>
      </c>
      <c r="H372" t="inlineStr">
        <is>
          <t>MANAGING DIRECTOR</t>
        </is>
      </c>
      <c r="I372" t="inlineStr">
        <is>
          <t>Managing Director</t>
        </is>
      </c>
      <c r="J372" s="21" t="n">
        <v>421180</v>
      </c>
      <c r="K372" s="21" t="n">
        <v>100000</v>
      </c>
      <c r="L372" s="21" t="n">
        <v>521180</v>
      </c>
      <c r="M372" s="21" t="n">
        <v>1076315</v>
      </c>
      <c r="N372" s="21" t="n">
        <v>760511</v>
      </c>
      <c r="O372" s="21" t="n">
        <v>30884</v>
      </c>
      <c r="P372" s="21" t="n">
        <v>2388890</v>
      </c>
      <c r="Q372" s="21" t="n">
        <v>1670909</v>
      </c>
      <c r="R372" s="21">
        <f>IF(Q372="","",Q372*(1+in_GrowthRate)^(YEARFRAC(DATE(2024,6,30),in_AgeToDate)*IF(in_AgeToDate&lt;DATE(2024,6,30),-1,1)+1))</f>
        <v/>
      </c>
      <c r="S372" s="38" t="n">
        <v>0.2374281779761622</v>
      </c>
      <c r="T372" s="43">
        <f>HYPERLINK("https://projects.propublica.org/nonprofits/organizations/562462804/202521359349304017/full","view filing")</f>
        <v/>
      </c>
    </row>
    <row r="373">
      <c r="A373" t="inlineStr">
        <is>
          <t>University Of Virginia Investment Management Company</t>
        </is>
      </c>
      <c r="B373" s="20" t="inlineStr">
        <is>
          <t>VA</t>
        </is>
      </c>
      <c r="C373" s="42" t="n">
        <v>15.5</v>
      </c>
      <c r="D373" t="inlineStr">
        <is>
          <t>Endowment</t>
        </is>
      </c>
      <c r="E373" s="20" t="n">
        <v>2024</v>
      </c>
      <c r="F373" s="20" t="inlineStr"/>
      <c r="G373" t="inlineStr">
        <is>
          <t>Lindsay R Larsen</t>
        </is>
      </c>
      <c r="H373" t="inlineStr">
        <is>
          <t>MANAGING DIRECTOR</t>
        </is>
      </c>
      <c r="I373" t="inlineStr">
        <is>
          <t>Managing Director</t>
        </is>
      </c>
      <c r="J373" s="21" t="n">
        <v>422280</v>
      </c>
      <c r="K373" s="21" t="n">
        <v>100000</v>
      </c>
      <c r="L373" s="21" t="n">
        <v>522280</v>
      </c>
      <c r="M373" s="21" t="n">
        <v>1398360</v>
      </c>
      <c r="N373" s="21" t="n">
        <v>942058</v>
      </c>
      <c r="O373" s="21" t="n">
        <v>26554</v>
      </c>
      <c r="P373" s="21" t="n">
        <v>2889252</v>
      </c>
      <c r="Q373" s="21" t="n">
        <v>2051473</v>
      </c>
      <c r="R373" s="21">
        <f>IF(Q373="","",Q373*(1+in_GrowthRate)^(YEARFRAC(DATE(2024,6,30),in_AgeToDate)*IF(in_AgeToDate&lt;DATE(2024,6,30),-1,1)+1))</f>
        <v/>
      </c>
      <c r="S373" s="38" t="n">
        <v>0.2368096997253007</v>
      </c>
      <c r="T373" s="43">
        <f>HYPERLINK("https://projects.propublica.org/nonprofits/organizations/562462804/202521359349304017/full","view filing")</f>
        <v/>
      </c>
    </row>
    <row r="374">
      <c r="A374" t="inlineStr">
        <is>
          <t>University Of Virginia Investment Management Company</t>
        </is>
      </c>
      <c r="B374" s="20" t="inlineStr">
        <is>
          <t>VA</t>
        </is>
      </c>
      <c r="C374" s="42" t="n">
        <v>15.5</v>
      </c>
      <c r="D374" t="inlineStr">
        <is>
          <t>Endowment</t>
        </is>
      </c>
      <c r="E374" s="20" t="n">
        <v>2023</v>
      </c>
      <c r="F374" s="20" t="inlineStr"/>
      <c r="G374" t="inlineStr">
        <is>
          <t>Adrienne C Clough</t>
        </is>
      </c>
      <c r="H374" t="inlineStr">
        <is>
          <t>MANAGING DIRECTOR BEG 8/22</t>
        </is>
      </c>
      <c r="I374" t="inlineStr">
        <is>
          <t>Managing Director</t>
        </is>
      </c>
      <c r="J374" s="21" t="n">
        <v>159091</v>
      </c>
      <c r="K374" s="21" t="n">
        <v>250000</v>
      </c>
      <c r="L374" s="21" t="n">
        <v>409091</v>
      </c>
      <c r="M374" s="21" t="n">
        <v>373</v>
      </c>
      <c r="N374" s="21" t="n">
        <v>20923</v>
      </c>
      <c r="O374" s="21" t="n">
        <v>280</v>
      </c>
      <c r="P374" s="21" t="n">
        <v>430667</v>
      </c>
      <c r="Q374" s="21" t="n">
        <v>430667</v>
      </c>
      <c r="R374" s="21">
        <f>IF(Q374="","",Q374*(1+in_GrowthRate)^(YEARFRAC(DATE(2023,6,30),in_AgeToDate)*IF(in_AgeToDate&lt;DATE(2023,6,30),-1,1)+1))</f>
        <v/>
      </c>
      <c r="S374" s="38" t="n">
        <v>1.571427673469901</v>
      </c>
      <c r="T374" s="43">
        <f>HYPERLINK("https://projects.propublica.org/nonprofits/organizations/562462804/202401359349311605/full","view filing")</f>
        <v/>
      </c>
    </row>
    <row r="375">
      <c r="A375" t="inlineStr">
        <is>
          <t>University Of Virginia Investment Management Company</t>
        </is>
      </c>
      <c r="B375" s="20" t="inlineStr">
        <is>
          <t>VA</t>
        </is>
      </c>
      <c r="C375" s="42" t="n">
        <v>15.5</v>
      </c>
      <c r="D375" t="inlineStr">
        <is>
          <t>Endowment</t>
        </is>
      </c>
      <c r="E375" s="20" t="n">
        <v>2023</v>
      </c>
      <c r="F375" s="20" t="inlineStr"/>
      <c r="G375" t="inlineStr">
        <is>
          <t>E Sargent Mcgowan</t>
        </is>
      </c>
      <c r="H375" t="inlineStr">
        <is>
          <t>MANAGING DIRECTOR</t>
        </is>
      </c>
      <c r="I375" t="inlineStr">
        <is>
          <t>Managing Director</t>
        </is>
      </c>
      <c r="J375" s="21" t="n">
        <v>450302</v>
      </c>
      <c r="K375" s="21" t="n">
        <v>132000</v>
      </c>
      <c r="L375" s="21" t="n">
        <v>582302</v>
      </c>
      <c r="M375" s="21" t="n">
        <v>1899808</v>
      </c>
      <c r="N375" s="21" t="n">
        <v>991720</v>
      </c>
      <c r="O375" s="21" t="n">
        <v>23602</v>
      </c>
      <c r="P375" s="21" t="n">
        <v>3497432</v>
      </c>
      <c r="Q375" s="21" t="n">
        <v>2329038</v>
      </c>
      <c r="R375" s="21">
        <f>IF(Q375="","",Q375*(1+in_GrowthRate)^(YEARFRAC(DATE(2023,6,30),in_AgeToDate)*IF(in_AgeToDate&lt;DATE(2023,6,30),-1,1)+1))</f>
        <v/>
      </c>
      <c r="S375" s="38" t="n">
        <v>0.2931366060999063</v>
      </c>
      <c r="T375" s="43">
        <f>HYPERLINK("https://projects.propublica.org/nonprofits/organizations/562462804/202401359349311605/full","view filing")</f>
        <v/>
      </c>
    </row>
    <row r="376">
      <c r="A376" t="inlineStr">
        <is>
          <t>University Of Virginia Investment Management Company</t>
        </is>
      </c>
      <c r="B376" s="20" t="inlineStr">
        <is>
          <t>VA</t>
        </is>
      </c>
      <c r="C376" s="42" t="n">
        <v>15.5</v>
      </c>
      <c r="D376" t="inlineStr">
        <is>
          <t>Endowment</t>
        </is>
      </c>
      <c r="E376" s="20" t="n">
        <v>2023</v>
      </c>
      <c r="F376" s="20" t="inlineStr"/>
      <c r="G376" t="inlineStr">
        <is>
          <t>Eric J Bundonis</t>
        </is>
      </c>
      <c r="H376" t="inlineStr">
        <is>
          <t>MANAGING DIRECTOR</t>
        </is>
      </c>
      <c r="I376" t="inlineStr">
        <is>
          <t>Managing Director</t>
        </is>
      </c>
      <c r="J376" s="21" t="n">
        <v>376289</v>
      </c>
      <c r="K376" s="21" t="n">
        <v>218500</v>
      </c>
      <c r="L376" s="21" t="n">
        <v>594789</v>
      </c>
      <c r="M376" s="21" t="n">
        <v>241120</v>
      </c>
      <c r="N376" s="21" t="n">
        <v>511720</v>
      </c>
      <c r="O376" s="21" t="n">
        <v>24629</v>
      </c>
      <c r="P376" s="21" t="n">
        <v>1372258</v>
      </c>
      <c r="Q376" s="21" t="n">
        <v>1372258</v>
      </c>
      <c r="R376" s="21">
        <f>IF(Q376="","",Q376*(1+in_GrowthRate)^(YEARFRAC(DATE(2023,6,30),in_AgeToDate)*IF(in_AgeToDate&lt;DATE(2023,6,30),-1,1)+1))</f>
        <v/>
      </c>
      <c r="S376" s="38" t="n">
        <v>0.5806707078867572</v>
      </c>
      <c r="T376" s="43">
        <f>HYPERLINK("https://projects.propublica.org/nonprofits/organizations/562462804/202401359349311605/full","view filing")</f>
        <v/>
      </c>
    </row>
    <row r="377">
      <c r="A377" t="inlineStr">
        <is>
          <t>University Of Virginia Investment Management Company</t>
        </is>
      </c>
      <c r="B377" s="20" t="inlineStr">
        <is>
          <t>VA</t>
        </is>
      </c>
      <c r="C377" s="42" t="n">
        <v>15.5</v>
      </c>
      <c r="D377" t="inlineStr">
        <is>
          <t>Endowment</t>
        </is>
      </c>
      <c r="E377" s="20" t="n">
        <v>2023</v>
      </c>
      <c r="F377" s="20" t="inlineStr"/>
      <c r="G377" t="inlineStr">
        <is>
          <t>Jason M Love</t>
        </is>
      </c>
      <c r="H377" t="inlineStr">
        <is>
          <t>MANAGING DIRECTOR</t>
        </is>
      </c>
      <c r="I377" t="inlineStr">
        <is>
          <t>Managing Director</t>
        </is>
      </c>
      <c r="J377" s="21" t="n">
        <v>393929</v>
      </c>
      <c r="K377" s="21" t="n">
        <v>231000</v>
      </c>
      <c r="L377" s="21" t="n">
        <v>624929</v>
      </c>
      <c r="M377" s="21" t="n">
        <v>1286461</v>
      </c>
      <c r="N377" s="21" t="n">
        <v>671720</v>
      </c>
      <c r="O377" s="21" t="n">
        <v>29489</v>
      </c>
      <c r="P377" s="21" t="n">
        <v>2612599</v>
      </c>
      <c r="Q377" s="21" t="n">
        <v>1820175</v>
      </c>
      <c r="R377" s="21">
        <f>IF(Q377="","",Q377*(1+in_GrowthRate)^(YEARFRAC(DATE(2023,6,30),in_AgeToDate)*IF(in_AgeToDate&lt;DATE(2023,6,30),-1,1)+1))</f>
        <v/>
      </c>
      <c r="S377" s="38" t="n">
        <v>0.586400087325381</v>
      </c>
      <c r="T377" s="43">
        <f>HYPERLINK("https://projects.propublica.org/nonprofits/organizations/562462804/202401359349311605/full","view filing")</f>
        <v/>
      </c>
    </row>
    <row r="378">
      <c r="A378" t="inlineStr">
        <is>
          <t>University Of Virginia Investment Management Company</t>
        </is>
      </c>
      <c r="B378" s="20" t="inlineStr">
        <is>
          <t>VA</t>
        </is>
      </c>
      <c r="C378" s="42" t="n">
        <v>15.5</v>
      </c>
      <c r="D378" t="inlineStr">
        <is>
          <t>Endowment</t>
        </is>
      </c>
      <c r="E378" s="20" t="n">
        <v>2023</v>
      </c>
      <c r="F378" s="20" t="inlineStr"/>
      <c r="G378" t="inlineStr">
        <is>
          <t>Lindsay R Larsen</t>
        </is>
      </c>
      <c r="H378" t="inlineStr">
        <is>
          <t>MANAGING DIRECTOR</t>
        </is>
      </c>
      <c r="I378" t="inlineStr">
        <is>
          <t>Managing Director</t>
        </is>
      </c>
      <c r="J378" s="21" t="n">
        <v>399033</v>
      </c>
      <c r="K378" s="21" t="n">
        <v>135000</v>
      </c>
      <c r="L378" s="21" t="n">
        <v>534033</v>
      </c>
      <c r="M378" s="21" t="n">
        <v>1532391</v>
      </c>
      <c r="N378" s="21" t="n">
        <v>831720</v>
      </c>
      <c r="O378" s="21" t="n">
        <v>12958</v>
      </c>
      <c r="P378" s="21" t="n">
        <v>2911102</v>
      </c>
      <c r="Q378" s="21" t="n">
        <v>2048435</v>
      </c>
      <c r="R378" s="21">
        <f>IF(Q378="","",Q378*(1+in_GrowthRate)^(YEARFRAC(DATE(2023,6,30),in_AgeToDate)*IF(in_AgeToDate&lt;DATE(2023,6,30),-1,1)+1))</f>
        <v/>
      </c>
      <c r="S378" s="38" t="n">
        <v>0.3383178834833209</v>
      </c>
      <c r="T378" s="43">
        <f>HYPERLINK("https://projects.propublica.org/nonprofits/organizations/562462804/202401359349311605/full","view filing")</f>
        <v/>
      </c>
    </row>
    <row r="379">
      <c r="A379" t="inlineStr">
        <is>
          <t>University Of Virginia Investment Management Company</t>
        </is>
      </c>
      <c r="B379" s="20" t="inlineStr">
        <is>
          <t>VA</t>
        </is>
      </c>
      <c r="C379" s="42" t="n">
        <v>15.5</v>
      </c>
      <c r="D379" t="inlineStr">
        <is>
          <t>Endowment</t>
        </is>
      </c>
      <c r="E379" s="20" t="n">
        <v>2022</v>
      </c>
      <c r="F379" s="20" t="inlineStr"/>
      <c r="G379" t="inlineStr">
        <is>
          <t>E Sargent Mcgowan</t>
        </is>
      </c>
      <c r="H379" t="inlineStr">
        <is>
          <t>MANAGING DIRECTOR</t>
        </is>
      </c>
      <c r="I379" t="inlineStr">
        <is>
          <t>Managing Director</t>
        </is>
      </c>
      <c r="J379" s="21" t="n">
        <v>425352</v>
      </c>
      <c r="K379" s="21" t="n">
        <v>128000</v>
      </c>
      <c r="L379" s="21" t="n">
        <v>553352</v>
      </c>
      <c r="M379" s="21" t="n">
        <v>1320406</v>
      </c>
      <c r="N379" s="21" t="n">
        <v>1144507</v>
      </c>
      <c r="O379" s="21" t="n">
        <v>23323</v>
      </c>
      <c r="P379" s="21" t="n">
        <v>3041588</v>
      </c>
      <c r="Q379" s="21" t="n">
        <v>2550385</v>
      </c>
      <c r="R379" s="21">
        <f>IF(Q379="","",Q379*(1+in_GrowthRate)^(YEARFRAC(DATE(2022,6,30),in_AgeToDate)*IF(in_AgeToDate&lt;DATE(2022,6,30),-1,1)+1))</f>
        <v/>
      </c>
      <c r="S379" s="38" t="n">
        <v>0.3009272320337039</v>
      </c>
      <c r="T379" s="43">
        <f>HYPERLINK("https://projects.propublica.org/nonprofits/organizations/562462804/202321359349316167/full","view filing")</f>
        <v/>
      </c>
    </row>
    <row r="380">
      <c r="A380" t="inlineStr">
        <is>
          <t>University Of Virginia Investment Management Company</t>
        </is>
      </c>
      <c r="B380" s="20" t="inlineStr">
        <is>
          <t>VA</t>
        </is>
      </c>
      <c r="C380" s="42" t="n">
        <v>15.5</v>
      </c>
      <c r="D380" t="inlineStr">
        <is>
          <t>Endowment</t>
        </is>
      </c>
      <c r="E380" s="20" t="n">
        <v>2022</v>
      </c>
      <c r="F380" s="20" t="inlineStr"/>
      <c r="G380" t="inlineStr">
        <is>
          <t>Eric J Bundonis</t>
        </is>
      </c>
      <c r="H380" t="inlineStr">
        <is>
          <t>MANAGING DIRECTOR</t>
        </is>
      </c>
      <c r="I380" t="inlineStr">
        <is>
          <t>Managing Director</t>
        </is>
      </c>
      <c r="J380" s="21" t="n">
        <v>334098</v>
      </c>
      <c r="K380" s="21" t="n">
        <v>250000</v>
      </c>
      <c r="L380" s="21" t="n">
        <v>584098</v>
      </c>
      <c r="M380" s="21" t="n">
        <v>2493</v>
      </c>
      <c r="N380" s="21" t="n">
        <v>30160</v>
      </c>
      <c r="O380" s="21" t="n">
        <v>29001</v>
      </c>
      <c r="P380" s="21" t="n">
        <v>645752</v>
      </c>
      <c r="Q380" s="21" t="n">
        <v>645752</v>
      </c>
      <c r="R380" s="21">
        <f>IF(Q380="","",Q380*(1+in_GrowthRate)^(YEARFRAC(DATE(2022,6,30),in_AgeToDate)*IF(in_AgeToDate&lt;DATE(2022,6,30),-1,1)+1))</f>
        <v/>
      </c>
      <c r="S380" s="38" t="n">
        <v>0.7482834377937012</v>
      </c>
      <c r="T380" s="43">
        <f>HYPERLINK("https://projects.propublica.org/nonprofits/organizations/562462804/202321359349316167/full","view filing")</f>
        <v/>
      </c>
    </row>
    <row r="381">
      <c r="A381" t="inlineStr">
        <is>
          <t>University Of Virginia Investment Management Company</t>
        </is>
      </c>
      <c r="B381" s="20" t="inlineStr">
        <is>
          <t>VA</t>
        </is>
      </c>
      <c r="C381" s="42" t="n">
        <v>15.5</v>
      </c>
      <c r="D381" t="inlineStr">
        <is>
          <t>Endowment</t>
        </is>
      </c>
      <c r="E381" s="20" t="n">
        <v>2022</v>
      </c>
      <c r="F381" s="20" t="inlineStr"/>
      <c r="G381" t="inlineStr">
        <is>
          <t>Jason M Love</t>
        </is>
      </c>
      <c r="H381" t="inlineStr">
        <is>
          <t>MANAGING DIRECTOR</t>
        </is>
      </c>
      <c r="I381" t="inlineStr">
        <is>
          <t>Managing Director</t>
        </is>
      </c>
      <c r="J381" s="21" t="n">
        <v>371598</v>
      </c>
      <c r="K381" s="21" t="n">
        <v>94000</v>
      </c>
      <c r="L381" s="21" t="n">
        <v>465598</v>
      </c>
      <c r="M381" s="21" t="n">
        <v>902266</v>
      </c>
      <c r="N381" s="21" t="n">
        <v>826122</v>
      </c>
      <c r="O381" s="21" t="n">
        <v>29001</v>
      </c>
      <c r="P381" s="21" t="n">
        <v>2222987</v>
      </c>
      <c r="Q381" s="21" t="n">
        <v>1897128</v>
      </c>
      <c r="R381" s="21">
        <f>IF(Q381="","",Q381*(1+in_GrowthRate)^(YEARFRAC(DATE(2022,6,30),in_AgeToDate)*IF(in_AgeToDate&lt;DATE(2022,6,30),-1,1)+1))</f>
        <v/>
      </c>
      <c r="S381" s="38" t="n">
        <v>0.2529615337003966</v>
      </c>
      <c r="T381" s="43">
        <f>HYPERLINK("https://projects.propublica.org/nonprofits/organizations/562462804/202321359349316167/full","view filing")</f>
        <v/>
      </c>
    </row>
    <row r="382">
      <c r="A382" t="inlineStr">
        <is>
          <t>University Of Virginia Investment Management Company</t>
        </is>
      </c>
      <c r="B382" s="20" t="inlineStr">
        <is>
          <t>VA</t>
        </is>
      </c>
      <c r="C382" s="42" t="n">
        <v>15.5</v>
      </c>
      <c r="D382" t="inlineStr">
        <is>
          <t>Endowment</t>
        </is>
      </c>
      <c r="E382" s="20" t="n">
        <v>2022</v>
      </c>
      <c r="F382" s="20" t="inlineStr"/>
      <c r="G382" t="inlineStr">
        <is>
          <t>Lindsay R Larsen</t>
        </is>
      </c>
      <c r="H382" t="inlineStr">
        <is>
          <t>MANAGING DIRECTOR</t>
        </is>
      </c>
      <c r="I382" t="inlineStr">
        <is>
          <t>Managing Director</t>
        </is>
      </c>
      <c r="J382" s="21" t="n">
        <v>376606</v>
      </c>
      <c r="K382" s="21" t="n">
        <v>113000</v>
      </c>
      <c r="L382" s="21" t="n">
        <v>489606</v>
      </c>
      <c r="M382" s="21" t="n">
        <v>1073172</v>
      </c>
      <c r="N382" s="21" t="n">
        <v>905718</v>
      </c>
      <c r="O382" s="21" t="n">
        <v>11431</v>
      </c>
      <c r="P382" s="21" t="n">
        <v>2479927</v>
      </c>
      <c r="Q382" s="21" t="n">
        <v>2133623</v>
      </c>
      <c r="R382" s="21">
        <f>IF(Q382="","",Q382*(1+in_GrowthRate)^(YEARFRAC(DATE(2022,6,30),in_AgeToDate)*IF(in_AgeToDate&lt;DATE(2022,6,30),-1,1)+1))</f>
        <v/>
      </c>
      <c r="S382" s="38" t="n">
        <v>0.3000483263676096</v>
      </c>
      <c r="T382" s="43">
        <f>HYPERLINK("https://projects.propublica.org/nonprofits/organizations/562462804/202321359349316167/full","view filing")</f>
        <v/>
      </c>
    </row>
    <row r="383">
      <c r="A383" t="inlineStr">
        <is>
          <t>University Of Wisconsin Foundation</t>
        </is>
      </c>
      <c r="B383" s="20" t="inlineStr">
        <is>
          <t>WI</t>
        </is>
      </c>
      <c r="C383" s="42" t="n">
        <v>4.92</v>
      </c>
      <c r="D383" t="inlineStr">
        <is>
          <t>Endowment</t>
        </is>
      </c>
      <c r="E383" s="20" t="n">
        <v>2025</v>
      </c>
      <c r="F383" s="20">
        <f>IF(AND(OR(in_Mode="All Funds",AND(C383&gt;=in_BandFloor,C383&lt;=in_BandCeiling,OR(in_Geography="National",COUNTIFS(lst_GeoPreset,in_Geography,lst_GeoState,B383)&gt;0,AND(in_Geography="Custom",ISNUMBER(SEARCH(B383,SUBSTITUTE(in_CustomStates," ",""))))),OR(AND(D383="Endowment",Inputs!$B$14="Y"),AND(D383="Foundation",Inputs!$B$15="Y"),AND(D383="Healthcare",Inputs!$B$16="Y"),AND(D383="Pension",Inputs!$B$17="Y"),AND(D383="OCIO",Inputs!$B$18="Y"),AND(D383="Other",Inputs!$B$19="Y")))),A383&lt;&gt;in_ClientOrg,NOT(AND(in_ExclHarvard="Y",ISNUMBER(SEARCH("Harvard",A383))))),"Y","")</f>
        <v/>
      </c>
      <c r="G383" t="inlineStr">
        <is>
          <t>Katherine L Wyble</t>
        </is>
      </c>
      <c r="H383" t="inlineStr">
        <is>
          <t>MANAGING DIRECTOR OF INVESTMENTS</t>
        </is>
      </c>
      <c r="I383" t="inlineStr">
        <is>
          <t>Managing Director</t>
        </is>
      </c>
      <c r="J383" s="21" t="n">
        <v>408007</v>
      </c>
      <c r="K383" s="21" t="n">
        <v>353933</v>
      </c>
      <c r="L383" s="21" t="n">
        <v>761940</v>
      </c>
      <c r="M383" s="21" t="n">
        <v>270</v>
      </c>
      <c r="N383" s="21" t="n">
        <v>34500</v>
      </c>
      <c r="O383" s="21" t="n">
        <v>1498</v>
      </c>
      <c r="P383" s="21" t="n">
        <v>798208</v>
      </c>
      <c r="Q383" s="21" t="n">
        <v>798208</v>
      </c>
      <c r="R383" s="21">
        <f>IF(Q383="","",Q383*(1+in_GrowthRate)^(YEARFRAC(DATE(2025,6,30),in_AgeToDate)*IF(in_AgeToDate&lt;DATE(2025,6,30),-1,1)+1))</f>
        <v/>
      </c>
      <c r="S383" s="38" t="n">
        <v>0.8674679601085276</v>
      </c>
      <c r="T383" s="43">
        <f>HYPERLINK("https://projects.propublica.org/nonprofits/organizations/390743975/202601359349303645/full","view filing")</f>
        <v/>
      </c>
    </row>
    <row r="384">
      <c r="A384" t="inlineStr">
        <is>
          <t>University Of Wisconsin Foundation</t>
        </is>
      </c>
      <c r="B384" s="20" t="inlineStr">
        <is>
          <t>WI</t>
        </is>
      </c>
      <c r="C384" s="42" t="n">
        <v>4.92</v>
      </c>
      <c r="D384" t="inlineStr">
        <is>
          <t>Endowment</t>
        </is>
      </c>
      <c r="E384" s="20" t="n">
        <v>2025</v>
      </c>
      <c r="F384" s="20">
        <f>IF(AND(OR(in_Mode="All Funds",AND(C384&gt;=in_BandFloor,C384&lt;=in_BandCeiling,OR(in_Geography="National",COUNTIFS(lst_GeoPreset,in_Geography,lst_GeoState,B384)&gt;0,AND(in_Geography="Custom",ISNUMBER(SEARCH(B384,SUBSTITUTE(in_CustomStates," ",""))))),OR(AND(D384="Endowment",Inputs!$B$14="Y"),AND(D384="Foundation",Inputs!$B$15="Y"),AND(D384="Healthcare",Inputs!$B$16="Y"),AND(D384="Pension",Inputs!$B$17="Y"),AND(D384="OCIO",Inputs!$B$18="Y"),AND(D384="Other",Inputs!$B$19="Y")))),A384&lt;&gt;in_ClientOrg,NOT(AND(in_ExclHarvard="Y",ISNUMBER(SEARCH("Harvard",A384))))),"Y","")</f>
        <v/>
      </c>
      <c r="G384" t="inlineStr">
        <is>
          <t>Richard J Shepley</t>
        </is>
      </c>
      <c r="H384" t="inlineStr">
        <is>
          <t>SR. MANAGING DIRECTOR OF INVESTMENTS</t>
        </is>
      </c>
      <c r="I384" t="inlineStr">
        <is>
          <t>Senior Managing Director</t>
        </is>
      </c>
      <c r="J384" s="21" t="n">
        <v>503884</v>
      </c>
      <c r="K384" s="21" t="n">
        <v>441491</v>
      </c>
      <c r="L384" s="21" t="n">
        <v>945375</v>
      </c>
      <c r="M384" s="21" t="n">
        <v>1290</v>
      </c>
      <c r="N384" s="21" t="n">
        <v>34500</v>
      </c>
      <c r="O384" s="21" t="n">
        <v>20698</v>
      </c>
      <c r="P384" s="21" t="n">
        <v>1001863</v>
      </c>
      <c r="Q384" s="21" t="n">
        <v>1001863</v>
      </c>
      <c r="R384" s="21">
        <f>IF(Q384="","",Q384*(1+in_GrowthRate)^(YEARFRAC(DATE(2025,6,30),in_AgeToDate)*IF(in_AgeToDate&lt;DATE(2025,6,30),-1,1)+1))</f>
        <v/>
      </c>
      <c r="S384" s="38" t="n">
        <v>0.8761758658738916</v>
      </c>
      <c r="T384" s="43">
        <f>HYPERLINK("https://projects.propublica.org/nonprofits/organizations/390743975/202601359349303645/full","view filing")</f>
        <v/>
      </c>
    </row>
    <row r="385">
      <c r="A385" t="inlineStr">
        <is>
          <t>University Of Wisconsin Foundation</t>
        </is>
      </c>
      <c r="B385" s="20" t="inlineStr">
        <is>
          <t>WI</t>
        </is>
      </c>
      <c r="C385" s="42" t="n">
        <v>4.92</v>
      </c>
      <c r="D385" t="inlineStr">
        <is>
          <t>Endowment</t>
        </is>
      </c>
      <c r="E385" s="20" t="n">
        <v>2024</v>
      </c>
      <c r="F385" s="20" t="inlineStr"/>
      <c r="G385" t="inlineStr">
        <is>
          <t>Katherine L Wyble</t>
        </is>
      </c>
      <c r="H385" t="inlineStr">
        <is>
          <t>MANAGING DIRECTOR OF INVESTMENTS</t>
        </is>
      </c>
      <c r="I385" t="inlineStr">
        <is>
          <t>Managing Director</t>
        </is>
      </c>
      <c r="J385" s="21" t="n">
        <v>388300</v>
      </c>
      <c r="K385" s="21" t="n">
        <v>284144</v>
      </c>
      <c r="L385" s="21" t="n">
        <v>672444</v>
      </c>
      <c r="M385" s="21" t="n">
        <v>270</v>
      </c>
      <c r="N385" s="21" t="n">
        <v>27850</v>
      </c>
      <c r="O385" s="21" t="n">
        <v>1498</v>
      </c>
      <c r="P385" s="21" t="n">
        <v>702062</v>
      </c>
      <c r="Q385" s="21" t="n">
        <v>702062</v>
      </c>
      <c r="R385" s="21">
        <f>IF(Q385="","",Q385*(1+in_GrowthRate)^(YEARFRAC(DATE(2024,6,30),in_AgeToDate)*IF(in_AgeToDate&lt;DATE(2024,6,30),-1,1)+1))</f>
        <v/>
      </c>
      <c r="S385" s="38" t="n">
        <v>0.7317640999227402</v>
      </c>
      <c r="T385" s="43">
        <f>HYPERLINK("https://projects.propublica.org/nonprofits/organizations/390743975/202511339349302751/full","view filing")</f>
        <v/>
      </c>
    </row>
    <row r="386">
      <c r="A386" t="inlineStr">
        <is>
          <t>University Of Wisconsin Foundation</t>
        </is>
      </c>
      <c r="B386" s="20" t="inlineStr">
        <is>
          <t>WI</t>
        </is>
      </c>
      <c r="C386" s="42" t="n">
        <v>4.92</v>
      </c>
      <c r="D386" t="inlineStr">
        <is>
          <t>Endowment</t>
        </is>
      </c>
      <c r="E386" s="20" t="n">
        <v>2024</v>
      </c>
      <c r="F386" s="20" t="inlineStr"/>
      <c r="G386" t="inlineStr">
        <is>
          <t>Richard J Shepley</t>
        </is>
      </c>
      <c r="H386" t="inlineStr">
        <is>
          <t>SR. MANAGING DIRECTOR OF INVESTMENTS</t>
        </is>
      </c>
      <c r="I386" t="inlineStr">
        <is>
          <t>Senior Managing Director</t>
        </is>
      </c>
      <c r="J386" s="21" t="n">
        <v>475949</v>
      </c>
      <c r="K386" s="21" t="n">
        <v>355180</v>
      </c>
      <c r="L386" s="21" t="n">
        <v>831129</v>
      </c>
      <c r="M386" s="21" t="n">
        <v>690</v>
      </c>
      <c r="N386" s="21" t="n">
        <v>33000</v>
      </c>
      <c r="O386" s="21" t="n">
        <v>19456</v>
      </c>
      <c r="P386" s="21" t="n">
        <v>884275</v>
      </c>
      <c r="Q386" s="21" t="n">
        <v>884275</v>
      </c>
      <c r="R386" s="21">
        <f>IF(Q386="","",Q386*(1+in_GrowthRate)^(YEARFRAC(DATE(2024,6,30),in_AgeToDate)*IF(in_AgeToDate&lt;DATE(2024,6,30),-1,1)+1))</f>
        <v/>
      </c>
      <c r="S386" s="38" t="n">
        <v>0.7462564266339461</v>
      </c>
      <c r="T386" s="43">
        <f>HYPERLINK("https://projects.propublica.org/nonprofits/organizations/390743975/202511339349302751/full","view filing")</f>
        <v/>
      </c>
    </row>
    <row r="387">
      <c r="A387" t="inlineStr">
        <is>
          <t>University Of Wisconsin Foundation</t>
        </is>
      </c>
      <c r="B387" s="20" t="inlineStr">
        <is>
          <t>WI</t>
        </is>
      </c>
      <c r="C387" s="42" t="n">
        <v>4.92</v>
      </c>
      <c r="D387" t="inlineStr">
        <is>
          <t>Endowment</t>
        </is>
      </c>
      <c r="E387" s="20" t="n">
        <v>2023</v>
      </c>
      <c r="F387" s="20" t="inlineStr"/>
      <c r="G387" t="inlineStr">
        <is>
          <t>Katherine L Wyble</t>
        </is>
      </c>
      <c r="H387" t="inlineStr">
        <is>
          <t>MANAGING DIRECTOR OF INVESTMENTS</t>
        </is>
      </c>
      <c r="I387" t="inlineStr">
        <is>
          <t>Managing Director</t>
        </is>
      </c>
      <c r="J387" s="21" t="n">
        <v>394736</v>
      </c>
      <c r="K387" s="21" t="n">
        <v>71904</v>
      </c>
      <c r="L387" s="21" t="n">
        <v>466640</v>
      </c>
      <c r="M387" s="21" t="n">
        <v>225</v>
      </c>
      <c r="N387" s="21" t="n"/>
      <c r="O387" s="21" t="n">
        <v>1405</v>
      </c>
      <c r="P387" s="21" t="n">
        <v>468270</v>
      </c>
      <c r="Q387" s="21" t="n">
        <v>468270</v>
      </c>
      <c r="R387" s="21">
        <f>IF(Q387="","",Q387*(1+in_GrowthRate)^(YEARFRAC(DATE(2023,6,30),in_AgeToDate)*IF(in_AgeToDate&lt;DATE(2023,6,30),-1,1)+1))</f>
        <v/>
      </c>
      <c r="S387" s="38" t="n">
        <v>0.1821571886020024</v>
      </c>
      <c r="T387" s="43">
        <f>HYPERLINK("https://projects.propublica.org/nonprofits/organizations/390743975/202411349349307346/full","view filing")</f>
        <v/>
      </c>
    </row>
    <row r="388">
      <c r="A388" t="inlineStr">
        <is>
          <t>University Of Wisconsin Foundation</t>
        </is>
      </c>
      <c r="B388" s="20" t="inlineStr">
        <is>
          <t>WI</t>
        </is>
      </c>
      <c r="C388" s="42" t="n">
        <v>4.92</v>
      </c>
      <c r="D388" t="inlineStr">
        <is>
          <t>Endowment</t>
        </is>
      </c>
      <c r="E388" s="20" t="n">
        <v>2023</v>
      </c>
      <c r="F388" s="20" t="inlineStr"/>
      <c r="G388" t="inlineStr">
        <is>
          <t>Richard J Shepley</t>
        </is>
      </c>
      <c r="H388" t="inlineStr">
        <is>
          <t>SR. MANAGING DIRECTOR OF INVESTMENTS - PUB MRKTS</t>
        </is>
      </c>
      <c r="I388" t="inlineStr">
        <is>
          <t>Senior Managing Director</t>
        </is>
      </c>
      <c r="J388" s="21" t="n">
        <v>453844</v>
      </c>
      <c r="K388" s="21" t="n">
        <v>415507</v>
      </c>
      <c r="L388" s="21" t="n">
        <v>869351</v>
      </c>
      <c r="M388" s="21" t="n">
        <v>690</v>
      </c>
      <c r="N388" s="21" t="n">
        <v>30500</v>
      </c>
      <c r="O388" s="21" t="n">
        <v>18299</v>
      </c>
      <c r="P388" s="21" t="n">
        <v>918840</v>
      </c>
      <c r="Q388" s="21" t="n">
        <v>918840</v>
      </c>
      <c r="R388" s="21">
        <f>IF(Q388="","",Q388*(1+in_GrowthRate)^(YEARFRAC(DATE(2023,6,30),in_AgeToDate)*IF(in_AgeToDate&lt;DATE(2023,6,30),-1,1)+1))</f>
        <v/>
      </c>
      <c r="S388" s="38" t="n">
        <v>0.9155282431848829</v>
      </c>
      <c r="T388" s="43">
        <f>HYPERLINK("https://projects.propublica.org/nonprofits/organizations/390743975/202411349349307346/full","view filing")</f>
        <v/>
      </c>
    </row>
    <row r="389">
      <c r="A389" t="inlineStr">
        <is>
          <t>University Of Wisconsin Foundation</t>
        </is>
      </c>
      <c r="B389" s="20" t="inlineStr">
        <is>
          <t>WI</t>
        </is>
      </c>
      <c r="C389" s="42" t="n">
        <v>4.92</v>
      </c>
      <c r="D389" t="inlineStr">
        <is>
          <t>Endowment</t>
        </is>
      </c>
      <c r="E389" s="20" t="n">
        <v>2022</v>
      </c>
      <c r="F389" s="20" t="inlineStr"/>
      <c r="G389" t="inlineStr">
        <is>
          <t>Richard J Shepley</t>
        </is>
      </c>
      <c r="H389" t="inlineStr">
        <is>
          <t>SR. MANAGING DIRECTOR OF INVESTMENTS - PUB MRKTS</t>
        </is>
      </c>
      <c r="I389" t="inlineStr">
        <is>
          <t>Senior Managing Director</t>
        </is>
      </c>
      <c r="J389" s="21" t="n">
        <v>485513</v>
      </c>
      <c r="K389" s="21" t="n">
        <v>191760</v>
      </c>
      <c r="L389" s="21" t="n">
        <v>677273</v>
      </c>
      <c r="M389" s="21" t="n">
        <v>690</v>
      </c>
      <c r="N389" s="21" t="n">
        <v>29000</v>
      </c>
      <c r="O389" s="21" t="n">
        <v>23176</v>
      </c>
      <c r="P389" s="21" t="n">
        <v>730139</v>
      </c>
      <c r="Q389" s="21" t="n">
        <v>730139</v>
      </c>
      <c r="R389" s="21">
        <f>IF(Q389="","",Q389*(1+in_GrowthRate)^(YEARFRAC(DATE(2022,6,30),in_AgeToDate)*IF(in_AgeToDate&lt;DATE(2022,6,30),-1,1)+1))</f>
        <v/>
      </c>
      <c r="S389" s="38" t="n">
        <v>0.3949636775946267</v>
      </c>
      <c r="T389" s="43">
        <f>HYPERLINK("https://projects.propublica.org/nonprofits/organizations/390743975/202341359349304714/full","view filing")</f>
        <v/>
      </c>
    </row>
    <row r="390">
      <c r="A390" t="inlineStr">
        <is>
          <t>Vanderbilt University</t>
        </is>
      </c>
      <c r="B390" s="20" t="inlineStr">
        <is>
          <t>TN</t>
        </is>
      </c>
      <c r="C390" s="42" t="n">
        <v>10.86</v>
      </c>
      <c r="D390" t="inlineStr">
        <is>
          <t>Endowment</t>
        </is>
      </c>
      <c r="E390" s="20" t="n">
        <v>2022</v>
      </c>
      <c r="F390" s="20" t="inlineStr"/>
      <c r="G390" t="inlineStr">
        <is>
          <t>Travis W Shore</t>
        </is>
      </c>
      <c r="H390" t="inlineStr">
        <is>
          <t>Managing Director, Investments</t>
        </is>
      </c>
      <c r="I390" t="inlineStr">
        <is>
          <t>Managing Director</t>
        </is>
      </c>
      <c r="J390" s="21" t="n">
        <v>375989</v>
      </c>
      <c r="K390" s="21" t="n">
        <v>968338</v>
      </c>
      <c r="L390" s="21" t="n">
        <v>1344327</v>
      </c>
      <c r="M390" s="21" t="n">
        <v>20129</v>
      </c>
      <c r="N390" s="21" t="n">
        <v>615051</v>
      </c>
      <c r="O390" s="21" t="n">
        <v>42680</v>
      </c>
      <c r="P390" s="21" t="n">
        <v>2022187</v>
      </c>
      <c r="Q390" s="21" t="n">
        <v>2022187</v>
      </c>
      <c r="R390" s="21">
        <f>IF(Q390="","",Q390*(1+in_GrowthRate)^(YEARFRAC(DATE(2022,6,30),in_AgeToDate)*IF(in_AgeToDate&lt;DATE(2022,6,30),-1,1)+1))</f>
        <v/>
      </c>
      <c r="S390" s="38" t="n">
        <v>2.575442366664982</v>
      </c>
      <c r="T390" s="43">
        <f>HYPERLINK("https://projects.propublica.org/nonprofits/organizations/620476822/202331239349300533/full","view filing")</f>
        <v/>
      </c>
    </row>
    <row r="391">
      <c r="A391" t="inlineStr">
        <is>
          <t>Vcu Investment Management Company</t>
        </is>
      </c>
      <c r="B391" s="20" t="inlineStr">
        <is>
          <t>VA</t>
        </is>
      </c>
      <c r="C391" s="42" t="n">
        <v>2.89</v>
      </c>
      <c r="D391" t="inlineStr">
        <is>
          <t>Endowment</t>
        </is>
      </c>
      <c r="E391" s="20" t="n">
        <v>2025</v>
      </c>
      <c r="F391" s="20">
        <f>IF(AND(OR(in_Mode="All Funds",AND(C391&gt;=in_BandFloor,C391&lt;=in_BandCeiling,OR(in_Geography="National",COUNTIFS(lst_GeoPreset,in_Geography,lst_GeoState,B391)&gt;0,AND(in_Geography="Custom",ISNUMBER(SEARCH(B391,SUBSTITUTE(in_CustomStates," ",""))))),OR(AND(D391="Endowment",Inputs!$B$14="Y"),AND(D391="Foundation",Inputs!$B$15="Y"),AND(D391="Healthcare",Inputs!$B$16="Y"),AND(D391="Pension",Inputs!$B$17="Y"),AND(D391="OCIO",Inputs!$B$18="Y"),AND(D391="Other",Inputs!$B$19="Y")))),A391&lt;&gt;in_ClientOrg,NOT(AND(in_ExclHarvard="Y",ISNUMBER(SEARCH("Harvard",A391))))),"Y","")</f>
        <v/>
      </c>
      <c r="G391" t="inlineStr">
        <is>
          <t>Philip Keefe</t>
        </is>
      </c>
      <c r="H391" t="inlineStr">
        <is>
          <t>MANAGING DIRECTOR</t>
        </is>
      </c>
      <c r="I391" t="inlineStr">
        <is>
          <t>Managing Director</t>
        </is>
      </c>
      <c r="J391" s="21" t="n">
        <v>286150</v>
      </c>
      <c r="K391" s="21" t="n">
        <v>238000</v>
      </c>
      <c r="L391" s="21" t="n">
        <v>524150</v>
      </c>
      <c r="M391" s="21" t="n"/>
      <c r="N391" s="21" t="n"/>
      <c r="O391" s="21" t="n"/>
      <c r="P391" s="21" t="n">
        <v>524150</v>
      </c>
      <c r="Q391" s="21" t="n">
        <v>524150</v>
      </c>
      <c r="R391" s="21">
        <f>IF(Q391="","",Q391*(1+in_GrowthRate)^(YEARFRAC(DATE(2025,6,30),in_AgeToDate)*IF(in_AgeToDate&lt;DATE(2025,6,30),-1,1)+1))</f>
        <v/>
      </c>
      <c r="S391" s="38" t="n">
        <v>0.8317316092958239</v>
      </c>
      <c r="T391" s="43">
        <f>HYPERLINK("https://projects.propublica.org/nonprofits/organizations/474815851/202600199349300105/full","view filing")</f>
        <v/>
      </c>
    </row>
    <row r="392">
      <c r="A392" t="inlineStr">
        <is>
          <t>Vcu Investment Management Company</t>
        </is>
      </c>
      <c r="B392" s="20" t="inlineStr">
        <is>
          <t>VA</t>
        </is>
      </c>
      <c r="C392" s="42" t="n">
        <v>2.89</v>
      </c>
      <c r="D392" t="inlineStr">
        <is>
          <t>Endowment</t>
        </is>
      </c>
      <c r="E392" s="20" t="n">
        <v>2024</v>
      </c>
      <c r="F392" s="20" t="inlineStr"/>
      <c r="G392" t="inlineStr">
        <is>
          <t>Phil Keefe</t>
        </is>
      </c>
      <c r="H392" t="inlineStr">
        <is>
          <t>MANAGING DIRECTOR</t>
        </is>
      </c>
      <c r="I392" t="inlineStr">
        <is>
          <t>Managing Director</t>
        </is>
      </c>
      <c r="J392" s="21" t="n">
        <v>232471</v>
      </c>
      <c r="K392" s="21" t="n">
        <v>121200</v>
      </c>
      <c r="L392" s="21" t="n">
        <v>353671</v>
      </c>
      <c r="M392" s="21" t="n"/>
      <c r="N392" s="21" t="n"/>
      <c r="O392" s="21" t="n"/>
      <c r="P392" s="21" t="n">
        <v>353671</v>
      </c>
      <c r="Q392" s="21" t="n">
        <v>353671</v>
      </c>
      <c r="R392" s="21">
        <f>IF(Q392="","",Q392*(1+in_GrowthRate)^(YEARFRAC(DATE(2024,6,30),in_AgeToDate)*IF(in_AgeToDate&lt;DATE(2024,6,30),-1,1)+1))</f>
        <v/>
      </c>
      <c r="S392" s="38" t="n">
        <v>0.5213553518503383</v>
      </c>
      <c r="T392" s="43">
        <f>HYPERLINK("https://projects.propublica.org/nonprofits/organizations/474815851/202433139349303493/full","view filing")</f>
        <v/>
      </c>
    </row>
    <row r="393">
      <c r="A393" t="inlineStr">
        <is>
          <t>Vcu Investment Management Company</t>
        </is>
      </c>
      <c r="B393" s="20" t="inlineStr">
        <is>
          <t>VA</t>
        </is>
      </c>
      <c r="C393" s="42" t="n">
        <v>2.89</v>
      </c>
      <c r="D393" t="inlineStr">
        <is>
          <t>Endowment</t>
        </is>
      </c>
      <c r="E393" s="20" t="n">
        <v>2022</v>
      </c>
      <c r="F393" s="20" t="inlineStr"/>
      <c r="G393" t="inlineStr">
        <is>
          <t>Bruce Macdonald</t>
        </is>
      </c>
      <c r="H393" t="inlineStr">
        <is>
          <t>MANAGING DIRECTOR</t>
        </is>
      </c>
      <c r="I393" t="inlineStr">
        <is>
          <t>Managing Director</t>
        </is>
      </c>
      <c r="J393" s="21" t="n">
        <v>385108</v>
      </c>
      <c r="K393" s="21" t="n">
        <v>368000</v>
      </c>
      <c r="L393" s="21" t="n">
        <v>753108</v>
      </c>
      <c r="M393" s="21" t="n"/>
      <c r="N393" s="21" t="n"/>
      <c r="O393" s="21" t="n">
        <v>38031</v>
      </c>
      <c r="P393" s="21" t="n">
        <v>791139</v>
      </c>
      <c r="Q393" s="21" t="n">
        <v>791139</v>
      </c>
      <c r="R393" s="21">
        <f>IF(Q393="","",Q393*(1+in_GrowthRate)^(YEARFRAC(DATE(2022,6,30),in_AgeToDate)*IF(in_AgeToDate&lt;DATE(2022,6,30),-1,1)+1))</f>
        <v/>
      </c>
      <c r="S393" s="38" t="n">
        <v>0.9555760981335106</v>
      </c>
      <c r="T393" s="43">
        <f>HYPERLINK("https://projects.propublica.org/nonprofits/organizations/474815851/202213189349316616/full","view filing")</f>
        <v/>
      </c>
    </row>
    <row r="394">
      <c r="A394" t="inlineStr">
        <is>
          <t>Virginia Tech Foundation Inc</t>
        </is>
      </c>
      <c r="B394" s="20" t="inlineStr">
        <is>
          <t>VA</t>
        </is>
      </c>
      <c r="C394" s="42" t="n">
        <v>2.09</v>
      </c>
      <c r="D394" t="inlineStr">
        <is>
          <t>Foundation</t>
        </is>
      </c>
      <c r="E394" s="20" t="n">
        <v>2025</v>
      </c>
      <c r="F394" s="20">
        <f>IF(AND(OR(in_Mode="All Funds",AND(C394&gt;=in_BandFloor,C394&lt;=in_BandCeiling,OR(in_Geography="National",COUNTIFS(lst_GeoPreset,in_Geography,lst_GeoState,B394)&gt;0,AND(in_Geography="Custom",ISNUMBER(SEARCH(B394,SUBSTITUTE(in_CustomStates," ",""))))),OR(AND(D394="Endowment",Inputs!$B$14="Y"),AND(D394="Foundation",Inputs!$B$15="Y"),AND(D394="Healthcare",Inputs!$B$16="Y"),AND(D394="Pension",Inputs!$B$17="Y"),AND(D394="OCIO",Inputs!$B$18="Y"),AND(D394="Other",Inputs!$B$19="Y")))),A394&lt;&gt;in_ClientOrg,NOT(AND(in_ExclHarvard="Y",ISNUMBER(SEARCH("Harvard",A394))))),"Y","")</f>
        <v/>
      </c>
      <c r="G394" t="inlineStr">
        <is>
          <t>Ms Margaret Millhiser</t>
        </is>
      </c>
      <c r="H394" t="inlineStr">
        <is>
          <t>MANAGING DIRECTOR - INVESTMENTS</t>
        </is>
      </c>
      <c r="I394" t="inlineStr">
        <is>
          <t>Managing Director</t>
        </is>
      </c>
      <c r="J394" s="21" t="n">
        <v>284307</v>
      </c>
      <c r="K394" s="21" t="n">
        <v>85625</v>
      </c>
      <c r="L394" s="21" t="n">
        <v>369932</v>
      </c>
      <c r="M394" s="21" t="n">
        <v>446</v>
      </c>
      <c r="N394" s="21" t="n">
        <v>41364</v>
      </c>
      <c r="O394" s="21" t="n">
        <v>36049</v>
      </c>
      <c r="P394" s="21" t="n">
        <v>447791</v>
      </c>
      <c r="Q394" s="21" t="n">
        <v>447791</v>
      </c>
      <c r="R394" s="21">
        <f>IF(Q394="","",Q394*(1+in_GrowthRate)^(YEARFRAC(DATE(2025,6,30),in_AgeToDate)*IF(in_AgeToDate&lt;DATE(2025,6,30),-1,1)+1))</f>
        <v/>
      </c>
      <c r="S394" s="38" t="n">
        <v>0.3011709173534243</v>
      </c>
      <c r="T394" s="43">
        <f>HYPERLINK("https://projects.propublica.org/nonprofits/organizations/540721690/202621689349300007/full","view filing")</f>
        <v/>
      </c>
    </row>
    <row r="395">
      <c r="A395" t="inlineStr">
        <is>
          <t>Washington University</t>
        </is>
      </c>
      <c r="B395" s="20" t="inlineStr">
        <is>
          <t>MO</t>
        </is>
      </c>
      <c r="C395" s="42" t="n">
        <v>13.3</v>
      </c>
      <c r="D395" t="inlineStr">
        <is>
          <t>Endowment</t>
        </is>
      </c>
      <c r="E395" s="20" t="n">
        <v>2024</v>
      </c>
      <c r="F395" s="20" t="inlineStr"/>
      <c r="G395" t="inlineStr">
        <is>
          <t>Adam Kurkiewicz</t>
        </is>
      </c>
      <c r="H395" t="inlineStr">
        <is>
          <t>MANAGING DIR. OF INVESTMENTS</t>
        </is>
      </c>
      <c r="I395" t="inlineStr">
        <is>
          <t>Managing Director</t>
        </is>
      </c>
      <c r="J395" s="21" t="n">
        <v>452201</v>
      </c>
      <c r="K395" s="21" t="n">
        <v>1495138</v>
      </c>
      <c r="L395" s="21" t="n">
        <v>1947339</v>
      </c>
      <c r="M395" s="21" t="n">
        <v>23024</v>
      </c>
      <c r="N395" s="21" t="n">
        <v>273602</v>
      </c>
      <c r="O395" s="21" t="n">
        <v>20681</v>
      </c>
      <c r="P395" s="21" t="n">
        <v>2264646</v>
      </c>
      <c r="Q395" s="21" t="n">
        <v>2264646</v>
      </c>
      <c r="R395" s="21">
        <f>IF(Q395="","",Q395*(1+in_GrowthRate)^(YEARFRAC(DATE(2024,6,30),in_AgeToDate)*IF(in_AgeToDate&lt;DATE(2024,6,30),-1,1)+1))</f>
        <v/>
      </c>
      <c r="S395" s="38" t="n">
        <v>3.306357128798919</v>
      </c>
      <c r="T395" s="43">
        <f>HYPERLINK("https://projects.propublica.org/nonprofits/organizations/430653611/202531349349312818/full","view filing")</f>
        <v/>
      </c>
    </row>
    <row r="396">
      <c r="A396" t="inlineStr">
        <is>
          <t>Washington University</t>
        </is>
      </c>
      <c r="B396" s="20" t="inlineStr">
        <is>
          <t>MO</t>
        </is>
      </c>
      <c r="C396" s="42" t="n">
        <v>13.3</v>
      </c>
      <c r="D396" t="inlineStr">
        <is>
          <t>Endowment</t>
        </is>
      </c>
      <c r="E396" s="20" t="n">
        <v>2024</v>
      </c>
      <c r="F396" s="20" t="inlineStr"/>
      <c r="G396" t="inlineStr">
        <is>
          <t>Michael Dore</t>
        </is>
      </c>
      <c r="H396" t="inlineStr">
        <is>
          <t>MANAGING DIR. OF INVESTMENTS</t>
        </is>
      </c>
      <c r="I396" t="inlineStr">
        <is>
          <t>Managing Director</t>
        </is>
      </c>
      <c r="J396" s="21" t="n">
        <v>450055</v>
      </c>
      <c r="K396" s="21" t="n">
        <v>1495138</v>
      </c>
      <c r="L396" s="21" t="n">
        <v>1945193</v>
      </c>
      <c r="M396" s="21" t="n">
        <v>23076</v>
      </c>
      <c r="N396" s="21" t="n">
        <v>273602</v>
      </c>
      <c r="O396" s="21" t="n">
        <v>27603</v>
      </c>
      <c r="P396" s="21" t="n">
        <v>2269474</v>
      </c>
      <c r="Q396" s="21" t="n">
        <v>2269474</v>
      </c>
      <c r="R396" s="21">
        <f>IF(Q396="","",Q396*(1+in_GrowthRate)^(YEARFRAC(DATE(2024,6,30),in_AgeToDate)*IF(in_AgeToDate&lt;DATE(2024,6,30),-1,1)+1))</f>
        <v/>
      </c>
      <c r="S396" s="38" t="n">
        <v>3.322122851651465</v>
      </c>
      <c r="T396" s="43">
        <f>HYPERLINK("https://projects.propublica.org/nonprofits/organizations/430653611/202531349349312818/full","view filing")</f>
        <v/>
      </c>
    </row>
    <row r="397">
      <c r="A397" t="inlineStr">
        <is>
          <t>Washington University</t>
        </is>
      </c>
      <c r="B397" s="20" t="inlineStr">
        <is>
          <t>MO</t>
        </is>
      </c>
      <c r="C397" s="42" t="n">
        <v>13.3</v>
      </c>
      <c r="D397" t="inlineStr">
        <is>
          <t>Endowment</t>
        </is>
      </c>
      <c r="E397" s="20" t="n">
        <v>2023</v>
      </c>
      <c r="F397" s="20" t="inlineStr"/>
      <c r="G397" t="inlineStr">
        <is>
          <t>Adam Kurkiewicz</t>
        </is>
      </c>
      <c r="H397" t="inlineStr">
        <is>
          <t>MANAGING DIR. OF INVESTMENTS</t>
        </is>
      </c>
      <c r="I397" t="inlineStr">
        <is>
          <t>Managing Director</t>
        </is>
      </c>
      <c r="J397" s="21" t="n">
        <v>433637</v>
      </c>
      <c r="K397" s="21" t="n">
        <v>1406066</v>
      </c>
      <c r="L397" s="21" t="n">
        <v>1839703</v>
      </c>
      <c r="M397" s="21" t="n">
        <v>21126</v>
      </c>
      <c r="N397" s="21" t="n">
        <v>22563</v>
      </c>
      <c r="O397" s="21" t="n">
        <v>21603</v>
      </c>
      <c r="P397" s="21" t="n">
        <v>1904995</v>
      </c>
      <c r="Q397" s="21" t="n">
        <v>1904995</v>
      </c>
      <c r="R397" s="21">
        <f>IF(Q397="","",Q397*(1+in_GrowthRate)^(YEARFRAC(DATE(2023,6,30),in_AgeToDate)*IF(in_AgeToDate&lt;DATE(2023,6,30),-1,1)+1))</f>
        <v/>
      </c>
      <c r="S397" s="38" t="n">
        <v>3.242495451264537</v>
      </c>
      <c r="T397" s="43">
        <f>HYPERLINK("https://projects.propublica.org/nonprofits/organizations/430653611/202421359349312512/full","view filing")</f>
        <v/>
      </c>
    </row>
    <row r="398">
      <c r="A398" t="inlineStr">
        <is>
          <t>Washington University</t>
        </is>
      </c>
      <c r="B398" s="20" t="inlineStr">
        <is>
          <t>MO</t>
        </is>
      </c>
      <c r="C398" s="42" t="n">
        <v>13.3</v>
      </c>
      <c r="D398" t="inlineStr">
        <is>
          <t>Endowment</t>
        </is>
      </c>
      <c r="E398" s="20" t="n">
        <v>2023</v>
      </c>
      <c r="F398" s="20" t="inlineStr"/>
      <c r="G398" t="inlineStr">
        <is>
          <t>Michael Dore</t>
        </is>
      </c>
      <c r="H398" t="inlineStr">
        <is>
          <t>MANAGING DIR. OF INVESTMENTS</t>
        </is>
      </c>
      <c r="I398" t="inlineStr">
        <is>
          <t>Managing Director</t>
        </is>
      </c>
      <c r="J398" s="21" t="n">
        <v>432069</v>
      </c>
      <c r="K398" s="21" t="n">
        <v>1406066</v>
      </c>
      <c r="L398" s="21" t="n">
        <v>1838135</v>
      </c>
      <c r="M398" s="21" t="n">
        <v>21175</v>
      </c>
      <c r="N398" s="21" t="n">
        <v>23750</v>
      </c>
      <c r="O398" s="21" t="n">
        <v>25859</v>
      </c>
      <c r="P398" s="21" t="n">
        <v>1908919</v>
      </c>
      <c r="Q398" s="21" t="n">
        <v>1908919</v>
      </c>
      <c r="R398" s="21">
        <f>IF(Q398="","",Q398*(1+in_GrowthRate)^(YEARFRAC(DATE(2023,6,30),in_AgeToDate)*IF(in_AgeToDate&lt;DATE(2023,6,30),-1,1)+1))</f>
        <v/>
      </c>
      <c r="S398" s="38" t="n">
        <v>3.254262629348553</v>
      </c>
      <c r="T398" s="43">
        <f>HYPERLINK("https://projects.propublica.org/nonprofits/organizations/430653611/202421359349312512/full","view filing")</f>
        <v/>
      </c>
    </row>
    <row r="399">
      <c r="A399" t="inlineStr">
        <is>
          <t>Washington University</t>
        </is>
      </c>
      <c r="B399" s="20" t="inlineStr">
        <is>
          <t>MO</t>
        </is>
      </c>
      <c r="C399" s="42" t="n">
        <v>13.3</v>
      </c>
      <c r="D399" t="inlineStr">
        <is>
          <t>Endowment</t>
        </is>
      </c>
      <c r="E399" s="20" t="n">
        <v>2022</v>
      </c>
      <c r="F399" s="20" t="inlineStr"/>
      <c r="G399" t="inlineStr">
        <is>
          <t>Adam Kurkiewicz</t>
        </is>
      </c>
      <c r="H399" t="inlineStr">
        <is>
          <t>MANAGING DIR. OF INVESTMENTS</t>
        </is>
      </c>
      <c r="I399" t="inlineStr">
        <is>
          <t>Managing Director</t>
        </is>
      </c>
      <c r="J399" s="21" t="n">
        <v>396989</v>
      </c>
      <c r="K399" s="21" t="n">
        <v>1247709</v>
      </c>
      <c r="L399" s="21" t="n">
        <v>1644698</v>
      </c>
      <c r="M399" s="21" t="n">
        <v>19905</v>
      </c>
      <c r="N399" s="21" t="n">
        <v>20300</v>
      </c>
      <c r="O399" s="21" t="n">
        <v>25469</v>
      </c>
      <c r="P399" s="21" t="n">
        <v>1710372</v>
      </c>
      <c r="Q399" s="21" t="n">
        <v>1710372</v>
      </c>
      <c r="R399" s="21">
        <f>IF(Q399="","",Q399*(1+in_GrowthRate)^(YEARFRAC(DATE(2022,6,30),in_AgeToDate)*IF(in_AgeToDate&lt;DATE(2022,6,30),-1,1)+1))</f>
        <v/>
      </c>
      <c r="S399" s="38" t="n">
        <v>3.142930912443418</v>
      </c>
      <c r="T399" s="43">
        <f>HYPERLINK("https://projects.propublica.org/nonprofits/organizations/430653611/202321359349319812/full","view filing")</f>
        <v/>
      </c>
    </row>
    <row r="400">
      <c r="A400" t="inlineStr">
        <is>
          <t>Washington University</t>
        </is>
      </c>
      <c r="B400" s="20" t="inlineStr">
        <is>
          <t>MO</t>
        </is>
      </c>
      <c r="C400" s="42" t="n">
        <v>13.3</v>
      </c>
      <c r="D400" t="inlineStr">
        <is>
          <t>Endowment</t>
        </is>
      </c>
      <c r="E400" s="20" t="n">
        <v>2022</v>
      </c>
      <c r="F400" s="20" t="inlineStr"/>
      <c r="G400" t="inlineStr">
        <is>
          <t>Michael Stohler</t>
        </is>
      </c>
      <c r="H400" t="inlineStr">
        <is>
          <t>MANAGING DIR. OF INVESTMENTS</t>
        </is>
      </c>
      <c r="I400" t="inlineStr">
        <is>
          <t>Managing Director</t>
        </is>
      </c>
      <c r="J400" s="21" t="n">
        <v>354382</v>
      </c>
      <c r="K400" s="21" t="n">
        <v>1583444</v>
      </c>
      <c r="L400" s="21" t="n">
        <v>1937826</v>
      </c>
      <c r="M400" s="21" t="n">
        <v>563</v>
      </c>
      <c r="N400" s="21" t="n">
        <v>20300</v>
      </c>
      <c r="O400" s="21" t="n">
        <v>26435</v>
      </c>
      <c r="P400" s="21" t="n">
        <v>1985124</v>
      </c>
      <c r="Q400" s="21" t="n">
        <v>1985124</v>
      </c>
      <c r="R400" s="21">
        <f>IF(Q400="","",Q400*(1+in_GrowthRate)^(YEARFRAC(DATE(2022,6,30),in_AgeToDate)*IF(in_AgeToDate&lt;DATE(2022,6,30),-1,1)+1))</f>
        <v/>
      </c>
      <c r="S400" s="38" t="n">
        <v>4.468184049979965</v>
      </c>
      <c r="T400" s="43">
        <f>HYPERLINK("https://projects.propublica.org/nonprofits/organizations/430653611/202321359349319812/full","view filing")</f>
        <v/>
      </c>
    </row>
    <row r="401">
      <c r="A401" t="inlineStr">
        <is>
          <t>William &amp; Flora Hewlett Foundation</t>
        </is>
      </c>
      <c r="B401" s="20" t="inlineStr">
        <is>
          <t>CA</t>
        </is>
      </c>
      <c r="C401" s="42" t="n">
        <v>13.18</v>
      </c>
      <c r="D401" t="inlineStr">
        <is>
          <t>Foundation</t>
        </is>
      </c>
      <c r="E401" s="20" t="n">
        <v>2022</v>
      </c>
      <c r="F401" s="20" t="inlineStr"/>
      <c r="G401" t="inlineStr">
        <is>
          <t>Luis Laboy</t>
        </is>
      </c>
      <c r="H401" t="inlineStr">
        <is>
          <t>MD, PUBLIC EQUITY</t>
        </is>
      </c>
      <c r="I401" t="inlineStr">
        <is>
          <t>Managing Director</t>
        </is>
      </c>
      <c r="J401" s="21" t="n"/>
      <c r="K401" s="21" t="n"/>
      <c r="L401" s="21" t="n"/>
      <c r="M401" s="21" t="n"/>
      <c r="N401" s="21" t="n"/>
      <c r="O401" s="21" t="n"/>
      <c r="P401" s="21" t="n">
        <v>2296079</v>
      </c>
      <c r="Q401" s="21" t="n">
        <v>2296079</v>
      </c>
      <c r="R401" s="21">
        <f>IF(Q401="","",Q401*(1+in_GrowthRate)^(YEARFRAC(DATE(2022,12,31),in_AgeToDate)*IF(in_AgeToDate&lt;DATE(2022,12,31),-1,1)+1))</f>
        <v/>
      </c>
      <c r="S401" s="38" t="n"/>
      <c r="T401" s="43">
        <f>HYPERLINK("https://projects.propublica.org/nonprofits/organizations/941655673/202343179349104459/full","view filing")</f>
        <v/>
      </c>
    </row>
    <row r="402">
      <c r="A402" t="inlineStr">
        <is>
          <t>William &amp; Flora Hewlett Foundation</t>
        </is>
      </c>
      <c r="B402" s="20" t="inlineStr">
        <is>
          <t>CA</t>
        </is>
      </c>
      <c r="C402" s="42" t="n">
        <v>13.18</v>
      </c>
      <c r="D402" t="inlineStr">
        <is>
          <t>Foundation</t>
        </is>
      </c>
      <c r="E402" s="20" t="n">
        <v>2022</v>
      </c>
      <c r="F402" s="20" t="inlineStr"/>
      <c r="G402" t="inlineStr">
        <is>
          <t>Thomas Mieczkowski</t>
        </is>
      </c>
      <c r="H402" t="inlineStr">
        <is>
          <t>MD, PRIV INVESTMENTS</t>
        </is>
      </c>
      <c r="I402" t="inlineStr">
        <is>
          <t>Managing Director</t>
        </is>
      </c>
      <c r="J402" s="21" t="n"/>
      <c r="K402" s="21" t="n"/>
      <c r="L402" s="21" t="n"/>
      <c r="M402" s="21" t="n"/>
      <c r="N402" s="21" t="n"/>
      <c r="O402" s="21" t="n"/>
      <c r="P402" s="21" t="n">
        <v>1939432</v>
      </c>
      <c r="Q402" s="21" t="n">
        <v>1939432</v>
      </c>
      <c r="R402" s="21">
        <f>IF(Q402="","",Q402*(1+in_GrowthRate)^(YEARFRAC(DATE(2022,12,31),in_AgeToDate)*IF(in_AgeToDate&lt;DATE(2022,12,31),-1,1)+1))</f>
        <v/>
      </c>
      <c r="S402" s="38" t="n"/>
      <c r="T402" s="43">
        <f>HYPERLINK("https://projects.propublica.org/nonprofits/organizations/941655673/202343179349104459/full","view filing")</f>
        <v/>
      </c>
    </row>
    <row r="403">
      <c r="A403" t="inlineStr">
        <is>
          <t>Williams College</t>
        </is>
      </c>
      <c r="B403" s="20" t="inlineStr">
        <is>
          <t>MA</t>
        </is>
      </c>
      <c r="C403" s="42" t="n">
        <v>3.93</v>
      </c>
      <c r="D403" t="inlineStr">
        <is>
          <t>Endowment</t>
        </is>
      </c>
      <c r="E403" s="20" t="n">
        <v>2025</v>
      </c>
      <c r="F403" s="20">
        <f>IF(AND(OR(in_Mode="All Funds",AND(C403&gt;=in_BandFloor,C403&lt;=in_BandCeiling,OR(in_Geography="National",COUNTIFS(lst_GeoPreset,in_Geography,lst_GeoState,B403)&gt;0,AND(in_Geography="Custom",ISNUMBER(SEARCH(B403,SUBSTITUTE(in_CustomStates," ",""))))),OR(AND(D403="Endowment",Inputs!$B$14="Y"),AND(D403="Foundation",Inputs!$B$15="Y"),AND(D403="Healthcare",Inputs!$B$16="Y"),AND(D403="Pension",Inputs!$B$17="Y"),AND(D403="OCIO",Inputs!$B$18="Y"),AND(D403="Other",Inputs!$B$19="Y")))),A403&lt;&gt;in_ClientOrg,NOT(AND(in_ExclHarvard="Y",ISNUMBER(SEARCH("Harvard",A403))))),"Y","")</f>
        <v/>
      </c>
      <c r="G403" t="inlineStr">
        <is>
          <t>Julia Brody</t>
        </is>
      </c>
      <c r="H403" t="inlineStr">
        <is>
          <t>MANAGING DIRECTOR/INVESTMENT OFFICE</t>
        </is>
      </c>
      <c r="I403" t="inlineStr">
        <is>
          <t>Managing Director</t>
        </is>
      </c>
      <c r="J403" s="21" t="n">
        <v>325903</v>
      </c>
      <c r="K403" s="21" t="n">
        <v>56473</v>
      </c>
      <c r="L403" s="21" t="n">
        <v>382376</v>
      </c>
      <c r="M403" s="21" t="n"/>
      <c r="N403" s="21" t="n">
        <v>37648</v>
      </c>
      <c r="O403" s="21" t="n">
        <v>336</v>
      </c>
      <c r="P403" s="21" t="n">
        <v>420360</v>
      </c>
      <c r="Q403" s="21" t="n">
        <v>420360</v>
      </c>
      <c r="R403" s="21">
        <f>IF(Q403="","",Q403*(1+in_GrowthRate)^(YEARFRAC(DATE(2025,6,30),in_AgeToDate)*IF(in_AgeToDate&lt;DATE(2025,6,30),-1,1)+1))</f>
        <v/>
      </c>
      <c r="S403" s="38" t="n">
        <v>0.1732816206049039</v>
      </c>
      <c r="T403" s="43">
        <f>HYPERLINK("https://projects.propublica.org/nonprofits/organizations/42104847/202631349349302993/full","view filing")</f>
        <v/>
      </c>
    </row>
    <row r="404">
      <c r="A404" t="inlineStr">
        <is>
          <t>Williams College</t>
        </is>
      </c>
      <c r="B404" s="20" t="inlineStr">
        <is>
          <t>MA</t>
        </is>
      </c>
      <c r="C404" s="42" t="n">
        <v>3.93</v>
      </c>
      <c r="D404" t="inlineStr">
        <is>
          <t>Endowment</t>
        </is>
      </c>
      <c r="E404" s="20" t="n">
        <v>2025</v>
      </c>
      <c r="F404" s="20">
        <f>IF(AND(OR(in_Mode="All Funds",AND(C404&gt;=in_BandFloor,C404&lt;=in_BandCeiling,OR(in_Geography="National",COUNTIFS(lst_GeoPreset,in_Geography,lst_GeoState,B404)&gt;0,AND(in_Geography="Custom",ISNUMBER(SEARCH(B404,SUBSTITUTE(in_CustomStates," ",""))))),OR(AND(D404="Endowment",Inputs!$B$14="Y"),AND(D404="Foundation",Inputs!$B$15="Y"),AND(D404="Healthcare",Inputs!$B$16="Y"),AND(D404="Pension",Inputs!$B$17="Y"),AND(D404="OCIO",Inputs!$B$18="Y"),AND(D404="Other",Inputs!$B$19="Y")))),A404&lt;&gt;in_ClientOrg,NOT(AND(in_ExclHarvard="Y",ISNUMBER(SEARCH("Harvard",A404))))),"Y","")</f>
        <v/>
      </c>
      <c r="G404" t="inlineStr">
        <is>
          <t>Paul Mace</t>
        </is>
      </c>
      <c r="H404" t="inlineStr">
        <is>
          <t>MANAGING DIRECTOR/INVESTMENT OFFICE</t>
        </is>
      </c>
      <c r="I404" t="inlineStr">
        <is>
          <t>Managing Director</t>
        </is>
      </c>
      <c r="J404" s="21" t="n">
        <v>419896</v>
      </c>
      <c r="K404" s="21" t="n">
        <v>212500</v>
      </c>
      <c r="L404" s="21" t="n">
        <v>632396</v>
      </c>
      <c r="M404" s="21" t="n">
        <v>1620</v>
      </c>
      <c r="N404" s="21" t="n">
        <v>118653</v>
      </c>
      <c r="O404" s="21" t="n">
        <v>38977</v>
      </c>
      <c r="P404" s="21" t="n">
        <v>791646</v>
      </c>
      <c r="Q404" s="21" t="n">
        <v>791646</v>
      </c>
      <c r="R404" s="21">
        <f>IF(Q404="","",Q404*(1+in_GrowthRate)^(YEARFRAC(DATE(2025,6,30),in_AgeToDate)*IF(in_AgeToDate&lt;DATE(2025,6,30),-1,1)+1))</f>
        <v/>
      </c>
      <c r="S404" s="38" t="n">
        <v>0.5060776954293444</v>
      </c>
      <c r="T404" s="43">
        <f>HYPERLINK("https://projects.propublica.org/nonprofits/organizations/42104847/202631349349302993/full","view filing")</f>
        <v/>
      </c>
    </row>
    <row r="405">
      <c r="A405" t="inlineStr">
        <is>
          <t>Williams College</t>
        </is>
      </c>
      <c r="B405" s="20" t="inlineStr">
        <is>
          <t>MA</t>
        </is>
      </c>
      <c r="C405" s="42" t="n">
        <v>3.93</v>
      </c>
      <c r="D405" t="inlineStr">
        <is>
          <t>Endowment</t>
        </is>
      </c>
      <c r="E405" s="20" t="n">
        <v>2023</v>
      </c>
      <c r="F405" s="20" t="inlineStr"/>
      <c r="G405" t="inlineStr">
        <is>
          <t>Julia Crosby</t>
        </is>
      </c>
      <c r="H405" t="inlineStr">
        <is>
          <t>MANAGING DIRECTOR, INV OFFICE Through November 2022</t>
        </is>
      </c>
      <c r="I405" t="inlineStr">
        <is>
          <t>Managing Director</t>
        </is>
      </c>
      <c r="J405" s="21" t="n">
        <v>368040</v>
      </c>
      <c r="K405" s="21" t="n"/>
      <c r="L405" s="21" t="n">
        <v>368040</v>
      </c>
      <c r="M405" s="21" t="n">
        <v>1200</v>
      </c>
      <c r="N405" s="21" t="n">
        <v>32408</v>
      </c>
      <c r="O405" s="21" t="n">
        <v>18656</v>
      </c>
      <c r="P405" s="21" t="n">
        <v>420304</v>
      </c>
      <c r="Q405" s="21" t="n">
        <v>420304</v>
      </c>
      <c r="R405" s="21">
        <f>IF(Q405="","",Q405*(1+in_GrowthRate)^(YEARFRAC(DATE(2023,6,30),in_AgeToDate)*IF(in_AgeToDate&lt;DATE(2023,6,30),-1,1)+1))</f>
        <v/>
      </c>
      <c r="S405" s="38" t="n">
        <v>0</v>
      </c>
      <c r="T405" s="43">
        <f>HYPERLINK("https://projects.propublica.org/nonprofits/organizations/42104847/202431359349305018/full","view filing")</f>
        <v/>
      </c>
    </row>
    <row r="406">
      <c r="A406" t="inlineStr">
        <is>
          <t>Williams College</t>
        </is>
      </c>
      <c r="B406" s="20" t="inlineStr">
        <is>
          <t>MA</t>
        </is>
      </c>
      <c r="C406" s="42" t="n">
        <v>3.93</v>
      </c>
      <c r="D406" t="inlineStr">
        <is>
          <t>Endowment</t>
        </is>
      </c>
      <c r="E406" s="20" t="n">
        <v>2022</v>
      </c>
      <c r="F406" s="20" t="inlineStr"/>
      <c r="G406" t="inlineStr">
        <is>
          <t>Abigail Wattley</t>
        </is>
      </c>
      <c r="H406" t="inlineStr">
        <is>
          <t>MANAGING DIRECTOR, INV OFFICE</t>
        </is>
      </c>
      <c r="I406" t="inlineStr">
        <is>
          <t>Managing Director</t>
        </is>
      </c>
      <c r="J406" s="21" t="n">
        <v>355249</v>
      </c>
      <c r="K406" s="21" t="n">
        <v>355197</v>
      </c>
      <c r="L406" s="21" t="n">
        <v>710446</v>
      </c>
      <c r="M406" s="21" t="n"/>
      <c r="N406" s="21" t="n">
        <v>178954</v>
      </c>
      <c r="O406" s="21" t="n">
        <v>5392</v>
      </c>
      <c r="P406" s="21" t="n">
        <v>894792</v>
      </c>
      <c r="Q406" s="21" t="n">
        <v>685845</v>
      </c>
      <c r="R406" s="21">
        <f>IF(Q406="","",Q406*(1+in_GrowthRate)^(YEARFRAC(DATE(2022,6,30),in_AgeToDate)*IF(in_AgeToDate&lt;DATE(2022,6,30),-1,1)+1))</f>
        <v/>
      </c>
      <c r="S406" s="38" t="n">
        <v>0.9998536237962669</v>
      </c>
      <c r="T406" s="43">
        <f>HYPERLINK("https://projects.propublica.org/nonprofits/organizations/42104847/202301329349308795/full","view filing")</f>
        <v/>
      </c>
    </row>
    <row r="407">
      <c r="A407" t="inlineStr">
        <is>
          <t>Williams College</t>
        </is>
      </c>
      <c r="B407" s="20" t="inlineStr">
        <is>
          <t>MA</t>
        </is>
      </c>
      <c r="C407" s="42" t="n">
        <v>3.93</v>
      </c>
      <c r="D407" t="inlineStr">
        <is>
          <t>Endowment</t>
        </is>
      </c>
      <c r="E407" s="20" t="n">
        <v>2022</v>
      </c>
      <c r="F407" s="20" t="inlineStr"/>
      <c r="G407" t="inlineStr">
        <is>
          <t>Julia Crosby</t>
        </is>
      </c>
      <c r="H407" t="inlineStr">
        <is>
          <t>MANAGING DIRECTOR, INV OFFICE</t>
        </is>
      </c>
      <c r="I407" t="inlineStr">
        <is>
          <t>Managing Director</t>
        </is>
      </c>
      <c r="J407" s="21" t="n">
        <v>368534</v>
      </c>
      <c r="K407" s="21" t="n">
        <v>409340</v>
      </c>
      <c r="L407" s="21" t="n">
        <v>777874</v>
      </c>
      <c r="M407" s="21" t="n">
        <v>1560</v>
      </c>
      <c r="N407" s="21" t="n">
        <v>196954</v>
      </c>
      <c r="O407" s="21" t="n">
        <v>21006</v>
      </c>
      <c r="P407" s="21" t="n">
        <v>997394</v>
      </c>
      <c r="Q407" s="21" t="n">
        <v>752304</v>
      </c>
      <c r="R407" s="21">
        <f>IF(Q407="","",Q407*(1+in_GrowthRate)^(YEARFRAC(DATE(2022,6,30),in_AgeToDate)*IF(in_AgeToDate&lt;DATE(2022,6,30),-1,1)+1))</f>
        <v/>
      </c>
      <c r="S407" s="38" t="n">
        <v>1.110725197675113</v>
      </c>
      <c r="T407" s="43">
        <f>HYPERLINK("https://projects.propublica.org/nonprofits/organizations/42104847/202301329349308795/full","view filing")</f>
        <v/>
      </c>
    </row>
    <row r="408">
      <c r="A408" t="inlineStr">
        <is>
          <t>Yale University</t>
        </is>
      </c>
      <c r="B408" s="20" t="inlineStr">
        <is>
          <t>CT</t>
        </is>
      </c>
      <c r="C408" s="42" t="n">
        <v>44.15</v>
      </c>
      <c r="D408" t="inlineStr">
        <is>
          <t>Endowment</t>
        </is>
      </c>
      <c r="E408" s="20" t="n">
        <v>2025</v>
      </c>
      <c r="F408" s="20">
        <f>IF(AND(OR(in_Mode="All Funds",AND(C408&gt;=in_BandFloor,C408&lt;=in_BandCeiling,OR(in_Geography="National",COUNTIFS(lst_GeoPreset,in_Geography,lst_GeoState,B408)&gt;0,AND(in_Geography="Custom",ISNUMBER(SEARCH(B408,SUBSTITUTE(in_CustomStates," ",""))))),OR(AND(D408="Endowment",Inputs!$B$14="Y"),AND(D408="Foundation",Inputs!$B$15="Y"),AND(D408="Healthcare",Inputs!$B$16="Y"),AND(D408="Pension",Inputs!$B$17="Y"),AND(D408="OCIO",Inputs!$B$18="Y"),AND(D408="Other",Inputs!$B$19="Y")))),A408&lt;&gt;in_ClientOrg,NOT(AND(in_ExclHarvard="Y",ISNUMBER(SEARCH("Harvard",A408))))),"Y","")</f>
        <v/>
      </c>
      <c r="G408" t="inlineStr">
        <is>
          <t>Amelia Chivetta</t>
        </is>
      </c>
      <c r="H408" t="inlineStr">
        <is>
          <t>Managing Director, Investments</t>
        </is>
      </c>
      <c r="I408" t="inlineStr">
        <is>
          <t>Managing Director</t>
        </is>
      </c>
      <c r="J408" s="21" t="n">
        <v>719551</v>
      </c>
      <c r="K408" s="21" t="n">
        <v>1119145</v>
      </c>
      <c r="L408" s="21" t="n">
        <v>1838696</v>
      </c>
      <c r="M408" s="21" t="n">
        <v>23390</v>
      </c>
      <c r="N408" s="21" t="n">
        <v>2705662</v>
      </c>
      <c r="O408" s="21" t="n">
        <v>17081</v>
      </c>
      <c r="P408" s="21" t="n">
        <v>4584829</v>
      </c>
      <c r="Q408" s="21" t="n">
        <v>4584829</v>
      </c>
      <c r="R408" s="21">
        <f>IF(Q408="","",Q408*(1+in_GrowthRate)^(YEARFRAC(DATE(2025,6,30),in_AgeToDate)*IF(in_AgeToDate&lt;DATE(2025,6,30),-1,1)+1))</f>
        <v/>
      </c>
      <c r="S408" s="38" t="n">
        <v>1.555337981602416</v>
      </c>
      <c r="T408" s="43">
        <f>HYPERLINK("https://projects.propublica.org/nonprofits/organizations/60646973/202641359349303914/full","view filing")</f>
        <v/>
      </c>
    </row>
    <row r="409">
      <c r="A409" t="inlineStr">
        <is>
          <t>Yale University</t>
        </is>
      </c>
      <c r="B409" s="20" t="inlineStr">
        <is>
          <t>CT</t>
        </is>
      </c>
      <c r="C409" s="42" t="n">
        <v>44.15</v>
      </c>
      <c r="D409" t="inlineStr">
        <is>
          <t>Endowment</t>
        </is>
      </c>
      <c r="E409" s="20" t="n">
        <v>2025</v>
      </c>
      <c r="F409" s="20">
        <f>IF(AND(OR(in_Mode="All Funds",AND(C409&gt;=in_BandFloor,C409&lt;=in_BandCeiling,OR(in_Geography="National",COUNTIFS(lst_GeoPreset,in_Geography,lst_GeoState,B409)&gt;0,AND(in_Geography="Custom",ISNUMBER(SEARCH(B409,SUBSTITUTE(in_CustomStates," ",""))))),OR(AND(D409="Endowment",Inputs!$B$14="Y"),AND(D409="Foundation",Inputs!$B$15="Y"),AND(D409="Healthcare",Inputs!$B$16="Y"),AND(D409="Pension",Inputs!$B$17="Y"),AND(D409="OCIO",Inputs!$B$18="Y"),AND(D409="Other",Inputs!$B$19="Y")))),A409&lt;&gt;in_ClientOrg,NOT(AND(in_ExclHarvard="Y",ISNUMBER(SEARCH("Harvard",A409))))),"Y","")</f>
        <v/>
      </c>
      <c r="G409" t="inlineStr">
        <is>
          <t>Carrie Abildgaard</t>
        </is>
      </c>
      <c r="H409" t="inlineStr">
        <is>
          <t>Director, Investments</t>
        </is>
      </c>
      <c r="I409" t="inlineStr">
        <is>
          <t>Director of Investments</t>
        </is>
      </c>
      <c r="J409" s="21" t="n">
        <v>410635</v>
      </c>
      <c r="K409" s="21" t="n">
        <v>2546859</v>
      </c>
      <c r="L409" s="21" t="n">
        <v>2957494</v>
      </c>
      <c r="M409" s="21" t="n">
        <v>130100</v>
      </c>
      <c r="N409" s="21" t="n">
        <v>38910</v>
      </c>
      <c r="O409" s="21" t="n">
        <v>33724</v>
      </c>
      <c r="P409" s="21" t="n">
        <v>3160228</v>
      </c>
      <c r="Q409" s="21" t="n">
        <v>3160228</v>
      </c>
      <c r="R409" s="21">
        <f>IF(Q409="","",Q409*(1+in_GrowthRate)^(YEARFRAC(DATE(2025,6,30),in_AgeToDate)*IF(in_AgeToDate&lt;DATE(2025,6,30),-1,1)+1))</f>
        <v/>
      </c>
      <c r="S409" s="38" t="n">
        <v>6.202245303006319</v>
      </c>
      <c r="T409" s="43">
        <f>HYPERLINK("https://projects.propublica.org/nonprofits/organizations/60646973/202641359349303914/full","view filing")</f>
        <v/>
      </c>
    </row>
    <row r="410">
      <c r="A410" t="inlineStr">
        <is>
          <t>Yale University</t>
        </is>
      </c>
      <c r="B410" s="20" t="inlineStr">
        <is>
          <t>CT</t>
        </is>
      </c>
      <c r="C410" s="42" t="n">
        <v>44.15</v>
      </c>
      <c r="D410" t="inlineStr">
        <is>
          <t>Endowment</t>
        </is>
      </c>
      <c r="E410" s="20" t="n">
        <v>2025</v>
      </c>
      <c r="F410" s="20">
        <f>IF(AND(OR(in_Mode="All Funds",AND(C410&gt;=in_BandFloor,C410&lt;=in_BandCeiling,OR(in_Geography="National",COUNTIFS(lst_GeoPreset,in_Geography,lst_GeoState,B410)&gt;0,AND(in_Geography="Custom",ISNUMBER(SEARCH(B410,SUBSTITUTE(in_CustomStates," ",""))))),OR(AND(D410="Endowment",Inputs!$B$14="Y"),AND(D410="Foundation",Inputs!$B$15="Y"),AND(D410="Healthcare",Inputs!$B$16="Y"),AND(D410="Pension",Inputs!$B$17="Y"),AND(D410="OCIO",Inputs!$B$18="Y"),AND(D410="Other",Inputs!$B$19="Y")))),A410&lt;&gt;in_ClientOrg,NOT(AND(in_ExclHarvard="Y",ISNUMBER(SEARCH("Harvard",A410))))),"Y","")</f>
        <v/>
      </c>
      <c r="G410" t="inlineStr">
        <is>
          <t>Timothy R Sullivan</t>
        </is>
      </c>
      <c r="H410" t="inlineStr">
        <is>
          <t>Sr Director of Private Equity</t>
        </is>
      </c>
      <c r="I410" t="inlineStr">
        <is>
          <t>Director of Investments</t>
        </is>
      </c>
      <c r="J410" s="21" t="n">
        <v>807393</v>
      </c>
      <c r="K410" s="21" t="n">
        <v>1516990</v>
      </c>
      <c r="L410" s="21" t="n">
        <v>2324383</v>
      </c>
      <c r="M410" s="21" t="n">
        <v>23000</v>
      </c>
      <c r="N410" s="21" t="n">
        <v>1782988</v>
      </c>
      <c r="O410" s="21" t="n">
        <v>45054</v>
      </c>
      <c r="P410" s="21" t="n">
        <v>4175425</v>
      </c>
      <c r="Q410" s="21" t="n">
        <v>3851675</v>
      </c>
      <c r="R410" s="21">
        <f>IF(Q410="","",Q410*(1+in_GrowthRate)^(YEARFRAC(DATE(2025,6,30),in_AgeToDate)*IF(in_AgeToDate&lt;DATE(2025,6,30),-1,1)+1))</f>
        <v/>
      </c>
      <c r="S410" s="38" t="n">
        <v>1.878874352390967</v>
      </c>
      <c r="T410" s="43">
        <f>HYPERLINK("https://projects.propublica.org/nonprofits/organizations/60646973/202641359349303914/full","view filing")</f>
        <v/>
      </c>
    </row>
    <row r="411">
      <c r="A411" t="inlineStr">
        <is>
          <t>Yale University</t>
        </is>
      </c>
      <c r="B411" s="20" t="inlineStr">
        <is>
          <t>CT</t>
        </is>
      </c>
      <c r="C411" s="42" t="n">
        <v>44.15</v>
      </c>
      <c r="D411" t="inlineStr">
        <is>
          <t>Endowment</t>
        </is>
      </c>
      <c r="E411" s="20" t="n">
        <v>2024</v>
      </c>
      <c r="F411" s="20" t="inlineStr"/>
      <c r="G411" t="inlineStr">
        <is>
          <t>Alex Hetherington</t>
        </is>
      </c>
      <c r="H411" t="inlineStr">
        <is>
          <t>Managing Director, Investments</t>
        </is>
      </c>
      <c r="I411" t="inlineStr">
        <is>
          <t>Managing Director</t>
        </is>
      </c>
      <c r="J411" s="21" t="n">
        <v>708074</v>
      </c>
      <c r="K411" s="21" t="n">
        <v>1042313</v>
      </c>
      <c r="L411" s="21" t="n">
        <v>1750387</v>
      </c>
      <c r="M411" s="21" t="n">
        <v>22500</v>
      </c>
      <c r="N411" s="21" t="n">
        <v>37245</v>
      </c>
      <c r="O411" s="21" t="n">
        <v>35722</v>
      </c>
      <c r="P411" s="21" t="n">
        <v>1845854</v>
      </c>
      <c r="Q411" s="21" t="n">
        <v>1845854</v>
      </c>
      <c r="R411" s="21">
        <f>IF(Q411="","",Q411*(1+in_GrowthRate)^(YEARFRAC(DATE(2024,6,30),in_AgeToDate)*IF(in_AgeToDate&lt;DATE(2024,6,30),-1,1)+1))</f>
        <v/>
      </c>
      <c r="S411" s="38" t="n">
        <v>1.472039645573768</v>
      </c>
      <c r="T411" s="43">
        <f>HYPERLINK("https://projects.propublica.org/nonprofits/organizations/60646973/202501359349304220/full","view filing")</f>
        <v/>
      </c>
    </row>
    <row r="412">
      <c r="A412" t="inlineStr">
        <is>
          <t>Yale University</t>
        </is>
      </c>
      <c r="B412" s="20" t="inlineStr">
        <is>
          <t>CT</t>
        </is>
      </c>
      <c r="C412" s="42" t="n">
        <v>44.15</v>
      </c>
      <c r="D412" t="inlineStr">
        <is>
          <t>Endowment</t>
        </is>
      </c>
      <c r="E412" s="20" t="n">
        <v>2024</v>
      </c>
      <c r="F412" s="20" t="inlineStr"/>
      <c r="G412" t="inlineStr">
        <is>
          <t>Amelia Chivetta</t>
        </is>
      </c>
      <c r="H412" t="inlineStr">
        <is>
          <t>Managing Director, Investments</t>
        </is>
      </c>
      <c r="I412" t="inlineStr">
        <is>
          <t>Managing Director</t>
        </is>
      </c>
      <c r="J412" s="21" t="n">
        <v>714746</v>
      </c>
      <c r="K412" s="21" t="n">
        <v>930940</v>
      </c>
      <c r="L412" s="21" t="n">
        <v>1645686</v>
      </c>
      <c r="M412" s="21" t="n">
        <v>25462</v>
      </c>
      <c r="N412" s="21" t="n">
        <v>37245</v>
      </c>
      <c r="O412" s="21" t="n">
        <v>14721</v>
      </c>
      <c r="P412" s="21" t="n">
        <v>1723114</v>
      </c>
      <c r="Q412" s="21" t="n">
        <v>1723114</v>
      </c>
      <c r="R412" s="21">
        <f>IF(Q412="","",Q412*(1+in_GrowthRate)^(YEARFRAC(DATE(2024,6,30),in_AgeToDate)*IF(in_AgeToDate&lt;DATE(2024,6,30),-1,1)+1))</f>
        <v/>
      </c>
      <c r="S412" s="38" t="n">
        <v>1.302476684024814</v>
      </c>
      <c r="T412" s="43">
        <f>HYPERLINK("https://projects.propublica.org/nonprofits/organizations/60646973/202501359349304220/full","view filing")</f>
        <v/>
      </c>
    </row>
    <row r="413">
      <c r="A413" t="inlineStr">
        <is>
          <t>Yale University</t>
        </is>
      </c>
      <c r="B413" s="20" t="inlineStr">
        <is>
          <t>CT</t>
        </is>
      </c>
      <c r="C413" s="42" t="n">
        <v>44.15</v>
      </c>
      <c r="D413" t="inlineStr">
        <is>
          <t>Endowment</t>
        </is>
      </c>
      <c r="E413" s="20" t="n">
        <v>2024</v>
      </c>
      <c r="F413" s="20" t="inlineStr"/>
      <c r="G413" t="inlineStr">
        <is>
          <t>John Ricotta</t>
        </is>
      </c>
      <c r="H413" t="inlineStr">
        <is>
          <t>Managing Director, Investments</t>
        </is>
      </c>
      <c r="I413" t="inlineStr">
        <is>
          <t>Managing Director</t>
        </is>
      </c>
      <c r="J413" s="21" t="n">
        <v>705080</v>
      </c>
      <c r="K413" s="21" t="n">
        <v>975489</v>
      </c>
      <c r="L413" s="21" t="n">
        <v>1680569</v>
      </c>
      <c r="M413" s="21" t="n">
        <v>22500</v>
      </c>
      <c r="N413" s="21" t="n">
        <v>37245</v>
      </c>
      <c r="O413" s="21" t="n">
        <v>37972</v>
      </c>
      <c r="P413" s="21" t="n">
        <v>1778286</v>
      </c>
      <c r="Q413" s="21" t="n">
        <v>1778286</v>
      </c>
      <c r="R413" s="21">
        <f>IF(Q413="","",Q413*(1+in_GrowthRate)^(YEARFRAC(DATE(2024,6,30),in_AgeToDate)*IF(in_AgeToDate&lt;DATE(2024,6,30),-1,1)+1))</f>
        <v/>
      </c>
      <c r="S413" s="38" t="n">
        <v>1.383515345776366</v>
      </c>
      <c r="T413" s="43">
        <f>HYPERLINK("https://projects.propublica.org/nonprofits/organizations/60646973/202501359349304220/full","view filing")</f>
        <v/>
      </c>
    </row>
    <row r="414">
      <c r="A414" t="inlineStr">
        <is>
          <t>Yale University</t>
        </is>
      </c>
      <c r="B414" s="20" t="inlineStr">
        <is>
          <t>CT</t>
        </is>
      </c>
      <c r="C414" s="42" t="n">
        <v>44.15</v>
      </c>
      <c r="D414" t="inlineStr">
        <is>
          <t>Endowment</t>
        </is>
      </c>
      <c r="E414" s="20" t="n">
        <v>2024</v>
      </c>
      <c r="F414" s="20" t="inlineStr"/>
      <c r="G414" t="inlineStr">
        <is>
          <t>Timothy R Sullivan</t>
        </is>
      </c>
      <c r="H414" t="inlineStr">
        <is>
          <t>Sr Director of Private Equity</t>
        </is>
      </c>
      <c r="I414" t="inlineStr">
        <is>
          <t>Director of Investments</t>
        </is>
      </c>
      <c r="J414" s="21" t="n">
        <v>792754</v>
      </c>
      <c r="K414" s="21" t="n">
        <v>1242348</v>
      </c>
      <c r="L414" s="21" t="n">
        <v>2035102</v>
      </c>
      <c r="M414" s="21" t="n">
        <v>22500</v>
      </c>
      <c r="N414" s="21" t="n">
        <v>37245</v>
      </c>
      <c r="O414" s="21" t="n">
        <v>41154</v>
      </c>
      <c r="P414" s="21" t="n">
        <v>2136001</v>
      </c>
      <c r="Q414" s="21" t="n">
        <v>1796001</v>
      </c>
      <c r="R414" s="21">
        <f>IF(Q414="","",Q414*(1+in_GrowthRate)^(YEARFRAC(DATE(2024,6,30),in_AgeToDate)*IF(in_AgeToDate&lt;DATE(2024,6,30),-1,1)+1))</f>
        <v/>
      </c>
      <c r="S414" s="38" t="n">
        <v>1.567129273393764</v>
      </c>
      <c r="T414" s="43">
        <f>HYPERLINK("https://projects.propublica.org/nonprofits/organizations/60646973/202501359349304220/full","view filing")</f>
        <v/>
      </c>
    </row>
    <row r="415">
      <c r="A415" t="inlineStr">
        <is>
          <t>Yale University</t>
        </is>
      </c>
      <c r="B415" s="20" t="inlineStr">
        <is>
          <t>CT</t>
        </is>
      </c>
      <c r="C415" s="42" t="n">
        <v>44.15</v>
      </c>
      <c r="D415" t="inlineStr">
        <is>
          <t>Endowment</t>
        </is>
      </c>
      <c r="E415" s="20" t="n">
        <v>2023</v>
      </c>
      <c r="F415" s="20" t="inlineStr"/>
      <c r="G415" t="inlineStr">
        <is>
          <t>Alan Forman</t>
        </is>
      </c>
      <c r="H415" t="inlineStr">
        <is>
          <t>Director, Investments</t>
        </is>
      </c>
      <c r="I415" t="inlineStr">
        <is>
          <t>Director of Investments</t>
        </is>
      </c>
      <c r="J415" s="21" t="n">
        <v>106437</v>
      </c>
      <c r="K415" s="21" t="n">
        <v>1282519</v>
      </c>
      <c r="L415" s="21" t="n">
        <v>1388956</v>
      </c>
      <c r="M415" s="21" t="n">
        <v>517913</v>
      </c>
      <c r="N415" s="21" t="n">
        <v>34450</v>
      </c>
      <c r="O415" s="21" t="n">
        <v>10235</v>
      </c>
      <c r="P415" s="21" t="n">
        <v>1951554</v>
      </c>
      <c r="Q415" s="21" t="n">
        <v>1951554</v>
      </c>
      <c r="R415" s="21">
        <f>IF(Q415="","",Q415*(1+in_GrowthRate)^(YEARFRAC(DATE(2023,6,30),in_AgeToDate)*IF(in_AgeToDate&lt;DATE(2023,6,30),-1,1)+1))</f>
        <v/>
      </c>
      <c r="S415" s="38" t="n">
        <v>12.04955983351654</v>
      </c>
      <c r="T415" s="43">
        <f>HYPERLINK("https://projects.propublica.org/nonprofits/organizations/60646973/202441369349303279/full","view filing")</f>
        <v/>
      </c>
    </row>
    <row r="416">
      <c r="A416" t="inlineStr">
        <is>
          <t>Yale University</t>
        </is>
      </c>
      <c r="B416" s="20" t="inlineStr">
        <is>
          <t>CT</t>
        </is>
      </c>
      <c r="C416" s="42" t="n">
        <v>44.15</v>
      </c>
      <c r="D416" t="inlineStr">
        <is>
          <t>Endowment</t>
        </is>
      </c>
      <c r="E416" s="20" t="n">
        <v>2023</v>
      </c>
      <c r="F416" s="20" t="inlineStr"/>
      <c r="G416" t="inlineStr">
        <is>
          <t>Alex Hetherington</t>
        </is>
      </c>
      <c r="H416" t="inlineStr">
        <is>
          <t>Managing Director, Investments</t>
        </is>
      </c>
      <c r="I416" t="inlineStr">
        <is>
          <t>Managing Director</t>
        </is>
      </c>
      <c r="J416" s="21" t="n">
        <v>667651</v>
      </c>
      <c r="K416" s="21" t="n">
        <v>847333</v>
      </c>
      <c r="L416" s="21" t="n">
        <v>1514984</v>
      </c>
      <c r="M416" s="21" t="n">
        <v>20500</v>
      </c>
      <c r="N416" s="21" t="n">
        <v>336617</v>
      </c>
      <c r="O416" s="21" t="n">
        <v>32559</v>
      </c>
      <c r="P416" s="21" t="n">
        <v>1904660</v>
      </c>
      <c r="Q416" s="21" t="n">
        <v>1904660</v>
      </c>
      <c r="R416" s="21">
        <f>IF(Q416="","",Q416*(1+in_GrowthRate)^(YEARFRAC(DATE(2023,6,30),in_AgeToDate)*IF(in_AgeToDate&lt;DATE(2023,6,30),-1,1)+1))</f>
        <v/>
      </c>
      <c r="S416" s="38" t="n">
        <v>1.269125635998448</v>
      </c>
      <c r="T416" s="43">
        <f>HYPERLINK("https://projects.propublica.org/nonprofits/organizations/60646973/202441369349303279/full","view filing")</f>
        <v/>
      </c>
    </row>
    <row r="417">
      <c r="A417" t="inlineStr">
        <is>
          <t>Yale University</t>
        </is>
      </c>
      <c r="B417" s="20" t="inlineStr">
        <is>
          <t>CT</t>
        </is>
      </c>
      <c r="C417" s="42" t="n">
        <v>44.15</v>
      </c>
      <c r="D417" t="inlineStr">
        <is>
          <t>Endowment</t>
        </is>
      </c>
      <c r="E417" s="20" t="n">
        <v>2023</v>
      </c>
      <c r="F417" s="20" t="inlineStr"/>
      <c r="G417" t="inlineStr">
        <is>
          <t>Timothy R Sullivan</t>
        </is>
      </c>
      <c r="H417" t="inlineStr">
        <is>
          <t>Sr Director of Private Equity</t>
        </is>
      </c>
      <c r="I417" t="inlineStr">
        <is>
          <t>Director of Investments</t>
        </is>
      </c>
      <c r="J417" s="21" t="n">
        <v>758325</v>
      </c>
      <c r="K417" s="21" t="n">
        <v>1070496</v>
      </c>
      <c r="L417" s="21" t="n">
        <v>1828821</v>
      </c>
      <c r="M417" s="21" t="n">
        <v>20500</v>
      </c>
      <c r="N417" s="21" t="n">
        <v>358200</v>
      </c>
      <c r="O417" s="21" t="n">
        <v>36187</v>
      </c>
      <c r="P417" s="21" t="n">
        <v>2243708</v>
      </c>
      <c r="Q417" s="21" t="n">
        <v>1965791</v>
      </c>
      <c r="R417" s="21">
        <f>IF(Q417="","",Q417*(1+in_GrowthRate)^(YEARFRAC(DATE(2023,6,30),in_AgeToDate)*IF(in_AgeToDate&lt;DATE(2023,6,30),-1,1)+1))</f>
        <v/>
      </c>
      <c r="S417" s="38" t="n">
        <v>1.411658589654831</v>
      </c>
      <c r="T417" s="43">
        <f>HYPERLINK("https://projects.propublica.org/nonprofits/organizations/60646973/202441369349303279/full","view filing")</f>
        <v/>
      </c>
    </row>
    <row r="418">
      <c r="A418" t="inlineStr">
        <is>
          <t>Yale University</t>
        </is>
      </c>
      <c r="B418" s="20" t="inlineStr">
        <is>
          <t>CT</t>
        </is>
      </c>
      <c r="C418" s="42" t="n">
        <v>44.15</v>
      </c>
      <c r="D418" t="inlineStr">
        <is>
          <t>Endowment</t>
        </is>
      </c>
      <c r="E418" s="20" t="n">
        <v>2022</v>
      </c>
      <c r="F418" s="20" t="inlineStr"/>
      <c r="G418" t="inlineStr">
        <is>
          <t>Alan Forman</t>
        </is>
      </c>
      <c r="H418" t="inlineStr">
        <is>
          <t>Director, Investments</t>
        </is>
      </c>
      <c r="I418" t="inlineStr">
        <is>
          <t>Director of Investments</t>
        </is>
      </c>
      <c r="J418" s="21" t="n">
        <v>679286</v>
      </c>
      <c r="K418" s="21" t="n">
        <v>816557</v>
      </c>
      <c r="L418" s="21" t="n">
        <v>1495843</v>
      </c>
      <c r="M418" s="21" t="n">
        <v>47000</v>
      </c>
      <c r="N418" s="21" t="n">
        <v>319347</v>
      </c>
      <c r="O418" s="21" t="n">
        <v>40656</v>
      </c>
      <c r="P418" s="21" t="n">
        <v>1902846</v>
      </c>
      <c r="Q418" s="21" t="n">
        <v>1662313</v>
      </c>
      <c r="R418" s="21">
        <f>IF(Q418="","",Q418*(1+in_GrowthRate)^(YEARFRAC(DATE(2022,6,30),in_AgeToDate)*IF(in_AgeToDate&lt;DATE(2022,6,30),-1,1)+1))</f>
        <v/>
      </c>
      <c r="S418" s="38" t="n">
        <v>1.202081303015225</v>
      </c>
      <c r="T418" s="43">
        <f>HYPERLINK("https://projects.propublica.org/nonprofits/organizations/60646973/202321359349305547/full","view filing")</f>
        <v/>
      </c>
    </row>
    <row r="419">
      <c r="A419" t="inlineStr">
        <is>
          <t>Yale University</t>
        </is>
      </c>
      <c r="B419" s="20" t="inlineStr">
        <is>
          <t>CT</t>
        </is>
      </c>
      <c r="C419" s="42" t="n">
        <v>44.15</v>
      </c>
      <c r="D419" t="inlineStr">
        <is>
          <t>Endowment</t>
        </is>
      </c>
      <c r="E419" s="20" t="n">
        <v>2022</v>
      </c>
      <c r="F419" s="20" t="inlineStr"/>
      <c r="G419" t="inlineStr">
        <is>
          <t>Lisa Howie</t>
        </is>
      </c>
      <c r="H419" t="inlineStr">
        <is>
          <t>Director, Investments</t>
        </is>
      </c>
      <c r="I419" t="inlineStr">
        <is>
          <t>Director of Investments</t>
        </is>
      </c>
      <c r="J419" s="21" t="n">
        <v>226981</v>
      </c>
      <c r="K419" s="21" t="n">
        <v>1270134</v>
      </c>
      <c r="L419" s="21" t="n">
        <v>1497115</v>
      </c>
      <c r="M419" s="21" t="n">
        <v>135846</v>
      </c>
      <c r="N419" s="21" t="n">
        <v>26805</v>
      </c>
      <c r="O419" s="21" t="n">
        <v>5205</v>
      </c>
      <c r="P419" s="21" t="n">
        <v>1664971</v>
      </c>
      <c r="Q419" s="21" t="n">
        <v>1664971</v>
      </c>
      <c r="R419" s="21">
        <f>IF(Q419="","",Q419*(1+in_GrowthRate)^(YEARFRAC(DATE(2022,6,30),in_AgeToDate)*IF(in_AgeToDate&lt;DATE(2022,6,30),-1,1)+1))</f>
        <v/>
      </c>
      <c r="S419" s="38" t="n">
        <v>5.59577233336711</v>
      </c>
      <c r="T419" s="43">
        <f>HYPERLINK("https://projects.propublica.org/nonprofits/organizations/60646973/202321359349305547/full","view filing")</f>
        <v/>
      </c>
    </row>
    <row r="420">
      <c r="A420" t="inlineStr">
        <is>
          <t>Yale University</t>
        </is>
      </c>
      <c r="B420" s="20" t="inlineStr">
        <is>
          <t>CT</t>
        </is>
      </c>
      <c r="C420" s="42" t="n">
        <v>44.15</v>
      </c>
      <c r="D420" t="inlineStr">
        <is>
          <t>Endowment</t>
        </is>
      </c>
      <c r="E420" s="20" t="n">
        <v>2022</v>
      </c>
      <c r="F420" s="20" t="inlineStr"/>
      <c r="G420" t="inlineStr">
        <is>
          <t>Timothy R Sullivan</t>
        </is>
      </c>
      <c r="H420" t="inlineStr">
        <is>
          <t>Sr Director of Private Equity</t>
        </is>
      </c>
      <c r="I420" t="inlineStr">
        <is>
          <t>Director of Investments</t>
        </is>
      </c>
      <c r="J420" s="21" t="n">
        <v>709330</v>
      </c>
      <c r="K420" s="21" t="n">
        <v>945915</v>
      </c>
      <c r="L420" s="21" t="n">
        <v>1655245</v>
      </c>
      <c r="M420" s="21" t="n">
        <v>19500</v>
      </c>
      <c r="N420" s="21" t="n">
        <v>372680</v>
      </c>
      <c r="O420" s="21" t="n">
        <v>47868</v>
      </c>
      <c r="P420" s="21" t="n">
        <v>2095293</v>
      </c>
      <c r="Q420" s="21" t="n">
        <v>1560710</v>
      </c>
      <c r="R420" s="21">
        <f>IF(Q420="","",Q420*(1+in_GrowthRate)^(YEARFRAC(DATE(2022,6,30),in_AgeToDate)*IF(in_AgeToDate&lt;DATE(2022,6,30),-1,1)+1))</f>
        <v/>
      </c>
      <c r="S420" s="38" t="n">
        <v>1.333533052316975</v>
      </c>
      <c r="T420" s="43">
        <f>HYPERLINK("https://projects.propublica.org/nonprofits/organizations/60646973/202321359349305547/full","view filing")</f>
        <v/>
      </c>
    </row>
    <row r="421">
      <c r="A421" t="inlineStr">
        <is>
          <t>Young Mens Christian Association Retirement Fund</t>
        </is>
      </c>
      <c r="B421" s="20" t="inlineStr">
        <is>
          <t>NY</t>
        </is>
      </c>
      <c r="C421" s="42" t="n">
        <v>9.75</v>
      </c>
      <c r="D421" t="inlineStr">
        <is>
          <t>Pension</t>
        </is>
      </c>
      <c r="E421" s="20" t="n">
        <v>2025</v>
      </c>
      <c r="F421" s="20">
        <f>IF(AND(OR(in_Mode="All Funds",AND(C421&gt;=in_BandFloor,C421&lt;=in_BandCeiling,OR(in_Geography="National",COUNTIFS(lst_GeoPreset,in_Geography,lst_GeoState,B421)&gt;0,AND(in_Geography="Custom",ISNUMBER(SEARCH(B421,SUBSTITUTE(in_CustomStates," ",""))))),OR(AND(D421="Endowment",Inputs!$B$14="Y"),AND(D421="Foundation",Inputs!$B$15="Y"),AND(D421="Healthcare",Inputs!$B$16="Y"),AND(D421="Pension",Inputs!$B$17="Y"),AND(D421="OCIO",Inputs!$B$18="Y"),AND(D421="Other",Inputs!$B$19="Y")))),A421&lt;&gt;in_ClientOrg,NOT(AND(in_ExclHarvard="Y",ISNUMBER(SEARCH("Harvard",A421))))),"Y","")</f>
        <v/>
      </c>
      <c r="G421" t="inlineStr">
        <is>
          <t>Suleyman Gokcan</t>
        </is>
      </c>
      <c r="H421" t="inlineStr">
        <is>
          <t>SENIOR MANAGING DIRECTOR OF RISK</t>
        </is>
      </c>
      <c r="I421" t="inlineStr">
        <is>
          <t>Senior Managing Director</t>
        </is>
      </c>
      <c r="J421" s="21" t="n">
        <v>661111</v>
      </c>
      <c r="K421" s="21" t="n">
        <v>330000</v>
      </c>
      <c r="L421" s="21" t="n">
        <v>991111</v>
      </c>
      <c r="M421" s="21" t="n">
        <v>2322</v>
      </c>
      <c r="N421" s="21" t="n">
        <v>64400</v>
      </c>
      <c r="O421" s="21" t="n">
        <v>44180</v>
      </c>
      <c r="P421" s="21" t="n">
        <v>1102013</v>
      </c>
      <c r="Q421" s="21" t="n">
        <v>1102013</v>
      </c>
      <c r="R421" s="21">
        <f>IF(Q421="","",Q421*(1+in_GrowthRate)^(YEARFRAC(DATE(2025,6,30),in_AgeToDate)*IF(in_AgeToDate&lt;DATE(2025,6,30),-1,1)+1))</f>
        <v/>
      </c>
      <c r="S421" s="38" t="n">
        <v>0.4991597477579408</v>
      </c>
      <c r="T421" s="43">
        <f>HYPERLINK("https://projects.propublica.org/nonprofits/organizations/135562401/202513179349310251/full","view filing")</f>
        <v/>
      </c>
    </row>
    <row r="422">
      <c r="A422" t="inlineStr">
        <is>
          <t>Young Mens Christian Association Retirement Fund</t>
        </is>
      </c>
      <c r="B422" s="20" t="inlineStr">
        <is>
          <t>NY</t>
        </is>
      </c>
      <c r="C422" s="42" t="n">
        <v>9.75</v>
      </c>
      <c r="D422" t="inlineStr">
        <is>
          <t>Pension</t>
        </is>
      </c>
      <c r="E422" s="20" t="n">
        <v>2024</v>
      </c>
      <c r="F422" s="20" t="inlineStr"/>
      <c r="G422" t="inlineStr">
        <is>
          <t>Suleyman Gokcan</t>
        </is>
      </c>
      <c r="H422" t="inlineStr">
        <is>
          <t>SENIOR MANAGING DIRECTOR OF RISK</t>
        </is>
      </c>
      <c r="I422" t="inlineStr">
        <is>
          <t>Senior Managing Director</t>
        </is>
      </c>
      <c r="J422" s="21" t="n">
        <v>630968</v>
      </c>
      <c r="K422" s="21" t="n">
        <v>295000</v>
      </c>
      <c r="L422" s="21" t="n">
        <v>925968</v>
      </c>
      <c r="M422" s="21" t="n">
        <v>2322</v>
      </c>
      <c r="N422" s="21" t="n">
        <v>62100</v>
      </c>
      <c r="O422" s="21" t="n">
        <v>44867</v>
      </c>
      <c r="P422" s="21" t="n">
        <v>1035257</v>
      </c>
      <c r="Q422" s="21" t="n">
        <v>1035257</v>
      </c>
      <c r="R422" s="21">
        <f>IF(Q422="","",Q422*(1+in_GrowthRate)^(YEARFRAC(DATE(2024,6,30),in_AgeToDate)*IF(in_AgeToDate&lt;DATE(2024,6,30),-1,1)+1))</f>
        <v/>
      </c>
      <c r="S422" s="38" t="n">
        <v>0.4675355960999607</v>
      </c>
      <c r="T422" s="43">
        <f>HYPERLINK("https://projects.propublica.org/nonprofits/organizations/135562401/202403189349304075/full","view filing")</f>
        <v/>
      </c>
    </row>
    <row r="423">
      <c r="A423" t="inlineStr">
        <is>
          <t>Young Mens Christian Association Retirement Fund</t>
        </is>
      </c>
      <c r="B423" s="20" t="inlineStr">
        <is>
          <t>NY</t>
        </is>
      </c>
      <c r="C423" s="42" t="n">
        <v>9.75</v>
      </c>
      <c r="D423" t="inlineStr">
        <is>
          <t>Pension</t>
        </is>
      </c>
      <c r="E423" s="20" t="n">
        <v>2023</v>
      </c>
      <c r="F423" s="20" t="inlineStr"/>
      <c r="G423" t="inlineStr">
        <is>
          <t>Suleyman Gokcan</t>
        </is>
      </c>
      <c r="H423" t="inlineStr">
        <is>
          <t>SENIOR MANAGING DIRECTOR OF RISK</t>
        </is>
      </c>
      <c r="I423" t="inlineStr">
        <is>
          <t>Senior Managing Director</t>
        </is>
      </c>
      <c r="J423" s="21" t="n">
        <v>570585</v>
      </c>
      <c r="K423" s="21" t="n">
        <v>260980</v>
      </c>
      <c r="L423" s="21" t="n">
        <v>831565</v>
      </c>
      <c r="M423" s="21" t="n">
        <v>2256</v>
      </c>
      <c r="N423" s="21" t="n">
        <v>57100</v>
      </c>
      <c r="O423" s="21" t="n">
        <v>41734</v>
      </c>
      <c r="P423" s="21" t="n">
        <v>932655</v>
      </c>
      <c r="Q423" s="21" t="n">
        <v>932655</v>
      </c>
      <c r="R423" s="21">
        <f>IF(Q423="","",Q423*(1+in_GrowthRate)^(YEARFRAC(DATE(2023,6,30),in_AgeToDate)*IF(in_AgeToDate&lt;DATE(2023,6,30),-1,1)+1))</f>
        <v/>
      </c>
      <c r="S423" s="38" t="n">
        <v>0.4573902223156935</v>
      </c>
      <c r="T423" s="43">
        <f>HYPERLINK("https://projects.propublica.org/nonprofits/organizations/135562401/202303189349310585/full","view filing")</f>
        <v/>
      </c>
    </row>
    <row r="424"/>
  </sheetData>
  <autoFilter ref="A24:T423"/>
  <printOptions horizontalCentered="1"/>
  <pageMargins left="0.75" right="0.75" top="1" bottom="1" header="0.5" footer="0.5"/>
  <pageSetup orientation="landscape" fitToHeight="0" fitToWidth="1"/>
  <headerFooter>
    <oddHeader/>
    <oddFooter>&amp;LMichael Oak Advisors&amp;R&amp;P of &amp;N</oddFooter>
    <evenHeader/>
    <evenFooter/>
    <firstHeader/>
    <firstFooter/>
  </headerFooter>
</worksheet>
</file>

<file path=xl/worksheets/sheet6.xml><?xml version="1.0" encoding="utf-8"?>
<worksheet xmlns="http://schemas.openxmlformats.org/spreadsheetml/2006/main">
  <sheetPr>
    <tabColor rgb="002E7D8F"/>
    <outlinePr summaryBelow="1" summaryRight="1"/>
    <pageSetUpPr fitToPage="1"/>
  </sheetPr>
  <dimension ref="A1:T575"/>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34" customWidth="1" min="1" max="1"/>
    <col width="15" customWidth="1" min="2" max="2"/>
    <col width="12" customWidth="1" min="3" max="3"/>
    <col width="14" customWidth="1" min="4" max="4"/>
    <col width="12" customWidth="1" min="5" max="5"/>
    <col width="12" customWidth="1" min="6" max="6"/>
    <col width="24" customWidth="1" min="7" max="7"/>
    <col width="32"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s>
  <sheetData>
    <row r="1">
      <c r="A1" s="1" t="inlineStr">
        <is>
          <t>Director &amp; Investment Officer</t>
        </is>
      </c>
    </row>
    <row r="2">
      <c r="A2" s="19" t="inlineStr">
        <is>
          <t>Investments</t>
        </is>
      </c>
    </row>
    <row r="3">
      <c r="A3" s="19">
        <f>Summary!$A$5&amp;""</f>
        <v/>
      </c>
    </row>
    <row r="4">
      <c r="A4" s="2">
        <f>IF(Inputs!$B$21="","Select your organization on Inputs to compare.","Your organization: "&amp;Inputs!$B$21&amp;", excluded from the market columns.")</f>
        <v/>
      </c>
    </row>
    <row r="5">
      <c r="A5" s="34">
        <f>IF($I13&gt;=2,"","Too few people for a market statistic at this filter: "&amp;$I13&amp;" at "&amp;$H13&amp;" organization(s). Records below.")</f>
        <v/>
      </c>
      <c r="C5" s="2" t="inlineStr">
        <is>
          <t>Market</t>
        </is>
      </c>
      <c r="J5" s="2" t="inlineStr">
        <is>
          <t>Your organization</t>
        </is>
      </c>
      <c r="N5" s="2" t="inlineStr">
        <is>
          <t>Estimated (1)</t>
        </is>
      </c>
    </row>
    <row r="6" ht="20" customHeight="1">
      <c r="A6" s="35" t="inlineStr"/>
      <c r="B6" s="35" t="inlineStr">
        <is>
          <t>basis</t>
        </is>
      </c>
      <c r="C6" s="35" t="inlineStr">
        <is>
          <t>P25</t>
        </is>
      </c>
      <c r="D6" s="35" t="inlineStr">
        <is>
          <t>P50</t>
        </is>
      </c>
      <c r="E6" s="35" t="inlineStr">
        <is>
          <t>P75</t>
        </is>
      </c>
      <c r="F6" s="35" t="inlineStr">
        <is>
          <t>P90</t>
        </is>
      </c>
      <c r="G6" s="35" t="inlineStr">
        <is>
          <t>Average</t>
        </is>
      </c>
      <c r="H6" s="35" t="inlineStr">
        <is>
          <t>#Orgs</t>
        </is>
      </c>
      <c r="I6" s="35" t="inlineStr">
        <is>
          <t>#People</t>
        </is>
      </c>
      <c r="J6" s="36" t="inlineStr">
        <is>
          <t>Value</t>
        </is>
      </c>
      <c r="K6" s="36" t="inlineStr">
        <is>
          <t>vs P50</t>
        </is>
      </c>
      <c r="L6" s="36" t="inlineStr">
        <is>
          <t>Percentile</t>
        </is>
      </c>
      <c r="M6" s="36" t="inlineStr">
        <is>
          <t>#People</t>
        </is>
      </c>
      <c r="N6" s="35" t="inlineStr">
        <is>
          <t>Est. P25</t>
        </is>
      </c>
      <c r="O6" s="35" t="inlineStr">
        <is>
          <t>Est. P75</t>
        </is>
      </c>
      <c r="P6" s="35" t="inlineStr">
        <is>
          <t>Est. P90</t>
        </is>
      </c>
    </row>
    <row r="7">
      <c r="A7" s="2" t="inlineStr">
        <is>
          <t>Base salary</t>
        </is>
      </c>
      <c r="B7" s="19" t="inlineStr">
        <is>
          <t>Schedule J only</t>
        </is>
      </c>
      <c r="C7" s="21">
        <f>IF($I7&gt;=k_MinQuartile,MROUND(_xlfn.PERCENTILE.INC(_xlfn._xlws.FILTER(Records[(B)(i) Base],(Records[Role Group]="Director &amp; Investment Officer")*(Records[Include]="Y")*(Records[Total Cash]&lt;&gt;"")),0.25),k_RoundTo),"")</f>
        <v/>
      </c>
      <c r="D7" s="22">
        <f>IF($I7&gt;=k_MinMedian,MROUND(_xlfn.PERCENTILE.INC(_xlfn._xlws.FILTER(Records[(B)(i) Base],(Records[Role Group]="Director &amp; Investment Officer")*(Records[Include]="Y")*(Records[Total Cash]&lt;&gt;"")),0.5),k_RoundTo),"")</f>
        <v/>
      </c>
      <c r="E7" s="21">
        <f>IF($I7&gt;=k_MinQuartile,MROUND(_xlfn.PERCENTILE.INC(_xlfn._xlws.FILTER(Records[(B)(i) Base],(Records[Role Group]="Director &amp; Investment Officer")*(Records[Include]="Y")*(Records[Total Cash]&lt;&gt;"")),0.75),k_RoundTo),"")</f>
        <v/>
      </c>
      <c r="F7" s="21">
        <f>IF($I7&gt;=k_MinQuartile,MROUND(_xlfn.PERCENTILE.INC(_xlfn._xlws.FILTER(Records[(B)(i) Base],(Records[Role Group]="Director &amp; Investment Officer")*(Records[Include]="Y")*(Records[Total Cash]&lt;&gt;"")),0.9),k_RoundTo),"")</f>
        <v/>
      </c>
      <c r="G7" s="21">
        <f>IF($I7&gt;=k_MinMedian,MROUND(AVERAGE(_xlfn._xlws.FILTER(Records[(B)(i) Base],(Records[Role Group]="Director &amp; Investment Officer")*(Records[Include]="Y")*(Records[Total Cash]&lt;&gt;""))),k_RoundTo),"")</f>
        <v/>
      </c>
      <c r="H7" s="20">
        <f>IFERROR(SUMPRODUCT(((Records[Role Group]="Director &amp; Investment Officer")*(Records[Include]="Y")*(Records[Total Cash]&lt;&gt;""))/(COUNTIFS(Records[Organization],Records[Organization]&amp;"",Records[Role Group],"Director &amp; Investment Officer",Records[Include],"Y")+(COUNTIFS(Records[Organization],Records[Organization]&amp;"",Records[Role Group],"Director &amp; Investment Officer",Records[Include],"Y")=0))),0)</f>
        <v/>
      </c>
      <c r="I7" s="20">
        <f>SUMPRODUCT((Records[Role Group]="Director &amp; Investment Officer")*(Records[Include]="Y")*(Records[Total Cash]&lt;&gt;""))</f>
        <v/>
      </c>
      <c r="J7" s="23">
        <f>IF(Inputs!$B$21="","",IFERROR(MAX(_xlfn._xlws.FILTER(Records[(B)(i) Base],(Records[Role Group]="Director &amp; Investment Officer")*(Records[Organization]=Inputs!$B$21)*(Records[Most Recent]="Y")*(Records[Total Cash]&lt;&gt;""))),""))</f>
        <v/>
      </c>
      <c r="K7" s="24">
        <f>IF(OR($J7="",$D7=""),"",$J7/$D7-1)</f>
        <v/>
      </c>
      <c r="L7" s="25">
        <f>IF($I7&gt;=k_MinQuartile,IF(OR($J7="",$J7=0),"",IFERROR(PERCENTRANK.INC(_xlfn._xlws.FILTER(Records[(B)(i) Base],(Records[Role Group]="Director &amp; Investment Officer")*(Records[Include]="Y")*(Records[Total Cash]&lt;&gt;"")),$J7,4),"")),"")</f>
        <v/>
      </c>
      <c r="M7" s="37">
        <f>IF(Inputs!$B$21="","",SUMPRODUCT((Records[Role Group]="Director &amp; Investment Officer")*(Records[Organization]=Inputs!$B$21)*(Records[Most Recent]="Y")*(Records[Total Cash]&lt;&gt;"")))</f>
        <v/>
      </c>
      <c r="N7" s="26">
        <f>IF(AND($I7&gt;=k_MinMedian,$I7&lt;k_MinQuartile,$D7&lt;&gt;""),MROUND($D7*k_Est_base_staff_25,k_RoundTo),"")</f>
        <v/>
      </c>
      <c r="O7" s="26">
        <f>IF(AND($I7&gt;=k_MinMedian,$I7&lt;k_MinQuartile,$D7&lt;&gt;""),MROUND($D7*k_Est_base_staff_75,k_RoundTo),"")</f>
        <v/>
      </c>
      <c r="P7" s="26">
        <f>IF(AND($I7&gt;=k_MinMedian,$I7&lt;k_MinQuartile,$D7&lt;&gt;""),MROUND($D7*k_Est_base_staff_90,k_RoundTo),"")</f>
        <v/>
      </c>
    </row>
    <row r="8">
      <c r="A8" s="2" t="inlineStr">
        <is>
          <t>Incentive / bonus</t>
        </is>
      </c>
      <c r="B8" s="19" t="inlineStr">
        <is>
          <t>Schedule J only</t>
        </is>
      </c>
      <c r="C8" s="21">
        <f>IF($I8&gt;=k_MinQuartile,MROUND(_xlfn.PERCENTILE.INC(_xlfn._xlws.FILTER(Records[(B)(ii) Bonus],(Records[Role Group]="Director &amp; Investment Officer")*(Records[Include]="Y")*(Records[Total Cash]&lt;&gt;"")),0.25),k_RoundTo),"")</f>
        <v/>
      </c>
      <c r="D8" s="22">
        <f>IF($I8&gt;=k_MinMedian,MROUND(_xlfn.PERCENTILE.INC(_xlfn._xlws.FILTER(Records[(B)(ii) Bonus],(Records[Role Group]="Director &amp; Investment Officer")*(Records[Include]="Y")*(Records[Total Cash]&lt;&gt;"")),0.5),k_RoundTo),"")</f>
        <v/>
      </c>
      <c r="E8" s="21">
        <f>IF($I8&gt;=k_MinQuartile,MROUND(_xlfn.PERCENTILE.INC(_xlfn._xlws.FILTER(Records[(B)(ii) Bonus],(Records[Role Group]="Director &amp; Investment Officer")*(Records[Include]="Y")*(Records[Total Cash]&lt;&gt;"")),0.75),k_RoundTo),"")</f>
        <v/>
      </c>
      <c r="F8" s="21">
        <f>IF($I8&gt;=k_MinQuartile,MROUND(_xlfn.PERCENTILE.INC(_xlfn._xlws.FILTER(Records[(B)(ii) Bonus],(Records[Role Group]="Director &amp; Investment Officer")*(Records[Include]="Y")*(Records[Total Cash]&lt;&gt;"")),0.9),k_RoundTo),"")</f>
        <v/>
      </c>
      <c r="G8" s="21">
        <f>IF($I8&gt;=k_MinMedian,MROUND(AVERAGE(_xlfn._xlws.FILTER(Records[(B)(ii) Bonus],(Records[Role Group]="Director &amp; Investment Officer")*(Records[Include]="Y")*(Records[Total Cash]&lt;&gt;""))),k_RoundTo),"")</f>
        <v/>
      </c>
      <c r="H8" s="20">
        <f>IFERROR(SUMPRODUCT(((Records[Role Group]="Director &amp; Investment Officer")*(Records[Include]="Y")*(Records[Total Cash]&lt;&gt;""))/(COUNTIFS(Records[Organization],Records[Organization]&amp;"",Records[Role Group],"Director &amp; Investment Officer",Records[Include],"Y")+(COUNTIFS(Records[Organization],Records[Organization]&amp;"",Records[Role Group],"Director &amp; Investment Officer",Records[Include],"Y")=0))),0)</f>
        <v/>
      </c>
      <c r="I8" s="20">
        <f>SUMPRODUCT((Records[Role Group]="Director &amp; Investment Officer")*(Records[Include]="Y")*(Records[Total Cash]&lt;&gt;""))</f>
        <v/>
      </c>
      <c r="J8" s="23">
        <f>IF(Inputs!$B$21="","",IFERROR(MAX(_xlfn._xlws.FILTER(Records[(B)(ii) Bonus],(Records[Role Group]="Director &amp; Investment Officer")*(Records[Organization]=Inputs!$B$21)*(Records[Most Recent]="Y")*(Records[Total Cash]&lt;&gt;""))),""))</f>
        <v/>
      </c>
      <c r="K8" s="24">
        <f>IF(OR($J8="",$D8=""),"",$J8/$D8-1)</f>
        <v/>
      </c>
      <c r="L8" s="25">
        <f>IF($I8&gt;=k_MinQuartile,IF(OR($J8="",$J8=0),"",IFERROR(PERCENTRANK.INC(_xlfn._xlws.FILTER(Records[(B)(ii) Bonus],(Records[Role Group]="Director &amp; Investment Officer")*(Records[Include]="Y")*(Records[Total Cash]&lt;&gt;"")),$J8,4),"")),"")</f>
        <v/>
      </c>
      <c r="M8" s="37">
        <f>IF(Inputs!$B$21="","",SUMPRODUCT((Records[Role Group]="Director &amp; Investment Officer")*(Records[Organization]=Inputs!$B$21)*(Records[Most Recent]="Y")*(Records[Total Cash]&lt;&gt;"")))</f>
        <v/>
      </c>
    </row>
    <row r="9">
      <c r="A9" s="2" t="inlineStr">
        <is>
          <t>Total cash</t>
        </is>
      </c>
      <c r="B9" s="19" t="inlineStr">
        <is>
          <t>all filers</t>
        </is>
      </c>
      <c r="C9" s="21">
        <f>IF($I9&gt;=k_MinQuartile,MROUND(_xlfn.PERCENTILE.INC(_xlfn._xlws.FILTER(Records[Total Cash],(Records[Role Group]="Director &amp; Investment Officer")*(Records[Include]="Y")*(Records[Total Cash]&gt;0)),0.25),k_RoundTo),"")</f>
        <v/>
      </c>
      <c r="D9" s="22">
        <f>IF($I9&gt;=k_MinMedian,MROUND(_xlfn.PERCENTILE.INC(_xlfn._xlws.FILTER(Records[Total Cash],(Records[Role Group]="Director &amp; Investment Officer")*(Records[Include]="Y")*(Records[Total Cash]&gt;0)),0.5),k_RoundTo),"")</f>
        <v/>
      </c>
      <c r="E9" s="21">
        <f>IF($I9&gt;=k_MinQuartile,MROUND(_xlfn.PERCENTILE.INC(_xlfn._xlws.FILTER(Records[Total Cash],(Records[Role Group]="Director &amp; Investment Officer")*(Records[Include]="Y")*(Records[Total Cash]&gt;0)),0.75),k_RoundTo),"")</f>
        <v/>
      </c>
      <c r="F9" s="21">
        <f>IF($I9&gt;=k_MinQuartile,MROUND(_xlfn.PERCENTILE.INC(_xlfn._xlws.FILTER(Records[Total Cash],(Records[Role Group]="Director &amp; Investment Officer")*(Records[Include]="Y")*(Records[Total Cash]&gt;0)),0.9),k_RoundTo),"")</f>
        <v/>
      </c>
      <c r="G9" s="21">
        <f>IF($I9&gt;=k_MinMedian,MROUND(AVERAGE(_xlfn._xlws.FILTER(Records[Total Cash],(Records[Role Group]="Director &amp; Investment Officer")*(Records[Include]="Y")*(Records[Total Cash]&gt;0))),k_RoundTo),"")</f>
        <v/>
      </c>
      <c r="H9" s="20">
        <f>IFERROR(SUMPRODUCT(((Records[Role Group]="Director &amp; Investment Officer")*(Records[Include]="Y")*(Records[Total Cash]&gt;0))/(COUNTIFS(Records[Organization],Records[Organization]&amp;"",Records[Role Group],"Director &amp; Investment Officer",Records[Include],"Y")+(COUNTIFS(Records[Organization],Records[Organization]&amp;"",Records[Role Group],"Director &amp; Investment Officer",Records[Include],"Y")=0))),0)</f>
        <v/>
      </c>
      <c r="I9" s="20">
        <f>SUMPRODUCT((Records[Role Group]="Director &amp; Investment Officer")*(Records[Include]="Y")*(Records[Total Cash]&gt;0))</f>
        <v/>
      </c>
      <c r="J9" s="23">
        <f>IF(Inputs!$B$21="","",IFERROR(MAX(_xlfn._xlws.FILTER(Records[Total Cash],(Records[Role Group]="Director &amp; Investment Officer")*(Records[Organization]=Inputs!$B$21)*(Records[Most Recent]="Y")*(Records[Total Cash]&gt;0))),""))</f>
        <v/>
      </c>
      <c r="K9" s="24">
        <f>IF(OR($J9="",$D9=""),"",$J9/$D9-1)</f>
        <v/>
      </c>
      <c r="L9" s="25">
        <f>IF($I9&gt;=k_MinQuartile,IF(OR($J9="",$J9=0),"",IFERROR(PERCENTRANK.INC(_xlfn._xlws.FILTER(Records[Total Cash],(Records[Role Group]="Director &amp; Investment Officer")*(Records[Include]="Y")*(Records[Total Cash]&gt;0)),$J9,4),"")),"")</f>
        <v/>
      </c>
      <c r="M9" s="37">
        <f>IF(Inputs!$B$21="","",SUMPRODUCT((Records[Role Group]="Director &amp; Investment Officer")*(Records[Organization]=Inputs!$B$21)*(Records[Most Recent]="Y")*(Records[Total Cash]&gt;0)))</f>
        <v/>
      </c>
    </row>
    <row r="10">
      <c r="A10" s="2" t="inlineStr">
        <is>
          <t>Other reportable</t>
        </is>
      </c>
      <c r="B10" s="19" t="inlineStr">
        <is>
          <t>Schedule J only</t>
        </is>
      </c>
      <c r="C10" s="21">
        <f>IF($I10&gt;=k_MinQuartile,MROUND(_xlfn.PERCENTILE.INC(_xlfn._xlws.FILTER(Records[(B)(iii) Other],(Records[Role Group]="Director &amp; Investment Officer")*(Records[Include]="Y")*(Records[Total Cash]&lt;&gt;"")),0.25),k_RoundTo),"")</f>
        <v/>
      </c>
      <c r="D10" s="22">
        <f>IF($I10&gt;=k_MinMedian,MROUND(_xlfn.PERCENTILE.INC(_xlfn._xlws.FILTER(Records[(B)(iii) Other],(Records[Role Group]="Director &amp; Investment Officer")*(Records[Include]="Y")*(Records[Total Cash]&lt;&gt;"")),0.5),k_RoundTo),"")</f>
        <v/>
      </c>
      <c r="E10" s="21">
        <f>IF($I10&gt;=k_MinQuartile,MROUND(_xlfn.PERCENTILE.INC(_xlfn._xlws.FILTER(Records[(B)(iii) Other],(Records[Role Group]="Director &amp; Investment Officer")*(Records[Include]="Y")*(Records[Total Cash]&lt;&gt;"")),0.75),k_RoundTo),"")</f>
        <v/>
      </c>
      <c r="F10" s="21">
        <f>IF($I10&gt;=k_MinQuartile,MROUND(_xlfn.PERCENTILE.INC(_xlfn._xlws.FILTER(Records[(B)(iii) Other],(Records[Role Group]="Director &amp; Investment Officer")*(Records[Include]="Y")*(Records[Total Cash]&lt;&gt;"")),0.9),k_RoundTo),"")</f>
        <v/>
      </c>
      <c r="G10" s="21">
        <f>IF($I10&gt;=k_MinMedian,MROUND(AVERAGE(_xlfn._xlws.FILTER(Records[(B)(iii) Other],(Records[Role Group]="Director &amp; Investment Officer")*(Records[Include]="Y")*(Records[Total Cash]&lt;&gt;""))),k_RoundTo),"")</f>
        <v/>
      </c>
      <c r="H10" s="20">
        <f>IFERROR(SUMPRODUCT(((Records[Role Group]="Director &amp; Investment Officer")*(Records[Include]="Y")*(Records[Total Cash]&lt;&gt;""))/(COUNTIFS(Records[Organization],Records[Organization]&amp;"",Records[Role Group],"Director &amp; Investment Officer",Records[Include],"Y")+(COUNTIFS(Records[Organization],Records[Organization]&amp;"",Records[Role Group],"Director &amp; Investment Officer",Records[Include],"Y")=0))),0)</f>
        <v/>
      </c>
      <c r="I10" s="20">
        <f>SUMPRODUCT((Records[Role Group]="Director &amp; Investment Officer")*(Records[Include]="Y")*(Records[Total Cash]&lt;&gt;""))</f>
        <v/>
      </c>
      <c r="J10" s="23">
        <f>IF(Inputs!$B$21="","",IFERROR(MAX(_xlfn._xlws.FILTER(Records[(B)(iii) Other],(Records[Role Group]="Director &amp; Investment Officer")*(Records[Organization]=Inputs!$B$21)*(Records[Most Recent]="Y")*(Records[Total Cash]&lt;&gt;""))),""))</f>
        <v/>
      </c>
      <c r="K10" s="24">
        <f>IF(OR($J10="",$D10=""),"",$J10/$D10-1)</f>
        <v/>
      </c>
      <c r="L10" s="25">
        <f>IF($I10&gt;=k_MinQuartile,IF(OR($J10="",$J10=0),"",IFERROR(PERCENTRANK.INC(_xlfn._xlws.FILTER(Records[(B)(iii) Other],(Records[Role Group]="Director &amp; Investment Officer")*(Records[Include]="Y")*(Records[Total Cash]&lt;&gt;"")),$J10,4),"")),"")</f>
        <v/>
      </c>
      <c r="M10" s="37">
        <f>IF(Inputs!$B$21="","",SUMPRODUCT((Records[Role Group]="Director &amp; Investment Officer")*(Records[Organization]=Inputs!$B$21)*(Records[Most Recent]="Y")*(Records[Total Cash]&lt;&gt;"")))</f>
        <v/>
      </c>
    </row>
    <row r="11">
      <c r="A11" s="2" t="inlineStr">
        <is>
          <t>Deferred</t>
        </is>
      </c>
      <c r="B11" s="19" t="inlineStr">
        <is>
          <t>Schedule J only</t>
        </is>
      </c>
      <c r="C11" s="21">
        <f>IF($I11&gt;=k_MinQuartile,MROUND(_xlfn.PERCENTILE.INC(_xlfn._xlws.FILTER(Records[(C) Deferred],(Records[Role Group]="Director &amp; Investment Officer")*(Records[Include]="Y")*(Records[Total Cash]&lt;&gt;"")),0.25),k_RoundTo),"")</f>
        <v/>
      </c>
      <c r="D11" s="22">
        <f>IF($I11&gt;=k_MinMedian,MROUND(_xlfn.PERCENTILE.INC(_xlfn._xlws.FILTER(Records[(C) Deferred],(Records[Role Group]="Director &amp; Investment Officer")*(Records[Include]="Y")*(Records[Total Cash]&lt;&gt;"")),0.5),k_RoundTo),"")</f>
        <v/>
      </c>
      <c r="E11" s="21">
        <f>IF($I11&gt;=k_MinQuartile,MROUND(_xlfn.PERCENTILE.INC(_xlfn._xlws.FILTER(Records[(C) Deferred],(Records[Role Group]="Director &amp; Investment Officer")*(Records[Include]="Y")*(Records[Total Cash]&lt;&gt;"")),0.75),k_RoundTo),"")</f>
        <v/>
      </c>
      <c r="F11" s="21">
        <f>IF($I11&gt;=k_MinQuartile,MROUND(_xlfn.PERCENTILE.INC(_xlfn._xlws.FILTER(Records[(C) Deferred],(Records[Role Group]="Director &amp; Investment Officer")*(Records[Include]="Y")*(Records[Total Cash]&lt;&gt;"")),0.9),k_RoundTo),"")</f>
        <v/>
      </c>
      <c r="G11" s="21">
        <f>IF($I11&gt;=k_MinMedian,MROUND(AVERAGE(_xlfn._xlws.FILTER(Records[(C) Deferred],(Records[Role Group]="Director &amp; Investment Officer")*(Records[Include]="Y")*(Records[Total Cash]&lt;&gt;""))),k_RoundTo),"")</f>
        <v/>
      </c>
      <c r="H11" s="20">
        <f>IFERROR(SUMPRODUCT(((Records[Role Group]="Director &amp; Investment Officer")*(Records[Include]="Y")*(Records[Total Cash]&lt;&gt;""))/(COUNTIFS(Records[Organization],Records[Organization]&amp;"",Records[Role Group],"Director &amp; Investment Officer",Records[Include],"Y")+(COUNTIFS(Records[Organization],Records[Organization]&amp;"",Records[Role Group],"Director &amp; Investment Officer",Records[Include],"Y")=0))),0)</f>
        <v/>
      </c>
      <c r="I11" s="20">
        <f>SUMPRODUCT((Records[Role Group]="Director &amp; Investment Officer")*(Records[Include]="Y")*(Records[Total Cash]&lt;&gt;""))</f>
        <v/>
      </c>
      <c r="J11" s="23">
        <f>IF(Inputs!$B$21="","",IFERROR(MAX(_xlfn._xlws.FILTER(Records[(C) Deferred],(Records[Role Group]="Director &amp; Investment Officer")*(Records[Organization]=Inputs!$B$21)*(Records[Most Recent]="Y")*(Records[Total Cash]&lt;&gt;""))),""))</f>
        <v/>
      </c>
      <c r="K11" s="24">
        <f>IF(OR($J11="",$D11=""),"",$J11/$D11-1)</f>
        <v/>
      </c>
      <c r="L11" s="25">
        <f>IF($I11&gt;=k_MinQuartile,IF(OR($J11="",$J11=0),"",IFERROR(PERCENTRANK.INC(_xlfn._xlws.FILTER(Records[(C) Deferred],(Records[Role Group]="Director &amp; Investment Officer")*(Records[Include]="Y")*(Records[Total Cash]&lt;&gt;"")),$J11,4),"")),"")</f>
        <v/>
      </c>
      <c r="M11" s="37">
        <f>IF(Inputs!$B$21="","",SUMPRODUCT((Records[Role Group]="Director &amp; Investment Officer")*(Records[Organization]=Inputs!$B$21)*(Records[Most Recent]="Y")*(Records[Total Cash]&lt;&gt;"")))</f>
        <v/>
      </c>
    </row>
    <row r="12">
      <c r="A12" s="2" t="inlineStr">
        <is>
          <t>Nontaxable benefits</t>
        </is>
      </c>
      <c r="B12" s="19" t="inlineStr">
        <is>
          <t>Schedule J only</t>
        </is>
      </c>
      <c r="C12" s="21">
        <f>IF($I12&gt;=k_MinQuartile,MROUND(_xlfn.PERCENTILE.INC(_xlfn._xlws.FILTER(Records[(D) Nontax Benefits],(Records[Role Group]="Director &amp; Investment Officer")*(Records[Include]="Y")*(Records[Total Cash]&lt;&gt;"")),0.25),k_RoundTo),"")</f>
        <v/>
      </c>
      <c r="D12" s="22">
        <f>IF($I12&gt;=k_MinMedian,MROUND(_xlfn.PERCENTILE.INC(_xlfn._xlws.FILTER(Records[(D) Nontax Benefits],(Records[Role Group]="Director &amp; Investment Officer")*(Records[Include]="Y")*(Records[Total Cash]&lt;&gt;"")),0.5),k_RoundTo),"")</f>
        <v/>
      </c>
      <c r="E12" s="21">
        <f>IF($I12&gt;=k_MinQuartile,MROUND(_xlfn.PERCENTILE.INC(_xlfn._xlws.FILTER(Records[(D) Nontax Benefits],(Records[Role Group]="Director &amp; Investment Officer")*(Records[Include]="Y")*(Records[Total Cash]&lt;&gt;"")),0.75),k_RoundTo),"")</f>
        <v/>
      </c>
      <c r="F12" s="21">
        <f>IF($I12&gt;=k_MinQuartile,MROUND(_xlfn.PERCENTILE.INC(_xlfn._xlws.FILTER(Records[(D) Nontax Benefits],(Records[Role Group]="Director &amp; Investment Officer")*(Records[Include]="Y")*(Records[Total Cash]&lt;&gt;"")),0.9),k_RoundTo),"")</f>
        <v/>
      </c>
      <c r="G12" s="21">
        <f>IF($I12&gt;=k_MinMedian,MROUND(AVERAGE(_xlfn._xlws.FILTER(Records[(D) Nontax Benefits],(Records[Role Group]="Director &amp; Investment Officer")*(Records[Include]="Y")*(Records[Total Cash]&lt;&gt;""))),k_RoundTo),"")</f>
        <v/>
      </c>
      <c r="H12" s="20">
        <f>IFERROR(SUMPRODUCT(((Records[Role Group]="Director &amp; Investment Officer")*(Records[Include]="Y")*(Records[Total Cash]&lt;&gt;""))/(COUNTIFS(Records[Organization],Records[Organization]&amp;"",Records[Role Group],"Director &amp; Investment Officer",Records[Include],"Y")+(COUNTIFS(Records[Organization],Records[Organization]&amp;"",Records[Role Group],"Director &amp; Investment Officer",Records[Include],"Y")=0))),0)</f>
        <v/>
      </c>
      <c r="I12" s="20">
        <f>SUMPRODUCT((Records[Role Group]="Director &amp; Investment Officer")*(Records[Include]="Y")*(Records[Total Cash]&lt;&gt;""))</f>
        <v/>
      </c>
      <c r="J12" s="23">
        <f>IF(Inputs!$B$21="","",IFERROR(MAX(_xlfn._xlws.FILTER(Records[(D) Nontax Benefits],(Records[Role Group]="Director &amp; Investment Officer")*(Records[Organization]=Inputs!$B$21)*(Records[Most Recent]="Y")*(Records[Total Cash]&lt;&gt;""))),""))</f>
        <v/>
      </c>
      <c r="K12" s="24">
        <f>IF(OR($J12="",$D12=""),"",$J12/$D12-1)</f>
        <v/>
      </c>
      <c r="L12" s="25">
        <f>IF($I12&gt;=k_MinQuartile,IF(OR($J12="",$J12=0),"",IFERROR(PERCENTRANK.INC(_xlfn._xlws.FILTER(Records[(D) Nontax Benefits],(Records[Role Group]="Director &amp; Investment Officer")*(Records[Include]="Y")*(Records[Total Cash]&lt;&gt;"")),$J12,4),"")),"")</f>
        <v/>
      </c>
      <c r="M12" s="37">
        <f>IF(Inputs!$B$21="","",SUMPRODUCT((Records[Role Group]="Director &amp; Investment Officer")*(Records[Organization]=Inputs!$B$21)*(Records[Most Recent]="Y")*(Records[Total Cash]&lt;&gt;"")))</f>
        <v/>
      </c>
    </row>
    <row r="13">
      <c r="A13" s="2" t="inlineStr">
        <is>
          <t>Total compensation</t>
        </is>
      </c>
      <c r="B13" s="19" t="inlineStr">
        <is>
          <t>all filers</t>
        </is>
      </c>
      <c r="C13" s="21">
        <f>IF($I13&gt;=k_MinQuartile,MROUND(_xlfn.PERCENTILE.INC(_xlfn._xlws.FILTER(Records[(E) Total Comp],(Records[Role Group]="Director &amp; Investment Officer")*(Records[Include]="Y")*(Records[(E) Total Comp]&gt;0)),0.25),k_RoundTo),"")</f>
        <v/>
      </c>
      <c r="D13" s="22">
        <f>IF($I13&gt;=k_MinMedian,MROUND(_xlfn.PERCENTILE.INC(_xlfn._xlws.FILTER(Records[(E) Total Comp],(Records[Role Group]="Director &amp; Investment Officer")*(Records[Include]="Y")*(Records[(E) Total Comp]&gt;0)),0.5),k_RoundTo),"")</f>
        <v/>
      </c>
      <c r="E13" s="21">
        <f>IF($I13&gt;=k_MinQuartile,MROUND(_xlfn.PERCENTILE.INC(_xlfn._xlws.FILTER(Records[(E) Total Comp],(Records[Role Group]="Director &amp; Investment Officer")*(Records[Include]="Y")*(Records[(E) Total Comp]&gt;0)),0.75),k_RoundTo),"")</f>
        <v/>
      </c>
      <c r="F13" s="21">
        <f>IF($I13&gt;=k_MinQuartile,MROUND(_xlfn.PERCENTILE.INC(_xlfn._xlws.FILTER(Records[(E) Total Comp],(Records[Role Group]="Director &amp; Investment Officer")*(Records[Include]="Y")*(Records[(E) Total Comp]&gt;0)),0.9),k_RoundTo),"")</f>
        <v/>
      </c>
      <c r="G13" s="21">
        <f>IF($I13&gt;=k_MinMedian,MROUND(AVERAGE(_xlfn._xlws.FILTER(Records[(E) Total Comp],(Records[Role Group]="Director &amp; Investment Officer")*(Records[Include]="Y")*(Records[(E) Total Comp]&gt;0))),k_RoundTo),"")</f>
        <v/>
      </c>
      <c r="H13" s="20">
        <f>IFERROR(SUMPRODUCT(((Records[Role Group]="Director &amp; Investment Officer")*(Records[Include]="Y")*(Records[(E) Total Comp]&gt;0))/(COUNTIFS(Records[Organization],Records[Organization]&amp;"",Records[Role Group],"Director &amp; Investment Officer",Records[Include],"Y")+(COUNTIFS(Records[Organization],Records[Organization]&amp;"",Records[Role Group],"Director &amp; Investment Officer",Records[Include],"Y")=0))),0)</f>
        <v/>
      </c>
      <c r="I13" s="20">
        <f>SUMPRODUCT((Records[Role Group]="Director &amp; Investment Officer")*(Records[Include]="Y")*(Records[(E) Total Comp]&gt;0))</f>
        <v/>
      </c>
      <c r="J13" s="23">
        <f>IF(Inputs!$B$21="","",IFERROR(MAX(_xlfn._xlws.FILTER(Records[(E) Total Comp],(Records[Role Group]="Director &amp; Investment Officer")*(Records[Organization]=Inputs!$B$21)*(Records[Most Recent]="Y")*(Records[(E) Total Comp]&gt;0))),""))</f>
        <v/>
      </c>
      <c r="K13" s="24">
        <f>IF(OR($J13="",$D13=""),"",$J13/$D13-1)</f>
        <v/>
      </c>
      <c r="L13" s="25">
        <f>IF($I13&gt;=k_MinQuartile,IF(OR($J13="",$J13=0),"",IFERROR(PERCENTRANK.INC(_xlfn._xlws.FILTER(Records[(E) Total Comp],(Records[Role Group]="Director &amp; Investment Officer")*(Records[Include]="Y")*(Records[(E) Total Comp]&gt;0)),$J13,4),"")),"")</f>
        <v/>
      </c>
      <c r="M13" s="37">
        <f>IF(Inputs!$B$21="","",SUMPRODUCT((Records[Role Group]="Director &amp; Investment Officer")*(Records[Organization]=Inputs!$B$21)*(Records[Most Recent]="Y")*(Records[(E) Total Comp]&gt;0)))</f>
        <v/>
      </c>
    </row>
    <row r="14">
      <c r="A14" s="2" t="inlineStr">
        <is>
          <t>Adjusted total</t>
        </is>
      </c>
      <c r="B14" s="19" t="inlineStr">
        <is>
          <t>all filers</t>
        </is>
      </c>
      <c r="C14" s="21">
        <f>IF($I14&gt;=k_MinQuartile,MROUND(_xlfn.PERCENTILE.INC(_xlfn._xlws.FILTER(Records[Adj Total],(Records[Role Group]="Director &amp; Investment Officer")*(Records[Include]="Y")*(Records[Adj Total]&gt;0)),0.25),k_RoundTo),"")</f>
        <v/>
      </c>
      <c r="D14" s="22">
        <f>IF($I14&gt;=k_MinMedian,MROUND(_xlfn.PERCENTILE.INC(_xlfn._xlws.FILTER(Records[Adj Total],(Records[Role Group]="Director &amp; Investment Officer")*(Records[Include]="Y")*(Records[Adj Total]&gt;0)),0.5),k_RoundTo),"")</f>
        <v/>
      </c>
      <c r="E14" s="21">
        <f>IF($I14&gt;=k_MinQuartile,MROUND(_xlfn.PERCENTILE.INC(_xlfn._xlws.FILTER(Records[Adj Total],(Records[Role Group]="Director &amp; Investment Officer")*(Records[Include]="Y")*(Records[Adj Total]&gt;0)),0.75),k_RoundTo),"")</f>
        <v/>
      </c>
      <c r="F14" s="21">
        <f>IF($I14&gt;=k_MinQuartile,MROUND(_xlfn.PERCENTILE.INC(_xlfn._xlws.FILTER(Records[Adj Total],(Records[Role Group]="Director &amp; Investment Officer")*(Records[Include]="Y")*(Records[Adj Total]&gt;0)),0.9),k_RoundTo),"")</f>
        <v/>
      </c>
      <c r="G14" s="21">
        <f>IF($I14&gt;=k_MinMedian,MROUND(AVERAGE(_xlfn._xlws.FILTER(Records[Adj Total],(Records[Role Group]="Director &amp; Investment Officer")*(Records[Include]="Y")*(Records[Adj Total]&gt;0))),k_RoundTo),"")</f>
        <v/>
      </c>
      <c r="H14" s="20">
        <f>IFERROR(SUMPRODUCT(((Records[Role Group]="Director &amp; Investment Officer")*(Records[Include]="Y")*(Records[Adj Total]&gt;0))/(COUNTIFS(Records[Organization],Records[Organization]&amp;"",Records[Role Group],"Director &amp; Investment Officer",Records[Include],"Y")+(COUNTIFS(Records[Organization],Records[Organization]&amp;"",Records[Role Group],"Director &amp; Investment Officer",Records[Include],"Y")=0))),0)</f>
        <v/>
      </c>
      <c r="I14" s="20">
        <f>SUMPRODUCT((Records[Role Group]="Director &amp; Investment Officer")*(Records[Include]="Y")*(Records[Adj Total]&gt;0))</f>
        <v/>
      </c>
      <c r="J14" s="23">
        <f>IF(Inputs!$B$21="","",IFERROR(MAX(_xlfn._xlws.FILTER(Records[Adj Total],(Records[Role Group]="Director &amp; Investment Officer")*(Records[Organization]=Inputs!$B$21)*(Records[Most Recent]="Y")*(Records[Adj Total]&gt;0))),""))</f>
        <v/>
      </c>
      <c r="K14" s="24">
        <f>IF(OR($J14="",$D14=""),"",$J14/$D14-1)</f>
        <v/>
      </c>
      <c r="L14" s="25">
        <f>IF($I14&gt;=k_MinQuartile,IF(OR($J14="",$J14=0),"",IFERROR(PERCENTRANK.INC(_xlfn._xlws.FILTER(Records[Adj Total],(Records[Role Group]="Director &amp; Investment Officer")*(Records[Include]="Y")*(Records[Adj Total]&gt;0)),$J14,4),"")),"")</f>
        <v/>
      </c>
      <c r="M14" s="37">
        <f>IF(Inputs!$B$21="","",SUMPRODUCT((Records[Role Group]="Director &amp; Investment Officer")*(Records[Organization]=Inputs!$B$21)*(Records[Most Recent]="Y")*(Records[Adj Total]&gt;0)))</f>
        <v/>
      </c>
      <c r="N14" s="26">
        <f>IF(AND($I14&gt;=k_MinMedian,$I14&lt;k_MinQuartile,$D14&lt;&gt;""),MROUND($D14*k_Est_adj_staff_25,k_RoundTo),"")</f>
        <v/>
      </c>
      <c r="O14" s="26">
        <f>IF(AND($I14&gt;=k_MinMedian,$I14&lt;k_MinQuartile,$D14&lt;&gt;""),MROUND($D14*k_Est_adj_staff_75,k_RoundTo),"")</f>
        <v/>
      </c>
      <c r="P14" s="26">
        <f>IF(AND($I14&gt;=k_MinMedian,$I14&lt;k_MinQuartile,$D14&lt;&gt;""),MROUND($D14*k_Est_adj_staff_90,k_RoundTo),"")</f>
        <v/>
      </c>
    </row>
    <row r="15">
      <c r="A15" s="2" t="inlineStr">
        <is>
          <t>Adjusted total, aged</t>
        </is>
      </c>
      <c r="B15" s="19" t="inlineStr">
        <is>
          <t>all filers</t>
        </is>
      </c>
      <c r="C15" s="21">
        <f>IF($I15&gt;=k_MinQuartile,MROUND(_xlfn.PERCENTILE.INC(_xlfn._xlws.FILTER(Records[Aged Adj Total],(Records[Role Group]="Director &amp; Investment Officer")*(Records[Include]="Y")*(Records[Aged Adj Total]&gt;0)),0.25),k_RoundTo),"")</f>
        <v/>
      </c>
      <c r="D15" s="22">
        <f>IF($I15&gt;=k_MinMedian,MROUND(_xlfn.PERCENTILE.INC(_xlfn._xlws.FILTER(Records[Aged Adj Total],(Records[Role Group]="Director &amp; Investment Officer")*(Records[Include]="Y")*(Records[Aged Adj Total]&gt;0)),0.5),k_RoundTo),"")</f>
        <v/>
      </c>
      <c r="E15" s="21">
        <f>IF($I15&gt;=k_MinQuartile,MROUND(_xlfn.PERCENTILE.INC(_xlfn._xlws.FILTER(Records[Aged Adj Total],(Records[Role Group]="Director &amp; Investment Officer")*(Records[Include]="Y")*(Records[Aged Adj Total]&gt;0)),0.75),k_RoundTo),"")</f>
        <v/>
      </c>
      <c r="F15" s="21">
        <f>IF($I15&gt;=k_MinQuartile,MROUND(_xlfn.PERCENTILE.INC(_xlfn._xlws.FILTER(Records[Aged Adj Total],(Records[Role Group]="Director &amp; Investment Officer")*(Records[Include]="Y")*(Records[Aged Adj Total]&gt;0)),0.9),k_RoundTo),"")</f>
        <v/>
      </c>
      <c r="G15" s="21">
        <f>IF($I15&gt;=k_MinMedian,MROUND(AVERAGE(_xlfn._xlws.FILTER(Records[Aged Adj Total],(Records[Role Group]="Director &amp; Investment Officer")*(Records[Include]="Y")*(Records[Aged Adj Total]&gt;0))),k_RoundTo),"")</f>
        <v/>
      </c>
      <c r="H15" s="20">
        <f>IFERROR(SUMPRODUCT(((Records[Role Group]="Director &amp; Investment Officer")*(Records[Include]="Y")*(Records[Aged Adj Total]&gt;0))/(COUNTIFS(Records[Organization],Records[Organization]&amp;"",Records[Role Group],"Director &amp; Investment Officer",Records[Include],"Y")+(COUNTIFS(Records[Organization],Records[Organization]&amp;"",Records[Role Group],"Director &amp; Investment Officer",Records[Include],"Y")=0))),0)</f>
        <v/>
      </c>
      <c r="I15" s="20">
        <f>SUMPRODUCT((Records[Role Group]="Director &amp; Investment Officer")*(Records[Include]="Y")*(Records[Aged Adj Total]&gt;0))</f>
        <v/>
      </c>
      <c r="J15" s="23">
        <f>IF(Inputs!$B$21="","",IFERROR(MAX(_xlfn._xlws.FILTER(Records[Aged Adj Total],(Records[Role Group]="Director &amp; Investment Officer")*(Records[Organization]=Inputs!$B$21)*(Records[Most Recent]="Y")*(Records[Aged Adj Total]&gt;0))),""))</f>
        <v/>
      </c>
      <c r="K15" s="24">
        <f>IF(OR($J15="",$D15=""),"",$J15/$D15-1)</f>
        <v/>
      </c>
      <c r="L15" s="25">
        <f>IF($I15&gt;=k_MinQuartile,IF(OR($J15="",$J15=0),"",IFERROR(PERCENTRANK.INC(_xlfn._xlws.FILTER(Records[Aged Adj Total],(Records[Role Group]="Director &amp; Investment Officer")*(Records[Include]="Y")*(Records[Aged Adj Total]&gt;0)),$J15,4),"")),"")</f>
        <v/>
      </c>
      <c r="M15" s="37">
        <f>IF(Inputs!$B$21="","",SUMPRODUCT((Records[Role Group]="Director &amp; Investment Officer")*(Records[Organization]=Inputs!$B$21)*(Records[Most Recent]="Y")*(Records[Aged Adj Total]&gt;0)))</f>
        <v/>
      </c>
      <c r="N15" s="26">
        <f>IF(AND($I15&gt;=k_MinMedian,$I15&lt;k_MinQuartile,$D15&lt;&gt;""),MROUND($D15*k_Est_adj_staff_25,k_RoundTo),"")</f>
        <v/>
      </c>
      <c r="O15" s="26">
        <f>IF(AND($I15&gt;=k_MinMedian,$I15&lt;k_MinQuartile,$D15&lt;&gt;""),MROUND($D15*k_Est_adj_staff_75,k_RoundTo),"")</f>
        <v/>
      </c>
      <c r="P15" s="26">
        <f>IF(AND($I15&gt;=k_MinMedian,$I15&lt;k_MinQuartile,$D15&lt;&gt;""),MROUND($D15*k_Est_adj_staff_90,k_RoundTo),"")</f>
        <v/>
      </c>
    </row>
    <row r="16">
      <c r="A16" s="2" t="inlineStr">
        <is>
          <t>Incentive as % of base</t>
        </is>
      </c>
      <c r="B16" s="19" t="inlineStr">
        <is>
          <t>Schedule J only</t>
        </is>
      </c>
      <c r="C16" s="38">
        <f>IF($I16&gt;=k_MinQuartile,_xlfn.PERCENTILE.INC(_xlfn._xlws.FILTER(Records[Incentive % of Base],(Records[Role Group]="Director &amp; Investment Officer")*(Records[Include]="Y")*(Records[Total Cash]&lt;&gt;"")),0.25),"")</f>
        <v/>
      </c>
      <c r="D16" s="39">
        <f>IF($I16&gt;=k_MinMedian,_xlfn.PERCENTILE.INC(_xlfn._xlws.FILTER(Records[Incentive % of Base],(Records[Role Group]="Director &amp; Investment Officer")*(Records[Include]="Y")*(Records[Total Cash]&lt;&gt;"")),0.5),"")</f>
        <v/>
      </c>
      <c r="E16" s="38">
        <f>IF($I16&gt;=k_MinQuartile,_xlfn.PERCENTILE.INC(_xlfn._xlws.FILTER(Records[Incentive % of Base],(Records[Role Group]="Director &amp; Investment Officer")*(Records[Include]="Y")*(Records[Total Cash]&lt;&gt;"")),0.75),"")</f>
        <v/>
      </c>
      <c r="F16" s="38">
        <f>IF($I16&gt;=k_MinQuartile,_xlfn.PERCENTILE.INC(_xlfn._xlws.FILTER(Records[Incentive % of Base],(Records[Role Group]="Director &amp; Investment Officer")*(Records[Include]="Y")*(Records[Total Cash]&lt;&gt;"")),0.9),"")</f>
        <v/>
      </c>
      <c r="G16" s="38">
        <f>IF($I16&gt;=k_MinMedian,AVERAGE(_xlfn._xlws.FILTER(Records[Incentive % of Base],(Records[Role Group]="Director &amp; Investment Officer")*(Records[Include]="Y")*(Records[Total Cash]&lt;&gt;""))),"")</f>
        <v/>
      </c>
      <c r="H16" s="20">
        <f>IFERROR(SUMPRODUCT(((Records[Role Group]="Director &amp; Investment Officer")*(Records[Include]="Y")*(Records[Total Cash]&lt;&gt;""))/(COUNTIFS(Records[Organization],Records[Organization]&amp;"",Records[Role Group],"Director &amp; Investment Officer",Records[Include],"Y")+(COUNTIFS(Records[Organization],Records[Organization]&amp;"",Records[Role Group],"Director &amp; Investment Officer",Records[Include],"Y")=0))),0)</f>
        <v/>
      </c>
      <c r="I16" s="20">
        <f>SUMPRODUCT((Records[Role Group]="Director &amp; Investment Officer")*(Records[Include]="Y")*(Records[Total Cash]&lt;&gt;""))</f>
        <v/>
      </c>
      <c r="J16" s="40">
        <f>IF(Inputs!$B$21="","",IFERROR(MAX(_xlfn._xlws.FILTER(Records[Incentive % of Base],(Records[Role Group]="Director &amp; Investment Officer")*(Records[Organization]=Inputs!$B$21)*(Records[Most Recent]="Y")*(Records[Total Cash]&lt;&gt;""))),""))</f>
        <v/>
      </c>
      <c r="K16" s="41">
        <f>IF(OR($J16="",$D16=""),"",$J16-$D16)</f>
        <v/>
      </c>
      <c r="L16" s="25">
        <f>IF($I16&gt;=k_MinQuartile,IF(OR($J16="",$J16=0),"",IFERROR(PERCENTRANK.INC(_xlfn._xlws.FILTER(Records[Incentive % of Base],(Records[Role Group]="Director &amp; Investment Officer")*(Records[Include]="Y")*(Records[Total Cash]&lt;&gt;"")),$J16,4),"")),"")</f>
        <v/>
      </c>
      <c r="M16" s="37">
        <f>IF(Inputs!$B$21="","",SUMPRODUCT((Records[Role Group]="Director &amp; Investment Officer")*(Records[Organization]=Inputs!$B$21)*(Records[Most Recent]="Y")*(Records[Total Cash]&lt;&gt;"")))</f>
        <v/>
      </c>
    </row>
    <row r="17"/>
    <row r="18">
      <c r="A18" s="19" t="inlineStr">
        <is>
          <t>Blank = too few people, not zero. Median 2+, quartiles 5+.</t>
        </is>
      </c>
    </row>
    <row r="19">
      <c r="A19" s="19" t="inlineStr">
        <is>
          <t>(1) Est. columns, italic: where the median exists but fewer than 5 people, the median times the ratio measured on endowments and foundations at $2b+ (Methodology). Never the median; not a measured figure.</t>
        </is>
      </c>
    </row>
    <row r="20"/>
    <row r="21">
      <c r="A21" s="1" t="inlineStr">
        <is>
          <t>Peer records</t>
        </is>
      </c>
    </row>
    <row r="22">
      <c r="A22" s="19" t="inlineStr">
        <is>
          <t>Filter Include = "Y" for the peer set.</t>
        </is>
      </c>
    </row>
    <row r="23"/>
    <row r="24" ht="30" customHeight="1">
      <c r="A24" s="35" t="inlineStr">
        <is>
          <t>Organization</t>
        </is>
      </c>
      <c r="B24" s="35" t="inlineStr">
        <is>
          <t>State</t>
        </is>
      </c>
      <c r="C24" s="35" t="inlineStr">
        <is>
          <t>AUM ($B)</t>
        </is>
      </c>
      <c r="D24" s="35" t="inlineStr">
        <is>
          <t>Institution Type</t>
        </is>
      </c>
      <c r="E24" s="35" t="inlineStr">
        <is>
          <t>Year</t>
        </is>
      </c>
      <c r="F24" s="35" t="inlineStr">
        <is>
          <t>Include</t>
        </is>
      </c>
      <c r="G24" s="35" t="inlineStr">
        <is>
          <t>Name</t>
        </is>
      </c>
      <c r="H24" s="35" t="inlineStr">
        <is>
          <t>Raw Title</t>
        </is>
      </c>
      <c r="I24" s="35" t="inlineStr">
        <is>
          <t>Standardized Title</t>
        </is>
      </c>
      <c r="J24" s="35" t="inlineStr">
        <is>
          <t>(B)(i) Base</t>
        </is>
      </c>
      <c r="K24" s="35" t="inlineStr">
        <is>
          <t>(B)(ii) Bonus</t>
        </is>
      </c>
      <c r="L24" s="35" t="inlineStr">
        <is>
          <t>Total Cash</t>
        </is>
      </c>
      <c r="M24" s="35" t="inlineStr">
        <is>
          <t>(B)(iii) Other</t>
        </is>
      </c>
      <c r="N24" s="35" t="inlineStr">
        <is>
          <t>(C) Deferred</t>
        </is>
      </c>
      <c r="O24" s="35" t="inlineStr">
        <is>
          <t>(D) Nontax Benefits</t>
        </is>
      </c>
      <c r="P24" s="35" t="inlineStr">
        <is>
          <t>(E) Total Comp</t>
        </is>
      </c>
      <c r="Q24" s="35" t="inlineStr">
        <is>
          <t>Adj Total</t>
        </is>
      </c>
      <c r="R24" s="35" t="inlineStr">
        <is>
          <t>Aged Adj Total</t>
        </is>
      </c>
      <c r="S24" s="35" t="inlineStr">
        <is>
          <t>Incentive % of Base</t>
        </is>
      </c>
      <c r="T24" s="35" t="inlineStr">
        <is>
          <t>Filing</t>
        </is>
      </c>
    </row>
    <row r="25">
      <c r="A25" t="inlineStr">
        <is>
          <t>Ahimsa Foundation</t>
        </is>
      </c>
      <c r="B25" s="20" t="inlineStr">
        <is>
          <t>CO</t>
        </is>
      </c>
      <c r="C25" s="42" t="n">
        <v>0.77</v>
      </c>
      <c r="D25" t="inlineStr">
        <is>
          <t>Foundation</t>
        </is>
      </c>
      <c r="E25" s="20" t="n">
        <v>2024</v>
      </c>
      <c r="F25" s="20">
        <f>IF(AND(OR(in_Mode="All Funds",AND(C25&gt;=in_BandFloor,C25&lt;=in_BandCeiling,OR(in_Geography="National",COUNTIFS(lst_GeoPreset,in_Geography,lst_GeoState,B25)&gt;0,AND(in_Geography="Custom",ISNUMBER(SEARCH(B25,SUBSTITUTE(in_CustomStates," ",""))))),OR(AND(D25="Endowment",Inputs!$B$14="Y"),AND(D25="Foundation",Inputs!$B$15="Y"),AND(D25="Healthcare",Inputs!$B$16="Y"),AND(D25="Pension",Inputs!$B$17="Y"),AND(D25="OCIO",Inputs!$B$18="Y"),AND(D25="Other",Inputs!$B$19="Y")))),A25&lt;&gt;in_ClientOrg,NOT(AND(in_ExclHarvard="Y",ISNUMBER(SEARCH("Harvard",A25))))),"Y","")</f>
        <v/>
      </c>
      <c r="G25" t="inlineStr">
        <is>
          <t>Amy Trakinski</t>
        </is>
      </c>
      <c r="H25" t="inlineStr">
        <is>
          <t>Investment Manager</t>
        </is>
      </c>
      <c r="I25" t="inlineStr">
        <is>
          <t>Investment Manager</t>
        </is>
      </c>
      <c r="J25" s="21" t="n"/>
      <c r="K25" s="21" t="n"/>
      <c r="L25" s="21" t="n"/>
      <c r="M25" s="21" t="n"/>
      <c r="N25" s="21" t="n"/>
      <c r="O25" s="21" t="n"/>
      <c r="P25" s="21" t="n">
        <v>862500</v>
      </c>
      <c r="Q25" s="21" t="n">
        <v>862500</v>
      </c>
      <c r="R25" s="21">
        <f>IF(Q25="","",Q25*(1+in_GrowthRate)^(YEARFRAC(DATE(2024,12,31),in_AgeToDate)*IF(in_AgeToDate&lt;DATE(2024,12,31),-1,1)+1))</f>
        <v/>
      </c>
      <c r="S25" s="38" t="n"/>
      <c r="T25" s="43">
        <f>HYPERLINK("https://projects.propublica.org/nonprofits/organizations/852700743/202523219349106847/full","view filing")</f>
        <v/>
      </c>
    </row>
    <row r="26">
      <c r="A26" t="inlineStr">
        <is>
          <t>Alfred P Sloan Foundation</t>
        </is>
      </c>
      <c r="B26" s="20" t="inlineStr">
        <is>
          <t>NY</t>
        </is>
      </c>
      <c r="C26" s="42" t="n">
        <v>2.05</v>
      </c>
      <c r="D26" t="inlineStr">
        <is>
          <t>Foundation</t>
        </is>
      </c>
      <c r="E26" s="20" t="n">
        <v>2024</v>
      </c>
      <c r="F26" s="20">
        <f>IF(AND(OR(in_Mode="All Funds",AND(C26&gt;=in_BandFloor,C26&lt;=in_BandCeiling,OR(in_Geography="National",COUNTIFS(lst_GeoPreset,in_Geography,lst_GeoState,B26)&gt;0,AND(in_Geography="Custom",ISNUMBER(SEARCH(B26,SUBSTITUTE(in_CustomStates," ",""))))),OR(AND(D26="Endowment",Inputs!$B$14="Y"),AND(D26="Foundation",Inputs!$B$15="Y"),AND(D26="Healthcare",Inputs!$B$16="Y"),AND(D26="Pension",Inputs!$B$17="Y"),AND(D26="OCIO",Inputs!$B$18="Y"),AND(D26="Other",Inputs!$B$19="Y")))),A26&lt;&gt;in_ClientOrg,NOT(AND(in_ExclHarvard="Y",ISNUMBER(SEARCH("Harvard",A26))))),"Y","")</f>
        <v/>
      </c>
      <c r="G26" t="inlineStr">
        <is>
          <t>Saku Nousiainen</t>
        </is>
      </c>
      <c r="H26" t="inlineStr">
        <is>
          <t>INVESTMENT DIRECTOR</t>
        </is>
      </c>
      <c r="I26" t="inlineStr">
        <is>
          <t>Director of Investments</t>
        </is>
      </c>
      <c r="J26" s="21" t="n"/>
      <c r="K26" s="21" t="n"/>
      <c r="L26" s="21" t="n"/>
      <c r="M26" s="21" t="n"/>
      <c r="N26" s="21" t="n"/>
      <c r="O26" s="21" t="n"/>
      <c r="P26" s="21" t="n">
        <v>558612</v>
      </c>
      <c r="Q26" s="21" t="n">
        <v>558612</v>
      </c>
      <c r="R26" s="21">
        <f>IF(Q26="","",Q26*(1+in_GrowthRate)^(YEARFRAC(DATE(2024,12,31),in_AgeToDate)*IF(in_AgeToDate&lt;DATE(2024,12,31),-1,1)+1))</f>
        <v/>
      </c>
      <c r="S26" s="38" t="n"/>
      <c r="T26" s="43">
        <f>HYPERLINK("https://projects.propublica.org/nonprofits/organizations/131623877/202533189349105603/full","view filing")</f>
        <v/>
      </c>
    </row>
    <row r="27">
      <c r="A27" t="inlineStr">
        <is>
          <t>Alfred P Sloan Foundation</t>
        </is>
      </c>
      <c r="B27" s="20" t="inlineStr">
        <is>
          <t>NY</t>
        </is>
      </c>
      <c r="C27" s="42" t="n">
        <v>2.05</v>
      </c>
      <c r="D27" t="inlineStr">
        <is>
          <t>Foundation</t>
        </is>
      </c>
      <c r="E27" s="20" t="n">
        <v>2023</v>
      </c>
      <c r="F27" s="20" t="inlineStr"/>
      <c r="G27" t="inlineStr">
        <is>
          <t>Saku Nousiainen</t>
        </is>
      </c>
      <c r="H27" t="inlineStr">
        <is>
          <t>INVESTMENT DIRECTOR</t>
        </is>
      </c>
      <c r="I27" t="inlineStr">
        <is>
          <t>Director of Investments</t>
        </is>
      </c>
      <c r="J27" s="21" t="n"/>
      <c r="K27" s="21" t="n"/>
      <c r="L27" s="21" t="n"/>
      <c r="M27" s="21" t="n"/>
      <c r="N27" s="21" t="n"/>
      <c r="O27" s="21" t="n"/>
      <c r="P27" s="21" t="n">
        <v>535323</v>
      </c>
      <c r="Q27" s="21" t="n">
        <v>535323</v>
      </c>
      <c r="R27" s="21">
        <f>IF(Q27="","",Q27*(1+in_GrowthRate)^(YEARFRAC(DATE(2023,12,31),in_AgeToDate)*IF(in_AgeToDate&lt;DATE(2023,12,31),-1,1)+1))</f>
        <v/>
      </c>
      <c r="S27" s="38" t="n"/>
      <c r="T27" s="43">
        <f>HYPERLINK("https://projects.propublica.org/nonprofits/organizations/131623877/202443199349105344/full","view filing")</f>
        <v/>
      </c>
    </row>
    <row r="28">
      <c r="A28" t="inlineStr">
        <is>
          <t>Alfred P Sloan Foundation</t>
        </is>
      </c>
      <c r="B28" s="20" t="inlineStr">
        <is>
          <t>NY</t>
        </is>
      </c>
      <c r="C28" s="42" t="n">
        <v>2.05</v>
      </c>
      <c r="D28" t="inlineStr">
        <is>
          <t>Foundation</t>
        </is>
      </c>
      <c r="E28" s="20" t="n">
        <v>2022</v>
      </c>
      <c r="F28" s="20" t="inlineStr"/>
      <c r="G28" t="inlineStr">
        <is>
          <t>Saku Nousiainen</t>
        </is>
      </c>
      <c r="H28" t="inlineStr">
        <is>
          <t>INVESTMENT DIRECTOR</t>
        </is>
      </c>
      <c r="I28" t="inlineStr">
        <is>
          <t>Director of Investments</t>
        </is>
      </c>
      <c r="J28" s="21" t="n"/>
      <c r="K28" s="21" t="n"/>
      <c r="L28" s="21" t="n"/>
      <c r="M28" s="21" t="n"/>
      <c r="N28" s="21" t="n"/>
      <c r="O28" s="21" t="n"/>
      <c r="P28" s="21" t="n">
        <v>463436</v>
      </c>
      <c r="Q28" s="21" t="n">
        <v>463436</v>
      </c>
      <c r="R28" s="21">
        <f>IF(Q28="","",Q28*(1+in_GrowthRate)^(YEARFRAC(DATE(2022,12,31),in_AgeToDate)*IF(in_AgeToDate&lt;DATE(2022,12,31),-1,1)+1))</f>
        <v/>
      </c>
      <c r="S28" s="38" t="n"/>
      <c r="T28" s="43">
        <f>HYPERLINK("https://projects.propublica.org/nonprofits/organizations/131623877/202323179349103742/full","view filing")</f>
        <v/>
      </c>
    </row>
    <row r="29">
      <c r="A29" t="inlineStr">
        <is>
          <t>Annie E Casey Foundation</t>
        </is>
      </c>
      <c r="B29" s="20" t="inlineStr">
        <is>
          <t>MD</t>
        </is>
      </c>
      <c r="C29" s="42" t="n">
        <v>3.11</v>
      </c>
      <c r="D29" t="inlineStr">
        <is>
          <t>Foundation</t>
        </is>
      </c>
      <c r="E29" s="20" t="n">
        <v>2023</v>
      </c>
      <c r="F29" s="20" t="inlineStr"/>
      <c r="G29" t="inlineStr">
        <is>
          <t>Samuel Norvell</t>
        </is>
      </c>
      <c r="H29" t="inlineStr">
        <is>
          <t>INVESTMENT DIRECTOR</t>
        </is>
      </c>
      <c r="I29" t="inlineStr">
        <is>
          <t>Director of Investments</t>
        </is>
      </c>
      <c r="J29" s="21" t="n"/>
      <c r="K29" s="21" t="n"/>
      <c r="L29" s="21" t="n"/>
      <c r="M29" s="21" t="n"/>
      <c r="N29" s="21" t="n"/>
      <c r="O29" s="21" t="n"/>
      <c r="P29" s="21" t="n">
        <v>572490</v>
      </c>
      <c r="Q29" s="21" t="n">
        <v>572490</v>
      </c>
      <c r="R29" s="21">
        <f>IF(Q29="","",Q29*(1+in_GrowthRate)^(YEARFRAC(DATE(2023,12,31),in_AgeToDate)*IF(in_AgeToDate&lt;DATE(2023,12,31),-1,1)+1))</f>
        <v/>
      </c>
      <c r="S29" s="38" t="n"/>
      <c r="T29" s="43">
        <f>HYPERLINK("https://projects.propublica.org/nonprofits/organizations/521951681/202533099349102133/full","view filing")</f>
        <v/>
      </c>
    </row>
    <row r="30">
      <c r="A30" t="inlineStr">
        <is>
          <t>Annie E Casey Foundation</t>
        </is>
      </c>
      <c r="B30" s="20" t="inlineStr">
        <is>
          <t>MD</t>
        </is>
      </c>
      <c r="C30" s="42" t="n">
        <v>3.11</v>
      </c>
      <c r="D30" t="inlineStr">
        <is>
          <t>Foundation</t>
        </is>
      </c>
      <c r="E30" s="20" t="n">
        <v>2022</v>
      </c>
      <c r="F30" s="20" t="inlineStr"/>
      <c r="G30" t="inlineStr">
        <is>
          <t>Alexander Perry</t>
        </is>
      </c>
      <c r="H30" t="inlineStr">
        <is>
          <t>INVESTMENT DIRECTOR</t>
        </is>
      </c>
      <c r="I30" t="inlineStr">
        <is>
          <t>Director of Investments</t>
        </is>
      </c>
      <c r="J30" s="21" t="n"/>
      <c r="K30" s="21" t="n"/>
      <c r="L30" s="21" t="n"/>
      <c r="M30" s="21" t="n"/>
      <c r="N30" s="21" t="n"/>
      <c r="O30" s="21" t="n"/>
      <c r="P30" s="21" t="n">
        <v>446530</v>
      </c>
      <c r="Q30" s="21" t="n">
        <v>446530</v>
      </c>
      <c r="R30" s="21">
        <f>IF(Q30="","",Q30*(1+in_GrowthRate)^(YEARFRAC(DATE(2022,12,31),in_AgeToDate)*IF(in_AgeToDate&lt;DATE(2022,12,31),-1,1)+1))</f>
        <v/>
      </c>
      <c r="S30" s="38" t="n"/>
      <c r="T30" s="43">
        <f>HYPERLINK("https://projects.propublica.org/nonprofits/organizations/521951681/202543099349102364/full","view filing")</f>
        <v/>
      </c>
    </row>
    <row r="31">
      <c r="A31" t="inlineStr">
        <is>
          <t>Annie E Casey Foundation</t>
        </is>
      </c>
      <c r="B31" s="20" t="inlineStr">
        <is>
          <t>MD</t>
        </is>
      </c>
      <c r="C31" s="42" t="n">
        <v>3.11</v>
      </c>
      <c r="D31" t="inlineStr">
        <is>
          <t>Foundation</t>
        </is>
      </c>
      <c r="E31" s="20" t="n">
        <v>2022</v>
      </c>
      <c r="F31" s="20" t="inlineStr"/>
      <c r="G31" t="inlineStr">
        <is>
          <t>Samuel Norvell</t>
        </is>
      </c>
      <c r="H31" t="inlineStr">
        <is>
          <t>INVESTMENT DIRECTOR</t>
        </is>
      </c>
      <c r="I31" t="inlineStr">
        <is>
          <t>Director of Investments</t>
        </is>
      </c>
      <c r="J31" s="21" t="n"/>
      <c r="K31" s="21" t="n"/>
      <c r="L31" s="21" t="n"/>
      <c r="M31" s="21" t="n"/>
      <c r="N31" s="21" t="n"/>
      <c r="O31" s="21" t="n"/>
      <c r="P31" s="21" t="n">
        <v>385187</v>
      </c>
      <c r="Q31" s="21" t="n">
        <v>385187</v>
      </c>
      <c r="R31" s="21">
        <f>IF(Q31="","",Q31*(1+in_GrowthRate)^(YEARFRAC(DATE(2022,12,31),in_AgeToDate)*IF(in_AgeToDate&lt;DATE(2022,12,31),-1,1)+1))</f>
        <v/>
      </c>
      <c r="S31" s="38" t="n"/>
      <c r="T31" s="43">
        <f>HYPERLINK("https://projects.propublica.org/nonprofits/organizations/521951681/202543099349102364/full","view filing")</f>
        <v/>
      </c>
    </row>
    <row r="32">
      <c r="A32" t="inlineStr">
        <is>
          <t>Bowdoin College</t>
        </is>
      </c>
      <c r="B32" s="20" t="inlineStr">
        <is>
          <t>ME</t>
        </is>
      </c>
      <c r="C32" s="42" t="n">
        <v>2.92</v>
      </c>
      <c r="D32" t="inlineStr">
        <is>
          <t>Endowment</t>
        </is>
      </c>
      <c r="E32" s="20" t="n">
        <v>2025</v>
      </c>
      <c r="F32" s="20">
        <f>IF(AND(OR(in_Mode="All Funds",AND(C32&gt;=in_BandFloor,C32&lt;=in_BandCeiling,OR(in_Geography="National",COUNTIFS(lst_GeoPreset,in_Geography,lst_GeoState,B32)&gt;0,AND(in_Geography="Custom",ISNUMBER(SEARCH(B32,SUBSTITUTE(in_CustomStates," ",""))))),OR(AND(D32="Endowment",Inputs!$B$14="Y"),AND(D32="Foundation",Inputs!$B$15="Y"),AND(D32="Healthcare",Inputs!$B$16="Y"),AND(D32="Pension",Inputs!$B$17="Y"),AND(D32="OCIO",Inputs!$B$18="Y"),AND(D32="Other",Inputs!$B$19="Y")))),A32&lt;&gt;in_ClientOrg,NOT(AND(in_ExclHarvard="Y",ISNUMBER(SEARCH("Harvard",A32))))),"Y","")</f>
        <v/>
      </c>
      <c r="G32" t="inlineStr">
        <is>
          <t>Boris Raykin</t>
        </is>
      </c>
      <c r="H32" t="inlineStr">
        <is>
          <t>DIRECTOR OF INVESTMENTS</t>
        </is>
      </c>
      <c r="I32" t="inlineStr">
        <is>
          <t>Director of Investments</t>
        </is>
      </c>
      <c r="J32" s="21" t="n">
        <v>545109</v>
      </c>
      <c r="K32" s="21" t="n">
        <v>507377</v>
      </c>
      <c r="L32" s="21" t="n">
        <v>1052486</v>
      </c>
      <c r="M32" s="21" t="n">
        <v>2160</v>
      </c>
      <c r="N32" s="21" t="n">
        <v>45399</v>
      </c>
      <c r="O32" s="21" t="n">
        <v>4111</v>
      </c>
      <c r="P32" s="21" t="n">
        <v>1104156</v>
      </c>
      <c r="Q32" s="21" t="n">
        <v>1104156</v>
      </c>
      <c r="R32" s="21">
        <f>IF(Q32="","",Q32*(1+in_GrowthRate)^(YEARFRAC(DATE(2025,6,30),in_AgeToDate)*IF(in_AgeToDate&lt;DATE(2025,6,30),-1,1)+1))</f>
        <v/>
      </c>
      <c r="S32" s="38" t="n">
        <v>0.9307808163138015</v>
      </c>
      <c r="T32" s="43">
        <f>HYPERLINK("https://projects.propublica.org/nonprofits/organizations/10215213/202611329349306966/full","view filing")</f>
        <v/>
      </c>
    </row>
    <row r="33">
      <c r="A33" t="inlineStr">
        <is>
          <t>Bowdoin College</t>
        </is>
      </c>
      <c r="B33" s="20" t="inlineStr">
        <is>
          <t>ME</t>
        </is>
      </c>
      <c r="C33" s="42" t="n">
        <v>2.92</v>
      </c>
      <c r="D33" t="inlineStr">
        <is>
          <t>Endowment</t>
        </is>
      </c>
      <c r="E33" s="20" t="n">
        <v>2025</v>
      </c>
      <c r="F33" s="20">
        <f>IF(AND(OR(in_Mode="All Funds",AND(C33&gt;=in_BandFloor,C33&lt;=in_BandCeiling,OR(in_Geography="National",COUNTIFS(lst_GeoPreset,in_Geography,lst_GeoState,B33)&gt;0,AND(in_Geography="Custom",ISNUMBER(SEARCH(B33,SUBSTITUTE(in_CustomStates," ",""))))),OR(AND(D33="Endowment",Inputs!$B$14="Y"),AND(D33="Foundation",Inputs!$B$15="Y"),AND(D33="Healthcare",Inputs!$B$16="Y"),AND(D33="Pension",Inputs!$B$17="Y"),AND(D33="OCIO",Inputs!$B$18="Y"),AND(D33="Other",Inputs!$B$19="Y")))),A33&lt;&gt;in_ClientOrg,NOT(AND(in_ExclHarvard="Y",ISNUMBER(SEARCH("Harvard",A33))))),"Y","")</f>
        <v/>
      </c>
      <c r="G33" t="inlineStr">
        <is>
          <t>Page Machlin</t>
        </is>
      </c>
      <c r="H33" t="inlineStr">
        <is>
          <t>DIRECTOR OF INVESTMENTS</t>
        </is>
      </c>
      <c r="I33" t="inlineStr">
        <is>
          <t>Director of Investments</t>
        </is>
      </c>
      <c r="J33" s="21" t="n">
        <v>536250</v>
      </c>
      <c r="K33" s="21" t="n">
        <v>489038</v>
      </c>
      <c r="L33" s="21" t="n">
        <v>1025288</v>
      </c>
      <c r="M33" s="21" t="n">
        <v>1584</v>
      </c>
      <c r="N33" s="21" t="n">
        <v>45399</v>
      </c>
      <c r="O33" s="21" t="n">
        <v>3421</v>
      </c>
      <c r="P33" s="21" t="n">
        <v>1075692</v>
      </c>
      <c r="Q33" s="21" t="n">
        <v>1075692</v>
      </c>
      <c r="R33" s="21">
        <f>IF(Q33="","",Q33*(1+in_GrowthRate)^(YEARFRAC(DATE(2025,6,30),in_AgeToDate)*IF(in_AgeToDate&lt;DATE(2025,6,30),-1,1)+1))</f>
        <v/>
      </c>
      <c r="S33" s="38" t="n">
        <v>0.9119589743589743</v>
      </c>
      <c r="T33" s="43">
        <f>HYPERLINK("https://projects.propublica.org/nonprofits/organizations/10215213/202611329349306966/full","view filing")</f>
        <v/>
      </c>
    </row>
    <row r="34">
      <c r="A34" t="inlineStr">
        <is>
          <t>Bowdoin College</t>
        </is>
      </c>
      <c r="B34" s="20" t="inlineStr">
        <is>
          <t>ME</t>
        </is>
      </c>
      <c r="C34" s="42" t="n">
        <v>2.92</v>
      </c>
      <c r="D34" t="inlineStr">
        <is>
          <t>Endowment</t>
        </is>
      </c>
      <c r="E34" s="20" t="n">
        <v>2024</v>
      </c>
      <c r="F34" s="20" t="inlineStr"/>
      <c r="G34" t="inlineStr">
        <is>
          <t>Boris Raykin</t>
        </is>
      </c>
      <c r="H34" t="inlineStr">
        <is>
          <t>DIRECTOR OF INVESTMENTS</t>
        </is>
      </c>
      <c r="I34" t="inlineStr">
        <is>
          <t>Director of Investments</t>
        </is>
      </c>
      <c r="J34" s="21" t="n">
        <v>478547</v>
      </c>
      <c r="K34" s="21" t="n">
        <v>490219</v>
      </c>
      <c r="L34" s="21" t="n">
        <v>968766</v>
      </c>
      <c r="M34" s="21" t="n">
        <v>1890</v>
      </c>
      <c r="N34" s="21" t="n">
        <v>43453</v>
      </c>
      <c r="O34" s="21" t="n">
        <v>3913</v>
      </c>
      <c r="P34" s="21" t="n">
        <v>1018022</v>
      </c>
      <c r="Q34" s="21" t="n">
        <v>1018022</v>
      </c>
      <c r="R34" s="21">
        <f>IF(Q34="","",Q34*(1+in_GrowthRate)^(YEARFRAC(DATE(2024,6,30),in_AgeToDate)*IF(in_AgeToDate&lt;DATE(2024,6,30),-1,1)+1))</f>
        <v/>
      </c>
      <c r="S34" s="38" t="n">
        <v>1.024390498738891</v>
      </c>
      <c r="T34" s="43">
        <f>HYPERLINK("https://projects.propublica.org/nonprofits/organizations/10215213/202531329349302018/full","view filing")</f>
        <v/>
      </c>
    </row>
    <row r="35">
      <c r="A35" t="inlineStr">
        <is>
          <t>Bowdoin College</t>
        </is>
      </c>
      <c r="B35" s="20" t="inlineStr">
        <is>
          <t>ME</t>
        </is>
      </c>
      <c r="C35" s="42" t="n">
        <v>2.92</v>
      </c>
      <c r="D35" t="inlineStr">
        <is>
          <t>Endowment</t>
        </is>
      </c>
      <c r="E35" s="20" t="n">
        <v>2024</v>
      </c>
      <c r="F35" s="20" t="inlineStr"/>
      <c r="G35" t="inlineStr">
        <is>
          <t>Page Machlin</t>
        </is>
      </c>
      <c r="H35" t="inlineStr">
        <is>
          <t>DIRECTOR OF INVESTMENTS</t>
        </is>
      </c>
      <c r="I35" t="inlineStr">
        <is>
          <t>Director of Investments</t>
        </is>
      </c>
      <c r="J35" s="21" t="n">
        <v>461250</v>
      </c>
      <c r="K35" s="21" t="n">
        <v>472500</v>
      </c>
      <c r="L35" s="21" t="n">
        <v>933750</v>
      </c>
      <c r="M35" s="21" t="n">
        <v>1314</v>
      </c>
      <c r="N35" s="21" t="n">
        <v>43453</v>
      </c>
      <c r="O35" s="21" t="n">
        <v>3150</v>
      </c>
      <c r="P35" s="21" t="n">
        <v>981667</v>
      </c>
      <c r="Q35" s="21" t="n">
        <v>981667</v>
      </c>
      <c r="R35" s="21">
        <f>IF(Q35="","",Q35*(1+in_GrowthRate)^(YEARFRAC(DATE(2024,6,30),in_AgeToDate)*IF(in_AgeToDate&lt;DATE(2024,6,30),-1,1)+1))</f>
        <v/>
      </c>
      <c r="S35" s="38" t="n">
        <v>1.024390243902439</v>
      </c>
      <c r="T35" s="43">
        <f>HYPERLINK("https://projects.propublica.org/nonprofits/organizations/10215213/202531329349302018/full","view filing")</f>
        <v/>
      </c>
    </row>
    <row r="36">
      <c r="A36" t="inlineStr">
        <is>
          <t>Bowdoin College</t>
        </is>
      </c>
      <c r="B36" s="20" t="inlineStr">
        <is>
          <t>ME</t>
        </is>
      </c>
      <c r="C36" s="42" t="n">
        <v>2.92</v>
      </c>
      <c r="D36" t="inlineStr">
        <is>
          <t>Endowment</t>
        </is>
      </c>
      <c r="E36" s="20" t="n">
        <v>2023</v>
      </c>
      <c r="F36" s="20" t="inlineStr"/>
      <c r="G36" t="inlineStr">
        <is>
          <t>Boris Raykin</t>
        </is>
      </c>
      <c r="H36" t="inlineStr">
        <is>
          <t>DIRECTOR OF INVESTMENTS</t>
        </is>
      </c>
      <c r="I36" t="inlineStr">
        <is>
          <t>Director of Investments</t>
        </is>
      </c>
      <c r="J36" s="21" t="n">
        <v>458438</v>
      </c>
      <c r="K36" s="21" t="n">
        <v>466875</v>
      </c>
      <c r="L36" s="21" t="n">
        <v>925313</v>
      </c>
      <c r="M36" s="21" t="n">
        <v>1850</v>
      </c>
      <c r="N36" s="21" t="n">
        <v>40188</v>
      </c>
      <c r="O36" s="21" t="n">
        <v>1730</v>
      </c>
      <c r="P36" s="21" t="n">
        <v>969081</v>
      </c>
      <c r="Q36" s="21" t="n">
        <v>969081</v>
      </c>
      <c r="R36" s="21">
        <f>IF(Q36="","",Q36*(1+in_GrowthRate)^(YEARFRAC(DATE(2023,6,30),in_AgeToDate)*IF(in_AgeToDate&lt;DATE(2023,6,30),-1,1)+1))</f>
        <v/>
      </c>
      <c r="S36" s="38" t="n">
        <v>1.018403797241939</v>
      </c>
      <c r="T36" s="43">
        <f>HYPERLINK("https://projects.propublica.org/nonprofits/organizations/10215213/202411359349306506/full","view filing")</f>
        <v/>
      </c>
    </row>
    <row r="37">
      <c r="A37" t="inlineStr">
        <is>
          <t>Bowdoin College</t>
        </is>
      </c>
      <c r="B37" s="20" t="inlineStr">
        <is>
          <t>ME</t>
        </is>
      </c>
      <c r="C37" s="42" t="n">
        <v>2.92</v>
      </c>
      <c r="D37" t="inlineStr">
        <is>
          <t>Endowment</t>
        </is>
      </c>
      <c r="E37" s="20" t="n">
        <v>2023</v>
      </c>
      <c r="F37" s="20" t="inlineStr"/>
      <c r="G37" t="inlineStr">
        <is>
          <t>Page Machlin</t>
        </is>
      </c>
      <c r="H37" t="inlineStr">
        <is>
          <t>DIRECTOR OF INVESTMENTS</t>
        </is>
      </c>
      <c r="I37" t="inlineStr">
        <is>
          <t>Director of Investments</t>
        </is>
      </c>
      <c r="J37" s="21" t="n">
        <v>375000</v>
      </c>
      <c r="K37" s="21" t="n">
        <v>450000</v>
      </c>
      <c r="L37" s="21" t="n">
        <v>825000</v>
      </c>
      <c r="M37" s="21" t="n">
        <v>1139</v>
      </c>
      <c r="N37" s="21" t="n">
        <v>40188</v>
      </c>
      <c r="O37" s="21" t="n">
        <v>3099</v>
      </c>
      <c r="P37" s="21" t="n">
        <v>869426</v>
      </c>
      <c r="Q37" s="21" t="n">
        <v>869426</v>
      </c>
      <c r="R37" s="21">
        <f>IF(Q37="","",Q37*(1+in_GrowthRate)^(YEARFRAC(DATE(2023,6,30),in_AgeToDate)*IF(in_AgeToDate&lt;DATE(2023,6,30),-1,1)+1))</f>
        <v/>
      </c>
      <c r="S37" s="38" t="n">
        <v>1.2</v>
      </c>
      <c r="T37" s="43">
        <f>HYPERLINK("https://projects.propublica.org/nonprofits/organizations/10215213/202411359349306506/full","view filing")</f>
        <v/>
      </c>
    </row>
    <row r="38">
      <c r="A38" t="inlineStr">
        <is>
          <t>Bowdoin College</t>
        </is>
      </c>
      <c r="B38" s="20" t="inlineStr">
        <is>
          <t>ME</t>
        </is>
      </c>
      <c r="C38" s="42" t="n">
        <v>2.92</v>
      </c>
      <c r="D38" t="inlineStr">
        <is>
          <t>Endowment</t>
        </is>
      </c>
      <c r="E38" s="20" t="n">
        <v>2022</v>
      </c>
      <c r="F38" s="20" t="inlineStr"/>
      <c r="G38" t="inlineStr">
        <is>
          <t>Page Machlin</t>
        </is>
      </c>
      <c r="H38" t="inlineStr">
        <is>
          <t>DIRECTOR OF INVESTMENTS</t>
        </is>
      </c>
      <c r="I38" t="inlineStr">
        <is>
          <t>Director of Investments</t>
        </is>
      </c>
      <c r="J38" s="21" t="n">
        <v>240417</v>
      </c>
      <c r="K38" s="21" t="n">
        <v>235000</v>
      </c>
      <c r="L38" s="21" t="n">
        <v>475417</v>
      </c>
      <c r="M38" s="21" t="n">
        <v>1804</v>
      </c>
      <c r="N38" s="21" t="n">
        <v>42738</v>
      </c>
      <c r="O38" s="21" t="n">
        <v>2067</v>
      </c>
      <c r="P38" s="21" t="n">
        <v>522026</v>
      </c>
      <c r="Q38" s="21" t="n">
        <v>522026</v>
      </c>
      <c r="R38" s="21">
        <f>IF(Q38="","",Q38*(1+in_GrowthRate)^(YEARFRAC(DATE(2022,6,30),in_AgeToDate)*IF(in_AgeToDate&lt;DATE(2022,6,30),-1,1)+1))</f>
        <v/>
      </c>
      <c r="S38" s="38" t="n">
        <v>0.9774683154685401</v>
      </c>
      <c r="T38" s="43">
        <f>HYPERLINK("https://projects.propublica.org/nonprofits/organizations/10215213/202311329349305061/full","view filing")</f>
        <v/>
      </c>
    </row>
    <row r="39">
      <c r="A39" t="inlineStr">
        <is>
          <t>Brandeis University</t>
        </is>
      </c>
      <c r="B39" s="20" t="inlineStr">
        <is>
          <t>MA</t>
        </is>
      </c>
      <c r="C39" s="42" t="n">
        <v>1.36</v>
      </c>
      <c r="D39" t="inlineStr">
        <is>
          <t>Endowment</t>
        </is>
      </c>
      <c r="E39" s="20" t="n">
        <v>2025</v>
      </c>
      <c r="F39" s="20">
        <f>IF(AND(OR(in_Mode="All Funds",AND(C39&gt;=in_BandFloor,C39&lt;=in_BandCeiling,OR(in_Geography="National",COUNTIFS(lst_GeoPreset,in_Geography,lst_GeoState,B39)&gt;0,AND(in_Geography="Custom",ISNUMBER(SEARCH(B39,SUBSTITUTE(in_CustomStates," ",""))))),OR(AND(D39="Endowment",Inputs!$B$14="Y"),AND(D39="Foundation",Inputs!$B$15="Y"),AND(D39="Healthcare",Inputs!$B$16="Y"),AND(D39="Pension",Inputs!$B$17="Y"),AND(D39="OCIO",Inputs!$B$18="Y"),AND(D39="Other",Inputs!$B$19="Y")))),A39&lt;&gt;in_ClientOrg,NOT(AND(in_ExclHarvard="Y",ISNUMBER(SEARCH("Harvard",A39))))),"Y","")</f>
        <v/>
      </c>
      <c r="G39" t="inlineStr">
        <is>
          <t>Chris Hofmann</t>
        </is>
      </c>
      <c r="H39" t="inlineStr">
        <is>
          <t>DIRECTOR OF INVESTMENTS</t>
        </is>
      </c>
      <c r="I39" t="inlineStr">
        <is>
          <t>Director of Investments</t>
        </is>
      </c>
      <c r="J39" s="21" t="n">
        <v>409018</v>
      </c>
      <c r="K39" s="21" t="n"/>
      <c r="L39" s="21" t="n">
        <v>409018</v>
      </c>
      <c r="M39" s="21" t="n">
        <v>216</v>
      </c>
      <c r="N39" s="21" t="n">
        <v>5000</v>
      </c>
      <c r="O39" s="21" t="n">
        <v>45556</v>
      </c>
      <c r="P39" s="21" t="n">
        <v>459790</v>
      </c>
      <c r="Q39" s="21" t="n">
        <v>459790</v>
      </c>
      <c r="R39" s="21">
        <f>IF(Q39="","",Q39*(1+in_GrowthRate)^(YEARFRAC(DATE(2025,6,30),in_AgeToDate)*IF(in_AgeToDate&lt;DATE(2025,6,30),-1,1)+1))</f>
        <v/>
      </c>
      <c r="S39" s="38" t="n">
        <v>0</v>
      </c>
      <c r="T39" s="43">
        <f>HYPERLINK("https://projects.propublica.org/nonprofits/organizations/42103552/202611319349301651/full","view filing")</f>
        <v/>
      </c>
    </row>
    <row r="40">
      <c r="A40" t="inlineStr">
        <is>
          <t>Brown University Of Providence</t>
        </is>
      </c>
      <c r="B40" s="20" t="inlineStr">
        <is>
          <t>RI</t>
        </is>
      </c>
      <c r="C40" s="42" t="n">
        <v>7.28</v>
      </c>
      <c r="D40" t="inlineStr">
        <is>
          <t>Endowment</t>
        </is>
      </c>
      <c r="E40" s="20" t="n">
        <v>2024</v>
      </c>
      <c r="F40" s="20" t="inlineStr"/>
      <c r="G40" t="inlineStr">
        <is>
          <t>Katie Galvin</t>
        </is>
      </c>
      <c r="H40" t="inlineStr">
        <is>
          <t>INVESTMENT DIRECTOR</t>
        </is>
      </c>
      <c r="I40" t="inlineStr">
        <is>
          <t>Director of Investments</t>
        </is>
      </c>
      <c r="J40" s="21" t="n">
        <v>259913</v>
      </c>
      <c r="K40" s="21" t="n">
        <v>493000</v>
      </c>
      <c r="L40" s="21" t="n">
        <v>752913</v>
      </c>
      <c r="M40" s="21" t="n">
        <v>17227</v>
      </c>
      <c r="N40" s="21" t="n">
        <v>64636</v>
      </c>
      <c r="O40" s="21" t="n">
        <v>23233</v>
      </c>
      <c r="P40" s="21" t="n">
        <v>858009</v>
      </c>
      <c r="Q40" s="21" t="n">
        <v>858009</v>
      </c>
      <c r="R40" s="21">
        <f>IF(Q40="","",Q40*(1+in_GrowthRate)^(YEARFRAC(DATE(2024,6,30),in_AgeToDate)*IF(in_AgeToDate&lt;DATE(2024,6,30),-1,1)+1))</f>
        <v/>
      </c>
      <c r="S40" s="38" t="n">
        <v>1.896788540780954</v>
      </c>
      <c r="T40" s="43">
        <f>HYPERLINK("https://projects.propublica.org/nonprofits/organizations/50258809/202541359349309534/full","view filing")</f>
        <v/>
      </c>
    </row>
    <row r="41">
      <c r="A41" t="inlineStr">
        <is>
          <t>Brown University Of Providence</t>
        </is>
      </c>
      <c r="B41" s="20" t="inlineStr">
        <is>
          <t>RI</t>
        </is>
      </c>
      <c r="C41" s="42" t="n">
        <v>7.28</v>
      </c>
      <c r="D41" t="inlineStr">
        <is>
          <t>Endowment</t>
        </is>
      </c>
      <c r="E41" s="20" t="n">
        <v>2023</v>
      </c>
      <c r="F41" s="20" t="inlineStr"/>
      <c r="G41" t="inlineStr">
        <is>
          <t>Katie Galvin</t>
        </is>
      </c>
      <c r="H41" t="inlineStr">
        <is>
          <t>INVESTMENT DIRECTOR</t>
        </is>
      </c>
      <c r="I41" t="inlineStr">
        <is>
          <t>Director of Investments</t>
        </is>
      </c>
      <c r="J41" s="21" t="n">
        <v>255183</v>
      </c>
      <c r="K41" s="21" t="n">
        <v>497500</v>
      </c>
      <c r="L41" s="21" t="n">
        <v>752683</v>
      </c>
      <c r="M41" s="21" t="n">
        <v>16781</v>
      </c>
      <c r="N41" s="21" t="n">
        <v>22141</v>
      </c>
      <c r="O41" s="21" t="n">
        <v>12003</v>
      </c>
      <c r="P41" s="21" t="n">
        <v>803608</v>
      </c>
      <c r="Q41" s="21" t="n">
        <v>803608</v>
      </c>
      <c r="R41" s="21">
        <f>IF(Q41="","",Q41*(1+in_GrowthRate)^(YEARFRAC(DATE(2023,6,30),in_AgeToDate)*IF(in_AgeToDate&lt;DATE(2023,6,30),-1,1)+1))</f>
        <v/>
      </c>
      <c r="S41" s="38" t="n">
        <v>1.949581280884698</v>
      </c>
      <c r="T41" s="43">
        <f>HYPERLINK("https://projects.propublica.org/nonprofits/organizations/50258809/202401319349305030/full","view filing")</f>
        <v/>
      </c>
    </row>
    <row r="42">
      <c r="A42" t="inlineStr">
        <is>
          <t>Bryn Mawr College</t>
        </is>
      </c>
      <c r="B42" s="20" t="inlineStr">
        <is>
          <t>PA</t>
        </is>
      </c>
      <c r="C42" s="42" t="n">
        <v>1.34</v>
      </c>
      <c r="D42" t="inlineStr">
        <is>
          <t>Endowment</t>
        </is>
      </c>
      <c r="E42" s="20" t="n">
        <v>2024</v>
      </c>
      <c r="F42" s="20" t="inlineStr"/>
      <c r="G42" t="inlineStr">
        <is>
          <t>Gene Kim</t>
        </is>
      </c>
      <c r="H42" t="inlineStr">
        <is>
          <t>DIRECTOR OF INVESTMENTS</t>
        </is>
      </c>
      <c r="I42" t="inlineStr">
        <is>
          <t>Director of Investments</t>
        </is>
      </c>
      <c r="J42" s="21" t="n">
        <v>335460</v>
      </c>
      <c r="K42" s="21" t="n">
        <v>317359</v>
      </c>
      <c r="L42" s="21" t="n">
        <v>652819</v>
      </c>
      <c r="M42" s="21" t="n"/>
      <c r="N42" s="21" t="n">
        <v>33000</v>
      </c>
      <c r="O42" s="21" t="n">
        <v>339</v>
      </c>
      <c r="P42" s="21" t="n">
        <v>686158</v>
      </c>
      <c r="Q42" s="21" t="n">
        <v>686158</v>
      </c>
      <c r="R42" s="21">
        <f>IF(Q42="","",Q42*(1+in_GrowthRate)^(YEARFRAC(DATE(2024,5,31),in_AgeToDate)*IF(in_AgeToDate&lt;DATE(2024,5,31),-1,1)+1))</f>
        <v/>
      </c>
      <c r="S42" s="38" t="n">
        <v>0.9460412567817326</v>
      </c>
      <c r="T42" s="43">
        <f>HYPERLINK("https://projects.propublica.org/nonprofits/organizations/231352621/202521059349301247/full","view filing")</f>
        <v/>
      </c>
    </row>
    <row r="43">
      <c r="A43" t="inlineStr">
        <is>
          <t>Bryn Mawr College</t>
        </is>
      </c>
      <c r="B43" s="20" t="inlineStr">
        <is>
          <t>PA</t>
        </is>
      </c>
      <c r="C43" s="42" t="n">
        <v>1.34</v>
      </c>
      <c r="D43" t="inlineStr">
        <is>
          <t>Endowment</t>
        </is>
      </c>
      <c r="E43" s="20" t="n">
        <v>2024</v>
      </c>
      <c r="F43" s="20" t="inlineStr"/>
      <c r="G43" t="inlineStr">
        <is>
          <t>Wei Xu</t>
        </is>
      </c>
      <c r="H43" t="inlineStr">
        <is>
          <t>DIR. OF INVESTMENTS PRIVATE MARKET</t>
        </is>
      </c>
      <c r="I43" t="inlineStr">
        <is>
          <t>Director of Investments</t>
        </is>
      </c>
      <c r="J43" s="21" t="n">
        <v>297639</v>
      </c>
      <c r="K43" s="21" t="n">
        <v>2000</v>
      </c>
      <c r="L43" s="21" t="n">
        <v>299639</v>
      </c>
      <c r="M43" s="21" t="n"/>
      <c r="N43" s="21" t="n">
        <v>14409</v>
      </c>
      <c r="O43" s="21" t="n">
        <v>32645</v>
      </c>
      <c r="P43" s="21" t="n">
        <v>346693</v>
      </c>
      <c r="Q43" s="21" t="n">
        <v>346693</v>
      </c>
      <c r="R43" s="21">
        <f>IF(Q43="","",Q43*(1+in_GrowthRate)^(YEARFRAC(DATE(2024,5,31),in_AgeToDate)*IF(in_AgeToDate&lt;DATE(2024,5,31),-1,1)+1))</f>
        <v/>
      </c>
      <c r="S43" s="38" t="n">
        <v>0.006719549521400085</v>
      </c>
      <c r="T43" s="43">
        <f>HYPERLINK("https://projects.propublica.org/nonprofits/organizations/231352621/202521059349301247/full","view filing")</f>
        <v/>
      </c>
    </row>
    <row r="44">
      <c r="A44" t="inlineStr">
        <is>
          <t>Bryn Mawr College</t>
        </is>
      </c>
      <c r="B44" s="20" t="inlineStr">
        <is>
          <t>PA</t>
        </is>
      </c>
      <c r="C44" s="42" t="n">
        <v>1.34</v>
      </c>
      <c r="D44" t="inlineStr">
        <is>
          <t>Endowment</t>
        </is>
      </c>
      <c r="E44" s="20" t="n">
        <v>2023</v>
      </c>
      <c r="F44" s="20" t="inlineStr"/>
      <c r="G44" t="inlineStr">
        <is>
          <t>Gene Kim</t>
        </is>
      </c>
      <c r="H44" t="inlineStr">
        <is>
          <t>DIRECTOR OF INVESTMENTS</t>
        </is>
      </c>
      <c r="I44" t="inlineStr">
        <is>
          <t>Director of Investments</t>
        </is>
      </c>
      <c r="J44" s="21" t="n">
        <v>309060</v>
      </c>
      <c r="K44" s="21" t="n">
        <v>100000</v>
      </c>
      <c r="L44" s="21" t="n">
        <v>409060</v>
      </c>
      <c r="M44" s="21" t="n"/>
      <c r="N44" s="21" t="n">
        <v>30500</v>
      </c>
      <c r="O44" s="21" t="n">
        <v>368</v>
      </c>
      <c r="P44" s="21" t="n">
        <v>439928</v>
      </c>
      <c r="Q44" s="21" t="n">
        <v>439928</v>
      </c>
      <c r="R44" s="21">
        <f>IF(Q44="","",Q44*(1+in_GrowthRate)^(YEARFRAC(DATE(2023,5,31),in_AgeToDate)*IF(in_AgeToDate&lt;DATE(2023,5,31),-1,1)+1))</f>
        <v/>
      </c>
      <c r="S44" s="38" t="n">
        <v>0.3235617679415</v>
      </c>
      <c r="T44" s="43">
        <f>HYPERLINK("https://projects.propublica.org/nonprofits/organizations/231352621/202421009349301207/full","view filing")</f>
        <v/>
      </c>
    </row>
    <row r="45">
      <c r="A45" t="inlineStr">
        <is>
          <t>Bryn Mawr College</t>
        </is>
      </c>
      <c r="B45" s="20" t="inlineStr">
        <is>
          <t>PA</t>
        </is>
      </c>
      <c r="C45" s="42" t="n">
        <v>1.34</v>
      </c>
      <c r="D45" t="inlineStr">
        <is>
          <t>Endowment</t>
        </is>
      </c>
      <c r="E45" s="20" t="n">
        <v>2022</v>
      </c>
      <c r="F45" s="20" t="inlineStr"/>
      <c r="G45" t="inlineStr">
        <is>
          <t>Gene Kim</t>
        </is>
      </c>
      <c r="H45" t="inlineStr">
        <is>
          <t>DIRECTOR OF INVESTMENTS</t>
        </is>
      </c>
      <c r="I45" t="inlineStr">
        <is>
          <t>Director of Investments</t>
        </is>
      </c>
      <c r="J45" s="21" t="n">
        <v>200910</v>
      </c>
      <c r="K45" s="21" t="n">
        <v>2000</v>
      </c>
      <c r="L45" s="21" t="n">
        <v>202910</v>
      </c>
      <c r="M45" s="21" t="n"/>
      <c r="N45" s="21" t="n">
        <v>17700</v>
      </c>
      <c r="O45" s="21" t="n">
        <v>198</v>
      </c>
      <c r="P45" s="21" t="n">
        <v>220808</v>
      </c>
      <c r="Q45" s="21" t="n">
        <v>220808</v>
      </c>
      <c r="R45" s="21">
        <f>IF(Q45="","",Q45*(1+in_GrowthRate)^(YEARFRAC(DATE(2022,5,31),in_AgeToDate)*IF(in_AgeToDate&lt;DATE(2022,5,31),-1,1)+1))</f>
        <v/>
      </c>
      <c r="S45" s="38" t="n">
        <v>0.009954706087302772</v>
      </c>
      <c r="T45" s="43">
        <f>HYPERLINK("https://projects.propublica.org/nonprofits/organizations/231352621/202311009349300846/full","view filing")</f>
        <v/>
      </c>
    </row>
    <row r="46">
      <c r="A46" t="inlineStr">
        <is>
          <t>Carleton College</t>
        </is>
      </c>
      <c r="B46" s="20" t="inlineStr">
        <is>
          <t>MN</t>
        </is>
      </c>
      <c r="C46" s="42" t="n">
        <v>1.33</v>
      </c>
      <c r="D46" t="inlineStr">
        <is>
          <t>Endowment</t>
        </is>
      </c>
      <c r="E46" s="20" t="n">
        <v>2025</v>
      </c>
      <c r="F46" s="20">
        <f>IF(AND(OR(in_Mode="All Funds",AND(C46&gt;=in_BandFloor,C46&lt;=in_BandCeiling,OR(in_Geography="National",COUNTIFS(lst_GeoPreset,in_Geography,lst_GeoState,B46)&gt;0,AND(in_Geography="Custom",ISNUMBER(SEARCH(B46,SUBSTITUTE(in_CustomStates," ",""))))),OR(AND(D46="Endowment",Inputs!$B$14="Y"),AND(D46="Foundation",Inputs!$B$15="Y"),AND(D46="Healthcare",Inputs!$B$16="Y"),AND(D46="Pension",Inputs!$B$17="Y"),AND(D46="OCIO",Inputs!$B$18="Y"),AND(D46="Other",Inputs!$B$19="Y")))),A46&lt;&gt;in_ClientOrg,NOT(AND(in_ExclHarvard="Y",ISNUMBER(SEARCH("Harvard",A46))))),"Y","")</f>
        <v/>
      </c>
      <c r="G46" t="inlineStr">
        <is>
          <t>Jeff Dsida</t>
        </is>
      </c>
      <c r="H46" t="inlineStr">
        <is>
          <t>ASSOCIATE DIRECTOR OF INVESTMENTS</t>
        </is>
      </c>
      <c r="I46" t="inlineStr">
        <is>
          <t>Director of Investments</t>
        </is>
      </c>
      <c r="J46" s="21" t="n">
        <v>152916</v>
      </c>
      <c r="K46" s="21" t="n">
        <v>74078</v>
      </c>
      <c r="L46" s="21" t="n">
        <v>226994</v>
      </c>
      <c r="M46" s="21" t="n">
        <v>432</v>
      </c>
      <c r="N46" s="21" t="n">
        <v>16058</v>
      </c>
      <c r="O46" s="21" t="n">
        <v>12566</v>
      </c>
      <c r="P46" s="21" t="n">
        <v>256050</v>
      </c>
      <c r="Q46" s="21" t="n">
        <v>256050</v>
      </c>
      <c r="R46" s="21">
        <f>IF(Q46="","",Q46*(1+in_GrowthRate)^(YEARFRAC(DATE(2025,6,30),in_AgeToDate)*IF(in_AgeToDate&lt;DATE(2025,6,30),-1,1)+1))</f>
        <v/>
      </c>
      <c r="S46" s="38" t="n">
        <v>0.484435899448063</v>
      </c>
      <c r="T46" s="43">
        <f>HYPERLINK("https://projects.propublica.org/nonprofits/organizations/410694747/202640989349301954/full","view filing")</f>
        <v/>
      </c>
    </row>
    <row r="47">
      <c r="A47" t="inlineStr">
        <is>
          <t>Carleton College</t>
        </is>
      </c>
      <c r="B47" s="20" t="inlineStr">
        <is>
          <t>MN</t>
        </is>
      </c>
      <c r="C47" s="42" t="n">
        <v>1.33</v>
      </c>
      <c r="D47" t="inlineStr">
        <is>
          <t>Endowment</t>
        </is>
      </c>
      <c r="E47" s="20" t="n">
        <v>2025</v>
      </c>
      <c r="F47" s="20">
        <f>IF(AND(OR(in_Mode="All Funds",AND(C47&gt;=in_BandFloor,C47&lt;=in_BandCeiling,OR(in_Geography="National",COUNTIFS(lst_GeoPreset,in_Geography,lst_GeoState,B47)&gt;0,AND(in_Geography="Custom",ISNUMBER(SEARCH(B47,SUBSTITUTE(in_CustomStates," ",""))))),OR(AND(D47="Endowment",Inputs!$B$14="Y"),AND(D47="Foundation",Inputs!$B$15="Y"),AND(D47="Healthcare",Inputs!$B$16="Y"),AND(D47="Pension",Inputs!$B$17="Y"),AND(D47="OCIO",Inputs!$B$18="Y"),AND(D47="Other",Inputs!$B$19="Y")))),A47&lt;&gt;in_ClientOrg,NOT(AND(in_ExclHarvard="Y",ISNUMBER(SEARCH("Harvard",A47))))),"Y","")</f>
        <v/>
      </c>
      <c r="G47" t="inlineStr">
        <is>
          <t>Timothy Griffeth</t>
        </is>
      </c>
      <c r="H47" t="inlineStr">
        <is>
          <t>DIRECTOR OF INVESTMENTS</t>
        </is>
      </c>
      <c r="I47" t="inlineStr">
        <is>
          <t>Director of Investments</t>
        </is>
      </c>
      <c r="J47" s="21" t="n">
        <v>320836</v>
      </c>
      <c r="K47" s="21" t="n">
        <v>186727</v>
      </c>
      <c r="L47" s="21" t="n">
        <v>507563</v>
      </c>
      <c r="M47" s="21" t="n">
        <v>810</v>
      </c>
      <c r="N47" s="21" t="n">
        <v>33206</v>
      </c>
      <c r="O47" s="21" t="n">
        <v>35272</v>
      </c>
      <c r="P47" s="21" t="n">
        <v>576851</v>
      </c>
      <c r="Q47" s="21" t="n">
        <v>576851</v>
      </c>
      <c r="R47" s="21">
        <f>IF(Q47="","",Q47*(1+in_GrowthRate)^(YEARFRAC(DATE(2025,6,30),in_AgeToDate)*IF(in_AgeToDate&lt;DATE(2025,6,30),-1,1)+1))</f>
        <v/>
      </c>
      <c r="S47" s="38" t="n">
        <v>0.5820013963520303</v>
      </c>
      <c r="T47" s="43">
        <f>HYPERLINK("https://projects.propublica.org/nonprofits/organizations/410694747/202640989349301954/full","view filing")</f>
        <v/>
      </c>
    </row>
    <row r="48">
      <c r="A48" t="inlineStr">
        <is>
          <t>Carleton College</t>
        </is>
      </c>
      <c r="B48" s="20" t="inlineStr">
        <is>
          <t>MN</t>
        </is>
      </c>
      <c r="C48" s="42" t="n">
        <v>1.33</v>
      </c>
      <c r="D48" t="inlineStr">
        <is>
          <t>Endowment</t>
        </is>
      </c>
      <c r="E48" s="20" t="n">
        <v>2024</v>
      </c>
      <c r="F48" s="20" t="inlineStr"/>
      <c r="G48" t="inlineStr">
        <is>
          <t>Timothy Griffeth</t>
        </is>
      </c>
      <c r="H48" t="inlineStr">
        <is>
          <t>DIRECTOR OF INVESTMENTS</t>
        </is>
      </c>
      <c r="I48" t="inlineStr">
        <is>
          <t>Director of Investments</t>
        </is>
      </c>
      <c r="J48" s="21" t="n">
        <v>290154</v>
      </c>
      <c r="K48" s="21" t="n">
        <v>306690</v>
      </c>
      <c r="L48" s="21" t="n">
        <v>596844</v>
      </c>
      <c r="M48" s="21" t="n">
        <v>540</v>
      </c>
      <c r="N48" s="21" t="n">
        <v>27775</v>
      </c>
      <c r="O48" s="21" t="n">
        <v>32531</v>
      </c>
      <c r="P48" s="21" t="n">
        <v>657690</v>
      </c>
      <c r="Q48" s="21" t="n">
        <v>657690</v>
      </c>
      <c r="R48" s="21">
        <f>IF(Q48="","",Q48*(1+in_GrowthRate)^(YEARFRAC(DATE(2024,6,30),in_AgeToDate)*IF(in_AgeToDate&lt;DATE(2024,6,30),-1,1)+1))</f>
        <v/>
      </c>
      <c r="S48" s="38" t="n">
        <v>1.056990425773899</v>
      </c>
      <c r="T48" s="43">
        <f>HYPERLINK("https://projects.propublica.org/nonprofits/organizations/410694747/202541029349300719/full","view filing")</f>
        <v/>
      </c>
    </row>
    <row r="49">
      <c r="A49" t="inlineStr">
        <is>
          <t>Carleton College</t>
        </is>
      </c>
      <c r="B49" s="20" t="inlineStr">
        <is>
          <t>MN</t>
        </is>
      </c>
      <c r="C49" s="42" t="n">
        <v>1.33</v>
      </c>
      <c r="D49" t="inlineStr">
        <is>
          <t>Endowment</t>
        </is>
      </c>
      <c r="E49" s="20" t="n">
        <v>2023</v>
      </c>
      <c r="F49" s="20" t="inlineStr"/>
      <c r="G49" t="inlineStr">
        <is>
          <t>Timothy Griffeth</t>
        </is>
      </c>
      <c r="H49" t="inlineStr">
        <is>
          <t>DIRECTOR OF INVESTMENTS</t>
        </is>
      </c>
      <c r="I49" t="inlineStr">
        <is>
          <t>Director of Investments</t>
        </is>
      </c>
      <c r="J49" s="21" t="n">
        <v>263670</v>
      </c>
      <c r="K49" s="21" t="n">
        <v>249888</v>
      </c>
      <c r="L49" s="21" t="n">
        <v>513558</v>
      </c>
      <c r="M49" s="21" t="n">
        <v>540</v>
      </c>
      <c r="N49" s="21" t="n">
        <v>30450</v>
      </c>
      <c r="O49" s="21" t="n">
        <v>58064</v>
      </c>
      <c r="P49" s="21" t="n">
        <v>602612</v>
      </c>
      <c r="Q49" s="21" t="n">
        <v>602612</v>
      </c>
      <c r="R49" s="21">
        <f>IF(Q49="","",Q49*(1+in_GrowthRate)^(YEARFRAC(DATE(2023,6,30),in_AgeToDate)*IF(in_AgeToDate&lt;DATE(2023,6,30),-1,1)+1))</f>
        <v/>
      </c>
      <c r="S49" s="38" t="n">
        <v>0.9477301171919444</v>
      </c>
      <c r="T49" s="43">
        <f>HYPERLINK("https://projects.propublica.org/nonprofits/organizations/410694747/202401039349301245/full","view filing")</f>
        <v/>
      </c>
    </row>
    <row r="50">
      <c r="A50" t="inlineStr">
        <is>
          <t>Carleton College</t>
        </is>
      </c>
      <c r="B50" s="20" t="inlineStr">
        <is>
          <t>MN</t>
        </is>
      </c>
      <c r="C50" s="42" t="n">
        <v>1.33</v>
      </c>
      <c r="D50" t="inlineStr">
        <is>
          <t>Endowment</t>
        </is>
      </c>
      <c r="E50" s="20" t="n">
        <v>2022</v>
      </c>
      <c r="F50" s="20" t="inlineStr"/>
      <c r="G50" t="inlineStr">
        <is>
          <t>Timothy Griffeth</t>
        </is>
      </c>
      <c r="H50" t="inlineStr">
        <is>
          <t>DIRECTOR OF INVESTMENTS</t>
        </is>
      </c>
      <c r="I50" t="inlineStr">
        <is>
          <t>Director of Investments</t>
        </is>
      </c>
      <c r="J50" s="21" t="n">
        <v>248767</v>
      </c>
      <c r="K50" s="21" t="n">
        <v>197041</v>
      </c>
      <c r="L50" s="21" t="n">
        <v>445808</v>
      </c>
      <c r="M50" s="21" t="n">
        <v>540</v>
      </c>
      <c r="N50" s="21" t="n">
        <v>24500</v>
      </c>
      <c r="O50" s="21" t="n">
        <v>48568</v>
      </c>
      <c r="P50" s="21" t="n">
        <v>519416</v>
      </c>
      <c r="Q50" s="21" t="n">
        <v>519416</v>
      </c>
      <c r="R50" s="21">
        <f>IF(Q50="","",Q50*(1+in_GrowthRate)^(YEARFRAC(DATE(2022,6,30),in_AgeToDate)*IF(in_AgeToDate&lt;DATE(2022,6,30),-1,1)+1))</f>
        <v/>
      </c>
      <c r="S50" s="38" t="n">
        <v>0.7920704916648913</v>
      </c>
      <c r="T50" s="43">
        <f>HYPERLINK("https://projects.propublica.org/nonprofits/organizations/410694747/202341339349300034/full","view filing")</f>
        <v/>
      </c>
    </row>
    <row r="51">
      <c r="A51" t="inlineStr">
        <is>
          <t>Carnegie Corporation Of New York</t>
        </is>
      </c>
      <c r="B51" s="20" t="inlineStr">
        <is>
          <t>NY</t>
        </is>
      </c>
      <c r="C51" s="42" t="n">
        <v>4.81</v>
      </c>
      <c r="D51" t="inlineStr">
        <is>
          <t>Foundation</t>
        </is>
      </c>
      <c r="E51" s="20" t="n">
        <v>2024</v>
      </c>
      <c r="F51" s="20" t="inlineStr"/>
      <c r="G51" t="inlineStr">
        <is>
          <t>Cecelia Chen</t>
        </is>
      </c>
      <c r="H51" t="inlineStr">
        <is>
          <t>Director Investments</t>
        </is>
      </c>
      <c r="I51" t="inlineStr">
        <is>
          <t>Director of Investments</t>
        </is>
      </c>
      <c r="J51" s="21" t="n"/>
      <c r="K51" s="21" t="n"/>
      <c r="L51" s="21" t="n"/>
      <c r="M51" s="21" t="n"/>
      <c r="N51" s="21" t="n"/>
      <c r="O51" s="21" t="n"/>
      <c r="P51" s="21" t="n">
        <v>497178</v>
      </c>
      <c r="Q51" s="21" t="n">
        <v>497178</v>
      </c>
      <c r="R51" s="21">
        <f>IF(Q51="","",Q51*(1+in_GrowthRate)^(YEARFRAC(DATE(2024,9,30),in_AgeToDate)*IF(in_AgeToDate&lt;DATE(2024,9,30),-1,1)+1))</f>
        <v/>
      </c>
      <c r="S51" s="38" t="n"/>
      <c r="T51" s="43">
        <f>HYPERLINK("https://projects.propublica.org/nonprofits/organizations/131628151/202531929349101203/full","view filing")</f>
        <v/>
      </c>
    </row>
    <row r="52">
      <c r="A52" t="inlineStr">
        <is>
          <t>Carnegie Institution Of Washington</t>
        </is>
      </c>
      <c r="B52" s="20" t="inlineStr">
        <is>
          <t>DC</t>
        </is>
      </c>
      <c r="C52" s="42" t="n">
        <v>0.99</v>
      </c>
      <c r="D52" t="inlineStr">
        <is>
          <t>Other</t>
        </is>
      </c>
      <c r="E52" s="20" t="n">
        <v>2025</v>
      </c>
      <c r="F52" s="20">
        <f>IF(AND(OR(in_Mode="All Funds",AND(C52&gt;=in_BandFloor,C52&lt;=in_BandCeiling,OR(in_Geography="National",COUNTIFS(lst_GeoPreset,in_Geography,lst_GeoState,B52)&gt;0,AND(in_Geography="Custom",ISNUMBER(SEARCH(B52,SUBSTITUTE(in_CustomStates," ",""))))),OR(AND(D52="Endowment",Inputs!$B$14="Y"),AND(D52="Foundation",Inputs!$B$15="Y"),AND(D52="Healthcare",Inputs!$B$16="Y"),AND(D52="Pension",Inputs!$B$17="Y"),AND(D52="OCIO",Inputs!$B$18="Y"),AND(D52="Other",Inputs!$B$19="Y")))),A52&lt;&gt;in_ClientOrg,NOT(AND(in_ExclHarvard="Y",ISNUMBER(SEARCH("Harvard",A52))))),"Y","")</f>
        <v/>
      </c>
      <c r="G52" t="inlineStr">
        <is>
          <t>Edward Lamade</t>
        </is>
      </c>
      <c r="H52" t="inlineStr">
        <is>
          <t>INVESTMENT DIRECTOR</t>
        </is>
      </c>
      <c r="I52" t="inlineStr">
        <is>
          <t>Director of Investments</t>
        </is>
      </c>
      <c r="J52" s="21" t="n">
        <v>361632</v>
      </c>
      <c r="K52" s="21" t="n">
        <v>175000</v>
      </c>
      <c r="L52" s="21" t="n">
        <v>536632</v>
      </c>
      <c r="M52" s="21" t="n">
        <v>180</v>
      </c>
      <c r="N52" s="21" t="n">
        <v>50663</v>
      </c>
      <c r="O52" s="21" t="n">
        <v>38192</v>
      </c>
      <c r="P52" s="21" t="n">
        <v>625667</v>
      </c>
      <c r="Q52" s="21" t="n">
        <v>625667</v>
      </c>
      <c r="R52" s="21">
        <f>IF(Q52="","",Q52*(1+in_GrowthRate)^(YEARFRAC(DATE(2025,6,30),in_AgeToDate)*IF(in_AgeToDate&lt;DATE(2025,6,30),-1,1)+1))</f>
        <v/>
      </c>
      <c r="S52" s="38" t="n">
        <v>0.4839173524466862</v>
      </c>
      <c r="T52" s="43">
        <f>HYPERLINK("https://projects.propublica.org/nonprofits/organizations/530196523/202601319349306125/full","view filing")</f>
        <v/>
      </c>
    </row>
    <row r="53">
      <c r="A53" t="inlineStr">
        <is>
          <t>Carnegie Institution Of Washington</t>
        </is>
      </c>
      <c r="B53" s="20" t="inlineStr">
        <is>
          <t>DC</t>
        </is>
      </c>
      <c r="C53" s="42" t="n">
        <v>0.99</v>
      </c>
      <c r="D53" t="inlineStr">
        <is>
          <t>Other</t>
        </is>
      </c>
      <c r="E53" s="20" t="n">
        <v>2024</v>
      </c>
      <c r="F53" s="20" t="inlineStr"/>
      <c r="G53" t="inlineStr">
        <is>
          <t>Edward Lamade</t>
        </is>
      </c>
      <c r="H53" t="inlineStr">
        <is>
          <t>INVESTMENT DIRECTOR</t>
        </is>
      </c>
      <c r="I53" t="inlineStr">
        <is>
          <t>Director of Investments</t>
        </is>
      </c>
      <c r="J53" s="21" t="n">
        <v>342880</v>
      </c>
      <c r="K53" s="21" t="n">
        <v>145000</v>
      </c>
      <c r="L53" s="21" t="n">
        <v>487880</v>
      </c>
      <c r="M53" s="21" t="n">
        <v>180</v>
      </c>
      <c r="N53" s="21" t="n">
        <v>47768</v>
      </c>
      <c r="O53" s="21" t="n">
        <v>38835</v>
      </c>
      <c r="P53" s="21" t="n">
        <v>574663</v>
      </c>
      <c r="Q53" s="21" t="n">
        <v>574663</v>
      </c>
      <c r="R53" s="21">
        <f>IF(Q53="","",Q53*(1+in_GrowthRate)^(YEARFRAC(DATE(2024,6,30),in_AgeToDate)*IF(in_AgeToDate&lt;DATE(2024,6,30),-1,1)+1))</f>
        <v/>
      </c>
      <c r="S53" s="38" t="n">
        <v>0.4228884741017265</v>
      </c>
      <c r="T53" s="43">
        <f>HYPERLINK("https://projects.propublica.org/nonprofits/organizations/530196523/202501349349312655/full","view filing")</f>
        <v/>
      </c>
    </row>
    <row r="54">
      <c r="A54" t="inlineStr">
        <is>
          <t>Carnegie Institution Of Washington</t>
        </is>
      </c>
      <c r="B54" s="20" t="inlineStr">
        <is>
          <t>DC</t>
        </is>
      </c>
      <c r="C54" s="42" t="n">
        <v>0.99</v>
      </c>
      <c r="D54" t="inlineStr">
        <is>
          <t>Other</t>
        </is>
      </c>
      <c r="E54" s="20" t="n">
        <v>2023</v>
      </c>
      <c r="F54" s="20" t="inlineStr"/>
      <c r="G54" t="inlineStr">
        <is>
          <t>Edward Lamade</t>
        </is>
      </c>
      <c r="H54" t="inlineStr">
        <is>
          <t>INVESTMENT DIRECTOR</t>
        </is>
      </c>
      <c r="I54" t="inlineStr">
        <is>
          <t>Director of Investments</t>
        </is>
      </c>
      <c r="J54" s="21" t="n">
        <v>326632</v>
      </c>
      <c r="K54" s="21" t="n"/>
      <c r="L54" s="21" t="n">
        <v>326632</v>
      </c>
      <c r="M54" s="21" t="n">
        <v>180</v>
      </c>
      <c r="N54" s="21" t="n"/>
      <c r="O54" s="21" t="n">
        <v>31607</v>
      </c>
      <c r="P54" s="21" t="n">
        <v>358419</v>
      </c>
      <c r="Q54" s="21" t="n">
        <v>358419</v>
      </c>
      <c r="R54" s="21">
        <f>IF(Q54="","",Q54*(1+in_GrowthRate)^(YEARFRAC(DATE(2023,6,30),in_AgeToDate)*IF(in_AgeToDate&lt;DATE(2023,6,30),-1,1)+1))</f>
        <v/>
      </c>
      <c r="S54" s="38" t="n">
        <v>0</v>
      </c>
      <c r="T54" s="43">
        <f>HYPERLINK("https://projects.propublica.org/nonprofits/organizations/530196523/202431359349308223/full","view filing")</f>
        <v/>
      </c>
    </row>
    <row r="55">
      <c r="A55" t="inlineStr">
        <is>
          <t>Carnegie Institution Of Washington</t>
        </is>
      </c>
      <c r="B55" s="20" t="inlineStr">
        <is>
          <t>DC</t>
        </is>
      </c>
      <c r="C55" s="42" t="n">
        <v>0.99</v>
      </c>
      <c r="D55" t="inlineStr">
        <is>
          <t>Other</t>
        </is>
      </c>
      <c r="E55" s="20" t="n">
        <v>2022</v>
      </c>
      <c r="F55" s="20" t="inlineStr"/>
      <c r="G55" t="inlineStr">
        <is>
          <t>Edward Lamade</t>
        </is>
      </c>
      <c r="H55" t="inlineStr">
        <is>
          <t>INVESTMENT DIRECTOR</t>
        </is>
      </c>
      <c r="I55" t="inlineStr">
        <is>
          <t>Director of Investments</t>
        </is>
      </c>
      <c r="J55" s="21" t="n">
        <v>319568</v>
      </c>
      <c r="K55" s="21" t="n">
        <v>75000</v>
      </c>
      <c r="L55" s="21" t="n">
        <v>394568</v>
      </c>
      <c r="M55" s="21" t="n">
        <v>188</v>
      </c>
      <c r="N55" s="21" t="n">
        <v>43889</v>
      </c>
      <c r="O55" s="21" t="n">
        <v>28789</v>
      </c>
      <c r="P55" s="21" t="n">
        <v>467434</v>
      </c>
      <c r="Q55" s="21" t="n">
        <v>467434</v>
      </c>
      <c r="R55" s="21">
        <f>IF(Q55="","",Q55*(1+in_GrowthRate)^(YEARFRAC(DATE(2022,6,30),in_AgeToDate)*IF(in_AgeToDate&lt;DATE(2022,6,30),-1,1)+1))</f>
        <v/>
      </c>
      <c r="S55" s="38" t="n">
        <v>0.2346918339758674</v>
      </c>
      <c r="T55" s="43">
        <f>HYPERLINK("https://projects.propublica.org/nonprofits/organizations/530196523/202341329349301699/full","view filing")</f>
        <v/>
      </c>
    </row>
    <row r="56">
      <c r="A56" t="inlineStr">
        <is>
          <t>Casey Family Programs</t>
        </is>
      </c>
      <c r="B56" s="20" t="inlineStr">
        <is>
          <t>WA</t>
        </is>
      </c>
      <c r="C56" s="42" t="n">
        <v>2.45</v>
      </c>
      <c r="D56" t="inlineStr">
        <is>
          <t>Foundation</t>
        </is>
      </c>
      <c r="E56" s="20" t="n">
        <v>2023</v>
      </c>
      <c r="F56" s="20" t="inlineStr"/>
      <c r="G56" t="inlineStr">
        <is>
          <t>Baggenstos Bryan T</t>
        </is>
      </c>
      <c r="H56" t="inlineStr">
        <is>
          <t>DIRECTOR INVESTMENTS</t>
        </is>
      </c>
      <c r="I56" t="inlineStr">
        <is>
          <t>Director of Investments</t>
        </is>
      </c>
      <c r="J56" s="21" t="n"/>
      <c r="K56" s="21" t="n"/>
      <c r="L56" s="21" t="n"/>
      <c r="M56" s="21" t="n"/>
      <c r="N56" s="21" t="n"/>
      <c r="O56" s="21" t="n"/>
      <c r="P56" s="21" t="n">
        <v>513772</v>
      </c>
      <c r="Q56" s="21" t="n">
        <v>513772</v>
      </c>
      <c r="R56" s="21">
        <f>IF(Q56="","",Q56*(1+in_GrowthRate)^(YEARFRAC(DATE(2023,12,31),in_AgeToDate)*IF(in_AgeToDate&lt;DATE(2023,12,31),-1,1)+1))</f>
        <v/>
      </c>
      <c r="S56" s="38" t="n"/>
      <c r="T56" s="43">
        <f>HYPERLINK("https://projects.propublica.org/nonprofits/organizations/910793881/202423169349102347/full","view filing")</f>
        <v/>
      </c>
    </row>
    <row r="57">
      <c r="A57" t="inlineStr">
        <is>
          <t>Casey Family Programs</t>
        </is>
      </c>
      <c r="B57" s="20" t="inlineStr">
        <is>
          <t>WA</t>
        </is>
      </c>
      <c r="C57" s="42" t="n">
        <v>2.45</v>
      </c>
      <c r="D57" t="inlineStr">
        <is>
          <t>Foundation</t>
        </is>
      </c>
      <c r="E57" s="20" t="n">
        <v>2023</v>
      </c>
      <c r="F57" s="20" t="inlineStr"/>
      <c r="G57" t="inlineStr">
        <is>
          <t>Foo Sheng-Sheng</t>
        </is>
      </c>
      <c r="H57" t="inlineStr">
        <is>
          <t>DIRECTOR INVESTMENTS</t>
        </is>
      </c>
      <c r="I57" t="inlineStr">
        <is>
          <t>Director of Investments</t>
        </is>
      </c>
      <c r="J57" s="21" t="n"/>
      <c r="K57" s="21" t="n"/>
      <c r="L57" s="21" t="n"/>
      <c r="M57" s="21" t="n"/>
      <c r="N57" s="21" t="n"/>
      <c r="O57" s="21" t="n"/>
      <c r="P57" s="21" t="n">
        <v>589778</v>
      </c>
      <c r="Q57" s="21" t="n">
        <v>589778</v>
      </c>
      <c r="R57" s="21">
        <f>IF(Q57="","",Q57*(1+in_GrowthRate)^(YEARFRAC(DATE(2023,12,31),in_AgeToDate)*IF(in_AgeToDate&lt;DATE(2023,12,31),-1,1)+1))</f>
        <v/>
      </c>
      <c r="S57" s="38" t="n"/>
      <c r="T57" s="43">
        <f>HYPERLINK("https://projects.propublica.org/nonprofits/organizations/910793881/202423169349102347/full","view filing")</f>
        <v/>
      </c>
    </row>
    <row r="58">
      <c r="A58" t="inlineStr">
        <is>
          <t>Casey Family Programs</t>
        </is>
      </c>
      <c r="B58" s="20" t="inlineStr">
        <is>
          <t>WA</t>
        </is>
      </c>
      <c r="C58" s="42" t="n">
        <v>2.45</v>
      </c>
      <c r="D58" t="inlineStr">
        <is>
          <t>Foundation</t>
        </is>
      </c>
      <c r="E58" s="20" t="n">
        <v>2023</v>
      </c>
      <c r="F58" s="20" t="inlineStr"/>
      <c r="G58" t="inlineStr">
        <is>
          <t>Hahn Kathy P</t>
        </is>
      </c>
      <c r="H58" t="inlineStr">
        <is>
          <t>DIRECTOR INVESTMENTS</t>
        </is>
      </c>
      <c r="I58" t="inlineStr">
        <is>
          <t>Director of Investments</t>
        </is>
      </c>
      <c r="J58" s="21" t="n"/>
      <c r="K58" s="21" t="n"/>
      <c r="L58" s="21" t="n"/>
      <c r="M58" s="21" t="n"/>
      <c r="N58" s="21" t="n"/>
      <c r="O58" s="21" t="n"/>
      <c r="P58" s="21" t="n">
        <v>595605</v>
      </c>
      <c r="Q58" s="21" t="n">
        <v>595605</v>
      </c>
      <c r="R58" s="21">
        <f>IF(Q58="","",Q58*(1+in_GrowthRate)^(YEARFRAC(DATE(2023,12,31),in_AgeToDate)*IF(in_AgeToDate&lt;DATE(2023,12,31),-1,1)+1))</f>
        <v/>
      </c>
      <c r="S58" s="38" t="n"/>
      <c r="T58" s="43">
        <f>HYPERLINK("https://projects.propublica.org/nonprofits/organizations/910793881/202423169349102347/full","view filing")</f>
        <v/>
      </c>
    </row>
    <row r="59">
      <c r="A59" t="inlineStr">
        <is>
          <t>Casey Family Programs</t>
        </is>
      </c>
      <c r="B59" s="20" t="inlineStr">
        <is>
          <t>WA</t>
        </is>
      </c>
      <c r="C59" s="42" t="n">
        <v>2.45</v>
      </c>
      <c r="D59" t="inlineStr">
        <is>
          <t>Foundation</t>
        </is>
      </c>
      <c r="E59" s="20" t="n">
        <v>2022</v>
      </c>
      <c r="F59" s="20" t="inlineStr"/>
      <c r="G59" t="inlineStr">
        <is>
          <t>Baggenstos Bryan T</t>
        </is>
      </c>
      <c r="H59" t="inlineStr">
        <is>
          <t>DIRECTOR INVESTMENTS</t>
        </is>
      </c>
      <c r="I59" t="inlineStr">
        <is>
          <t>Director of Investments</t>
        </is>
      </c>
      <c r="J59" s="21" t="n"/>
      <c r="K59" s="21" t="n"/>
      <c r="L59" s="21" t="n"/>
      <c r="M59" s="21" t="n"/>
      <c r="N59" s="21" t="n"/>
      <c r="O59" s="21" t="n"/>
      <c r="P59" s="21" t="n">
        <v>486573</v>
      </c>
      <c r="Q59" s="21" t="n">
        <v>486573</v>
      </c>
      <c r="R59" s="21">
        <f>IF(Q59="","",Q59*(1+in_GrowthRate)^(YEARFRAC(DATE(2022,12,31),in_AgeToDate)*IF(in_AgeToDate&lt;DATE(2022,12,31),-1,1)+1))</f>
        <v/>
      </c>
      <c r="S59" s="38" t="n"/>
      <c r="T59" s="43">
        <f>HYPERLINK("https://projects.propublica.org/nonprofits/organizations/910793881/202343189349103429/full","view filing")</f>
        <v/>
      </c>
    </row>
    <row r="60">
      <c r="A60" t="inlineStr">
        <is>
          <t>Casey Family Programs</t>
        </is>
      </c>
      <c r="B60" s="20" t="inlineStr">
        <is>
          <t>WA</t>
        </is>
      </c>
      <c r="C60" s="42" t="n">
        <v>2.45</v>
      </c>
      <c r="D60" t="inlineStr">
        <is>
          <t>Foundation</t>
        </is>
      </c>
      <c r="E60" s="20" t="n">
        <v>2022</v>
      </c>
      <c r="F60" s="20" t="inlineStr"/>
      <c r="G60" t="inlineStr">
        <is>
          <t>Foo Sheng-Sheng</t>
        </is>
      </c>
      <c r="H60" t="inlineStr">
        <is>
          <t>DIRECTOR INVESTMENTS</t>
        </is>
      </c>
      <c r="I60" t="inlineStr">
        <is>
          <t>Director of Investments</t>
        </is>
      </c>
      <c r="J60" s="21" t="n"/>
      <c r="K60" s="21" t="n"/>
      <c r="L60" s="21" t="n"/>
      <c r="M60" s="21" t="n"/>
      <c r="N60" s="21" t="n"/>
      <c r="O60" s="21" t="n"/>
      <c r="P60" s="21" t="n">
        <v>598081</v>
      </c>
      <c r="Q60" s="21" t="n">
        <v>598081</v>
      </c>
      <c r="R60" s="21">
        <f>IF(Q60="","",Q60*(1+in_GrowthRate)^(YEARFRAC(DATE(2022,12,31),in_AgeToDate)*IF(in_AgeToDate&lt;DATE(2022,12,31),-1,1)+1))</f>
        <v/>
      </c>
      <c r="S60" s="38" t="n"/>
      <c r="T60" s="43">
        <f>HYPERLINK("https://projects.propublica.org/nonprofits/organizations/910793881/202343189349103429/full","view filing")</f>
        <v/>
      </c>
    </row>
    <row r="61">
      <c r="A61" t="inlineStr">
        <is>
          <t>Casey Family Programs</t>
        </is>
      </c>
      <c r="B61" s="20" t="inlineStr">
        <is>
          <t>WA</t>
        </is>
      </c>
      <c r="C61" s="42" t="n">
        <v>2.45</v>
      </c>
      <c r="D61" t="inlineStr">
        <is>
          <t>Foundation</t>
        </is>
      </c>
      <c r="E61" s="20" t="n">
        <v>2022</v>
      </c>
      <c r="F61" s="20" t="inlineStr"/>
      <c r="G61" t="inlineStr">
        <is>
          <t>Hahn Kathy P</t>
        </is>
      </c>
      <c r="H61" t="inlineStr">
        <is>
          <t>DIRECTOR INVESTMENTS</t>
        </is>
      </c>
      <c r="I61" t="inlineStr">
        <is>
          <t>Director of Investments</t>
        </is>
      </c>
      <c r="J61" s="21" t="n"/>
      <c r="K61" s="21" t="n"/>
      <c r="L61" s="21" t="n"/>
      <c r="M61" s="21" t="n"/>
      <c r="N61" s="21" t="n"/>
      <c r="O61" s="21" t="n"/>
      <c r="P61" s="21" t="n">
        <v>584998</v>
      </c>
      <c r="Q61" s="21" t="n">
        <v>584998</v>
      </c>
      <c r="R61" s="21">
        <f>IF(Q61="","",Q61*(1+in_GrowthRate)^(YEARFRAC(DATE(2022,12,31),in_AgeToDate)*IF(in_AgeToDate&lt;DATE(2022,12,31),-1,1)+1))</f>
        <v/>
      </c>
      <c r="S61" s="38" t="n"/>
      <c r="T61" s="43">
        <f>HYPERLINK("https://projects.propublica.org/nonprofits/organizations/910793881/202343189349103429/full","view filing")</f>
        <v/>
      </c>
    </row>
    <row r="62">
      <c r="A62" t="inlineStr">
        <is>
          <t>Chapman University</t>
        </is>
      </c>
      <c r="B62" s="20" t="inlineStr">
        <is>
          <t>CA</t>
        </is>
      </c>
      <c r="C62" s="42" t="n">
        <v>0.93</v>
      </c>
      <c r="D62" t="inlineStr">
        <is>
          <t>Endowment</t>
        </is>
      </c>
      <c r="E62" s="20" t="n">
        <v>2025</v>
      </c>
      <c r="F62" s="20">
        <f>IF(AND(OR(in_Mode="All Funds",AND(C62&gt;=in_BandFloor,C62&lt;=in_BandCeiling,OR(in_Geography="National",COUNTIFS(lst_GeoPreset,in_Geography,lst_GeoState,B62)&gt;0,AND(in_Geography="Custom",ISNUMBER(SEARCH(B62,SUBSTITUTE(in_CustomStates," ",""))))),OR(AND(D62="Endowment",Inputs!$B$14="Y"),AND(D62="Foundation",Inputs!$B$15="Y"),AND(D62="Healthcare",Inputs!$B$16="Y"),AND(D62="Pension",Inputs!$B$17="Y"),AND(D62="OCIO",Inputs!$B$18="Y"),AND(D62="Other",Inputs!$B$19="Y")))),A62&lt;&gt;in_ClientOrg,NOT(AND(in_ExclHarvard="Y",ISNUMBER(SEARCH("Harvard",A62))))),"Y","")</f>
        <v/>
      </c>
      <c r="G62" t="inlineStr">
        <is>
          <t>Janna Bersi</t>
        </is>
      </c>
      <c r="H62" t="inlineStr">
        <is>
          <t>SR.VP, INVESTMENTS &amp; ADMIN</t>
        </is>
      </c>
      <c r="I62" t="inlineStr">
        <is>
          <t>Director of Investments</t>
        </is>
      </c>
      <c r="J62" s="21" t="n">
        <v>537375</v>
      </c>
      <c r="K62" s="21" t="n">
        <v>100000</v>
      </c>
      <c r="L62" s="21" t="n">
        <v>637375</v>
      </c>
      <c r="M62" s="21" t="n">
        <v>2661</v>
      </c>
      <c r="N62" s="21" t="n">
        <v>31050</v>
      </c>
      <c r="O62" s="21" t="n">
        <v>16624</v>
      </c>
      <c r="P62" s="21" t="n">
        <v>687710</v>
      </c>
      <c r="Q62" s="21" t="n">
        <v>687710</v>
      </c>
      <c r="R62" s="21">
        <f>IF(Q62="","",Q62*(1+in_GrowthRate)^(YEARFRAC(DATE(2025,5,31),in_AgeToDate)*IF(in_AgeToDate&lt;DATE(2025,5,31),-1,1)+1))</f>
        <v/>
      </c>
      <c r="S62" s="38" t="n">
        <v>0.1860897883228658</v>
      </c>
      <c r="T62" s="43">
        <f>HYPERLINK("https://projects.propublica.org/nonprofits/organizations/951643992/202641009349300639/full","view filing")</f>
        <v/>
      </c>
    </row>
    <row r="63">
      <c r="A63" t="inlineStr">
        <is>
          <t>Chapman University</t>
        </is>
      </c>
      <c r="B63" s="20" t="inlineStr">
        <is>
          <t>CA</t>
        </is>
      </c>
      <c r="C63" s="42" t="n">
        <v>0.93</v>
      </c>
      <c r="D63" t="inlineStr">
        <is>
          <t>Endowment</t>
        </is>
      </c>
      <c r="E63" s="20" t="n">
        <v>2024</v>
      </c>
      <c r="F63" s="20" t="inlineStr"/>
      <c r="G63" t="inlineStr">
        <is>
          <t>Janna Bersi</t>
        </is>
      </c>
      <c r="H63" t="inlineStr">
        <is>
          <t>VP, INVESTMENTS &amp; ADMIN</t>
        </is>
      </c>
      <c r="I63" t="inlineStr">
        <is>
          <t>Director of Investments</t>
        </is>
      </c>
      <c r="J63" s="21" t="n">
        <v>477706</v>
      </c>
      <c r="K63" s="21" t="n">
        <v>100000</v>
      </c>
      <c r="L63" s="21" t="n">
        <v>577706</v>
      </c>
      <c r="M63" s="21" t="n">
        <v>2855</v>
      </c>
      <c r="N63" s="21" t="n">
        <v>29700</v>
      </c>
      <c r="O63" s="21" t="n">
        <v>15562</v>
      </c>
      <c r="P63" s="21" t="n">
        <v>625823</v>
      </c>
      <c r="Q63" s="21" t="n">
        <v>625823</v>
      </c>
      <c r="R63" s="21">
        <f>IF(Q63="","",Q63*(1+in_GrowthRate)^(YEARFRAC(DATE(2024,5,31),in_AgeToDate)*IF(in_AgeToDate&lt;DATE(2024,5,31),-1,1)+1))</f>
        <v/>
      </c>
      <c r="S63" s="38" t="n">
        <v>0.2093337743298179</v>
      </c>
      <c r="T63" s="43">
        <f>HYPERLINK("https://projects.propublica.org/nonprofits/organizations/951643992/202531019349301313/full","view filing")</f>
        <v/>
      </c>
    </row>
    <row r="64">
      <c r="A64" t="inlineStr">
        <is>
          <t>Chapman University</t>
        </is>
      </c>
      <c r="B64" s="20" t="inlineStr">
        <is>
          <t>CA</t>
        </is>
      </c>
      <c r="C64" s="42" t="n">
        <v>0.93</v>
      </c>
      <c r="D64" t="inlineStr">
        <is>
          <t>Endowment</t>
        </is>
      </c>
      <c r="E64" s="20" t="n">
        <v>2023</v>
      </c>
      <c r="F64" s="20" t="inlineStr"/>
      <c r="G64" t="inlineStr">
        <is>
          <t>Janna Bersi</t>
        </is>
      </c>
      <c r="H64" t="inlineStr">
        <is>
          <t>VP, INVESTMENTS &amp; ADMIN</t>
        </is>
      </c>
      <c r="I64" t="inlineStr">
        <is>
          <t>Director of Investments</t>
        </is>
      </c>
      <c r="J64" s="21" t="n">
        <v>463080</v>
      </c>
      <c r="K64" s="21" t="n">
        <v>100000</v>
      </c>
      <c r="L64" s="21" t="n">
        <v>563080</v>
      </c>
      <c r="M64" s="21" t="n">
        <v>2740</v>
      </c>
      <c r="N64" s="21" t="n">
        <v>36332</v>
      </c>
      <c r="O64" s="21" t="n">
        <v>14668</v>
      </c>
      <c r="P64" s="21" t="n">
        <v>616820</v>
      </c>
      <c r="Q64" s="21" t="n">
        <v>616820</v>
      </c>
      <c r="R64" s="21">
        <f>IF(Q64="","",Q64*(1+in_GrowthRate)^(YEARFRAC(DATE(2023,5,31),in_AgeToDate)*IF(in_AgeToDate&lt;DATE(2023,5,31),-1,1)+1))</f>
        <v/>
      </c>
      <c r="S64" s="38" t="n">
        <v>0.2159454090006047</v>
      </c>
      <c r="T64" s="43">
        <f>HYPERLINK("https://projects.propublica.org/nonprofits/organizations/951643992/202440969349301509/full","view filing")</f>
        <v/>
      </c>
    </row>
    <row r="65">
      <c r="A65" t="inlineStr">
        <is>
          <t>Chapman University</t>
        </is>
      </c>
      <c r="B65" s="20" t="inlineStr">
        <is>
          <t>CA</t>
        </is>
      </c>
      <c r="C65" s="42" t="n">
        <v>0.93</v>
      </c>
      <c r="D65" t="inlineStr">
        <is>
          <t>Endowment</t>
        </is>
      </c>
      <c r="E65" s="20" t="n">
        <v>2022</v>
      </c>
      <c r="F65" s="20" t="inlineStr"/>
      <c r="G65" t="inlineStr">
        <is>
          <t>Janna Bersi</t>
        </is>
      </c>
      <c r="H65" t="inlineStr">
        <is>
          <t>VP, INVESTMENTS &amp; ADMIN</t>
        </is>
      </c>
      <c r="I65" t="inlineStr">
        <is>
          <t>Director of Investments</t>
        </is>
      </c>
      <c r="J65" s="21" t="n">
        <v>364584</v>
      </c>
      <c r="K65" s="21" t="n">
        <v>50000</v>
      </c>
      <c r="L65" s="21" t="n">
        <v>414584</v>
      </c>
      <c r="M65" s="21" t="n">
        <v>2436</v>
      </c>
      <c r="N65" s="21" t="n">
        <v>28622</v>
      </c>
      <c r="O65" s="21" t="n">
        <v>13610</v>
      </c>
      <c r="P65" s="21" t="n">
        <v>459252</v>
      </c>
      <c r="Q65" s="21" t="n">
        <v>459252</v>
      </c>
      <c r="R65" s="21">
        <f>IF(Q65="","",Q65*(1+in_GrowthRate)^(YEARFRAC(DATE(2022,5,31),in_AgeToDate)*IF(in_AgeToDate&lt;DATE(2022,5,31),-1,1)+1))</f>
        <v/>
      </c>
      <c r="S65" s="38" t="n">
        <v>0.1371426063678055</v>
      </c>
      <c r="T65" s="43">
        <f>HYPERLINK("https://projects.propublica.org/nonprofits/organizations/951643992/202341029349300139/full","view filing")</f>
        <v/>
      </c>
    </row>
    <row r="66">
      <c r="A66" t="inlineStr">
        <is>
          <t>Charles Stewart Mott Foundation</t>
        </is>
      </c>
      <c r="B66" s="20" t="inlineStr">
        <is>
          <t>MI</t>
        </is>
      </c>
      <c r="C66" s="42" t="n">
        <v>3.6</v>
      </c>
      <c r="D66" t="inlineStr">
        <is>
          <t>Foundation</t>
        </is>
      </c>
      <c r="E66" s="20" t="n">
        <v>2024</v>
      </c>
      <c r="F66" s="20">
        <f>IF(AND(OR(in_Mode="All Funds",AND(C66&gt;=in_BandFloor,C66&lt;=in_BandCeiling,OR(in_Geography="National",COUNTIFS(lst_GeoPreset,in_Geography,lst_GeoState,B66)&gt;0,AND(in_Geography="Custom",ISNUMBER(SEARCH(B66,SUBSTITUTE(in_CustomStates," ",""))))),OR(AND(D66="Endowment",Inputs!$B$14="Y"),AND(D66="Foundation",Inputs!$B$15="Y"),AND(D66="Healthcare",Inputs!$B$16="Y"),AND(D66="Pension",Inputs!$B$17="Y"),AND(D66="OCIO",Inputs!$B$18="Y"),AND(D66="Other",Inputs!$B$19="Y")))),A66&lt;&gt;in_ClientOrg,NOT(AND(in_ExclHarvard="Y",ISNUMBER(SEARCH("Harvard",A66))))),"Y","")</f>
        <v/>
      </c>
      <c r="G66" t="inlineStr">
        <is>
          <t>Cheryl Garneau</t>
        </is>
      </c>
      <c r="H66" t="inlineStr">
        <is>
          <t>INVESTMENT MANAGER</t>
        </is>
      </c>
      <c r="I66" t="inlineStr">
        <is>
          <t>Investment Manager</t>
        </is>
      </c>
      <c r="J66" s="21" t="n"/>
      <c r="K66" s="21" t="n"/>
      <c r="L66" s="21" t="n"/>
      <c r="M66" s="21" t="n"/>
      <c r="N66" s="21" t="n"/>
      <c r="O66" s="21" t="n"/>
      <c r="P66" s="21" t="n">
        <v>532248</v>
      </c>
      <c r="Q66" s="21" t="n">
        <v>532248</v>
      </c>
      <c r="R66" s="21">
        <f>IF(Q66="","",Q66*(1+in_GrowthRate)^(YEARFRAC(DATE(2024,12,31),in_AgeToDate)*IF(in_AgeToDate&lt;DATE(2024,12,31),-1,1)+1))</f>
        <v/>
      </c>
      <c r="S66" s="38" t="n"/>
      <c r="T66" s="43">
        <f>HYPERLINK("https://projects.propublica.org/nonprofits/organizations/381211227/202513179349100631/full","view filing")</f>
        <v/>
      </c>
    </row>
    <row r="67">
      <c r="A67" t="inlineStr">
        <is>
          <t>Charles Stewart Mott Foundation</t>
        </is>
      </c>
      <c r="B67" s="20" t="inlineStr">
        <is>
          <t>MI</t>
        </is>
      </c>
      <c r="C67" s="42" t="n">
        <v>3.6</v>
      </c>
      <c r="D67" t="inlineStr">
        <is>
          <t>Foundation</t>
        </is>
      </c>
      <c r="E67" s="20" t="n">
        <v>2024</v>
      </c>
      <c r="F67" s="20">
        <f>IF(AND(OR(in_Mode="All Funds",AND(C67&gt;=in_BandFloor,C67&lt;=in_BandCeiling,OR(in_Geography="National",COUNTIFS(lst_GeoPreset,in_Geography,lst_GeoState,B67)&gt;0,AND(in_Geography="Custom",ISNUMBER(SEARCH(B67,SUBSTITUTE(in_CustomStates," ",""))))),OR(AND(D67="Endowment",Inputs!$B$14="Y"),AND(D67="Foundation",Inputs!$B$15="Y"),AND(D67="Healthcare",Inputs!$B$16="Y"),AND(D67="Pension",Inputs!$B$17="Y"),AND(D67="OCIO",Inputs!$B$18="Y"),AND(D67="Other",Inputs!$B$19="Y")))),A67&lt;&gt;in_ClientOrg,NOT(AND(in_ExclHarvard="Y",ISNUMBER(SEARCH("Harvard",A67))))),"Y","")</f>
        <v/>
      </c>
      <c r="G67" t="inlineStr">
        <is>
          <t>Jon Mecoli</t>
        </is>
      </c>
      <c r="H67" t="inlineStr">
        <is>
          <t>INVESTMENT MANAGER</t>
        </is>
      </c>
      <c r="I67" t="inlineStr">
        <is>
          <t>Investment Manager</t>
        </is>
      </c>
      <c r="J67" s="21" t="n"/>
      <c r="K67" s="21" t="n"/>
      <c r="L67" s="21" t="n"/>
      <c r="M67" s="21" t="n"/>
      <c r="N67" s="21" t="n"/>
      <c r="O67" s="21" t="n"/>
      <c r="P67" s="21" t="n">
        <v>451073</v>
      </c>
      <c r="Q67" s="21" t="n">
        <v>451073</v>
      </c>
      <c r="R67" s="21">
        <f>IF(Q67="","",Q67*(1+in_GrowthRate)^(YEARFRAC(DATE(2024,12,31),in_AgeToDate)*IF(in_AgeToDate&lt;DATE(2024,12,31),-1,1)+1))</f>
        <v/>
      </c>
      <c r="S67" s="38" t="n"/>
      <c r="T67" s="43">
        <f>HYPERLINK("https://projects.propublica.org/nonprofits/organizations/381211227/202513179349100631/full","view filing")</f>
        <v/>
      </c>
    </row>
    <row r="68">
      <c r="A68" t="inlineStr">
        <is>
          <t>Charles Stewart Mott Foundation</t>
        </is>
      </c>
      <c r="B68" s="20" t="inlineStr">
        <is>
          <t>MI</t>
        </is>
      </c>
      <c r="C68" s="42" t="n">
        <v>3.6</v>
      </c>
      <c r="D68" t="inlineStr">
        <is>
          <t>Foundation</t>
        </is>
      </c>
      <c r="E68" s="20" t="n">
        <v>2024</v>
      </c>
      <c r="F68" s="20">
        <f>IF(AND(OR(in_Mode="All Funds",AND(C68&gt;=in_BandFloor,C68&lt;=in_BandCeiling,OR(in_Geography="National",COUNTIFS(lst_GeoPreset,in_Geography,lst_GeoState,B68)&gt;0,AND(in_Geography="Custom",ISNUMBER(SEARCH(B68,SUBSTITUTE(in_CustomStates," ",""))))),OR(AND(D68="Endowment",Inputs!$B$14="Y"),AND(D68="Foundation",Inputs!$B$15="Y"),AND(D68="Healthcare",Inputs!$B$16="Y"),AND(D68="Pension",Inputs!$B$17="Y"),AND(D68="OCIO",Inputs!$B$18="Y"),AND(D68="Other",Inputs!$B$19="Y")))),A68&lt;&gt;in_ClientOrg,NOT(AND(in_ExclHarvard="Y",ISNUMBER(SEARCH("Harvard",A68))))),"Y","")</f>
        <v/>
      </c>
      <c r="G68" t="inlineStr">
        <is>
          <t>Ken Austin</t>
        </is>
      </c>
      <c r="H68" t="inlineStr">
        <is>
          <t>INVESTMENT MANAGER</t>
        </is>
      </c>
      <c r="I68" t="inlineStr">
        <is>
          <t>Investment Manager</t>
        </is>
      </c>
      <c r="J68" s="21" t="n"/>
      <c r="K68" s="21" t="n"/>
      <c r="L68" s="21" t="n"/>
      <c r="M68" s="21" t="n"/>
      <c r="N68" s="21" t="n"/>
      <c r="O68" s="21" t="n"/>
      <c r="P68" s="21" t="n">
        <v>536562</v>
      </c>
      <c r="Q68" s="21" t="n">
        <v>536562</v>
      </c>
      <c r="R68" s="21">
        <f>IF(Q68="","",Q68*(1+in_GrowthRate)^(YEARFRAC(DATE(2024,12,31),in_AgeToDate)*IF(in_AgeToDate&lt;DATE(2024,12,31),-1,1)+1))</f>
        <v/>
      </c>
      <c r="S68" s="38" t="n"/>
      <c r="T68" s="43">
        <f>HYPERLINK("https://projects.propublica.org/nonprofits/organizations/381211227/202513179349100631/full","view filing")</f>
        <v/>
      </c>
    </row>
    <row r="69">
      <c r="A69" t="inlineStr">
        <is>
          <t>Charles Stewart Mott Foundation</t>
        </is>
      </c>
      <c r="B69" s="20" t="inlineStr">
        <is>
          <t>MI</t>
        </is>
      </c>
      <c r="C69" s="42" t="n">
        <v>3.6</v>
      </c>
      <c r="D69" t="inlineStr">
        <is>
          <t>Foundation</t>
        </is>
      </c>
      <c r="E69" s="20" t="n">
        <v>2024</v>
      </c>
      <c r="F69" s="20">
        <f>IF(AND(OR(in_Mode="All Funds",AND(C69&gt;=in_BandFloor,C69&lt;=in_BandCeiling,OR(in_Geography="National",COUNTIFS(lst_GeoPreset,in_Geography,lst_GeoState,B69)&gt;0,AND(in_Geography="Custom",ISNUMBER(SEARCH(B69,SUBSTITUTE(in_CustomStates," ",""))))),OR(AND(D69="Endowment",Inputs!$B$14="Y"),AND(D69="Foundation",Inputs!$B$15="Y"),AND(D69="Healthcare",Inputs!$B$16="Y"),AND(D69="Pension",Inputs!$B$17="Y"),AND(D69="OCIO",Inputs!$B$18="Y"),AND(D69="Other",Inputs!$B$19="Y")))),A69&lt;&gt;in_ClientOrg,NOT(AND(in_ExclHarvard="Y",ISNUMBER(SEARCH("Harvard",A69))))),"Y","")</f>
        <v/>
      </c>
      <c r="G69" t="inlineStr">
        <is>
          <t>Stephen Vessells</t>
        </is>
      </c>
      <c r="H69" t="inlineStr">
        <is>
          <t>INVESTMENT MANAGER</t>
        </is>
      </c>
      <c r="I69" t="inlineStr">
        <is>
          <t>Investment Manager</t>
        </is>
      </c>
      <c r="J69" s="21" t="n"/>
      <c r="K69" s="21" t="n"/>
      <c r="L69" s="21" t="n"/>
      <c r="M69" s="21" t="n"/>
      <c r="N69" s="21" t="n"/>
      <c r="O69" s="21" t="n"/>
      <c r="P69" s="21" t="n">
        <v>475162</v>
      </c>
      <c r="Q69" s="21" t="n">
        <v>475162</v>
      </c>
      <c r="R69" s="21">
        <f>IF(Q69="","",Q69*(1+in_GrowthRate)^(YEARFRAC(DATE(2024,12,31),in_AgeToDate)*IF(in_AgeToDate&lt;DATE(2024,12,31),-1,1)+1))</f>
        <v/>
      </c>
      <c r="S69" s="38" t="n"/>
      <c r="T69" s="43">
        <f>HYPERLINK("https://projects.propublica.org/nonprofits/organizations/381211227/202513179349100631/full","view filing")</f>
        <v/>
      </c>
    </row>
    <row r="70">
      <c r="A70" t="inlineStr">
        <is>
          <t>Charles Stewart Mott Foundation</t>
        </is>
      </c>
      <c r="B70" s="20" t="inlineStr">
        <is>
          <t>MI</t>
        </is>
      </c>
      <c r="C70" s="42" t="n">
        <v>3.6</v>
      </c>
      <c r="D70" t="inlineStr">
        <is>
          <t>Foundation</t>
        </is>
      </c>
      <c r="E70" s="20" t="n">
        <v>2023</v>
      </c>
      <c r="F70" s="20" t="inlineStr"/>
      <c r="G70" t="inlineStr">
        <is>
          <t>Cheryl Garneau</t>
        </is>
      </c>
      <c r="H70" t="inlineStr">
        <is>
          <t>INVESTMENT MANAGER</t>
        </is>
      </c>
      <c r="I70" t="inlineStr">
        <is>
          <t>Investment Manager</t>
        </is>
      </c>
      <c r="J70" s="21" t="n"/>
      <c r="K70" s="21" t="n"/>
      <c r="L70" s="21" t="n"/>
      <c r="M70" s="21" t="n"/>
      <c r="N70" s="21" t="n"/>
      <c r="O70" s="21" t="n"/>
      <c r="P70" s="21" t="n">
        <v>560941</v>
      </c>
      <c r="Q70" s="21" t="n">
        <v>560941</v>
      </c>
      <c r="R70" s="21">
        <f>IF(Q70="","",Q70*(1+in_GrowthRate)^(YEARFRAC(DATE(2023,12,31),in_AgeToDate)*IF(in_AgeToDate&lt;DATE(2023,12,31),-1,1)+1))</f>
        <v/>
      </c>
      <c r="S70" s="38" t="n"/>
      <c r="T70" s="43">
        <f>HYPERLINK("https://projects.propublica.org/nonprofits/organizations/381211227/202423179349102547/full","view filing")</f>
        <v/>
      </c>
    </row>
    <row r="71">
      <c r="A71" t="inlineStr">
        <is>
          <t>Charles Stewart Mott Foundation</t>
        </is>
      </c>
      <c r="B71" s="20" t="inlineStr">
        <is>
          <t>MI</t>
        </is>
      </c>
      <c r="C71" s="42" t="n">
        <v>3.6</v>
      </c>
      <c r="D71" t="inlineStr">
        <is>
          <t>Foundation</t>
        </is>
      </c>
      <c r="E71" s="20" t="n">
        <v>2023</v>
      </c>
      <c r="F71" s="20" t="inlineStr"/>
      <c r="G71" t="inlineStr">
        <is>
          <t>Harris Sibunruang</t>
        </is>
      </c>
      <c r="H71" t="inlineStr">
        <is>
          <t>INVESTMENT MANAGER</t>
        </is>
      </c>
      <c r="I71" t="inlineStr">
        <is>
          <t>Investment Manager</t>
        </is>
      </c>
      <c r="J71" s="21" t="n"/>
      <c r="K71" s="21" t="n"/>
      <c r="L71" s="21" t="n"/>
      <c r="M71" s="21" t="n"/>
      <c r="N71" s="21" t="n"/>
      <c r="O71" s="21" t="n"/>
      <c r="P71" s="21" t="n">
        <v>457000</v>
      </c>
      <c r="Q71" s="21" t="n">
        <v>457000</v>
      </c>
      <c r="R71" s="21">
        <f>IF(Q71="","",Q71*(1+in_GrowthRate)^(YEARFRAC(DATE(2023,12,31),in_AgeToDate)*IF(in_AgeToDate&lt;DATE(2023,12,31),-1,1)+1))</f>
        <v/>
      </c>
      <c r="S71" s="38" t="n"/>
      <c r="T71" s="43">
        <f>HYPERLINK("https://projects.propublica.org/nonprofits/organizations/381211227/202423179349102547/full","view filing")</f>
        <v/>
      </c>
    </row>
    <row r="72">
      <c r="A72" t="inlineStr">
        <is>
          <t>Charles Stewart Mott Foundation</t>
        </is>
      </c>
      <c r="B72" s="20" t="inlineStr">
        <is>
          <t>MI</t>
        </is>
      </c>
      <c r="C72" s="42" t="n">
        <v>3.6</v>
      </c>
      <c r="D72" t="inlineStr">
        <is>
          <t>Foundation</t>
        </is>
      </c>
      <c r="E72" s="20" t="n">
        <v>2023</v>
      </c>
      <c r="F72" s="20" t="inlineStr"/>
      <c r="G72" t="inlineStr">
        <is>
          <t>Ken Austin</t>
        </is>
      </c>
      <c r="H72" t="inlineStr">
        <is>
          <t>INVESTMENT MANAGER</t>
        </is>
      </c>
      <c r="I72" t="inlineStr">
        <is>
          <t>Investment Manager</t>
        </is>
      </c>
      <c r="J72" s="21" t="n"/>
      <c r="K72" s="21" t="n"/>
      <c r="L72" s="21" t="n"/>
      <c r="M72" s="21" t="n"/>
      <c r="N72" s="21" t="n"/>
      <c r="O72" s="21" t="n"/>
      <c r="P72" s="21" t="n">
        <v>563669</v>
      </c>
      <c r="Q72" s="21" t="n">
        <v>563669</v>
      </c>
      <c r="R72" s="21">
        <f>IF(Q72="","",Q72*(1+in_GrowthRate)^(YEARFRAC(DATE(2023,12,31),in_AgeToDate)*IF(in_AgeToDate&lt;DATE(2023,12,31),-1,1)+1))</f>
        <v/>
      </c>
      <c r="S72" s="38" t="n"/>
      <c r="T72" s="43">
        <f>HYPERLINK("https://projects.propublica.org/nonprofits/organizations/381211227/202423179349102547/full","view filing")</f>
        <v/>
      </c>
    </row>
    <row r="73">
      <c r="A73" t="inlineStr">
        <is>
          <t>Charles Stewart Mott Foundation</t>
        </is>
      </c>
      <c r="B73" s="20" t="inlineStr">
        <is>
          <t>MI</t>
        </is>
      </c>
      <c r="C73" s="42" t="n">
        <v>3.6</v>
      </c>
      <c r="D73" t="inlineStr">
        <is>
          <t>Foundation</t>
        </is>
      </c>
      <c r="E73" s="20" t="n">
        <v>2023</v>
      </c>
      <c r="F73" s="20" t="inlineStr"/>
      <c r="G73" t="inlineStr">
        <is>
          <t>Stephen Vessells</t>
        </is>
      </c>
      <c r="H73" t="inlineStr">
        <is>
          <t>INVESTMENT MANAGER</t>
        </is>
      </c>
      <c r="I73" t="inlineStr">
        <is>
          <t>Investment Manager</t>
        </is>
      </c>
      <c r="J73" s="21" t="n"/>
      <c r="K73" s="21" t="n"/>
      <c r="L73" s="21" t="n"/>
      <c r="M73" s="21" t="n"/>
      <c r="N73" s="21" t="n"/>
      <c r="O73" s="21" t="n"/>
      <c r="P73" s="21" t="n">
        <v>587635</v>
      </c>
      <c r="Q73" s="21" t="n">
        <v>587635</v>
      </c>
      <c r="R73" s="21">
        <f>IF(Q73="","",Q73*(1+in_GrowthRate)^(YEARFRAC(DATE(2023,12,31),in_AgeToDate)*IF(in_AgeToDate&lt;DATE(2023,12,31),-1,1)+1))</f>
        <v/>
      </c>
      <c r="S73" s="38" t="n"/>
      <c r="T73" s="43">
        <f>HYPERLINK("https://projects.propublica.org/nonprofits/organizations/381211227/202423179349102547/full","view filing")</f>
        <v/>
      </c>
    </row>
    <row r="74">
      <c r="A74" t="inlineStr">
        <is>
          <t>Charles Stewart Mott Foundation</t>
        </is>
      </c>
      <c r="B74" s="20" t="inlineStr">
        <is>
          <t>MI</t>
        </is>
      </c>
      <c r="C74" s="42" t="n">
        <v>3.6</v>
      </c>
      <c r="D74" t="inlineStr">
        <is>
          <t>Foundation</t>
        </is>
      </c>
      <c r="E74" s="20" t="n">
        <v>2022</v>
      </c>
      <c r="F74" s="20" t="inlineStr"/>
      <c r="G74" t="inlineStr">
        <is>
          <t>Cheryl Garneau</t>
        </is>
      </c>
      <c r="H74" t="inlineStr">
        <is>
          <t>INVESTMENT MANAGER</t>
        </is>
      </c>
      <c r="I74" t="inlineStr">
        <is>
          <t>Investment Manager</t>
        </is>
      </c>
      <c r="J74" s="21" t="n"/>
      <c r="K74" s="21" t="n"/>
      <c r="L74" s="21" t="n"/>
      <c r="M74" s="21" t="n"/>
      <c r="N74" s="21" t="n"/>
      <c r="O74" s="21" t="n"/>
      <c r="P74" s="21" t="n">
        <v>576618</v>
      </c>
      <c r="Q74" s="21" t="n">
        <v>576618</v>
      </c>
      <c r="R74" s="21">
        <f>IF(Q74="","",Q74*(1+in_GrowthRate)^(YEARFRAC(DATE(2022,12,31),in_AgeToDate)*IF(in_AgeToDate&lt;DATE(2022,12,31),-1,1)+1))</f>
        <v/>
      </c>
      <c r="S74" s="38" t="n"/>
      <c r="T74" s="43">
        <f>HYPERLINK("https://projects.propublica.org/nonprofits/organizations/381211227/202323179349101022/full","view filing")</f>
        <v/>
      </c>
    </row>
    <row r="75">
      <c r="A75" t="inlineStr">
        <is>
          <t>Charles Stewart Mott Foundation</t>
        </is>
      </c>
      <c r="B75" s="20" t="inlineStr">
        <is>
          <t>MI</t>
        </is>
      </c>
      <c r="C75" s="42" t="n">
        <v>3.6</v>
      </c>
      <c r="D75" t="inlineStr">
        <is>
          <t>Foundation</t>
        </is>
      </c>
      <c r="E75" s="20" t="n">
        <v>2022</v>
      </c>
      <c r="F75" s="20" t="inlineStr"/>
      <c r="G75" t="inlineStr">
        <is>
          <t>Ken Austin</t>
        </is>
      </c>
      <c r="H75" t="inlineStr">
        <is>
          <t>INVESTMENT MANAGER</t>
        </is>
      </c>
      <c r="I75" t="inlineStr">
        <is>
          <t>Investment Manager</t>
        </is>
      </c>
      <c r="J75" s="21" t="n"/>
      <c r="K75" s="21" t="n"/>
      <c r="L75" s="21" t="n"/>
      <c r="M75" s="21" t="n"/>
      <c r="N75" s="21" t="n"/>
      <c r="O75" s="21" t="n"/>
      <c r="P75" s="21" t="n">
        <v>577398</v>
      </c>
      <c r="Q75" s="21" t="n">
        <v>577398</v>
      </c>
      <c r="R75" s="21">
        <f>IF(Q75="","",Q75*(1+in_GrowthRate)^(YEARFRAC(DATE(2022,12,31),in_AgeToDate)*IF(in_AgeToDate&lt;DATE(2022,12,31),-1,1)+1))</f>
        <v/>
      </c>
      <c r="S75" s="38" t="n"/>
      <c r="T75" s="43">
        <f>HYPERLINK("https://projects.propublica.org/nonprofits/organizations/381211227/202323179349101022/full","view filing")</f>
        <v/>
      </c>
    </row>
    <row r="76">
      <c r="A76" t="inlineStr">
        <is>
          <t>Charles Stewart Mott Foundation</t>
        </is>
      </c>
      <c r="B76" s="20" t="inlineStr">
        <is>
          <t>MI</t>
        </is>
      </c>
      <c r="C76" s="42" t="n">
        <v>3.6</v>
      </c>
      <c r="D76" t="inlineStr">
        <is>
          <t>Foundation</t>
        </is>
      </c>
      <c r="E76" s="20" t="n">
        <v>2022</v>
      </c>
      <c r="F76" s="20" t="inlineStr"/>
      <c r="G76" t="inlineStr">
        <is>
          <t>Stephen Vessells</t>
        </is>
      </c>
      <c r="H76" t="inlineStr">
        <is>
          <t>INVESTMENT MANAGER</t>
        </is>
      </c>
      <c r="I76" t="inlineStr">
        <is>
          <t>Investment Manager</t>
        </is>
      </c>
      <c r="J76" s="21" t="n"/>
      <c r="K76" s="21" t="n"/>
      <c r="L76" s="21" t="n"/>
      <c r="M76" s="21" t="n"/>
      <c r="N76" s="21" t="n"/>
      <c r="O76" s="21" t="n"/>
      <c r="P76" s="21" t="n">
        <v>584950</v>
      </c>
      <c r="Q76" s="21" t="n">
        <v>584950</v>
      </c>
      <c r="R76" s="21">
        <f>IF(Q76="","",Q76*(1+in_GrowthRate)^(YEARFRAC(DATE(2022,12,31),in_AgeToDate)*IF(in_AgeToDate&lt;DATE(2022,12,31),-1,1)+1))</f>
        <v/>
      </c>
      <c r="S76" s="38" t="n"/>
      <c r="T76" s="43">
        <f>HYPERLINK("https://projects.propublica.org/nonprofits/organizations/381211227/202323179349101022/full","view filing")</f>
        <v/>
      </c>
    </row>
    <row r="77">
      <c r="A77" t="inlineStr">
        <is>
          <t>Childrens Hospital Corporation</t>
        </is>
      </c>
      <c r="B77" s="20" t="inlineStr">
        <is>
          <t>MA</t>
        </is>
      </c>
      <c r="C77" s="42" t="n">
        <v>2.12</v>
      </c>
      <c r="D77" t="inlineStr">
        <is>
          <t>Healthcare</t>
        </is>
      </c>
      <c r="E77" s="20" t="n">
        <v>2025</v>
      </c>
      <c r="F77" s="20">
        <f>IF(AND(OR(in_Mode="All Funds",AND(C77&gt;=in_BandFloor,C77&lt;=in_BandCeiling,OR(in_Geography="National",COUNTIFS(lst_GeoPreset,in_Geography,lst_GeoState,B77)&gt;0,AND(in_Geography="Custom",ISNUMBER(SEARCH(B77,SUBSTITUTE(in_CustomStates," ",""))))),OR(AND(D77="Endowment",Inputs!$B$14="Y"),AND(D77="Foundation",Inputs!$B$15="Y"),AND(D77="Healthcare",Inputs!$B$16="Y"),AND(D77="Pension",Inputs!$B$17="Y"),AND(D77="OCIO",Inputs!$B$18="Y"),AND(D77="Other",Inputs!$B$19="Y")))),A77&lt;&gt;in_ClientOrg,NOT(AND(in_ExclHarvard="Y",ISNUMBER(SEARCH("Harvard",A77))))),"Y","")</f>
        <v/>
      </c>
      <c r="G77" t="inlineStr">
        <is>
          <t>Martin Kelly</t>
        </is>
      </c>
      <c r="H77" t="inlineStr">
        <is>
          <t>Director of Investments</t>
        </is>
      </c>
      <c r="I77" t="inlineStr">
        <is>
          <t>Director of Investments</t>
        </is>
      </c>
      <c r="J77" s="21" t="n">
        <v>517634</v>
      </c>
      <c r="K77" s="21" t="n">
        <v>286000</v>
      </c>
      <c r="L77" s="21" t="n">
        <v>803634</v>
      </c>
      <c r="M77" s="21" t="n">
        <v>3925</v>
      </c>
      <c r="N77" s="21" t="n">
        <v>31050</v>
      </c>
      <c r="O77" s="21" t="n">
        <v>15709</v>
      </c>
      <c r="P77" s="21" t="n">
        <v>854318</v>
      </c>
      <c r="Q77" s="21" t="n">
        <v>854318</v>
      </c>
      <c r="R77" s="21">
        <f>IF(Q77="","",Q77*(1+in_GrowthRate)^(YEARFRAC(DATE(2025,9,30),in_AgeToDate)*IF(in_AgeToDate&lt;DATE(2025,9,30),-1,1)+1))</f>
        <v/>
      </c>
      <c r="S77" s="38" t="n">
        <v>0.5525139384198101</v>
      </c>
      <c r="T77" s="43">
        <f>HYPERLINK("https://projects.propublica.org/nonprofits/organizations/42774441/202632279349300908/full","view filing")</f>
        <v/>
      </c>
    </row>
    <row r="78">
      <c r="A78" t="inlineStr">
        <is>
          <t>Childrens Hospital Corporation</t>
        </is>
      </c>
      <c r="B78" s="20" t="inlineStr">
        <is>
          <t>MA</t>
        </is>
      </c>
      <c r="C78" s="42" t="n">
        <v>2.12</v>
      </c>
      <c r="D78" t="inlineStr">
        <is>
          <t>Healthcare</t>
        </is>
      </c>
      <c r="E78" s="20" t="n">
        <v>2025</v>
      </c>
      <c r="F78" s="20">
        <f>IF(AND(OR(in_Mode="All Funds",AND(C78&gt;=in_BandFloor,C78&lt;=in_BandCeiling,OR(in_Geography="National",COUNTIFS(lst_GeoPreset,in_Geography,lst_GeoState,B78)&gt;0,AND(in_Geography="Custom",ISNUMBER(SEARCH(B78,SUBSTITUTE(in_CustomStates," ",""))))),OR(AND(D78="Endowment",Inputs!$B$14="Y"),AND(D78="Foundation",Inputs!$B$15="Y"),AND(D78="Healthcare",Inputs!$B$16="Y"),AND(D78="Pension",Inputs!$B$17="Y"),AND(D78="OCIO",Inputs!$B$18="Y"),AND(D78="Other",Inputs!$B$19="Y")))),A78&lt;&gt;in_ClientOrg,NOT(AND(in_ExclHarvard="Y",ISNUMBER(SEARCH("Harvard",A78))))),"Y","")</f>
        <v/>
      </c>
      <c r="G78" t="inlineStr">
        <is>
          <t>Nirav Desai</t>
        </is>
      </c>
      <c r="H78" t="inlineStr">
        <is>
          <t>Director of Investments</t>
        </is>
      </c>
      <c r="I78" t="inlineStr">
        <is>
          <t>Director of Investments</t>
        </is>
      </c>
      <c r="J78" s="21" t="n">
        <v>506738</v>
      </c>
      <c r="K78" s="21" t="n">
        <v>286000</v>
      </c>
      <c r="L78" s="21" t="n">
        <v>792738</v>
      </c>
      <c r="M78" s="21" t="n">
        <v>1489</v>
      </c>
      <c r="N78" s="21" t="n">
        <v>24150</v>
      </c>
      <c r="O78" s="21" t="n">
        <v>23169</v>
      </c>
      <c r="P78" s="21" t="n">
        <v>841546</v>
      </c>
      <c r="Q78" s="21" t="n">
        <v>841546</v>
      </c>
      <c r="R78" s="21">
        <f>IF(Q78="","",Q78*(1+in_GrowthRate)^(YEARFRAC(DATE(2025,9,30),in_AgeToDate)*IF(in_AgeToDate&lt;DATE(2025,9,30),-1,1)+1))</f>
        <v/>
      </c>
      <c r="S78" s="38" t="n">
        <v>0.5643942234448571</v>
      </c>
      <c r="T78" s="43">
        <f>HYPERLINK("https://projects.propublica.org/nonprofits/organizations/42774441/202632279349300908/full","view filing")</f>
        <v/>
      </c>
    </row>
    <row r="79">
      <c r="A79" t="inlineStr">
        <is>
          <t>Childrens Hospital Corporation</t>
        </is>
      </c>
      <c r="B79" s="20" t="inlineStr">
        <is>
          <t>MA</t>
        </is>
      </c>
      <c r="C79" s="42" t="n">
        <v>2.12</v>
      </c>
      <c r="D79" t="inlineStr">
        <is>
          <t>Healthcare</t>
        </is>
      </c>
      <c r="E79" s="20" t="n">
        <v>2024</v>
      </c>
      <c r="F79" s="20" t="inlineStr"/>
      <c r="G79" t="inlineStr">
        <is>
          <t>Martin Kelly</t>
        </is>
      </c>
      <c r="H79" t="inlineStr">
        <is>
          <t>Director, Investments</t>
        </is>
      </c>
      <c r="I79" t="inlineStr">
        <is>
          <t>Director of Investments</t>
        </is>
      </c>
      <c r="J79" s="21" t="n">
        <v>495767</v>
      </c>
      <c r="K79" s="21" t="n">
        <v>363939</v>
      </c>
      <c r="L79" s="21" t="n">
        <v>859706</v>
      </c>
      <c r="M79" s="21" t="n">
        <v>3550</v>
      </c>
      <c r="N79" s="21" t="n">
        <v>26400</v>
      </c>
      <c r="O79" s="21" t="n">
        <v>22359</v>
      </c>
      <c r="P79" s="21" t="n">
        <v>912015</v>
      </c>
      <c r="Q79" s="21" t="n">
        <v>912015</v>
      </c>
      <c r="R79" s="21">
        <f>IF(Q79="","",Q79*(1+in_GrowthRate)^(YEARFRAC(DATE(2024,9,30),in_AgeToDate)*IF(in_AgeToDate&lt;DATE(2024,9,30),-1,1)+1))</f>
        <v/>
      </c>
      <c r="S79" s="38" t="n">
        <v>0.7340928298979158</v>
      </c>
      <c r="T79" s="43">
        <f>HYPERLINK("https://projects.propublica.org/nonprofits/organizations/42774441/202532259349302368/full","view filing")</f>
        <v/>
      </c>
    </row>
    <row r="80">
      <c r="A80" t="inlineStr">
        <is>
          <t>Childrens Hospital Corporation</t>
        </is>
      </c>
      <c r="B80" s="20" t="inlineStr">
        <is>
          <t>MA</t>
        </is>
      </c>
      <c r="C80" s="42" t="n">
        <v>2.12</v>
      </c>
      <c r="D80" t="inlineStr">
        <is>
          <t>Healthcare</t>
        </is>
      </c>
      <c r="E80" s="20" t="n">
        <v>2024</v>
      </c>
      <c r="F80" s="20" t="inlineStr"/>
      <c r="G80" t="inlineStr">
        <is>
          <t>Nirav Desai</t>
        </is>
      </c>
      <c r="H80" t="inlineStr">
        <is>
          <t>Director, Investments</t>
        </is>
      </c>
      <c r="I80" t="inlineStr">
        <is>
          <t>Director of Investments</t>
        </is>
      </c>
      <c r="J80" s="21" t="n">
        <v>461157</v>
      </c>
      <c r="K80" s="21" t="n">
        <v>340707</v>
      </c>
      <c r="L80" s="21" t="n">
        <v>801864</v>
      </c>
      <c r="M80" s="21" t="n">
        <v>1282</v>
      </c>
      <c r="N80" s="21" t="n">
        <v>23100</v>
      </c>
      <c r="O80" s="21" t="n">
        <v>22803</v>
      </c>
      <c r="P80" s="21" t="n">
        <v>849049</v>
      </c>
      <c r="Q80" s="21" t="n">
        <v>849049</v>
      </c>
      <c r="R80" s="21">
        <f>IF(Q80="","",Q80*(1+in_GrowthRate)^(YEARFRAC(DATE(2024,9,30),in_AgeToDate)*IF(in_AgeToDate&lt;DATE(2024,9,30),-1,1)+1))</f>
        <v/>
      </c>
      <c r="S80" s="38" t="n">
        <v>0.7388091257424261</v>
      </c>
      <c r="T80" s="43">
        <f>HYPERLINK("https://projects.propublica.org/nonprofits/organizations/42774441/202532259349302368/full","view filing")</f>
        <v/>
      </c>
    </row>
    <row r="81">
      <c r="A81" t="inlineStr">
        <is>
          <t>Childrens Hospital Corporation</t>
        </is>
      </c>
      <c r="B81" s="20" t="inlineStr">
        <is>
          <t>MA</t>
        </is>
      </c>
      <c r="C81" s="42" t="n">
        <v>2.12</v>
      </c>
      <c r="D81" t="inlineStr">
        <is>
          <t>Healthcare</t>
        </is>
      </c>
      <c r="E81" s="20" t="n">
        <v>2023</v>
      </c>
      <c r="F81" s="20" t="inlineStr"/>
      <c r="G81" t="inlineStr">
        <is>
          <t>Alison Svizzero</t>
        </is>
      </c>
      <c r="H81" t="inlineStr">
        <is>
          <t>Director, Investments</t>
        </is>
      </c>
      <c r="I81" t="inlineStr">
        <is>
          <t>Director of Investments</t>
        </is>
      </c>
      <c r="J81" s="21" t="n">
        <v>456781</v>
      </c>
      <c r="K81" s="21" t="n">
        <v>400503</v>
      </c>
      <c r="L81" s="21" t="n">
        <v>857284</v>
      </c>
      <c r="M81" s="21" t="n">
        <v>661</v>
      </c>
      <c r="N81" s="21" t="n">
        <v>21350</v>
      </c>
      <c r="O81" s="21" t="n">
        <v>2068</v>
      </c>
      <c r="P81" s="21" t="n">
        <v>881363</v>
      </c>
      <c r="Q81" s="21" t="n">
        <v>881363</v>
      </c>
      <c r="R81" s="21">
        <f>IF(Q81="","",Q81*(1+in_GrowthRate)^(YEARFRAC(DATE(2023,9,30),in_AgeToDate)*IF(in_AgeToDate&lt;DATE(2023,9,30),-1,1)+1))</f>
        <v/>
      </c>
      <c r="S81" s="38" t="n">
        <v>0.8767943500276938</v>
      </c>
      <c r="T81" s="43">
        <f>HYPERLINK("https://projects.propublica.org/nonprofits/organizations/42774441/202422289349303527/full","view filing")</f>
        <v/>
      </c>
    </row>
    <row r="82">
      <c r="A82" t="inlineStr">
        <is>
          <t>Childrens Hospital Corporation</t>
        </is>
      </c>
      <c r="B82" s="20" t="inlineStr">
        <is>
          <t>MA</t>
        </is>
      </c>
      <c r="C82" s="42" t="n">
        <v>2.12</v>
      </c>
      <c r="D82" t="inlineStr">
        <is>
          <t>Healthcare</t>
        </is>
      </c>
      <c r="E82" s="20" t="n">
        <v>2023</v>
      </c>
      <c r="F82" s="20" t="inlineStr"/>
      <c r="G82" t="inlineStr">
        <is>
          <t>Martin Kelly</t>
        </is>
      </c>
      <c r="H82" t="inlineStr">
        <is>
          <t>Director, Investments</t>
        </is>
      </c>
      <c r="I82" t="inlineStr">
        <is>
          <t>Director of Investments</t>
        </is>
      </c>
      <c r="J82" s="21" t="n">
        <v>476080</v>
      </c>
      <c r="K82" s="21" t="n">
        <v>423003</v>
      </c>
      <c r="L82" s="21" t="n">
        <v>899083</v>
      </c>
      <c r="M82" s="21" t="n">
        <v>2358</v>
      </c>
      <c r="N82" s="21" t="n">
        <v>24400</v>
      </c>
      <c r="O82" s="21" t="n">
        <v>20083</v>
      </c>
      <c r="P82" s="21" t="n">
        <v>945924</v>
      </c>
      <c r="Q82" s="21" t="n">
        <v>945924</v>
      </c>
      <c r="R82" s="21">
        <f>IF(Q82="","",Q82*(1+in_GrowthRate)^(YEARFRAC(DATE(2023,9,30),in_AgeToDate)*IF(in_AgeToDate&lt;DATE(2023,9,30),-1,1)+1))</f>
        <v/>
      </c>
      <c r="S82" s="38" t="n">
        <v>0.8885124348848933</v>
      </c>
      <c r="T82" s="43">
        <f>HYPERLINK("https://projects.propublica.org/nonprofits/organizations/42774441/202422289349303527/full","view filing")</f>
        <v/>
      </c>
    </row>
    <row r="83">
      <c r="A83" t="inlineStr">
        <is>
          <t>Childrens Hospital Corporation</t>
        </is>
      </c>
      <c r="B83" s="20" t="inlineStr">
        <is>
          <t>MA</t>
        </is>
      </c>
      <c r="C83" s="42" t="n">
        <v>2.12</v>
      </c>
      <c r="D83" t="inlineStr">
        <is>
          <t>Healthcare</t>
        </is>
      </c>
      <c r="E83" s="20" t="n">
        <v>2023</v>
      </c>
      <c r="F83" s="20" t="inlineStr"/>
      <c r="G83" t="inlineStr">
        <is>
          <t>Nirav Desai</t>
        </is>
      </c>
      <c r="H83" t="inlineStr">
        <is>
          <t>Director, Investments</t>
        </is>
      </c>
      <c r="I83" t="inlineStr">
        <is>
          <t>Director of Investments</t>
        </is>
      </c>
      <c r="J83" s="21" t="n">
        <v>435210</v>
      </c>
      <c r="K83" s="21" t="n">
        <v>396002</v>
      </c>
      <c r="L83" s="21" t="n">
        <v>831212</v>
      </c>
      <c r="M83" s="21" t="n">
        <v>1265</v>
      </c>
      <c r="N83" s="21" t="n">
        <v>21350</v>
      </c>
      <c r="O83" s="21" t="n">
        <v>19823</v>
      </c>
      <c r="P83" s="21" t="n">
        <v>873650</v>
      </c>
      <c r="Q83" s="21" t="n">
        <v>873650</v>
      </c>
      <c r="R83" s="21">
        <f>IF(Q83="","",Q83*(1+in_GrowthRate)^(YEARFRAC(DATE(2023,9,30),in_AgeToDate)*IF(in_AgeToDate&lt;DATE(2023,9,30),-1,1)+1))</f>
        <v/>
      </c>
      <c r="S83" s="38" t="n">
        <v>0.9099101583143769</v>
      </c>
      <c r="T83" s="43">
        <f>HYPERLINK("https://projects.propublica.org/nonprofits/organizations/42774441/202422289349303527/full","view filing")</f>
        <v/>
      </c>
    </row>
    <row r="84">
      <c r="A84" t="inlineStr">
        <is>
          <t>Childrens Hospital Corporation</t>
        </is>
      </c>
      <c r="B84" s="20" t="inlineStr">
        <is>
          <t>MA</t>
        </is>
      </c>
      <c r="C84" s="42" t="n">
        <v>2.12</v>
      </c>
      <c r="D84" t="inlineStr">
        <is>
          <t>Healthcare</t>
        </is>
      </c>
      <c r="E84" s="20" t="n">
        <v>2022</v>
      </c>
      <c r="F84" s="20" t="inlineStr"/>
      <c r="G84" t="inlineStr">
        <is>
          <t>Alison Svizzero</t>
        </is>
      </c>
      <c r="H84" t="inlineStr">
        <is>
          <t>Director, Investments</t>
        </is>
      </c>
      <c r="I84" t="inlineStr">
        <is>
          <t>Director of Investments</t>
        </is>
      </c>
      <c r="J84" s="21" t="n">
        <v>421152</v>
      </c>
      <c r="K84" s="21" t="n">
        <v>401703</v>
      </c>
      <c r="L84" s="21" t="n">
        <v>822855</v>
      </c>
      <c r="M84" s="21" t="n">
        <v>617</v>
      </c>
      <c r="N84" s="21" t="n">
        <v>20300</v>
      </c>
      <c r="O84" s="21" t="n">
        <v>1430</v>
      </c>
      <c r="P84" s="21" t="n">
        <v>845202</v>
      </c>
      <c r="Q84" s="21" t="n">
        <v>845202</v>
      </c>
      <c r="R84" s="21">
        <f>IF(Q84="","",Q84*(1+in_GrowthRate)^(YEARFRAC(DATE(2022,9,30),in_AgeToDate)*IF(in_AgeToDate&lt;DATE(2022,9,30),-1,1)+1))</f>
        <v/>
      </c>
      <c r="S84" s="38" t="n">
        <v>0.9538195235924322</v>
      </c>
      <c r="T84" s="43">
        <f>HYPERLINK("https://projects.propublica.org/nonprofits/organizations/42774441/202302269349301075/full","view filing")</f>
        <v/>
      </c>
    </row>
    <row r="85">
      <c r="A85" t="inlineStr">
        <is>
          <t>Childrens Hospital Corporation</t>
        </is>
      </c>
      <c r="B85" s="20" t="inlineStr">
        <is>
          <t>MA</t>
        </is>
      </c>
      <c r="C85" s="42" t="n">
        <v>2.12</v>
      </c>
      <c r="D85" t="inlineStr">
        <is>
          <t>Healthcare</t>
        </is>
      </c>
      <c r="E85" s="20" t="n">
        <v>2022</v>
      </c>
      <c r="F85" s="20" t="inlineStr"/>
      <c r="G85" t="inlineStr">
        <is>
          <t>Martin Kelly</t>
        </is>
      </c>
      <c r="H85" t="inlineStr">
        <is>
          <t>Director, Investments</t>
        </is>
      </c>
      <c r="I85" t="inlineStr">
        <is>
          <t>Director of Investments</t>
        </is>
      </c>
      <c r="J85" s="21" t="n">
        <v>431943</v>
      </c>
      <c r="K85" s="21" t="n">
        <v>424204</v>
      </c>
      <c r="L85" s="21" t="n">
        <v>856147</v>
      </c>
      <c r="M85" s="21" t="n">
        <v>2173</v>
      </c>
      <c r="N85" s="21" t="n">
        <v>23200</v>
      </c>
      <c r="O85" s="21" t="n">
        <v>19474</v>
      </c>
      <c r="P85" s="21" t="n">
        <v>900994</v>
      </c>
      <c r="Q85" s="21" t="n">
        <v>900994</v>
      </c>
      <c r="R85" s="21">
        <f>IF(Q85="","",Q85*(1+in_GrowthRate)^(YEARFRAC(DATE(2022,9,30),in_AgeToDate)*IF(in_AgeToDate&lt;DATE(2022,9,30),-1,1)+1))</f>
        <v/>
      </c>
      <c r="S85" s="38" t="n">
        <v>0.9820832841370274</v>
      </c>
      <c r="T85" s="43">
        <f>HYPERLINK("https://projects.propublica.org/nonprofits/organizations/42774441/202302269349301075/full","view filing")</f>
        <v/>
      </c>
    </row>
    <row r="86">
      <c r="A86" t="inlineStr">
        <is>
          <t>Childrens Hospital Corporation</t>
        </is>
      </c>
      <c r="B86" s="20" t="inlineStr">
        <is>
          <t>MA</t>
        </is>
      </c>
      <c r="C86" s="42" t="n">
        <v>2.12</v>
      </c>
      <c r="D86" t="inlineStr">
        <is>
          <t>Healthcare</t>
        </is>
      </c>
      <c r="E86" s="20" t="n">
        <v>2022</v>
      </c>
      <c r="F86" s="20" t="inlineStr"/>
      <c r="G86" t="inlineStr">
        <is>
          <t>Nirav Desai</t>
        </is>
      </c>
      <c r="H86" t="inlineStr">
        <is>
          <t>Director, Investments</t>
        </is>
      </c>
      <c r="I86" t="inlineStr">
        <is>
          <t>Director of Investments</t>
        </is>
      </c>
      <c r="J86" s="21" t="n">
        <v>408521</v>
      </c>
      <c r="K86" s="21" t="n">
        <v>397203</v>
      </c>
      <c r="L86" s="21" t="n">
        <v>805724</v>
      </c>
      <c r="M86" s="21" t="n">
        <v>1166</v>
      </c>
      <c r="N86" s="21" t="n">
        <v>20300</v>
      </c>
      <c r="O86" s="21" t="n">
        <v>18054</v>
      </c>
      <c r="P86" s="21" t="n">
        <v>845244</v>
      </c>
      <c r="Q86" s="21" t="n">
        <v>845244</v>
      </c>
      <c r="R86" s="21">
        <f>IF(Q86="","",Q86*(1+in_GrowthRate)^(YEARFRAC(DATE(2022,9,30),in_AgeToDate)*IF(in_AgeToDate&lt;DATE(2022,9,30),-1,1)+1))</f>
        <v/>
      </c>
      <c r="S86" s="38" t="n">
        <v>0.9722951818878344</v>
      </c>
      <c r="T86" s="43">
        <f>HYPERLINK("https://projects.propublica.org/nonprofits/organizations/42774441/202302269349301075/full","view filing")</f>
        <v/>
      </c>
    </row>
    <row r="87">
      <c r="A87" t="inlineStr">
        <is>
          <t>Colgate University Treasurers Office</t>
        </is>
      </c>
      <c r="B87" s="20" t="inlineStr">
        <is>
          <t>NY</t>
        </is>
      </c>
      <c r="C87" s="42" t="n">
        <v>1.6</v>
      </c>
      <c r="D87" t="inlineStr">
        <is>
          <t>Endowment</t>
        </is>
      </c>
      <c r="E87" s="20" t="n">
        <v>2022</v>
      </c>
      <c r="F87" s="20" t="inlineStr"/>
      <c r="G87" t="inlineStr">
        <is>
          <t>Brendt Simpson</t>
        </is>
      </c>
      <c r="H87" t="inlineStr">
        <is>
          <t>INVESTMENT DIRECTOR</t>
        </is>
      </c>
      <c r="I87" t="inlineStr">
        <is>
          <t>Director of Investments</t>
        </is>
      </c>
      <c r="J87" s="21" t="n">
        <v>181727</v>
      </c>
      <c r="K87" s="21" t="n">
        <v>84194</v>
      </c>
      <c r="L87" s="21" t="n">
        <v>265921</v>
      </c>
      <c r="M87" s="21" t="n">
        <v>1002</v>
      </c>
      <c r="N87" s="21" t="n">
        <v>21540</v>
      </c>
      <c r="O87" s="21" t="n">
        <v>15981</v>
      </c>
      <c r="P87" s="21" t="n">
        <v>304444</v>
      </c>
      <c r="Q87" s="21" t="n">
        <v>304444</v>
      </c>
      <c r="R87" s="21">
        <f>IF(Q87="","",Q87*(1+in_GrowthRate)^(YEARFRAC(DATE(2022,6,30),in_AgeToDate)*IF(in_AgeToDate&lt;DATE(2022,6,30),-1,1)+1))</f>
        <v/>
      </c>
      <c r="S87" s="38" t="n">
        <v>0.4632993446213276</v>
      </c>
      <c r="T87" s="43">
        <f>HYPERLINK("https://projects.propublica.org/nonprofits/organizations/150532078/202311329349302786/full","view filing")</f>
        <v/>
      </c>
    </row>
    <row r="88">
      <c r="A88" t="inlineStr">
        <is>
          <t>Community Foundation For Greater New Haven</t>
        </is>
      </c>
      <c r="B88" s="20" t="inlineStr">
        <is>
          <t>CT</t>
        </is>
      </c>
      <c r="C88" s="42" t="n">
        <v>0.61</v>
      </c>
      <c r="D88" t="inlineStr">
        <is>
          <t>Foundation</t>
        </is>
      </c>
      <c r="E88" s="20" t="n">
        <v>2022</v>
      </c>
      <c r="F88" s="20" t="inlineStr"/>
      <c r="G88" t="inlineStr">
        <is>
          <t>Andrew F Alden</t>
        </is>
      </c>
      <c r="H88" t="inlineStr">
        <is>
          <t>SR. VP FOR INVESTMENTS</t>
        </is>
      </c>
      <c r="I88" t="inlineStr">
        <is>
          <t>Director of Investments</t>
        </is>
      </c>
      <c r="J88" s="21" t="n">
        <v>366693</v>
      </c>
      <c r="K88" s="21" t="n"/>
      <c r="L88" s="21" t="n">
        <v>366693</v>
      </c>
      <c r="M88" s="21" t="n"/>
      <c r="N88" s="21" t="n">
        <v>29335</v>
      </c>
      <c r="O88" s="21" t="n">
        <v>23596</v>
      </c>
      <c r="P88" s="21" t="n">
        <v>419624</v>
      </c>
      <c r="Q88" s="21" t="n">
        <v>419624</v>
      </c>
      <c r="R88" s="21">
        <f>IF(Q88="","",Q88*(1+in_GrowthRate)^(YEARFRAC(DATE(2022,12,31),in_AgeToDate)*IF(in_AgeToDate&lt;DATE(2022,12,31),-1,1)+1))</f>
        <v/>
      </c>
      <c r="S88" s="38" t="n">
        <v>0</v>
      </c>
      <c r="T88" s="43">
        <f>HYPERLINK("https://projects.propublica.org/nonprofits/organizations/66032106/202333199349326213/full","view filing")</f>
        <v/>
      </c>
    </row>
    <row r="89">
      <c r="A89" t="inlineStr">
        <is>
          <t>Conrad N Hilton Foundation</t>
        </is>
      </c>
      <c r="B89" s="20" t="inlineStr">
        <is>
          <t>CA</t>
        </is>
      </c>
      <c r="C89" s="42" t="n">
        <v>6.78</v>
      </c>
      <c r="D89" t="inlineStr">
        <is>
          <t>Foundation</t>
        </is>
      </c>
      <c r="E89" s="20" t="n">
        <v>2024</v>
      </c>
      <c r="F89" s="20">
        <f>IF(AND(OR(in_Mode="All Funds",AND(C89&gt;=in_BandFloor,C89&lt;=in_BandCeiling,OR(in_Geography="National",COUNTIFS(lst_GeoPreset,in_Geography,lst_GeoState,B89)&gt;0,AND(in_Geography="Custom",ISNUMBER(SEARCH(B89,SUBSTITUTE(in_CustomStates," ",""))))),OR(AND(D89="Endowment",Inputs!$B$14="Y"),AND(D89="Foundation",Inputs!$B$15="Y"),AND(D89="Healthcare",Inputs!$B$16="Y"),AND(D89="Pension",Inputs!$B$17="Y"),AND(D89="OCIO",Inputs!$B$18="Y"),AND(D89="Other",Inputs!$B$19="Y")))),A89&lt;&gt;in_ClientOrg,NOT(AND(in_ExclHarvard="Y",ISNUMBER(SEARCH("Harvard",A89))))),"Y","")</f>
        <v/>
      </c>
      <c r="G89" t="inlineStr">
        <is>
          <t>James Kim</t>
        </is>
      </c>
      <c r="H89" t="inlineStr">
        <is>
          <t>DIRECTOR OF INVESTME</t>
        </is>
      </c>
      <c r="I89" t="inlineStr">
        <is>
          <t>Director of Investments</t>
        </is>
      </c>
      <c r="J89" s="21" t="n"/>
      <c r="K89" s="21" t="n"/>
      <c r="L89" s="21" t="n"/>
      <c r="M89" s="21" t="n"/>
      <c r="N89" s="21" t="n"/>
      <c r="O89" s="21" t="n"/>
      <c r="P89" s="21" t="n">
        <v>726931</v>
      </c>
      <c r="Q89" s="21" t="n">
        <v>726931</v>
      </c>
      <c r="R89" s="21">
        <f>IF(Q89="","",Q89*(1+in_GrowthRate)^(YEARFRAC(DATE(2024,12,31),in_AgeToDate)*IF(in_AgeToDate&lt;DATE(2024,12,31),-1,1)+1))</f>
        <v/>
      </c>
      <c r="S89" s="38" t="n"/>
      <c r="T89" s="43">
        <f>HYPERLINK("https://projects.propublica.org/nonprofits/organizations/943100217/202533189349104213/full","view filing")</f>
        <v/>
      </c>
    </row>
    <row r="90">
      <c r="A90" t="inlineStr">
        <is>
          <t>Conrad N Hilton Foundation</t>
        </is>
      </c>
      <c r="B90" s="20" t="inlineStr">
        <is>
          <t>CA</t>
        </is>
      </c>
      <c r="C90" s="42" t="n">
        <v>6.78</v>
      </c>
      <c r="D90" t="inlineStr">
        <is>
          <t>Foundation</t>
        </is>
      </c>
      <c r="E90" s="20" t="n">
        <v>2024</v>
      </c>
      <c r="F90" s="20">
        <f>IF(AND(OR(in_Mode="All Funds",AND(C90&gt;=in_BandFloor,C90&lt;=in_BandCeiling,OR(in_Geography="National",COUNTIFS(lst_GeoPreset,in_Geography,lst_GeoState,B90)&gt;0,AND(in_Geography="Custom",ISNUMBER(SEARCH(B90,SUBSTITUTE(in_CustomStates," ",""))))),OR(AND(D90="Endowment",Inputs!$B$14="Y"),AND(D90="Foundation",Inputs!$B$15="Y"),AND(D90="Healthcare",Inputs!$B$16="Y"),AND(D90="Pension",Inputs!$B$17="Y"),AND(D90="OCIO",Inputs!$B$18="Y"),AND(D90="Other",Inputs!$B$19="Y")))),A90&lt;&gt;in_ClientOrg,NOT(AND(in_ExclHarvard="Y",ISNUMBER(SEARCH("Harvard",A90))))),"Y","")</f>
        <v/>
      </c>
      <c r="G90" t="inlineStr">
        <is>
          <t>Jonathon Schroeder</t>
        </is>
      </c>
      <c r="H90" t="inlineStr">
        <is>
          <t>DIRECTOR OF INVESTME</t>
        </is>
      </c>
      <c r="I90" t="inlineStr">
        <is>
          <t>Director of Investments</t>
        </is>
      </c>
      <c r="J90" s="21" t="n"/>
      <c r="K90" s="21" t="n"/>
      <c r="L90" s="21" t="n"/>
      <c r="M90" s="21" t="n"/>
      <c r="N90" s="21" t="n"/>
      <c r="O90" s="21" t="n"/>
      <c r="P90" s="21" t="n">
        <v>733727</v>
      </c>
      <c r="Q90" s="21" t="n">
        <v>733727</v>
      </c>
      <c r="R90" s="21">
        <f>IF(Q90="","",Q90*(1+in_GrowthRate)^(YEARFRAC(DATE(2024,12,31),in_AgeToDate)*IF(in_AgeToDate&lt;DATE(2024,12,31),-1,1)+1))</f>
        <v/>
      </c>
      <c r="S90" s="38" t="n"/>
      <c r="T90" s="43">
        <f>HYPERLINK("https://projects.propublica.org/nonprofits/organizations/943100217/202533189349104213/full","view filing")</f>
        <v/>
      </c>
    </row>
    <row r="91">
      <c r="A91" t="inlineStr">
        <is>
          <t>Conrad N Hilton Foundation</t>
        </is>
      </c>
      <c r="B91" s="20" t="inlineStr">
        <is>
          <t>CA</t>
        </is>
      </c>
      <c r="C91" s="42" t="n">
        <v>6.78</v>
      </c>
      <c r="D91" t="inlineStr">
        <is>
          <t>Foundation</t>
        </is>
      </c>
      <c r="E91" s="20" t="n">
        <v>2024</v>
      </c>
      <c r="F91" s="20">
        <f>IF(AND(OR(in_Mode="All Funds",AND(C91&gt;=in_BandFloor,C91&lt;=in_BandCeiling,OR(in_Geography="National",COUNTIFS(lst_GeoPreset,in_Geography,lst_GeoState,B91)&gt;0,AND(in_Geography="Custom",ISNUMBER(SEARCH(B91,SUBSTITUTE(in_CustomStates," ",""))))),OR(AND(D91="Endowment",Inputs!$B$14="Y"),AND(D91="Foundation",Inputs!$B$15="Y"),AND(D91="Healthcare",Inputs!$B$16="Y"),AND(D91="Pension",Inputs!$B$17="Y"),AND(D91="OCIO",Inputs!$B$18="Y"),AND(D91="Other",Inputs!$B$19="Y")))),A91&lt;&gt;in_ClientOrg,NOT(AND(in_ExclHarvard="Y",ISNUMBER(SEARCH("Harvard",A91))))),"Y","")</f>
        <v/>
      </c>
      <c r="G91" t="inlineStr">
        <is>
          <t>Kevin English</t>
        </is>
      </c>
      <c r="H91" t="inlineStr">
        <is>
          <t>DIRECTOR OF INVESTME</t>
        </is>
      </c>
      <c r="I91" t="inlineStr">
        <is>
          <t>Director of Investments</t>
        </is>
      </c>
      <c r="J91" s="21" t="n"/>
      <c r="K91" s="21" t="n"/>
      <c r="L91" s="21" t="n"/>
      <c r="M91" s="21" t="n"/>
      <c r="N91" s="21" t="n"/>
      <c r="O91" s="21" t="n"/>
      <c r="P91" s="21" t="n">
        <v>634045</v>
      </c>
      <c r="Q91" s="21" t="n">
        <v>634045</v>
      </c>
      <c r="R91" s="21">
        <f>IF(Q91="","",Q91*(1+in_GrowthRate)^(YEARFRAC(DATE(2024,12,31),in_AgeToDate)*IF(in_AgeToDate&lt;DATE(2024,12,31),-1,1)+1))</f>
        <v/>
      </c>
      <c r="S91" s="38" t="n"/>
      <c r="T91" s="43">
        <f>HYPERLINK("https://projects.propublica.org/nonprofits/organizations/943100217/202533189349104213/full","view filing")</f>
        <v/>
      </c>
    </row>
    <row r="92">
      <c r="A92" t="inlineStr">
        <is>
          <t>Conrad N Hilton Foundation</t>
        </is>
      </c>
      <c r="B92" s="20" t="inlineStr">
        <is>
          <t>CA</t>
        </is>
      </c>
      <c r="C92" s="42" t="n">
        <v>6.78</v>
      </c>
      <c r="D92" t="inlineStr">
        <is>
          <t>Foundation</t>
        </is>
      </c>
      <c r="E92" s="20" t="n">
        <v>2023</v>
      </c>
      <c r="F92" s="20" t="inlineStr"/>
      <c r="G92" t="inlineStr">
        <is>
          <t>James Kim</t>
        </is>
      </c>
      <c r="H92" t="inlineStr">
        <is>
          <t>DIRECTOR OF INVESTME</t>
        </is>
      </c>
      <c r="I92" t="inlineStr">
        <is>
          <t>Director of Investments</t>
        </is>
      </c>
      <c r="J92" s="21" t="n"/>
      <c r="K92" s="21" t="n"/>
      <c r="L92" s="21" t="n"/>
      <c r="M92" s="21" t="n"/>
      <c r="N92" s="21" t="n"/>
      <c r="O92" s="21" t="n"/>
      <c r="P92" s="21" t="n">
        <v>691985</v>
      </c>
      <c r="Q92" s="21" t="n">
        <v>691985</v>
      </c>
      <c r="R92" s="21">
        <f>IF(Q92="","",Q92*(1+in_GrowthRate)^(YEARFRAC(DATE(2023,12,31),in_AgeToDate)*IF(in_AgeToDate&lt;DATE(2023,12,31),-1,1)+1))</f>
        <v/>
      </c>
      <c r="S92" s="38" t="n"/>
      <c r="T92" s="43">
        <f>HYPERLINK("https://projects.propublica.org/nonprofits/organizations/943100217/202443209349101314/full","view filing")</f>
        <v/>
      </c>
    </row>
    <row r="93">
      <c r="A93" t="inlineStr">
        <is>
          <t>Conrad N Hilton Foundation</t>
        </is>
      </c>
      <c r="B93" s="20" t="inlineStr">
        <is>
          <t>CA</t>
        </is>
      </c>
      <c r="C93" s="42" t="n">
        <v>6.78</v>
      </c>
      <c r="D93" t="inlineStr">
        <is>
          <t>Foundation</t>
        </is>
      </c>
      <c r="E93" s="20" t="n">
        <v>2023</v>
      </c>
      <c r="F93" s="20" t="inlineStr"/>
      <c r="G93" t="inlineStr">
        <is>
          <t>Jonathon Schroeder</t>
        </is>
      </c>
      <c r="H93" t="inlineStr">
        <is>
          <t>DIRECTOR OF INVESTME</t>
        </is>
      </c>
      <c r="I93" t="inlineStr">
        <is>
          <t>Director of Investments</t>
        </is>
      </c>
      <c r="J93" s="21" t="n"/>
      <c r="K93" s="21" t="n"/>
      <c r="L93" s="21" t="n"/>
      <c r="M93" s="21" t="n"/>
      <c r="N93" s="21" t="n"/>
      <c r="O93" s="21" t="n"/>
      <c r="P93" s="21" t="n">
        <v>738293</v>
      </c>
      <c r="Q93" s="21" t="n">
        <v>738293</v>
      </c>
      <c r="R93" s="21">
        <f>IF(Q93="","",Q93*(1+in_GrowthRate)^(YEARFRAC(DATE(2023,12,31),in_AgeToDate)*IF(in_AgeToDate&lt;DATE(2023,12,31),-1,1)+1))</f>
        <v/>
      </c>
      <c r="S93" s="38" t="n"/>
      <c r="T93" s="43">
        <f>HYPERLINK("https://projects.propublica.org/nonprofits/organizations/943100217/202443209349101314/full","view filing")</f>
        <v/>
      </c>
    </row>
    <row r="94">
      <c r="A94" t="inlineStr">
        <is>
          <t>Conrad N Hilton Foundation</t>
        </is>
      </c>
      <c r="B94" s="20" t="inlineStr">
        <is>
          <t>CA</t>
        </is>
      </c>
      <c r="C94" s="42" t="n">
        <v>6.78</v>
      </c>
      <c r="D94" t="inlineStr">
        <is>
          <t>Foundation</t>
        </is>
      </c>
      <c r="E94" s="20" t="n">
        <v>2023</v>
      </c>
      <c r="F94" s="20" t="inlineStr"/>
      <c r="G94" t="inlineStr">
        <is>
          <t>Kevin English</t>
        </is>
      </c>
      <c r="H94" t="inlineStr">
        <is>
          <t>DIRECTOR OF INVESTME</t>
        </is>
      </c>
      <c r="I94" t="inlineStr">
        <is>
          <t>Director of Investments</t>
        </is>
      </c>
      <c r="J94" s="21" t="n"/>
      <c r="K94" s="21" t="n"/>
      <c r="L94" s="21" t="n"/>
      <c r="M94" s="21" t="n"/>
      <c r="N94" s="21" t="n"/>
      <c r="O94" s="21" t="n"/>
      <c r="P94" s="21" t="n">
        <v>427775</v>
      </c>
      <c r="Q94" s="21" t="n">
        <v>427775</v>
      </c>
      <c r="R94" s="21">
        <f>IF(Q94="","",Q94*(1+in_GrowthRate)^(YEARFRAC(DATE(2023,12,31),in_AgeToDate)*IF(in_AgeToDate&lt;DATE(2023,12,31),-1,1)+1))</f>
        <v/>
      </c>
      <c r="S94" s="38" t="n"/>
      <c r="T94" s="43">
        <f>HYPERLINK("https://projects.propublica.org/nonprofits/organizations/943100217/202443209349101314/full","view filing")</f>
        <v/>
      </c>
    </row>
    <row r="95">
      <c r="A95" t="inlineStr">
        <is>
          <t>Conrad N Hilton Foundation</t>
        </is>
      </c>
      <c r="B95" s="20" t="inlineStr">
        <is>
          <t>CA</t>
        </is>
      </c>
      <c r="C95" s="42" t="n">
        <v>6.78</v>
      </c>
      <c r="D95" t="inlineStr">
        <is>
          <t>Foundation</t>
        </is>
      </c>
      <c r="E95" s="20" t="n">
        <v>2022</v>
      </c>
      <c r="F95" s="20" t="inlineStr"/>
      <c r="G95" t="inlineStr">
        <is>
          <t>Deron Brown End 0822</t>
        </is>
      </c>
      <c r="H95" t="inlineStr">
        <is>
          <t>DIRECTOR OF INVESTME</t>
        </is>
      </c>
      <c r="I95" t="inlineStr">
        <is>
          <t>Director of Investments</t>
        </is>
      </c>
      <c r="J95" s="21" t="n"/>
      <c r="K95" s="21" t="n"/>
      <c r="L95" s="21" t="n"/>
      <c r="M95" s="21" t="n"/>
      <c r="N95" s="21" t="n"/>
      <c r="O95" s="21" t="n"/>
      <c r="P95" s="21" t="n">
        <v>434790</v>
      </c>
      <c r="Q95" s="21" t="n">
        <v>434790</v>
      </c>
      <c r="R95" s="21">
        <f>IF(Q95="","",Q95*(1+in_GrowthRate)^(YEARFRAC(DATE(2022,12,31),in_AgeToDate)*IF(in_AgeToDate&lt;DATE(2022,12,31),-1,1)+1))</f>
        <v/>
      </c>
      <c r="S95" s="38" t="n"/>
      <c r="T95" s="43">
        <f>HYPERLINK("https://projects.propublica.org/nonprofits/organizations/943100217/202343199349103139/full","view filing")</f>
        <v/>
      </c>
    </row>
    <row r="96">
      <c r="A96" t="inlineStr">
        <is>
          <t>Conrad N Hilton Foundation</t>
        </is>
      </c>
      <c r="B96" s="20" t="inlineStr">
        <is>
          <t>CA</t>
        </is>
      </c>
      <c r="C96" s="42" t="n">
        <v>6.78</v>
      </c>
      <c r="D96" t="inlineStr">
        <is>
          <t>Foundation</t>
        </is>
      </c>
      <c r="E96" s="20" t="n">
        <v>2022</v>
      </c>
      <c r="F96" s="20" t="inlineStr"/>
      <c r="G96" t="inlineStr">
        <is>
          <t>James Kim</t>
        </is>
      </c>
      <c r="H96" t="inlineStr">
        <is>
          <t>DIRECTOR OF INVESTME</t>
        </is>
      </c>
      <c r="I96" t="inlineStr">
        <is>
          <t>Director of Investments</t>
        </is>
      </c>
      <c r="J96" s="21" t="n"/>
      <c r="K96" s="21" t="n"/>
      <c r="L96" s="21" t="n"/>
      <c r="M96" s="21" t="n"/>
      <c r="N96" s="21" t="n"/>
      <c r="O96" s="21" t="n"/>
      <c r="P96" s="21" t="n">
        <v>945663</v>
      </c>
      <c r="Q96" s="21" t="n">
        <v>945663</v>
      </c>
      <c r="R96" s="21">
        <f>IF(Q96="","",Q96*(1+in_GrowthRate)^(YEARFRAC(DATE(2022,12,31),in_AgeToDate)*IF(in_AgeToDate&lt;DATE(2022,12,31),-1,1)+1))</f>
        <v/>
      </c>
      <c r="S96" s="38" t="n"/>
      <c r="T96" s="43">
        <f>HYPERLINK("https://projects.propublica.org/nonprofits/organizations/943100217/202343199349103139/full","view filing")</f>
        <v/>
      </c>
    </row>
    <row r="97">
      <c r="A97" t="inlineStr">
        <is>
          <t>Conrad N Hilton Foundation</t>
        </is>
      </c>
      <c r="B97" s="20" t="inlineStr">
        <is>
          <t>CA</t>
        </is>
      </c>
      <c r="C97" s="42" t="n">
        <v>6.78</v>
      </c>
      <c r="D97" t="inlineStr">
        <is>
          <t>Foundation</t>
        </is>
      </c>
      <c r="E97" s="20" t="n">
        <v>2022</v>
      </c>
      <c r="F97" s="20" t="inlineStr"/>
      <c r="G97" t="inlineStr">
        <is>
          <t>Jonathon Schroeder</t>
        </is>
      </c>
      <c r="H97" t="inlineStr">
        <is>
          <t>DIRECTOR OF INVESTME</t>
        </is>
      </c>
      <c r="I97" t="inlineStr">
        <is>
          <t>Director of Investments</t>
        </is>
      </c>
      <c r="J97" s="21" t="n"/>
      <c r="K97" s="21" t="n"/>
      <c r="L97" s="21" t="n"/>
      <c r="M97" s="21" t="n"/>
      <c r="N97" s="21" t="n"/>
      <c r="O97" s="21" t="n"/>
      <c r="P97" s="21" t="n">
        <v>997072</v>
      </c>
      <c r="Q97" s="21" t="n">
        <v>997072</v>
      </c>
      <c r="R97" s="21">
        <f>IF(Q97="","",Q97*(1+in_GrowthRate)^(YEARFRAC(DATE(2022,12,31),in_AgeToDate)*IF(in_AgeToDate&lt;DATE(2022,12,31),-1,1)+1))</f>
        <v/>
      </c>
      <c r="S97" s="38" t="n"/>
      <c r="T97" s="43">
        <f>HYPERLINK("https://projects.propublica.org/nonprofits/organizations/943100217/202343199349103139/full","view filing")</f>
        <v/>
      </c>
    </row>
    <row r="98">
      <c r="A98" t="inlineStr">
        <is>
          <t>Conrad N Hilton Foundation</t>
        </is>
      </c>
      <c r="B98" s="20" t="inlineStr">
        <is>
          <t>CA</t>
        </is>
      </c>
      <c r="C98" s="42" t="n">
        <v>6.78</v>
      </c>
      <c r="D98" t="inlineStr">
        <is>
          <t>Foundation</t>
        </is>
      </c>
      <c r="E98" s="20" t="n">
        <v>2022</v>
      </c>
      <c r="F98" s="20" t="inlineStr"/>
      <c r="G98" t="inlineStr">
        <is>
          <t>Zane Hamilton End 0522</t>
        </is>
      </c>
      <c r="H98" t="inlineStr">
        <is>
          <t>DIRECTOR OF INVESTME</t>
        </is>
      </c>
      <c r="I98" t="inlineStr">
        <is>
          <t>Director of Investments</t>
        </is>
      </c>
      <c r="J98" s="21" t="n"/>
      <c r="K98" s="21" t="n"/>
      <c r="L98" s="21" t="n"/>
      <c r="M98" s="21" t="n"/>
      <c r="N98" s="21" t="n"/>
      <c r="O98" s="21" t="n"/>
      <c r="P98" s="21" t="n">
        <v>501659</v>
      </c>
      <c r="Q98" s="21" t="n">
        <v>501659</v>
      </c>
      <c r="R98" s="21">
        <f>IF(Q98="","",Q98*(1+in_GrowthRate)^(YEARFRAC(DATE(2022,12,31),in_AgeToDate)*IF(in_AgeToDate&lt;DATE(2022,12,31),-1,1)+1))</f>
        <v/>
      </c>
      <c r="S98" s="38" t="n"/>
      <c r="T98" s="43">
        <f>HYPERLINK("https://projects.propublica.org/nonprofits/organizations/943100217/202343199349103139/full","view filing")</f>
        <v/>
      </c>
    </row>
    <row r="99">
      <c r="A99" t="inlineStr">
        <is>
          <t>Council On Foreign Relations Inc</t>
        </is>
      </c>
      <c r="B99" s="20" t="inlineStr">
        <is>
          <t>NY</t>
        </is>
      </c>
      <c r="C99" s="42" t="n">
        <v>0.73</v>
      </c>
      <c r="D99" t="inlineStr">
        <is>
          <t>Other</t>
        </is>
      </c>
      <c r="E99" s="20" t="n">
        <v>2023</v>
      </c>
      <c r="F99" s="20" t="inlineStr"/>
      <c r="G99" t="inlineStr">
        <is>
          <t>Raquel L Chmielewski</t>
        </is>
      </c>
      <c r="H99" t="inlineStr">
        <is>
          <t>DIRECTOR, INVESTMENTS</t>
        </is>
      </c>
      <c r="I99" t="inlineStr">
        <is>
          <t>Director of Investments</t>
        </is>
      </c>
      <c r="J99" s="21" t="n">
        <v>267602</v>
      </c>
      <c r="K99" s="21" t="n">
        <v>41500</v>
      </c>
      <c r="L99" s="21" t="n">
        <v>309102</v>
      </c>
      <c r="M99" s="21" t="n">
        <v>240</v>
      </c>
      <c r="N99" s="21" t="n">
        <v>21964</v>
      </c>
      <c r="O99" s="21" t="n">
        <v>6950</v>
      </c>
      <c r="P99" s="21" t="n">
        <v>338256</v>
      </c>
      <c r="Q99" s="21" t="n">
        <v>338256</v>
      </c>
      <c r="R99" s="21">
        <f>IF(Q99="","",Q99*(1+in_GrowthRate)^(YEARFRAC(DATE(2023,6,30),in_AgeToDate)*IF(in_AgeToDate&lt;DATE(2023,6,30),-1,1)+1))</f>
        <v/>
      </c>
      <c r="S99" s="38" t="n">
        <v>0.1550810532058804</v>
      </c>
      <c r="T99" s="43">
        <f>HYPERLINK("https://projects.propublica.org/nonprofits/organizations/131628168/202430169349300598/full","view filing")</f>
        <v/>
      </c>
    </row>
    <row r="100">
      <c r="A100" t="inlineStr">
        <is>
          <t>Council On Foreign Relations Inc</t>
        </is>
      </c>
      <c r="B100" s="20" t="inlineStr">
        <is>
          <t>NY</t>
        </is>
      </c>
      <c r="C100" s="42" t="n">
        <v>0.73</v>
      </c>
      <c r="D100" t="inlineStr">
        <is>
          <t>Other</t>
        </is>
      </c>
      <c r="E100" s="20" t="n">
        <v>2022</v>
      </c>
      <c r="F100" s="20" t="inlineStr"/>
      <c r="G100" t="inlineStr">
        <is>
          <t>Raquel L Chmielewski</t>
        </is>
      </c>
      <c r="H100" t="inlineStr">
        <is>
          <t>DIRECTOR, INVESTMENTS</t>
        </is>
      </c>
      <c r="I100" t="inlineStr">
        <is>
          <t>Director of Investments</t>
        </is>
      </c>
      <c r="J100" s="21" t="n">
        <v>257598</v>
      </c>
      <c r="K100" s="21" t="n">
        <v>47000</v>
      </c>
      <c r="L100" s="21" t="n">
        <v>304598</v>
      </c>
      <c r="M100" s="21" t="n"/>
      <c r="N100" s="21" t="n">
        <v>21166</v>
      </c>
      <c r="O100" s="21" t="n">
        <v>7952</v>
      </c>
      <c r="P100" s="21" t="n">
        <v>333716</v>
      </c>
      <c r="Q100" s="21" t="n">
        <v>333716</v>
      </c>
      <c r="R100" s="21">
        <f>IF(Q100="","",Q100*(1+in_GrowthRate)^(YEARFRAC(DATE(2022,6,30),in_AgeToDate)*IF(in_AgeToDate&lt;DATE(2022,6,30),-1,1)+1))</f>
        <v/>
      </c>
      <c r="S100" s="38" t="n">
        <v>0.1824548327238565</v>
      </c>
      <c r="T100" s="43">
        <f>HYPERLINK("https://projects.propublica.org/nonprofits/organizations/131628168/202320239349301607/full","view filing")</f>
        <v/>
      </c>
    </row>
    <row r="101">
      <c r="A101" t="inlineStr">
        <is>
          <t>Cyrus Tang Foundation</t>
        </is>
      </c>
      <c r="B101" s="20" t="inlineStr">
        <is>
          <t>NV</t>
        </is>
      </c>
      <c r="C101" s="42" t="n">
        <v>0.76</v>
      </c>
      <c r="D101" t="inlineStr">
        <is>
          <t>Foundation</t>
        </is>
      </c>
      <c r="E101" s="20" t="n">
        <v>2025</v>
      </c>
      <c r="F101" s="20">
        <f>IF(AND(OR(in_Mode="All Funds",AND(C101&gt;=in_BandFloor,C101&lt;=in_BandCeiling,OR(in_Geography="National",COUNTIFS(lst_GeoPreset,in_Geography,lst_GeoState,B101)&gt;0,AND(in_Geography="Custom",ISNUMBER(SEARCH(B101,SUBSTITUTE(in_CustomStates," ",""))))),OR(AND(D101="Endowment",Inputs!$B$14="Y"),AND(D101="Foundation",Inputs!$B$15="Y"),AND(D101="Healthcare",Inputs!$B$16="Y"),AND(D101="Pension",Inputs!$B$17="Y"),AND(D101="OCIO",Inputs!$B$18="Y"),AND(D101="Other",Inputs!$B$19="Y")))),A101&lt;&gt;in_ClientOrg,NOT(AND(in_ExclHarvard="Y",ISNUMBER(SEARCH("Harvard",A101))))),"Y","")</f>
        <v/>
      </c>
      <c r="G101" t="inlineStr">
        <is>
          <t>Weijie Xu</t>
        </is>
      </c>
      <c r="H101" t="inlineStr">
        <is>
          <t>Investment Director</t>
        </is>
      </c>
      <c r="I101" t="inlineStr">
        <is>
          <t>Director of Investments</t>
        </is>
      </c>
      <c r="J101" s="21" t="n"/>
      <c r="K101" s="21" t="n"/>
      <c r="L101" s="21" t="n"/>
      <c r="M101" s="21" t="n"/>
      <c r="N101" s="21" t="n"/>
      <c r="O101" s="21" t="n"/>
      <c r="P101" s="21" t="n">
        <v>151300</v>
      </c>
      <c r="Q101" s="21" t="n">
        <v>151300</v>
      </c>
      <c r="R101" s="21">
        <f>IF(Q101="","",Q101*(1+in_GrowthRate)^(YEARFRAC(DATE(2025,12,31),in_AgeToDate)*IF(in_AgeToDate&lt;DATE(2025,12,31),-1,1)+1))</f>
        <v/>
      </c>
      <c r="S101" s="38" t="n"/>
      <c r="T101" s="43">
        <f>HYPERLINK("https://projects.propublica.org/nonprofits/organizations/880361180/202632269349100728/full","view filing")</f>
        <v/>
      </c>
    </row>
    <row r="102">
      <c r="A102" t="inlineStr">
        <is>
          <t>Cyrus Tang Foundation</t>
        </is>
      </c>
      <c r="B102" s="20" t="inlineStr">
        <is>
          <t>NV</t>
        </is>
      </c>
      <c r="C102" s="42" t="n">
        <v>0.76</v>
      </c>
      <c r="D102" t="inlineStr">
        <is>
          <t>Foundation</t>
        </is>
      </c>
      <c r="E102" s="20" t="n">
        <v>2024</v>
      </c>
      <c r="F102" s="20" t="inlineStr"/>
      <c r="G102" t="inlineStr">
        <is>
          <t>Weijie Xu</t>
        </is>
      </c>
      <c r="H102" t="inlineStr">
        <is>
          <t>Investment Director</t>
        </is>
      </c>
      <c r="I102" t="inlineStr">
        <is>
          <t>Director of Investments</t>
        </is>
      </c>
      <c r="J102" s="21" t="n"/>
      <c r="K102" s="21" t="n"/>
      <c r="L102" s="21" t="n"/>
      <c r="M102" s="21" t="n"/>
      <c r="N102" s="21" t="n"/>
      <c r="O102" s="21" t="n"/>
      <c r="P102" s="21" t="n">
        <v>129000</v>
      </c>
      <c r="Q102" s="21" t="n">
        <v>129000</v>
      </c>
      <c r="R102" s="21">
        <f>IF(Q102="","",Q102*(1+in_GrowthRate)^(YEARFRAC(DATE(2024,12,31),in_AgeToDate)*IF(in_AgeToDate&lt;DATE(2024,12,31),-1,1)+1))</f>
        <v/>
      </c>
      <c r="S102" s="38" t="n"/>
      <c r="T102" s="43">
        <f>HYPERLINK("https://projects.propublica.org/nonprofits/organizations/880361180/202533099349102363/full","view filing")</f>
        <v/>
      </c>
    </row>
    <row r="103">
      <c r="A103" t="inlineStr">
        <is>
          <t>Cyrus Tang Foundation</t>
        </is>
      </c>
      <c r="B103" s="20" t="inlineStr">
        <is>
          <t>NV</t>
        </is>
      </c>
      <c r="C103" s="42" t="n">
        <v>0.76</v>
      </c>
      <c r="D103" t="inlineStr">
        <is>
          <t>Foundation</t>
        </is>
      </c>
      <c r="E103" s="20" t="n">
        <v>2023</v>
      </c>
      <c r="F103" s="20" t="inlineStr"/>
      <c r="G103" t="inlineStr">
        <is>
          <t>Weijie Xu</t>
        </is>
      </c>
      <c r="H103" t="inlineStr">
        <is>
          <t>Investment Director</t>
        </is>
      </c>
      <c r="I103" t="inlineStr">
        <is>
          <t>Director of Investments</t>
        </is>
      </c>
      <c r="J103" s="21" t="n"/>
      <c r="K103" s="21" t="n"/>
      <c r="L103" s="21" t="n"/>
      <c r="M103" s="21" t="n"/>
      <c r="N103" s="21" t="n"/>
      <c r="O103" s="21" t="n"/>
      <c r="P103" s="21" t="n">
        <v>129000</v>
      </c>
      <c r="Q103" s="21" t="n">
        <v>129000</v>
      </c>
      <c r="R103" s="21">
        <f>IF(Q103="","",Q103*(1+in_GrowthRate)^(YEARFRAC(DATE(2023,12,31),in_AgeToDate)*IF(in_AgeToDate&lt;DATE(2023,12,31),-1,1)+1))</f>
        <v/>
      </c>
      <c r="S103" s="38" t="n"/>
      <c r="T103" s="43">
        <f>HYPERLINK("https://projects.propublica.org/nonprofits/organizations/880361180/202423179349102792/full","view filing")</f>
        <v/>
      </c>
    </row>
    <row r="104">
      <c r="A104" t="inlineStr">
        <is>
          <t>Daniels Fund</t>
        </is>
      </c>
      <c r="B104" s="20" t="inlineStr">
        <is>
          <t>CO</t>
        </is>
      </c>
      <c r="C104" s="42" t="n">
        <v>1.61</v>
      </c>
      <c r="D104" t="inlineStr">
        <is>
          <t>Foundation</t>
        </is>
      </c>
      <c r="E104" s="20" t="n">
        <v>2024</v>
      </c>
      <c r="F104" s="20">
        <f>IF(AND(OR(in_Mode="All Funds",AND(C104&gt;=in_BandFloor,C104&lt;=in_BandCeiling,OR(in_Geography="National",COUNTIFS(lst_GeoPreset,in_Geography,lst_GeoState,B104)&gt;0,AND(in_Geography="Custom",ISNUMBER(SEARCH(B104,SUBSTITUTE(in_CustomStates," ",""))))),OR(AND(D104="Endowment",Inputs!$B$14="Y"),AND(D104="Foundation",Inputs!$B$15="Y"),AND(D104="Healthcare",Inputs!$B$16="Y"),AND(D104="Pension",Inputs!$B$17="Y"),AND(D104="OCIO",Inputs!$B$18="Y"),AND(D104="Other",Inputs!$B$19="Y")))),A104&lt;&gt;in_ClientOrg,NOT(AND(in_ExclHarvard="Y",ISNUMBER(SEARCH("Harvard",A104))))),"Y","")</f>
        <v/>
      </c>
      <c r="G104" t="inlineStr">
        <is>
          <t>Alex Ruehle</t>
        </is>
      </c>
      <c r="H104" t="inlineStr">
        <is>
          <t>DIRECTOR OF INVESTME</t>
        </is>
      </c>
      <c r="I104" t="inlineStr">
        <is>
          <t>Director of Investments</t>
        </is>
      </c>
      <c r="J104" s="21" t="n"/>
      <c r="K104" s="21" t="n"/>
      <c r="L104" s="21" t="n"/>
      <c r="M104" s="21" t="n"/>
      <c r="N104" s="21" t="n"/>
      <c r="O104" s="21" t="n"/>
      <c r="P104" s="21" t="n">
        <v>244056</v>
      </c>
      <c r="Q104" s="21" t="n">
        <v>244056</v>
      </c>
      <c r="R104" s="21">
        <f>IF(Q104="","",Q104*(1+in_GrowthRate)^(YEARFRAC(DATE(2024,12,31),in_AgeToDate)*IF(in_AgeToDate&lt;DATE(2024,12,31),-1,1)+1))</f>
        <v/>
      </c>
      <c r="S104" s="38" t="n"/>
      <c r="T104" s="43">
        <f>HYPERLINK("https://projects.propublica.org/nonprofits/organizations/841393308/202523219349108752/full","view filing")</f>
        <v/>
      </c>
    </row>
    <row r="105">
      <c r="A105" t="inlineStr">
        <is>
          <t>Davidson College</t>
        </is>
      </c>
      <c r="B105" s="20" t="inlineStr">
        <is>
          <t>NC</t>
        </is>
      </c>
      <c r="C105" s="42" t="n">
        <v>1.46</v>
      </c>
      <c r="D105" t="inlineStr">
        <is>
          <t>Endowment</t>
        </is>
      </c>
      <c r="E105" s="20" t="n">
        <v>2025</v>
      </c>
      <c r="F105" s="20">
        <f>IF(AND(OR(in_Mode="All Funds",AND(C105&gt;=in_BandFloor,C105&lt;=in_BandCeiling,OR(in_Geography="National",COUNTIFS(lst_GeoPreset,in_Geography,lst_GeoState,B105)&gt;0,AND(in_Geography="Custom",ISNUMBER(SEARCH(B105,SUBSTITUTE(in_CustomStates," ",""))))),OR(AND(D105="Endowment",Inputs!$B$14="Y"),AND(D105="Foundation",Inputs!$B$15="Y"),AND(D105="Healthcare",Inputs!$B$16="Y"),AND(D105="Pension",Inputs!$B$17="Y"),AND(D105="OCIO",Inputs!$B$18="Y"),AND(D105="Other",Inputs!$B$19="Y")))),A105&lt;&gt;in_ClientOrg,NOT(AND(in_ExclHarvard="Y",ISNUMBER(SEARCH("Harvard",A105))))),"Y","")</f>
        <v/>
      </c>
      <c r="G105" t="inlineStr">
        <is>
          <t>David D Demeter</t>
        </is>
      </c>
      <c r="H105" t="inlineStr">
        <is>
          <t>INVESTMENT DIRECTOR</t>
        </is>
      </c>
      <c r="I105" t="inlineStr">
        <is>
          <t>Director of Investments</t>
        </is>
      </c>
      <c r="J105" s="21" t="n">
        <v>348732</v>
      </c>
      <c r="K105" s="21" t="n">
        <v>87500</v>
      </c>
      <c r="L105" s="21" t="n">
        <v>436232</v>
      </c>
      <c r="M105" s="21" t="n">
        <v>371</v>
      </c>
      <c r="N105" s="21" t="n">
        <v>38067</v>
      </c>
      <c r="O105" s="21" t="n">
        <v>9682</v>
      </c>
      <c r="P105" s="21" t="n">
        <v>484352</v>
      </c>
      <c r="Q105" s="21" t="n">
        <v>484352</v>
      </c>
      <c r="R105" s="21">
        <f>IF(Q105="","",Q105*(1+in_GrowthRate)^(YEARFRAC(DATE(2025,6,30),in_AgeToDate)*IF(in_AgeToDate&lt;DATE(2025,6,30),-1,1)+1))</f>
        <v/>
      </c>
      <c r="S105" s="38" t="n">
        <v>0.2509090074899923</v>
      </c>
      <c r="T105" s="43">
        <f>HYPERLINK("https://projects.propublica.org/nonprofits/organizations/560529961/202601349349303730/full","view filing")</f>
        <v/>
      </c>
    </row>
    <row r="106">
      <c r="A106" t="inlineStr">
        <is>
          <t>Davidson College</t>
        </is>
      </c>
      <c r="B106" s="20" t="inlineStr">
        <is>
          <t>NC</t>
        </is>
      </c>
      <c r="C106" s="42" t="n">
        <v>1.46</v>
      </c>
      <c r="D106" t="inlineStr">
        <is>
          <t>Endowment</t>
        </is>
      </c>
      <c r="E106" s="20" t="n">
        <v>2024</v>
      </c>
      <c r="F106" s="20" t="inlineStr"/>
      <c r="G106" t="inlineStr">
        <is>
          <t>David D Demeter</t>
        </is>
      </c>
      <c r="H106" t="inlineStr">
        <is>
          <t>INVESTMENT DIRECTOR</t>
        </is>
      </c>
      <c r="I106" t="inlineStr">
        <is>
          <t>Director of Investments</t>
        </is>
      </c>
      <c r="J106" s="21" t="n">
        <v>316671</v>
      </c>
      <c r="K106" s="21" t="n">
        <v>91500</v>
      </c>
      <c r="L106" s="21" t="n">
        <v>408171</v>
      </c>
      <c r="M106" s="21" t="n">
        <v>333</v>
      </c>
      <c r="N106" s="21" t="n">
        <v>20728</v>
      </c>
      <c r="O106" s="21" t="n">
        <v>9357</v>
      </c>
      <c r="P106" s="21" t="n">
        <v>438589</v>
      </c>
      <c r="Q106" s="21" t="n">
        <v>438589</v>
      </c>
      <c r="R106" s="21">
        <f>IF(Q106="","",Q106*(1+in_GrowthRate)^(YEARFRAC(DATE(2024,6,30),in_AgeToDate)*IF(in_AgeToDate&lt;DATE(2024,6,30),-1,1)+1))</f>
        <v/>
      </c>
      <c r="S106" s="38" t="n">
        <v>0.288943414458539</v>
      </c>
      <c r="T106" s="43">
        <f>HYPERLINK("https://projects.propublica.org/nonprofits/organizations/560529961/202501349349304640/full","view filing")</f>
        <v/>
      </c>
    </row>
    <row r="107">
      <c r="A107" t="inlineStr">
        <is>
          <t>Davidson College</t>
        </is>
      </c>
      <c r="B107" s="20" t="inlineStr">
        <is>
          <t>NC</t>
        </is>
      </c>
      <c r="C107" s="42" t="n">
        <v>1.46</v>
      </c>
      <c r="D107" t="inlineStr">
        <is>
          <t>Endowment</t>
        </is>
      </c>
      <c r="E107" s="20" t="n">
        <v>2023</v>
      </c>
      <c r="F107" s="20" t="inlineStr"/>
      <c r="G107" t="inlineStr">
        <is>
          <t>David D Demeter</t>
        </is>
      </c>
      <c r="H107" t="inlineStr">
        <is>
          <t>INVESTMENT DIRECTOR</t>
        </is>
      </c>
      <c r="I107" t="inlineStr">
        <is>
          <t>Director of Investments</t>
        </is>
      </c>
      <c r="J107" s="21" t="n">
        <v>281648</v>
      </c>
      <c r="K107" s="21" t="n">
        <v>70000</v>
      </c>
      <c r="L107" s="21" t="n">
        <v>351648</v>
      </c>
      <c r="M107" s="21" t="n">
        <v>260</v>
      </c>
      <c r="N107" s="21" t="n">
        <v>31965</v>
      </c>
      <c r="O107" s="21" t="n">
        <v>9348</v>
      </c>
      <c r="P107" s="21" t="n">
        <v>393221</v>
      </c>
      <c r="Q107" s="21" t="n">
        <v>393221</v>
      </c>
      <c r="R107" s="21">
        <f>IF(Q107="","",Q107*(1+in_GrowthRate)^(YEARFRAC(DATE(2023,6,30),in_AgeToDate)*IF(in_AgeToDate&lt;DATE(2023,6,30),-1,1)+1))</f>
        <v/>
      </c>
      <c r="S107" s="38" t="n">
        <v>0.2485371811623019</v>
      </c>
      <c r="T107" s="43">
        <f>HYPERLINK("https://projects.propublica.org/nonprofits/organizations/560529961/202421369349302337/full","view filing")</f>
        <v/>
      </c>
    </row>
    <row r="108">
      <c r="A108" t="inlineStr">
        <is>
          <t>Davidson College</t>
        </is>
      </c>
      <c r="B108" s="20" t="inlineStr">
        <is>
          <t>NC</t>
        </is>
      </c>
      <c r="C108" s="42" t="n">
        <v>1.46</v>
      </c>
      <c r="D108" t="inlineStr">
        <is>
          <t>Endowment</t>
        </is>
      </c>
      <c r="E108" s="20" t="n">
        <v>2022</v>
      </c>
      <c r="F108" s="20" t="inlineStr"/>
      <c r="G108" t="inlineStr">
        <is>
          <t>David D Demeter</t>
        </is>
      </c>
      <c r="H108" t="inlineStr">
        <is>
          <t>INVESTMENT DIRECTOR</t>
        </is>
      </c>
      <c r="I108" t="inlineStr">
        <is>
          <t>Director of Investments</t>
        </is>
      </c>
      <c r="J108" s="21" t="n">
        <v>270027</v>
      </c>
      <c r="K108" s="21" t="n">
        <v>53000</v>
      </c>
      <c r="L108" s="21" t="n">
        <v>323027</v>
      </c>
      <c r="M108" s="21" t="n">
        <v>239</v>
      </c>
      <c r="N108" s="21" t="n">
        <v>30896</v>
      </c>
      <c r="O108" s="21" t="n">
        <v>11409</v>
      </c>
      <c r="P108" s="21" t="n">
        <v>365571</v>
      </c>
      <c r="Q108" s="21" t="n">
        <v>365571</v>
      </c>
      <c r="R108" s="21">
        <f>IF(Q108="","",Q108*(1+in_GrowthRate)^(YEARFRAC(DATE(2022,6,30),in_AgeToDate)*IF(in_AgeToDate&lt;DATE(2022,6,30),-1,1)+1))</f>
        <v/>
      </c>
      <c r="S108" s="38" t="n">
        <v>0.1962766686294334</v>
      </c>
      <c r="T108" s="43">
        <f>HYPERLINK("https://projects.propublica.org/nonprofits/organizations/560529961/202301359349305830/full","view filing")</f>
        <v/>
      </c>
    </row>
    <row r="109">
      <c r="A109" t="inlineStr">
        <is>
          <t>Denison University</t>
        </is>
      </c>
      <c r="B109" s="20" t="inlineStr">
        <is>
          <t>OH</t>
        </is>
      </c>
      <c r="C109" s="42" t="n">
        <v>1.1</v>
      </c>
      <c r="D109" t="inlineStr">
        <is>
          <t>Endowment</t>
        </is>
      </c>
      <c r="E109" s="20" t="n">
        <v>2022</v>
      </c>
      <c r="F109" s="20" t="inlineStr"/>
      <c r="G109" t="inlineStr">
        <is>
          <t>David A Barcus</t>
        </is>
      </c>
      <c r="H109" t="inlineStr">
        <is>
          <t>DIRECTOR OF INVESTMENTS</t>
        </is>
      </c>
      <c r="I109" t="inlineStr">
        <is>
          <t>Director of Investments</t>
        </is>
      </c>
      <c r="J109" s="21" t="n">
        <v>146120</v>
      </c>
      <c r="K109" s="21" t="n">
        <v>90526</v>
      </c>
      <c r="L109" s="21" t="n">
        <v>236646</v>
      </c>
      <c r="M109" s="21" t="n">
        <v>19868</v>
      </c>
      <c r="N109" s="21" t="n">
        <v>51000</v>
      </c>
      <c r="O109" s="21" t="n">
        <v>29899</v>
      </c>
      <c r="P109" s="21" t="n">
        <v>337413</v>
      </c>
      <c r="Q109" s="21" t="n">
        <v>306213</v>
      </c>
      <c r="R109" s="21">
        <f>IF(Q109="","",Q109*(1+in_GrowthRate)^(YEARFRAC(DATE(2022,6,30),in_AgeToDate)*IF(in_AgeToDate&lt;DATE(2022,6,30),-1,1)+1))</f>
        <v/>
      </c>
      <c r="S109" s="38" t="n">
        <v>0.6195318915959486</v>
      </c>
      <c r="T109" s="43">
        <f>HYPERLINK("https://projects.propublica.org/nonprofits/organizations/314379459/202321099349301527/full","view filing")</f>
        <v/>
      </c>
    </row>
    <row r="110">
      <c r="A110" t="inlineStr">
        <is>
          <t>Denison University</t>
        </is>
      </c>
      <c r="B110" s="20" t="inlineStr">
        <is>
          <t>OH</t>
        </is>
      </c>
      <c r="C110" s="42" t="n">
        <v>1.1</v>
      </c>
      <c r="D110" t="inlineStr">
        <is>
          <t>Endowment</t>
        </is>
      </c>
      <c r="E110" s="20" t="n">
        <v>2022</v>
      </c>
      <c r="F110" s="20" t="inlineStr"/>
      <c r="G110" t="inlineStr">
        <is>
          <t>Joshua M Beitzel</t>
        </is>
      </c>
      <c r="H110" t="inlineStr">
        <is>
          <t>DIRECTOR OF INVESTMENTS</t>
        </is>
      </c>
      <c r="I110" t="inlineStr">
        <is>
          <t>Director of Investments</t>
        </is>
      </c>
      <c r="J110" s="21" t="n">
        <v>151368</v>
      </c>
      <c r="K110" s="21" t="n">
        <v>95667</v>
      </c>
      <c r="L110" s="21" t="n">
        <v>247035</v>
      </c>
      <c r="M110" s="21" t="n">
        <v>19489</v>
      </c>
      <c r="N110" s="21" t="n">
        <v>53553</v>
      </c>
      <c r="O110" s="21" t="n">
        <v>29629</v>
      </c>
      <c r="P110" s="21" t="n">
        <v>349706</v>
      </c>
      <c r="Q110" s="21" t="n">
        <v>316706</v>
      </c>
      <c r="R110" s="21">
        <f>IF(Q110="","",Q110*(1+in_GrowthRate)^(YEARFRAC(DATE(2022,6,30),in_AgeToDate)*IF(in_AgeToDate&lt;DATE(2022,6,30),-1,1)+1))</f>
        <v/>
      </c>
      <c r="S110" s="38" t="n">
        <v>0.6320160139527509</v>
      </c>
      <c r="T110" s="43">
        <f>HYPERLINK("https://projects.propublica.org/nonprofits/organizations/314379459/202321099349301527/full","view filing")</f>
        <v/>
      </c>
    </row>
    <row r="111">
      <c r="A111" t="inlineStr">
        <is>
          <t>Duke Endowment</t>
        </is>
      </c>
      <c r="B111" s="20" t="inlineStr">
        <is>
          <t>NC</t>
        </is>
      </c>
      <c r="C111" s="42" t="n">
        <v>4.97</v>
      </c>
      <c r="D111" t="inlineStr">
        <is>
          <t>Foundation</t>
        </is>
      </c>
      <c r="E111" s="20" t="n">
        <v>2024</v>
      </c>
      <c r="F111" s="20">
        <f>IF(AND(OR(in_Mode="All Funds",AND(C111&gt;=in_BandFloor,C111&lt;=in_BandCeiling,OR(in_Geography="National",COUNTIFS(lst_GeoPreset,in_Geography,lst_GeoState,B111)&gt;0,AND(in_Geography="Custom",ISNUMBER(SEARCH(B111,SUBSTITUTE(in_CustomStates," ",""))))),OR(AND(D111="Endowment",Inputs!$B$14="Y"),AND(D111="Foundation",Inputs!$B$15="Y"),AND(D111="Healthcare",Inputs!$B$16="Y"),AND(D111="Pension",Inputs!$B$17="Y"),AND(D111="OCIO",Inputs!$B$18="Y"),AND(D111="Other",Inputs!$B$19="Y")))),A111&lt;&gt;in_ClientOrg,NOT(AND(in_ExclHarvard="Y",ISNUMBER(SEARCH("Harvard",A111))))),"Y","")</f>
        <v/>
      </c>
      <c r="G111" t="inlineStr">
        <is>
          <t>K Todd Walker</t>
        </is>
      </c>
      <c r="H111" t="inlineStr">
        <is>
          <t>DIR. OF INVESTMENTS</t>
        </is>
      </c>
      <c r="I111" t="inlineStr">
        <is>
          <t>Director of Investments</t>
        </is>
      </c>
      <c r="J111" s="21" t="n"/>
      <c r="K111" s="21" t="n"/>
      <c r="L111" s="21" t="n"/>
      <c r="M111" s="21" t="n"/>
      <c r="N111" s="21" t="n"/>
      <c r="O111" s="21" t="n"/>
      <c r="P111" s="21" t="n">
        <v>409260</v>
      </c>
      <c r="Q111" s="21" t="n">
        <v>409260</v>
      </c>
      <c r="R111" s="21">
        <f>IF(Q111="","",Q111*(1+in_GrowthRate)^(YEARFRAC(DATE(2024,12,31),in_AgeToDate)*IF(in_AgeToDate&lt;DATE(2024,12,31),-1,1)+1))</f>
        <v/>
      </c>
      <c r="S111" s="38" t="n"/>
      <c r="T111" s="43">
        <f>HYPERLINK("https://projects.propublica.org/nonprofits/organizations/560529965/202543219349101479/full","view filing")</f>
        <v/>
      </c>
    </row>
    <row r="112">
      <c r="A112" t="inlineStr">
        <is>
          <t>Duke Endowment</t>
        </is>
      </c>
      <c r="B112" s="20" t="inlineStr">
        <is>
          <t>NC</t>
        </is>
      </c>
      <c r="C112" s="42" t="n">
        <v>4.97</v>
      </c>
      <c r="D112" t="inlineStr">
        <is>
          <t>Foundation</t>
        </is>
      </c>
      <c r="E112" s="20" t="n">
        <v>2023</v>
      </c>
      <c r="F112" s="20" t="inlineStr"/>
      <c r="G112" t="inlineStr">
        <is>
          <t>K Todd Walker</t>
        </is>
      </c>
      <c r="H112" t="inlineStr">
        <is>
          <t>DIR. OF INVESTMENTS</t>
        </is>
      </c>
      <c r="I112" t="inlineStr">
        <is>
          <t>Director of Investments</t>
        </is>
      </c>
      <c r="J112" s="21" t="n"/>
      <c r="K112" s="21" t="n"/>
      <c r="L112" s="21" t="n"/>
      <c r="M112" s="21" t="n"/>
      <c r="N112" s="21" t="n"/>
      <c r="O112" s="21" t="n"/>
      <c r="P112" s="21" t="n">
        <v>395458</v>
      </c>
      <c r="Q112" s="21" t="n">
        <v>395458</v>
      </c>
      <c r="R112" s="21">
        <f>IF(Q112="","",Q112*(1+in_GrowthRate)^(YEARFRAC(DATE(2023,12,31),in_AgeToDate)*IF(in_AgeToDate&lt;DATE(2023,12,31),-1,1)+1))</f>
        <v/>
      </c>
      <c r="S112" s="38" t="n"/>
      <c r="T112" s="43">
        <f>HYPERLINK("https://projects.propublica.org/nonprofits/organizations/560529965/202510949349100121/full","view filing")</f>
        <v/>
      </c>
    </row>
    <row r="113">
      <c r="A113" t="inlineStr">
        <is>
          <t>Duke Endowment</t>
        </is>
      </c>
      <c r="B113" s="20" t="inlineStr">
        <is>
          <t>NC</t>
        </is>
      </c>
      <c r="C113" s="42" t="n">
        <v>4.97</v>
      </c>
      <c r="D113" t="inlineStr">
        <is>
          <t>Foundation</t>
        </is>
      </c>
      <c r="E113" s="20" t="n">
        <v>2022</v>
      </c>
      <c r="F113" s="20" t="inlineStr"/>
      <c r="G113" t="inlineStr">
        <is>
          <t>K Todd Walker</t>
        </is>
      </c>
      <c r="H113" t="inlineStr">
        <is>
          <t>DIR. OF INVESTMENTS</t>
        </is>
      </c>
      <c r="I113" t="inlineStr">
        <is>
          <t>Director of Investments</t>
        </is>
      </c>
      <c r="J113" s="21" t="n"/>
      <c r="K113" s="21" t="n"/>
      <c r="L113" s="21" t="n"/>
      <c r="M113" s="21" t="n"/>
      <c r="N113" s="21" t="n"/>
      <c r="O113" s="21" t="n"/>
      <c r="P113" s="21" t="n">
        <v>387960</v>
      </c>
      <c r="Q113" s="21" t="n">
        <v>387960</v>
      </c>
      <c r="R113" s="21">
        <f>IF(Q113="","",Q113*(1+in_GrowthRate)^(YEARFRAC(DATE(2022,12,31),in_AgeToDate)*IF(in_AgeToDate&lt;DATE(2022,12,31),-1,1)+1))</f>
        <v/>
      </c>
      <c r="S113" s="38" t="n"/>
      <c r="T113" s="43">
        <f>HYPERLINK("https://projects.propublica.org/nonprofits/organizations/560529965/202343199349104749/full","view filing")</f>
        <v/>
      </c>
    </row>
    <row r="114">
      <c r="A114" t="inlineStr">
        <is>
          <t>Emory University</t>
        </is>
      </c>
      <c r="B114" s="20" t="inlineStr">
        <is>
          <t>GA</t>
        </is>
      </c>
      <c r="C114" s="42" t="n">
        <v>12</v>
      </c>
      <c r="D114" t="inlineStr">
        <is>
          <t>Endowment</t>
        </is>
      </c>
      <c r="E114" s="20" t="n">
        <v>2023</v>
      </c>
      <c r="F114" s="20" t="inlineStr"/>
      <c r="G114" t="inlineStr">
        <is>
          <t>Srinivas Pulavarti</t>
        </is>
      </c>
      <c r="H114" t="inlineStr">
        <is>
          <t>VP-Investments</t>
        </is>
      </c>
      <c r="I114" t="inlineStr">
        <is>
          <t>Director of Investments</t>
        </is>
      </c>
      <c r="J114" s="21" t="n">
        <v>996130</v>
      </c>
      <c r="K114" s="21" t="n">
        <v>1781250</v>
      </c>
      <c r="L114" s="21" t="n">
        <v>2777380</v>
      </c>
      <c r="M114" s="21" t="n">
        <v>71550</v>
      </c>
      <c r="N114" s="21" t="n">
        <v>27450</v>
      </c>
      <c r="O114" s="21" t="n">
        <v>18754</v>
      </c>
      <c r="P114" s="21" t="n">
        <v>2895134</v>
      </c>
      <c r="Q114" s="21" t="n">
        <v>2895134</v>
      </c>
      <c r="R114" s="21">
        <f>IF(Q114="","",Q114*(1+in_GrowthRate)^(YEARFRAC(DATE(2023,8,31),in_AgeToDate)*IF(in_AgeToDate&lt;DATE(2023,8,31),-1,1)+1))</f>
        <v/>
      </c>
      <c r="S114" s="38" t="n">
        <v>1.788170218746549</v>
      </c>
      <c r="T114" s="43">
        <f>HYPERLINK("https://projects.propublica.org/nonprofits/organizations/580566256/202431929349300718/full","view filing")</f>
        <v/>
      </c>
    </row>
    <row r="115">
      <c r="A115" t="inlineStr">
        <is>
          <t>Emory University</t>
        </is>
      </c>
      <c r="B115" s="20" t="inlineStr">
        <is>
          <t>GA</t>
        </is>
      </c>
      <c r="C115" s="42" t="n">
        <v>12</v>
      </c>
      <c r="D115" t="inlineStr">
        <is>
          <t>Endowment</t>
        </is>
      </c>
      <c r="E115" s="20" t="n">
        <v>2022</v>
      </c>
      <c r="F115" s="20" t="inlineStr"/>
      <c r="G115" t="inlineStr">
        <is>
          <t>Matthew Alan Werner</t>
        </is>
      </c>
      <c r="H115" t="inlineStr">
        <is>
          <t>Investment Manager</t>
        </is>
      </c>
      <c r="I115" t="inlineStr">
        <is>
          <t>Investment Manager</t>
        </is>
      </c>
      <c r="J115" s="21" t="n">
        <v>396050</v>
      </c>
      <c r="K115" s="21" t="n">
        <v>1515108</v>
      </c>
      <c r="L115" s="21" t="n">
        <v>1911158</v>
      </c>
      <c r="M115" s="21" t="n"/>
      <c r="N115" s="21" t="n">
        <v>26100</v>
      </c>
      <c r="O115" s="21" t="n">
        <v>31190</v>
      </c>
      <c r="P115" s="21" t="n">
        <v>1968448</v>
      </c>
      <c r="Q115" s="21" t="n">
        <v>1968448</v>
      </c>
      <c r="R115" s="21">
        <f>IF(Q115="","",Q115*(1+in_GrowthRate)^(YEARFRAC(DATE(2022,8,31),in_AgeToDate)*IF(in_AgeToDate&lt;DATE(2022,8,31),-1,1)+1))</f>
        <v/>
      </c>
      <c r="S115" s="38" t="n">
        <v>3.825547279383916</v>
      </c>
      <c r="T115" s="43">
        <f>HYPERLINK("https://projects.propublica.org/nonprofits/organizations/580566256/202341959349300544/full","view filing")</f>
        <v/>
      </c>
    </row>
    <row r="116">
      <c r="A116" t="inlineStr">
        <is>
          <t>Emory University</t>
        </is>
      </c>
      <c r="B116" s="20" t="inlineStr">
        <is>
          <t>GA</t>
        </is>
      </c>
      <c r="C116" s="42" t="n">
        <v>12</v>
      </c>
      <c r="D116" t="inlineStr">
        <is>
          <t>Endowment</t>
        </is>
      </c>
      <c r="E116" s="20" t="n">
        <v>2022</v>
      </c>
      <c r="F116" s="20" t="inlineStr"/>
      <c r="G116" t="inlineStr">
        <is>
          <t>Srinivas Pulavarti</t>
        </is>
      </c>
      <c r="H116" t="inlineStr">
        <is>
          <t>VP-Investments</t>
        </is>
      </c>
      <c r="I116" t="inlineStr">
        <is>
          <t>Director of Investments</t>
        </is>
      </c>
      <c r="J116" s="21" t="n">
        <v>942367</v>
      </c>
      <c r="K116" s="21" t="n">
        <v>2832704</v>
      </c>
      <c r="L116" s="21" t="n">
        <v>3775071</v>
      </c>
      <c r="M116" s="21" t="n">
        <v>1609400</v>
      </c>
      <c r="N116" s="21" t="n">
        <v>2441105</v>
      </c>
      <c r="O116" s="21" t="n">
        <v>28873</v>
      </c>
      <c r="P116" s="21" t="n">
        <v>7854449</v>
      </c>
      <c r="Q116" s="21" t="n">
        <v>7854449</v>
      </c>
      <c r="R116" s="21">
        <f>IF(Q116="","",Q116*(1+in_GrowthRate)^(YEARFRAC(DATE(2022,8,31),in_AgeToDate)*IF(in_AgeToDate&lt;DATE(2022,8,31),-1,1)+1))</f>
        <v/>
      </c>
      <c r="S116" s="38" t="n">
        <v>3.005945666603351</v>
      </c>
      <c r="T116" s="43">
        <f>HYPERLINK("https://projects.propublica.org/nonprofits/organizations/580566256/202341959349300544/full","view filing")</f>
        <v/>
      </c>
    </row>
    <row r="117">
      <c r="A117" t="inlineStr">
        <is>
          <t>Freedom Together Foundation</t>
        </is>
      </c>
      <c r="B117" s="20" t="inlineStr">
        <is>
          <t>NY</t>
        </is>
      </c>
      <c r="C117" s="42" t="n">
        <v>4.05</v>
      </c>
      <c r="D117" t="inlineStr">
        <is>
          <t>Foundation</t>
        </is>
      </c>
      <c r="E117" s="20" t="n">
        <v>2024</v>
      </c>
      <c r="F117" s="20">
        <f>IF(AND(OR(in_Mode="All Funds",AND(C117&gt;=in_BandFloor,C117&lt;=in_BandCeiling,OR(in_Geography="National",COUNTIFS(lst_GeoPreset,in_Geography,lst_GeoState,B117)&gt;0,AND(in_Geography="Custom",ISNUMBER(SEARCH(B117,SUBSTITUTE(in_CustomStates," ",""))))),OR(AND(D117="Endowment",Inputs!$B$14="Y"),AND(D117="Foundation",Inputs!$B$15="Y"),AND(D117="Healthcare",Inputs!$B$16="Y"),AND(D117="Pension",Inputs!$B$17="Y"),AND(D117="OCIO",Inputs!$B$18="Y"),AND(D117="Other",Inputs!$B$19="Y")))),A117&lt;&gt;in_ClientOrg,NOT(AND(in_ExclHarvard="Y",ISNUMBER(SEARCH("Harvard",A117))))),"Y","")</f>
        <v/>
      </c>
      <c r="G117" t="inlineStr">
        <is>
          <t>William W Ribbecke</t>
        </is>
      </c>
      <c r="H117" t="inlineStr">
        <is>
          <t>SVP, INVESTMENTS</t>
        </is>
      </c>
      <c r="I117" t="inlineStr">
        <is>
          <t>Director of Investments</t>
        </is>
      </c>
      <c r="J117" s="21" t="n"/>
      <c r="K117" s="21" t="n"/>
      <c r="L117" s="21" t="n"/>
      <c r="M117" s="21" t="n"/>
      <c r="N117" s="21" t="n"/>
      <c r="O117" s="21" t="n"/>
      <c r="P117" s="21" t="n">
        <v>476730</v>
      </c>
      <c r="Q117" s="21" t="n">
        <v>476730</v>
      </c>
      <c r="R117" s="21">
        <f>IF(Q117="","",Q117*(1+in_GrowthRate)^(YEARFRAC(DATE(2024,12,31),in_AgeToDate)*IF(in_AgeToDate&lt;DATE(2024,12,31),-1,1)+1))</f>
        <v/>
      </c>
      <c r="S117" s="38" t="n"/>
      <c r="T117" s="43">
        <f>HYPERLINK("https://projects.propublica.org/nonprofits/organizations/900747216/202513219349101966/full","view filing")</f>
        <v/>
      </c>
    </row>
    <row r="118">
      <c r="A118" t="inlineStr">
        <is>
          <t>Freedom Together Foundation</t>
        </is>
      </c>
      <c r="B118" s="20" t="inlineStr">
        <is>
          <t>NY</t>
        </is>
      </c>
      <c r="C118" s="42" t="n">
        <v>4.05</v>
      </c>
      <c r="D118" t="inlineStr">
        <is>
          <t>Foundation</t>
        </is>
      </c>
      <c r="E118" s="20" t="n">
        <v>2023</v>
      </c>
      <c r="F118" s="20" t="inlineStr"/>
      <c r="G118" t="inlineStr">
        <is>
          <t>William W Ribbecke</t>
        </is>
      </c>
      <c r="H118" t="inlineStr">
        <is>
          <t>SVP, INVESTMENTS</t>
        </is>
      </c>
      <c r="I118" t="inlineStr">
        <is>
          <t>Director of Investments</t>
        </is>
      </c>
      <c r="J118" s="21" t="n"/>
      <c r="K118" s="21" t="n"/>
      <c r="L118" s="21" t="n"/>
      <c r="M118" s="21" t="n"/>
      <c r="N118" s="21" t="n"/>
      <c r="O118" s="21" t="n"/>
      <c r="P118" s="21" t="n">
        <v>525430</v>
      </c>
      <c r="Q118" s="21" t="n">
        <v>525430</v>
      </c>
      <c r="R118" s="21">
        <f>IF(Q118="","",Q118*(1+in_GrowthRate)^(YEARFRAC(DATE(2023,12,31),in_AgeToDate)*IF(in_AgeToDate&lt;DATE(2023,12,31),-1,1)+1))</f>
        <v/>
      </c>
      <c r="S118" s="38" t="n"/>
      <c r="T118" s="43">
        <f>HYPERLINK("https://projects.propublica.org/nonprofits/organizations/900747216/202443189349104054/full","view filing")</f>
        <v/>
      </c>
    </row>
    <row r="119">
      <c r="A119" t="inlineStr">
        <is>
          <t>Freedom Together Foundation</t>
        </is>
      </c>
      <c r="B119" s="20" t="inlineStr">
        <is>
          <t>NY</t>
        </is>
      </c>
      <c r="C119" s="42" t="n">
        <v>4.05</v>
      </c>
      <c r="D119" t="inlineStr">
        <is>
          <t>Foundation</t>
        </is>
      </c>
      <c r="E119" s="20" t="n">
        <v>2022</v>
      </c>
      <c r="F119" s="20" t="inlineStr"/>
      <c r="G119" t="inlineStr">
        <is>
          <t>William W Ribbecke</t>
        </is>
      </c>
      <c r="H119" t="inlineStr">
        <is>
          <t>VP, INVESTMENTS</t>
        </is>
      </c>
      <c r="I119" t="inlineStr">
        <is>
          <t>Director of Investments</t>
        </is>
      </c>
      <c r="J119" s="21" t="n"/>
      <c r="K119" s="21" t="n"/>
      <c r="L119" s="21" t="n"/>
      <c r="M119" s="21" t="n"/>
      <c r="N119" s="21" t="n"/>
      <c r="O119" s="21" t="n"/>
      <c r="P119" s="21" t="n">
        <v>447353</v>
      </c>
      <c r="Q119" s="21" t="n">
        <v>447353</v>
      </c>
      <c r="R119" s="21">
        <f>IF(Q119="","",Q119*(1+in_GrowthRate)^(YEARFRAC(DATE(2022,12,31),in_AgeToDate)*IF(in_AgeToDate&lt;DATE(2022,12,31),-1,1)+1))</f>
        <v/>
      </c>
      <c r="S119" s="38" t="n"/>
      <c r="T119" s="43">
        <f>HYPERLINK("https://projects.propublica.org/nonprofits/organizations/900747216/202441659349100914/full","view filing")</f>
        <v/>
      </c>
    </row>
    <row r="120">
      <c r="A120" t="inlineStr">
        <is>
          <t>Freedom Together Foundation</t>
        </is>
      </c>
      <c r="B120" s="20" t="inlineStr">
        <is>
          <t>NY</t>
        </is>
      </c>
      <c r="C120" s="42" t="n">
        <v>4.05</v>
      </c>
      <c r="D120" t="inlineStr">
        <is>
          <t>Foundation</t>
        </is>
      </c>
      <c r="E120" s="20" t="n">
        <v>2022</v>
      </c>
      <c r="F120" s="20" t="inlineStr"/>
      <c r="G120" t="inlineStr">
        <is>
          <t>Yvonne C Yu</t>
        </is>
      </c>
      <c r="H120" t="inlineStr">
        <is>
          <t>VP, INVESTMENT OPERA</t>
        </is>
      </c>
      <c r="I120" t="inlineStr">
        <is>
          <t>Director of Investments</t>
        </is>
      </c>
      <c r="J120" s="21" t="n"/>
      <c r="K120" s="21" t="n"/>
      <c r="L120" s="21" t="n"/>
      <c r="M120" s="21" t="n"/>
      <c r="N120" s="21" t="n"/>
      <c r="O120" s="21" t="n"/>
      <c r="P120" s="21" t="n">
        <v>359821</v>
      </c>
      <c r="Q120" s="21" t="n">
        <v>359821</v>
      </c>
      <c r="R120" s="21">
        <f>IF(Q120="","",Q120*(1+in_GrowthRate)^(YEARFRAC(DATE(2022,12,31),in_AgeToDate)*IF(in_AgeToDate&lt;DATE(2022,12,31),-1,1)+1))</f>
        <v/>
      </c>
      <c r="S120" s="38" t="n"/>
      <c r="T120" s="43">
        <f>HYPERLINK("https://projects.propublica.org/nonprofits/organizations/900747216/202441659349100914/full","view filing")</f>
        <v/>
      </c>
    </row>
    <row r="121">
      <c r="A121" t="inlineStr">
        <is>
          <t>Furman University</t>
        </is>
      </c>
      <c r="B121" s="20" t="inlineStr">
        <is>
          <t>SC</t>
        </is>
      </c>
      <c r="C121" s="42" t="n">
        <v>0.89</v>
      </c>
      <c r="D121" t="inlineStr">
        <is>
          <t>Endowment</t>
        </is>
      </c>
      <c r="E121" s="20" t="n">
        <v>2025</v>
      </c>
      <c r="F121" s="20">
        <f>IF(AND(OR(in_Mode="All Funds",AND(C121&gt;=in_BandFloor,C121&lt;=in_BandCeiling,OR(in_Geography="National",COUNTIFS(lst_GeoPreset,in_Geography,lst_GeoState,B121)&gt;0,AND(in_Geography="Custom",ISNUMBER(SEARCH(B121,SUBSTITUTE(in_CustomStates," ",""))))),OR(AND(D121="Endowment",Inputs!$B$14="Y"),AND(D121="Foundation",Inputs!$B$15="Y"),AND(D121="Healthcare",Inputs!$B$16="Y"),AND(D121="Pension",Inputs!$B$17="Y"),AND(D121="OCIO",Inputs!$B$18="Y"),AND(D121="Other",Inputs!$B$19="Y")))),A121&lt;&gt;in_ClientOrg,NOT(AND(in_ExclHarvard="Y",ISNUMBER(SEARCH("Harvard",A121))))),"Y","")</f>
        <v/>
      </c>
      <c r="G121" t="inlineStr">
        <is>
          <t>Austin Johnk</t>
        </is>
      </c>
      <c r="H121" t="inlineStr">
        <is>
          <t>DIRECTOR OF INVESTMENTS</t>
        </is>
      </c>
      <c r="I121" t="inlineStr">
        <is>
          <t>Director of Investments</t>
        </is>
      </c>
      <c r="J121" s="21" t="n">
        <v>171611</v>
      </c>
      <c r="K121" s="21" t="n">
        <v>35613</v>
      </c>
      <c r="L121" s="21" t="n">
        <v>207224</v>
      </c>
      <c r="M121" s="21" t="n">
        <v>3052</v>
      </c>
      <c r="N121" s="21" t="n">
        <v>11211</v>
      </c>
      <c r="O121" s="21" t="n">
        <v>36143</v>
      </c>
      <c r="P121" s="21" t="n">
        <v>257630</v>
      </c>
      <c r="Q121" s="21" t="n">
        <v>257630</v>
      </c>
      <c r="R121" s="21">
        <f>IF(Q121="","",Q121*(1+in_GrowthRate)^(YEARFRAC(DATE(2025,6,30),in_AgeToDate)*IF(in_AgeToDate&lt;DATE(2025,6,30),-1,1)+1))</f>
        <v/>
      </c>
      <c r="S121" s="38" t="n">
        <v>0.2075216623643007</v>
      </c>
      <c r="T121" s="43">
        <f>HYPERLINK("https://projects.propublica.org/nonprofits/organizations/570314395/202641349349303494/full","view filing")</f>
        <v/>
      </c>
    </row>
    <row r="122">
      <c r="A122" t="inlineStr">
        <is>
          <t>Georgetown University</t>
        </is>
      </c>
      <c r="B122" s="20" t="inlineStr">
        <is>
          <t>DC</t>
        </is>
      </c>
      <c r="C122" s="42" t="n">
        <v>3.95</v>
      </c>
      <c r="D122" t="inlineStr">
        <is>
          <t>Endowment</t>
        </is>
      </c>
      <c r="E122" s="20" t="n">
        <v>2023</v>
      </c>
      <c r="F122" s="20" t="inlineStr"/>
      <c r="G122" t="inlineStr">
        <is>
          <t>Eduard B Vangelder</t>
        </is>
      </c>
      <c r="H122" t="inlineStr">
        <is>
          <t>Director of Private Investments</t>
        </is>
      </c>
      <c r="I122" t="inlineStr">
        <is>
          <t>Investment Manager</t>
        </is>
      </c>
      <c r="J122" s="21" t="n">
        <v>397737</v>
      </c>
      <c r="K122" s="21" t="n">
        <v>400000</v>
      </c>
      <c r="L122" s="21" t="n">
        <v>797737</v>
      </c>
      <c r="M122" s="21" t="n"/>
      <c r="N122" s="21" t="n">
        <v>20000</v>
      </c>
      <c r="O122" s="21" t="n">
        <v>22562</v>
      </c>
      <c r="P122" s="21" t="n">
        <v>840299</v>
      </c>
      <c r="Q122" s="21" t="n">
        <v>840299</v>
      </c>
      <c r="R122" s="21">
        <f>IF(Q122="","",Q122*(1+in_GrowthRate)^(YEARFRAC(DATE(2023,6,30),in_AgeToDate)*IF(in_AgeToDate&lt;DATE(2023,6,30),-1,1)+1))</f>
        <v/>
      </c>
      <c r="S122" s="38" t="n">
        <v>1.005689689417882</v>
      </c>
      <c r="T122" s="43">
        <f>HYPERLINK("https://projects.propublica.org/nonprofits/organizations/530196603/202411369349310111/full","view filing")</f>
        <v/>
      </c>
    </row>
    <row r="123">
      <c r="A123" t="inlineStr">
        <is>
          <t>Georgia Tech Foundation Inc</t>
        </is>
      </c>
      <c r="B123" s="20" t="inlineStr">
        <is>
          <t>GA</t>
        </is>
      </c>
      <c r="C123" s="42" t="n">
        <v>3.04</v>
      </c>
      <c r="D123" t="inlineStr">
        <is>
          <t>Foundation</t>
        </is>
      </c>
      <c r="E123" s="20" t="n">
        <v>2025</v>
      </c>
      <c r="F123" s="20">
        <f>IF(AND(OR(in_Mode="All Funds",AND(C123&gt;=in_BandFloor,C123&lt;=in_BandCeiling,OR(in_Geography="National",COUNTIFS(lst_GeoPreset,in_Geography,lst_GeoState,B123)&gt;0,AND(in_Geography="Custom",ISNUMBER(SEARCH(B123,SUBSTITUTE(in_CustomStates," ",""))))),OR(AND(D123="Endowment",Inputs!$B$14="Y"),AND(D123="Foundation",Inputs!$B$15="Y"),AND(D123="Healthcare",Inputs!$B$16="Y"),AND(D123="Pension",Inputs!$B$17="Y"),AND(D123="OCIO",Inputs!$B$18="Y"),AND(D123="Other",Inputs!$B$19="Y")))),A123&lt;&gt;in_ClientOrg,NOT(AND(in_ExclHarvard="Y",ISNUMBER(SEARCH("Harvard",A123))))),"Y","")</f>
        <v/>
      </c>
      <c r="G123" t="inlineStr">
        <is>
          <t>Patrick Liu</t>
        </is>
      </c>
      <c r="H123" t="inlineStr">
        <is>
          <t>DIRECTOR - PRIVATE INVESTMENTS</t>
        </is>
      </c>
      <c r="I123" t="inlineStr">
        <is>
          <t>Investment Manager</t>
        </is>
      </c>
      <c r="J123" s="21" t="n">
        <v>287740</v>
      </c>
      <c r="K123" s="21" t="n">
        <v>328828</v>
      </c>
      <c r="L123" s="21" t="n">
        <v>616568</v>
      </c>
      <c r="M123" s="21" t="n"/>
      <c r="N123" s="21" t="n">
        <v>29937</v>
      </c>
      <c r="O123" s="21" t="n">
        <v>43127</v>
      </c>
      <c r="P123" s="21" t="n">
        <v>689632</v>
      </c>
      <c r="Q123" s="21" t="n">
        <v>689632</v>
      </c>
      <c r="R123" s="21">
        <f>IF(Q123="","",Q123*(1+in_GrowthRate)^(YEARFRAC(DATE(2025,6,30),in_AgeToDate)*IF(in_AgeToDate&lt;DATE(2025,6,30),-1,1)+1))</f>
        <v/>
      </c>
      <c r="S123" s="38" t="n">
        <v>1.142795579342462</v>
      </c>
      <c r="T123" s="43">
        <f>HYPERLINK("https://projects.propublica.org/nonprofits/organizations/586043294/202631349349304503/full","view filing")</f>
        <v/>
      </c>
    </row>
    <row r="124">
      <c r="A124" t="inlineStr">
        <is>
          <t>Georgia Tech Foundation Inc</t>
        </is>
      </c>
      <c r="B124" s="20" t="inlineStr">
        <is>
          <t>GA</t>
        </is>
      </c>
      <c r="C124" s="42" t="n">
        <v>3.04</v>
      </c>
      <c r="D124" t="inlineStr">
        <is>
          <t>Foundation</t>
        </is>
      </c>
      <c r="E124" s="20" t="n">
        <v>2025</v>
      </c>
      <c r="F124" s="20">
        <f>IF(AND(OR(in_Mode="All Funds",AND(C124&gt;=in_BandFloor,C124&lt;=in_BandCeiling,OR(in_Geography="National",COUNTIFS(lst_GeoPreset,in_Geography,lst_GeoState,B124)&gt;0,AND(in_Geography="Custom",ISNUMBER(SEARCH(B124,SUBSTITUTE(in_CustomStates," ",""))))),OR(AND(D124="Endowment",Inputs!$B$14="Y"),AND(D124="Foundation",Inputs!$B$15="Y"),AND(D124="Healthcare",Inputs!$B$16="Y"),AND(D124="Pension",Inputs!$B$17="Y"),AND(D124="OCIO",Inputs!$B$18="Y"),AND(D124="Other",Inputs!$B$19="Y")))),A124&lt;&gt;in_ClientOrg,NOT(AND(in_ExclHarvard="Y",ISNUMBER(SEARCH("Harvard",A124))))),"Y","")</f>
        <v/>
      </c>
      <c r="G124" t="inlineStr">
        <is>
          <t>Robert Thompson</t>
        </is>
      </c>
      <c r="H124" t="inlineStr">
        <is>
          <t>INVESTMENT OFFICER</t>
        </is>
      </c>
      <c r="I124" t="inlineStr">
        <is>
          <t>Investment Officer</t>
        </is>
      </c>
      <c r="J124" s="21" t="n">
        <v>160388</v>
      </c>
      <c r="K124" s="21" t="n">
        <v>74899</v>
      </c>
      <c r="L124" s="21" t="n">
        <v>235287</v>
      </c>
      <c r="M124" s="21" t="n"/>
      <c r="N124" s="21" t="n">
        <v>8983</v>
      </c>
      <c r="O124" s="21" t="n">
        <v>8505</v>
      </c>
      <c r="P124" s="21" t="n">
        <v>252775</v>
      </c>
      <c r="Q124" s="21" t="n">
        <v>252775</v>
      </c>
      <c r="R124" s="21">
        <f>IF(Q124="","",Q124*(1+in_GrowthRate)^(YEARFRAC(DATE(2025,6,30),in_AgeToDate)*IF(in_AgeToDate&lt;DATE(2025,6,30),-1,1)+1))</f>
        <v/>
      </c>
      <c r="S124" s="38" t="n">
        <v>0.4669863082026087</v>
      </c>
      <c r="T124" s="43">
        <f>HYPERLINK("https://projects.propublica.org/nonprofits/organizations/586043294/202631349349304503/full","view filing")</f>
        <v/>
      </c>
    </row>
    <row r="125">
      <c r="A125" t="inlineStr">
        <is>
          <t>Georgia Tech Foundation Inc</t>
        </is>
      </c>
      <c r="B125" s="20" t="inlineStr">
        <is>
          <t>GA</t>
        </is>
      </c>
      <c r="C125" s="42" t="n">
        <v>3.04</v>
      </c>
      <c r="D125" t="inlineStr">
        <is>
          <t>Foundation</t>
        </is>
      </c>
      <c r="E125" s="20" t="n">
        <v>2024</v>
      </c>
      <c r="F125" s="20" t="inlineStr"/>
      <c r="G125" t="inlineStr">
        <is>
          <t>Patrick Liu</t>
        </is>
      </c>
      <c r="H125" t="inlineStr">
        <is>
          <t>DIRECTOR - PRIVATE INVESTMENTS</t>
        </is>
      </c>
      <c r="I125" t="inlineStr">
        <is>
          <t>Investment Manager</t>
        </is>
      </c>
      <c r="J125" s="21" t="n">
        <v>268048</v>
      </c>
      <c r="K125" s="21" t="n">
        <v>275546</v>
      </c>
      <c r="L125" s="21" t="n">
        <v>543594</v>
      </c>
      <c r="M125" s="21" t="n"/>
      <c r="N125" s="21" t="n">
        <v>27680</v>
      </c>
      <c r="O125" s="21" t="n">
        <v>38530</v>
      </c>
      <c r="P125" s="21" t="n">
        <v>609804</v>
      </c>
      <c r="Q125" s="21" t="n">
        <v>609804</v>
      </c>
      <c r="R125" s="21">
        <f>IF(Q125="","",Q125*(1+in_GrowthRate)^(YEARFRAC(DATE(2024,6,30),in_AgeToDate)*IF(in_AgeToDate&lt;DATE(2024,6,30),-1,1)+1))</f>
        <v/>
      </c>
      <c r="S125" s="38" t="n">
        <v>1.027972601922044</v>
      </c>
      <c r="T125" s="43">
        <f>HYPERLINK("https://projects.propublica.org/nonprofits/organizations/586043294/202511349349304466/full","view filing")</f>
        <v/>
      </c>
    </row>
    <row r="126">
      <c r="A126" t="inlineStr">
        <is>
          <t>Georgia Tech Foundation Inc</t>
        </is>
      </c>
      <c r="B126" s="20" t="inlineStr">
        <is>
          <t>GA</t>
        </is>
      </c>
      <c r="C126" s="42" t="n">
        <v>3.04</v>
      </c>
      <c r="D126" t="inlineStr">
        <is>
          <t>Foundation</t>
        </is>
      </c>
      <c r="E126" s="20" t="n">
        <v>2024</v>
      </c>
      <c r="F126" s="20" t="inlineStr"/>
      <c r="G126" t="inlineStr">
        <is>
          <t>Robert Thompson</t>
        </is>
      </c>
      <c r="H126" t="inlineStr">
        <is>
          <t>INVESTMENT OFFICER</t>
        </is>
      </c>
      <c r="I126" t="inlineStr">
        <is>
          <t>Investment Officer</t>
        </is>
      </c>
      <c r="J126" s="21" t="n">
        <v>132106</v>
      </c>
      <c r="K126" s="21" t="n">
        <v>93450</v>
      </c>
      <c r="L126" s="21" t="n">
        <v>225556</v>
      </c>
      <c r="M126" s="21" t="n"/>
      <c r="N126" s="21" t="n">
        <v>13505</v>
      </c>
      <c r="O126" s="21" t="n">
        <v>12272</v>
      </c>
      <c r="P126" s="21" t="n">
        <v>251333</v>
      </c>
      <c r="Q126" s="21" t="n">
        <v>251333</v>
      </c>
      <c r="R126" s="21">
        <f>IF(Q126="","",Q126*(1+in_GrowthRate)^(YEARFRAC(DATE(2024,6,30),in_AgeToDate)*IF(in_AgeToDate&lt;DATE(2024,6,30),-1,1)+1))</f>
        <v/>
      </c>
      <c r="S126" s="38" t="n">
        <v>0.7073864926649811</v>
      </c>
      <c r="T126" s="43">
        <f>HYPERLINK("https://projects.propublica.org/nonprofits/organizations/586043294/202511349349304466/full","view filing")</f>
        <v/>
      </c>
    </row>
    <row r="127">
      <c r="A127" t="inlineStr">
        <is>
          <t>Georgia Tech Foundation Inc</t>
        </is>
      </c>
      <c r="B127" s="20" t="inlineStr">
        <is>
          <t>GA</t>
        </is>
      </c>
      <c r="C127" s="42" t="n">
        <v>3.04</v>
      </c>
      <c r="D127" t="inlineStr">
        <is>
          <t>Foundation</t>
        </is>
      </c>
      <c r="E127" s="20" t="n">
        <v>2023</v>
      </c>
      <c r="F127" s="20" t="inlineStr"/>
      <c r="G127" t="inlineStr">
        <is>
          <t>John Crist</t>
        </is>
      </c>
      <c r="H127" t="inlineStr">
        <is>
          <t>MANAGER - RISK AND ASSET ALLOCATION</t>
        </is>
      </c>
      <c r="I127" t="inlineStr">
        <is>
          <t>Investment Manager</t>
        </is>
      </c>
      <c r="J127" s="21" t="n">
        <v>129067</v>
      </c>
      <c r="K127" s="21" t="n">
        <v>89241</v>
      </c>
      <c r="L127" s="21" t="n">
        <v>218308</v>
      </c>
      <c r="M127" s="21" t="n"/>
      <c r="N127" s="21" t="n">
        <v>11993</v>
      </c>
      <c r="O127" s="21" t="n">
        <v>29075</v>
      </c>
      <c r="P127" s="21" t="n">
        <v>259376</v>
      </c>
      <c r="Q127" s="21" t="n">
        <v>259376</v>
      </c>
      <c r="R127" s="21">
        <f>IF(Q127="","",Q127*(1+in_GrowthRate)^(YEARFRAC(DATE(2023,6,30),in_AgeToDate)*IF(in_AgeToDate&lt;DATE(2023,6,30),-1,1)+1))</f>
        <v/>
      </c>
      <c r="S127" s="38" t="n">
        <v>0.691431582046534</v>
      </c>
      <c r="T127" s="43">
        <f>HYPERLINK("https://projects.propublica.org/nonprofits/organizations/586043294/202441369349306949/full","view filing")</f>
        <v/>
      </c>
    </row>
    <row r="128">
      <c r="A128" t="inlineStr">
        <is>
          <t>Georgia Tech Foundation Inc</t>
        </is>
      </c>
      <c r="B128" s="20" t="inlineStr">
        <is>
          <t>GA</t>
        </is>
      </c>
      <c r="C128" s="42" t="n">
        <v>3.04</v>
      </c>
      <c r="D128" t="inlineStr">
        <is>
          <t>Foundation</t>
        </is>
      </c>
      <c r="E128" s="20" t="n">
        <v>2022</v>
      </c>
      <c r="F128" s="20" t="inlineStr"/>
      <c r="G128" t="inlineStr">
        <is>
          <t>Patrick Liu</t>
        </is>
      </c>
      <c r="H128" t="inlineStr">
        <is>
          <t>DIRECTOR - PRIVATE INVESTMENTS</t>
        </is>
      </c>
      <c r="I128" t="inlineStr">
        <is>
          <t>Investment Manager</t>
        </is>
      </c>
      <c r="J128" s="21" t="n">
        <v>218002</v>
      </c>
      <c r="K128" s="21" t="n">
        <v>200267</v>
      </c>
      <c r="L128" s="21" t="n">
        <v>418269</v>
      </c>
      <c r="M128" s="21" t="n"/>
      <c r="N128" s="21" t="n">
        <v>22534</v>
      </c>
      <c r="O128" s="21" t="n">
        <v>33662</v>
      </c>
      <c r="P128" s="21" t="n">
        <v>474465</v>
      </c>
      <c r="Q128" s="21" t="n">
        <v>474465</v>
      </c>
      <c r="R128" s="21">
        <f>IF(Q128="","",Q128*(1+in_GrowthRate)^(YEARFRAC(DATE(2022,6,30),in_AgeToDate)*IF(in_AgeToDate&lt;DATE(2022,6,30),-1,1)+1))</f>
        <v/>
      </c>
      <c r="S128" s="38" t="n">
        <v>0.9186475353437125</v>
      </c>
      <c r="T128" s="43">
        <f>HYPERLINK("https://projects.propublica.org/nonprofits/organizations/586043294/202301329349309280/full","view filing")</f>
        <v/>
      </c>
    </row>
    <row r="129">
      <c r="A129" t="inlineStr">
        <is>
          <t>Georgia Tech Foundation Inc</t>
        </is>
      </c>
      <c r="B129" s="20" t="inlineStr">
        <is>
          <t>GA</t>
        </is>
      </c>
      <c r="C129" s="42" t="n">
        <v>3.04</v>
      </c>
      <c r="D129" t="inlineStr">
        <is>
          <t>Foundation</t>
        </is>
      </c>
      <c r="E129" s="20" t="n">
        <v>2022</v>
      </c>
      <c r="F129" s="20" t="inlineStr"/>
      <c r="G129" t="inlineStr">
        <is>
          <t>Robert Thompson</t>
        </is>
      </c>
      <c r="H129" t="inlineStr">
        <is>
          <t>INVESTMENT OFFICER</t>
        </is>
      </c>
      <c r="I129" t="inlineStr">
        <is>
          <t>Investment Officer</t>
        </is>
      </c>
      <c r="J129" s="21" t="n">
        <v>120299</v>
      </c>
      <c r="K129" s="21" t="n">
        <v>81441</v>
      </c>
      <c r="L129" s="21" t="n">
        <v>201740</v>
      </c>
      <c r="M129" s="21" t="n"/>
      <c r="N129" s="21" t="n">
        <v>12323</v>
      </c>
      <c r="O129" s="21" t="n">
        <v>11224</v>
      </c>
      <c r="P129" s="21" t="n">
        <v>225287</v>
      </c>
      <c r="Q129" s="21" t="n">
        <v>225287</v>
      </c>
      <c r="R129" s="21">
        <f>IF(Q129="","",Q129*(1+in_GrowthRate)^(YEARFRAC(DATE(2022,6,30),in_AgeToDate)*IF(in_AgeToDate&lt;DATE(2022,6,30),-1,1)+1))</f>
        <v/>
      </c>
      <c r="S129" s="38" t="n">
        <v>0.6769881711402422</v>
      </c>
      <c r="T129" s="43">
        <f>HYPERLINK("https://projects.propublica.org/nonprofits/organizations/586043294/202301329349309280/full","view filing")</f>
        <v/>
      </c>
    </row>
    <row r="130">
      <c r="A130" t="inlineStr">
        <is>
          <t>Ghr Foundation</t>
        </is>
      </c>
      <c r="B130" s="20" t="inlineStr">
        <is>
          <t>MN</t>
        </is>
      </c>
      <c r="C130" s="42" t="n">
        <v>0.91</v>
      </c>
      <c r="D130" t="inlineStr">
        <is>
          <t>Foundation</t>
        </is>
      </c>
      <c r="E130" s="20" t="n">
        <v>2022</v>
      </c>
      <c r="F130" s="20" t="inlineStr"/>
      <c r="G130" t="inlineStr">
        <is>
          <t>Bryan Bencomo</t>
        </is>
      </c>
      <c r="H130" t="inlineStr">
        <is>
          <t>DIRECTOR, INVESTMENT</t>
        </is>
      </c>
      <c r="I130" t="inlineStr">
        <is>
          <t>Director of Investments</t>
        </is>
      </c>
      <c r="J130" s="21" t="n"/>
      <c r="K130" s="21" t="n"/>
      <c r="L130" s="21" t="n"/>
      <c r="M130" s="21" t="n"/>
      <c r="N130" s="21" t="n"/>
      <c r="O130" s="21" t="n"/>
      <c r="P130" s="21" t="n">
        <v>400428</v>
      </c>
      <c r="Q130" s="21" t="n">
        <v>400428</v>
      </c>
      <c r="R130" s="21">
        <f>IF(Q130="","",Q130*(1+in_GrowthRate)^(YEARFRAC(DATE(2022,12,31),in_AgeToDate)*IF(in_AgeToDate&lt;DATE(2022,12,31),-1,1)+1))</f>
        <v/>
      </c>
      <c r="S130" s="38" t="n"/>
      <c r="T130" s="43">
        <f>HYPERLINK("https://projects.propublica.org/nonprofits/organizations/453996122/202313189349106196/full","view filing")</f>
        <v/>
      </c>
    </row>
    <row r="131">
      <c r="A131" t="inlineStr">
        <is>
          <t>Gordon E And Betty I Moore Foundation</t>
        </is>
      </c>
      <c r="B131" s="20" t="inlineStr">
        <is>
          <t>CA</t>
        </is>
      </c>
      <c r="C131" s="42" t="n">
        <v>11.35</v>
      </c>
      <c r="D131" t="inlineStr">
        <is>
          <t>Foundation</t>
        </is>
      </c>
      <c r="E131" s="20" t="n">
        <v>2024</v>
      </c>
      <c r="F131" s="20">
        <f>IF(AND(OR(in_Mode="All Funds",AND(C131&gt;=in_BandFloor,C131&lt;=in_BandCeiling,OR(in_Geography="National",COUNTIFS(lst_GeoPreset,in_Geography,lst_GeoState,B131)&gt;0,AND(in_Geography="Custom",ISNUMBER(SEARCH(B131,SUBSTITUTE(in_CustomStates," ",""))))),OR(AND(D131="Endowment",Inputs!$B$14="Y"),AND(D131="Foundation",Inputs!$B$15="Y"),AND(D131="Healthcare",Inputs!$B$16="Y"),AND(D131="Pension",Inputs!$B$17="Y"),AND(D131="OCIO",Inputs!$B$18="Y"),AND(D131="Other",Inputs!$B$19="Y")))),A131&lt;&gt;in_ClientOrg,NOT(AND(in_ExclHarvard="Y",ISNUMBER(SEARCH("Harvard",A131))))),"Y","")</f>
        <v/>
      </c>
      <c r="G131" t="inlineStr">
        <is>
          <t>Ciera Ashley</t>
        </is>
      </c>
      <c r="H131" t="inlineStr">
        <is>
          <t>INVESTMENT DIRECTOR</t>
        </is>
      </c>
      <c r="I131" t="inlineStr">
        <is>
          <t>Director of Investments</t>
        </is>
      </c>
      <c r="J131" s="21" t="n"/>
      <c r="K131" s="21" t="n"/>
      <c r="L131" s="21" t="n"/>
      <c r="M131" s="21" t="n"/>
      <c r="N131" s="21" t="n"/>
      <c r="O131" s="21" t="n"/>
      <c r="P131" s="21" t="n">
        <v>721200</v>
      </c>
      <c r="Q131" s="21" t="n">
        <v>721200</v>
      </c>
      <c r="R131" s="21">
        <f>IF(Q131="","",Q131*(1+in_GrowthRate)^(YEARFRAC(DATE(2024,12,31),in_AgeToDate)*IF(in_AgeToDate&lt;DATE(2024,12,31),-1,1)+1))</f>
        <v/>
      </c>
      <c r="S131" s="38" t="n"/>
      <c r="T131" s="43">
        <f>HYPERLINK("https://projects.propublica.org/nonprofits/organizations/943397785/202503189349103305/full","view filing")</f>
        <v/>
      </c>
    </row>
    <row r="132">
      <c r="A132" t="inlineStr">
        <is>
          <t>Gordon E And Betty I Moore Foundation</t>
        </is>
      </c>
      <c r="B132" s="20" t="inlineStr">
        <is>
          <t>CA</t>
        </is>
      </c>
      <c r="C132" s="42" t="n">
        <v>11.35</v>
      </c>
      <c r="D132" t="inlineStr">
        <is>
          <t>Foundation</t>
        </is>
      </c>
      <c r="E132" s="20" t="n">
        <v>2024</v>
      </c>
      <c r="F132" s="20">
        <f>IF(AND(OR(in_Mode="All Funds",AND(C132&gt;=in_BandFloor,C132&lt;=in_BandCeiling,OR(in_Geography="National",COUNTIFS(lst_GeoPreset,in_Geography,lst_GeoState,B132)&gt;0,AND(in_Geography="Custom",ISNUMBER(SEARCH(B132,SUBSTITUTE(in_CustomStates," ",""))))),OR(AND(D132="Endowment",Inputs!$B$14="Y"),AND(D132="Foundation",Inputs!$B$15="Y"),AND(D132="Healthcare",Inputs!$B$16="Y"),AND(D132="Pension",Inputs!$B$17="Y"),AND(D132="OCIO",Inputs!$B$18="Y"),AND(D132="Other",Inputs!$B$19="Y")))),A132&lt;&gt;in_ClientOrg,NOT(AND(in_ExclHarvard="Y",ISNUMBER(SEARCH("Harvard",A132))))),"Y","")</f>
        <v/>
      </c>
      <c r="G132" t="inlineStr">
        <is>
          <t>Dale Kunkel</t>
        </is>
      </c>
      <c r="H132" t="inlineStr">
        <is>
          <t>INVESTMENT DIRECTOR</t>
        </is>
      </c>
      <c r="I132" t="inlineStr">
        <is>
          <t>Director of Investments</t>
        </is>
      </c>
      <c r="J132" s="21" t="n"/>
      <c r="K132" s="21" t="n"/>
      <c r="L132" s="21" t="n"/>
      <c r="M132" s="21" t="n"/>
      <c r="N132" s="21" t="n"/>
      <c r="O132" s="21" t="n"/>
      <c r="P132" s="21" t="n">
        <v>1677363</v>
      </c>
      <c r="Q132" s="21" t="n">
        <v>1677363</v>
      </c>
      <c r="R132" s="21">
        <f>IF(Q132="","",Q132*(1+in_GrowthRate)^(YEARFRAC(DATE(2024,12,31),in_AgeToDate)*IF(in_AgeToDate&lt;DATE(2024,12,31),-1,1)+1))</f>
        <v/>
      </c>
      <c r="S132" s="38" t="n"/>
      <c r="T132" s="43">
        <f>HYPERLINK("https://projects.propublica.org/nonprofits/organizations/943397785/202503189349103305/full","view filing")</f>
        <v/>
      </c>
    </row>
    <row r="133">
      <c r="A133" t="inlineStr">
        <is>
          <t>Gordon E And Betty I Moore Foundation</t>
        </is>
      </c>
      <c r="B133" s="20" t="inlineStr">
        <is>
          <t>CA</t>
        </is>
      </c>
      <c r="C133" s="42" t="n">
        <v>11.35</v>
      </c>
      <c r="D133" t="inlineStr">
        <is>
          <t>Foundation</t>
        </is>
      </c>
      <c r="E133" s="20" t="n">
        <v>2024</v>
      </c>
      <c r="F133" s="20">
        <f>IF(AND(OR(in_Mode="All Funds",AND(C133&gt;=in_BandFloor,C133&lt;=in_BandCeiling,OR(in_Geography="National",COUNTIFS(lst_GeoPreset,in_Geography,lst_GeoState,B133)&gt;0,AND(in_Geography="Custom",ISNUMBER(SEARCH(B133,SUBSTITUTE(in_CustomStates," ",""))))),OR(AND(D133="Endowment",Inputs!$B$14="Y"),AND(D133="Foundation",Inputs!$B$15="Y"),AND(D133="Healthcare",Inputs!$B$16="Y"),AND(D133="Pension",Inputs!$B$17="Y"),AND(D133="OCIO",Inputs!$B$18="Y"),AND(D133="Other",Inputs!$B$19="Y")))),A133&lt;&gt;in_ClientOrg,NOT(AND(in_ExclHarvard="Y",ISNUMBER(SEARCH("Harvard",A133))))),"Y","")</f>
        <v/>
      </c>
      <c r="G133" t="inlineStr">
        <is>
          <t>Felicia Chiu</t>
        </is>
      </c>
      <c r="H133" t="inlineStr">
        <is>
          <t>INVESTMENT DIRECTOR</t>
        </is>
      </c>
      <c r="I133" t="inlineStr">
        <is>
          <t>Director of Investments</t>
        </is>
      </c>
      <c r="J133" s="21" t="n"/>
      <c r="K133" s="21" t="n"/>
      <c r="L133" s="21" t="n"/>
      <c r="M133" s="21" t="n"/>
      <c r="N133" s="21" t="n"/>
      <c r="O133" s="21" t="n"/>
      <c r="P133" s="21" t="n">
        <v>1686207</v>
      </c>
      <c r="Q133" s="21" t="n">
        <v>1686207</v>
      </c>
      <c r="R133" s="21">
        <f>IF(Q133="","",Q133*(1+in_GrowthRate)^(YEARFRAC(DATE(2024,12,31),in_AgeToDate)*IF(in_AgeToDate&lt;DATE(2024,12,31),-1,1)+1))</f>
        <v/>
      </c>
      <c r="S133" s="38" t="n"/>
      <c r="T133" s="43">
        <f>HYPERLINK("https://projects.propublica.org/nonprofits/organizations/943397785/202503189349103305/full","view filing")</f>
        <v/>
      </c>
    </row>
    <row r="134">
      <c r="A134" t="inlineStr">
        <is>
          <t>Gordon E And Betty I Moore Foundation</t>
        </is>
      </c>
      <c r="B134" s="20" t="inlineStr">
        <is>
          <t>CA</t>
        </is>
      </c>
      <c r="C134" s="42" t="n">
        <v>11.35</v>
      </c>
      <c r="D134" t="inlineStr">
        <is>
          <t>Foundation</t>
        </is>
      </c>
      <c r="E134" s="20" t="n">
        <v>2024</v>
      </c>
      <c r="F134" s="20">
        <f>IF(AND(OR(in_Mode="All Funds",AND(C134&gt;=in_BandFloor,C134&lt;=in_BandCeiling,OR(in_Geography="National",COUNTIFS(lst_GeoPreset,in_Geography,lst_GeoState,B134)&gt;0,AND(in_Geography="Custom",ISNUMBER(SEARCH(B134,SUBSTITUTE(in_CustomStates," ",""))))),OR(AND(D134="Endowment",Inputs!$B$14="Y"),AND(D134="Foundation",Inputs!$B$15="Y"),AND(D134="Healthcare",Inputs!$B$16="Y"),AND(D134="Pension",Inputs!$B$17="Y"),AND(D134="OCIO",Inputs!$B$18="Y"),AND(D134="Other",Inputs!$B$19="Y")))),A134&lt;&gt;in_ClientOrg,NOT(AND(in_ExclHarvard="Y",ISNUMBER(SEARCH("Harvard",A134))))),"Y","")</f>
        <v/>
      </c>
      <c r="G134" t="inlineStr">
        <is>
          <t>Philip Law</t>
        </is>
      </c>
      <c r="H134" t="inlineStr">
        <is>
          <t>INVESTMENT DIRECTOR</t>
        </is>
      </c>
      <c r="I134" t="inlineStr">
        <is>
          <t>Director of Investments</t>
        </is>
      </c>
      <c r="J134" s="21" t="n"/>
      <c r="K134" s="21" t="n"/>
      <c r="L134" s="21" t="n"/>
      <c r="M134" s="21" t="n"/>
      <c r="N134" s="21" t="n"/>
      <c r="O134" s="21" t="n"/>
      <c r="P134" s="21" t="n">
        <v>850800</v>
      </c>
      <c r="Q134" s="21" t="n">
        <v>850800</v>
      </c>
      <c r="R134" s="21">
        <f>IF(Q134="","",Q134*(1+in_GrowthRate)^(YEARFRAC(DATE(2024,12,31),in_AgeToDate)*IF(in_AgeToDate&lt;DATE(2024,12,31),-1,1)+1))</f>
        <v/>
      </c>
      <c r="S134" s="38" t="n"/>
      <c r="T134" s="43">
        <f>HYPERLINK("https://projects.propublica.org/nonprofits/organizations/943397785/202503189349103305/full","view filing")</f>
        <v/>
      </c>
    </row>
    <row r="135">
      <c r="A135" t="inlineStr">
        <is>
          <t>Gordon E And Betty I Moore Foundation</t>
        </is>
      </c>
      <c r="B135" s="20" t="inlineStr">
        <is>
          <t>CA</t>
        </is>
      </c>
      <c r="C135" s="42" t="n">
        <v>11.35</v>
      </c>
      <c r="D135" t="inlineStr">
        <is>
          <t>Foundation</t>
        </is>
      </c>
      <c r="E135" s="20" t="n">
        <v>2024</v>
      </c>
      <c r="F135" s="20">
        <f>IF(AND(OR(in_Mode="All Funds",AND(C135&gt;=in_BandFloor,C135&lt;=in_BandCeiling,OR(in_Geography="National",COUNTIFS(lst_GeoPreset,in_Geography,lst_GeoState,B135)&gt;0,AND(in_Geography="Custom",ISNUMBER(SEARCH(B135,SUBSTITUTE(in_CustomStates," ",""))))),OR(AND(D135="Endowment",Inputs!$B$14="Y"),AND(D135="Foundation",Inputs!$B$15="Y"),AND(D135="Healthcare",Inputs!$B$16="Y"),AND(D135="Pension",Inputs!$B$17="Y"),AND(D135="OCIO",Inputs!$B$18="Y"),AND(D135="Other",Inputs!$B$19="Y")))),A135&lt;&gt;in_ClientOrg,NOT(AND(in_ExclHarvard="Y",ISNUMBER(SEARCH("Harvard",A135))))),"Y","")</f>
        <v/>
      </c>
      <c r="G135" t="inlineStr">
        <is>
          <t>Tyler Connolly</t>
        </is>
      </c>
      <c r="H135" t="inlineStr">
        <is>
          <t>INVESTMENT DIRECTOR</t>
        </is>
      </c>
      <c r="I135" t="inlineStr">
        <is>
          <t>Director of Investments</t>
        </is>
      </c>
      <c r="J135" s="21" t="n"/>
      <c r="K135" s="21" t="n"/>
      <c r="L135" s="21" t="n"/>
      <c r="M135" s="21" t="n"/>
      <c r="N135" s="21" t="n"/>
      <c r="O135" s="21" t="n"/>
      <c r="P135" s="21" t="n">
        <v>1174250</v>
      </c>
      <c r="Q135" s="21" t="n">
        <v>1174250</v>
      </c>
      <c r="R135" s="21">
        <f>IF(Q135="","",Q135*(1+in_GrowthRate)^(YEARFRAC(DATE(2024,12,31),in_AgeToDate)*IF(in_AgeToDate&lt;DATE(2024,12,31),-1,1)+1))</f>
        <v/>
      </c>
      <c r="S135" s="38" t="n"/>
      <c r="T135" s="43">
        <f>HYPERLINK("https://projects.propublica.org/nonprofits/organizations/943397785/202503189349103305/full","view filing")</f>
        <v/>
      </c>
    </row>
    <row r="136">
      <c r="A136" t="inlineStr">
        <is>
          <t>Gordon E And Betty I Moore Foundation</t>
        </is>
      </c>
      <c r="B136" s="20" t="inlineStr">
        <is>
          <t>CA</t>
        </is>
      </c>
      <c r="C136" s="42" t="n">
        <v>11.35</v>
      </c>
      <c r="D136" t="inlineStr">
        <is>
          <t>Foundation</t>
        </is>
      </c>
      <c r="E136" s="20" t="n">
        <v>2023</v>
      </c>
      <c r="F136" s="20" t="inlineStr"/>
      <c r="G136" t="inlineStr">
        <is>
          <t>Alison Barad</t>
        </is>
      </c>
      <c r="H136" t="inlineStr">
        <is>
          <t>INVESTMENT DIRECTOR</t>
        </is>
      </c>
      <c r="I136" t="inlineStr">
        <is>
          <t>Director of Investments</t>
        </is>
      </c>
      <c r="J136" s="21" t="n"/>
      <c r="K136" s="21" t="n"/>
      <c r="L136" s="21" t="n"/>
      <c r="M136" s="21" t="n"/>
      <c r="N136" s="21" t="n"/>
      <c r="O136" s="21" t="n"/>
      <c r="P136" s="21" t="n">
        <v>1384792</v>
      </c>
      <c r="Q136" s="21" t="n">
        <v>1384792</v>
      </c>
      <c r="R136" s="21">
        <f>IF(Q136="","",Q136*(1+in_GrowthRate)^(YEARFRAC(DATE(2023,12,31),in_AgeToDate)*IF(in_AgeToDate&lt;DATE(2023,12,31),-1,1)+1))</f>
        <v/>
      </c>
      <c r="S136" s="38" t="n"/>
      <c r="T136" s="43">
        <f>HYPERLINK("https://projects.propublica.org/nonprofits/organizations/943397785/202433189349101128/full","view filing")</f>
        <v/>
      </c>
    </row>
    <row r="137">
      <c r="A137" t="inlineStr">
        <is>
          <t>Gordon E And Betty I Moore Foundation</t>
        </is>
      </c>
      <c r="B137" s="20" t="inlineStr">
        <is>
          <t>CA</t>
        </is>
      </c>
      <c r="C137" s="42" t="n">
        <v>11.35</v>
      </c>
      <c r="D137" t="inlineStr">
        <is>
          <t>Foundation</t>
        </is>
      </c>
      <c r="E137" s="20" t="n">
        <v>2023</v>
      </c>
      <c r="F137" s="20" t="inlineStr"/>
      <c r="G137" t="inlineStr">
        <is>
          <t>Ciera Ashley</t>
        </is>
      </c>
      <c r="H137" t="inlineStr">
        <is>
          <t>INVESTMENT DIRECTOR</t>
        </is>
      </c>
      <c r="I137" t="inlineStr">
        <is>
          <t>Director of Investments</t>
        </is>
      </c>
      <c r="J137" s="21" t="n"/>
      <c r="K137" s="21" t="n"/>
      <c r="L137" s="21" t="n"/>
      <c r="M137" s="21" t="n"/>
      <c r="N137" s="21" t="n"/>
      <c r="O137" s="21" t="n"/>
      <c r="P137" s="21" t="n">
        <v>788300</v>
      </c>
      <c r="Q137" s="21" t="n">
        <v>788300</v>
      </c>
      <c r="R137" s="21">
        <f>IF(Q137="","",Q137*(1+in_GrowthRate)^(YEARFRAC(DATE(2023,12,31),in_AgeToDate)*IF(in_AgeToDate&lt;DATE(2023,12,31),-1,1)+1))</f>
        <v/>
      </c>
      <c r="S137" s="38" t="n"/>
      <c r="T137" s="43">
        <f>HYPERLINK("https://projects.propublica.org/nonprofits/organizations/943397785/202433189349101128/full","view filing")</f>
        <v/>
      </c>
    </row>
    <row r="138">
      <c r="A138" t="inlineStr">
        <is>
          <t>Gordon E And Betty I Moore Foundation</t>
        </is>
      </c>
      <c r="B138" s="20" t="inlineStr">
        <is>
          <t>CA</t>
        </is>
      </c>
      <c r="C138" s="42" t="n">
        <v>11.35</v>
      </c>
      <c r="D138" t="inlineStr">
        <is>
          <t>Foundation</t>
        </is>
      </c>
      <c r="E138" s="20" t="n">
        <v>2023</v>
      </c>
      <c r="F138" s="20" t="inlineStr"/>
      <c r="G138" t="inlineStr">
        <is>
          <t>Dale Kunkel</t>
        </is>
      </c>
      <c r="H138" t="inlineStr">
        <is>
          <t>INVESTMENT DIRECTOR</t>
        </is>
      </c>
      <c r="I138" t="inlineStr">
        <is>
          <t>Director of Investments</t>
        </is>
      </c>
      <c r="J138" s="21" t="n"/>
      <c r="K138" s="21" t="n"/>
      <c r="L138" s="21" t="n"/>
      <c r="M138" s="21" t="n"/>
      <c r="N138" s="21" t="n"/>
      <c r="O138" s="21" t="n"/>
      <c r="P138" s="21" t="n">
        <v>1483096</v>
      </c>
      <c r="Q138" s="21" t="n">
        <v>1483096</v>
      </c>
      <c r="R138" s="21">
        <f>IF(Q138="","",Q138*(1+in_GrowthRate)^(YEARFRAC(DATE(2023,12,31),in_AgeToDate)*IF(in_AgeToDate&lt;DATE(2023,12,31),-1,1)+1))</f>
        <v/>
      </c>
      <c r="S138" s="38" t="n"/>
      <c r="T138" s="43">
        <f>HYPERLINK("https://projects.propublica.org/nonprofits/organizations/943397785/202433189349101128/full","view filing")</f>
        <v/>
      </c>
    </row>
    <row r="139">
      <c r="A139" t="inlineStr">
        <is>
          <t>Gordon E And Betty I Moore Foundation</t>
        </is>
      </c>
      <c r="B139" s="20" t="inlineStr">
        <is>
          <t>CA</t>
        </is>
      </c>
      <c r="C139" s="42" t="n">
        <v>11.35</v>
      </c>
      <c r="D139" t="inlineStr">
        <is>
          <t>Foundation</t>
        </is>
      </c>
      <c r="E139" s="20" t="n">
        <v>2023</v>
      </c>
      <c r="F139" s="20" t="inlineStr"/>
      <c r="G139" t="inlineStr">
        <is>
          <t>Felicia Chiu</t>
        </is>
      </c>
      <c r="H139" t="inlineStr">
        <is>
          <t>INVESTMENT DIRECTOR</t>
        </is>
      </c>
      <c r="I139" t="inlineStr">
        <is>
          <t>Director of Investments</t>
        </is>
      </c>
      <c r="J139" s="21" t="n"/>
      <c r="K139" s="21" t="n"/>
      <c r="L139" s="21" t="n"/>
      <c r="M139" s="21" t="n"/>
      <c r="N139" s="21" t="n"/>
      <c r="O139" s="21" t="n"/>
      <c r="P139" s="21" t="n">
        <v>1567217</v>
      </c>
      <c r="Q139" s="21" t="n">
        <v>1567217</v>
      </c>
      <c r="R139" s="21">
        <f>IF(Q139="","",Q139*(1+in_GrowthRate)^(YEARFRAC(DATE(2023,12,31),in_AgeToDate)*IF(in_AgeToDate&lt;DATE(2023,12,31),-1,1)+1))</f>
        <v/>
      </c>
      <c r="S139" s="38" t="n"/>
      <c r="T139" s="43">
        <f>HYPERLINK("https://projects.propublica.org/nonprofits/organizations/943397785/202433189349101128/full","view filing")</f>
        <v/>
      </c>
    </row>
    <row r="140">
      <c r="A140" t="inlineStr">
        <is>
          <t>Gordon E And Betty I Moore Foundation</t>
        </is>
      </c>
      <c r="B140" s="20" t="inlineStr">
        <is>
          <t>CA</t>
        </is>
      </c>
      <c r="C140" s="42" t="n">
        <v>11.35</v>
      </c>
      <c r="D140" t="inlineStr">
        <is>
          <t>Foundation</t>
        </is>
      </c>
      <c r="E140" s="20" t="n">
        <v>2023</v>
      </c>
      <c r="F140" s="20" t="inlineStr"/>
      <c r="G140" t="inlineStr">
        <is>
          <t>Tyler Connolly</t>
        </is>
      </c>
      <c r="H140" t="inlineStr">
        <is>
          <t>INVESTMENT DIRECTOR</t>
        </is>
      </c>
      <c r="I140" t="inlineStr">
        <is>
          <t>Director of Investments</t>
        </is>
      </c>
      <c r="J140" s="21" t="n"/>
      <c r="K140" s="21" t="n"/>
      <c r="L140" s="21" t="n"/>
      <c r="M140" s="21" t="n"/>
      <c r="N140" s="21" t="n"/>
      <c r="O140" s="21" t="n"/>
      <c r="P140" s="21" t="n">
        <v>733309</v>
      </c>
      <c r="Q140" s="21" t="n">
        <v>733309</v>
      </c>
      <c r="R140" s="21">
        <f>IF(Q140="","",Q140*(1+in_GrowthRate)^(YEARFRAC(DATE(2023,12,31),in_AgeToDate)*IF(in_AgeToDate&lt;DATE(2023,12,31),-1,1)+1))</f>
        <v/>
      </c>
      <c r="S140" s="38" t="n"/>
      <c r="T140" s="43">
        <f>HYPERLINK("https://projects.propublica.org/nonprofits/organizations/943397785/202433189349101128/full","view filing")</f>
        <v/>
      </c>
    </row>
    <row r="141">
      <c r="A141" t="inlineStr">
        <is>
          <t>Gordon E And Betty I Moore Foundation</t>
        </is>
      </c>
      <c r="B141" s="20" t="inlineStr">
        <is>
          <t>CA</t>
        </is>
      </c>
      <c r="C141" s="42" t="n">
        <v>11.35</v>
      </c>
      <c r="D141" t="inlineStr">
        <is>
          <t>Foundation</t>
        </is>
      </c>
      <c r="E141" s="20" t="n">
        <v>2022</v>
      </c>
      <c r="F141" s="20" t="inlineStr"/>
      <c r="G141" t="inlineStr">
        <is>
          <t>Alison Barad</t>
        </is>
      </c>
      <c r="H141" t="inlineStr">
        <is>
          <t>INVESTMENT DIRECTOR</t>
        </is>
      </c>
      <c r="I141" t="inlineStr">
        <is>
          <t>Director of Investments</t>
        </is>
      </c>
      <c r="J141" s="21" t="n"/>
      <c r="K141" s="21" t="n"/>
      <c r="L141" s="21" t="n"/>
      <c r="M141" s="21" t="n"/>
      <c r="N141" s="21" t="n"/>
      <c r="O141" s="21" t="n"/>
      <c r="P141" s="21" t="n">
        <v>2358793</v>
      </c>
      <c r="Q141" s="21" t="n">
        <v>2358793</v>
      </c>
      <c r="R141" s="21">
        <f>IF(Q141="","",Q141*(1+in_GrowthRate)^(YEARFRAC(DATE(2022,12,31),in_AgeToDate)*IF(in_AgeToDate&lt;DATE(2022,12,31),-1,1)+1))</f>
        <v/>
      </c>
      <c r="S141" s="38" t="n"/>
      <c r="T141" s="43">
        <f>HYPERLINK("https://projects.propublica.org/nonprofits/organizations/943397785/202323189349106572/full","view filing")</f>
        <v/>
      </c>
    </row>
    <row r="142">
      <c r="A142" t="inlineStr">
        <is>
          <t>Gordon E And Betty I Moore Foundation</t>
        </is>
      </c>
      <c r="B142" s="20" t="inlineStr">
        <is>
          <t>CA</t>
        </is>
      </c>
      <c r="C142" s="42" t="n">
        <v>11.35</v>
      </c>
      <c r="D142" t="inlineStr">
        <is>
          <t>Foundation</t>
        </is>
      </c>
      <c r="E142" s="20" t="n">
        <v>2022</v>
      </c>
      <c r="F142" s="20" t="inlineStr"/>
      <c r="G142" t="inlineStr">
        <is>
          <t>Ciera Ashley</t>
        </is>
      </c>
      <c r="H142" t="inlineStr">
        <is>
          <t>INVESTMENT DIRECTOR</t>
        </is>
      </c>
      <c r="I142" t="inlineStr">
        <is>
          <t>Director of Investments</t>
        </is>
      </c>
      <c r="J142" s="21" t="n"/>
      <c r="K142" s="21" t="n"/>
      <c r="L142" s="21" t="n"/>
      <c r="M142" s="21" t="n"/>
      <c r="N142" s="21" t="n"/>
      <c r="O142" s="21" t="n"/>
      <c r="P142" s="21" t="n">
        <v>600000</v>
      </c>
      <c r="Q142" s="21" t="n">
        <v>600000</v>
      </c>
      <c r="R142" s="21">
        <f>IF(Q142="","",Q142*(1+in_GrowthRate)^(YEARFRAC(DATE(2022,12,31),in_AgeToDate)*IF(in_AgeToDate&lt;DATE(2022,12,31),-1,1)+1))</f>
        <v/>
      </c>
      <c r="S142" s="38" t="n"/>
      <c r="T142" s="43">
        <f>HYPERLINK("https://projects.propublica.org/nonprofits/organizations/943397785/202323189349106572/full","view filing")</f>
        <v/>
      </c>
    </row>
    <row r="143">
      <c r="A143" t="inlineStr">
        <is>
          <t>Gordon E And Betty I Moore Foundation</t>
        </is>
      </c>
      <c r="B143" s="20" t="inlineStr">
        <is>
          <t>CA</t>
        </is>
      </c>
      <c r="C143" s="42" t="n">
        <v>11.35</v>
      </c>
      <c r="D143" t="inlineStr">
        <is>
          <t>Foundation</t>
        </is>
      </c>
      <c r="E143" s="20" t="n">
        <v>2022</v>
      </c>
      <c r="F143" s="20" t="inlineStr"/>
      <c r="G143" t="inlineStr">
        <is>
          <t>Dale Kunkel</t>
        </is>
      </c>
      <c r="H143" t="inlineStr">
        <is>
          <t>INVESTMENT DIRECTOR</t>
        </is>
      </c>
      <c r="I143" t="inlineStr">
        <is>
          <t>Director of Investments</t>
        </is>
      </c>
      <c r="J143" s="21" t="n"/>
      <c r="K143" s="21" t="n"/>
      <c r="L143" s="21" t="n"/>
      <c r="M143" s="21" t="n"/>
      <c r="N143" s="21" t="n"/>
      <c r="O143" s="21" t="n"/>
      <c r="P143" s="21" t="n">
        <v>2010525</v>
      </c>
      <c r="Q143" s="21" t="n">
        <v>2010525</v>
      </c>
      <c r="R143" s="21">
        <f>IF(Q143="","",Q143*(1+in_GrowthRate)^(YEARFRAC(DATE(2022,12,31),in_AgeToDate)*IF(in_AgeToDate&lt;DATE(2022,12,31),-1,1)+1))</f>
        <v/>
      </c>
      <c r="S143" s="38" t="n"/>
      <c r="T143" s="43">
        <f>HYPERLINK("https://projects.propublica.org/nonprofits/organizations/943397785/202323189349106572/full","view filing")</f>
        <v/>
      </c>
    </row>
    <row r="144">
      <c r="A144" t="inlineStr">
        <is>
          <t>Gordon E And Betty I Moore Foundation</t>
        </is>
      </c>
      <c r="B144" s="20" t="inlineStr">
        <is>
          <t>CA</t>
        </is>
      </c>
      <c r="C144" s="42" t="n">
        <v>11.35</v>
      </c>
      <c r="D144" t="inlineStr">
        <is>
          <t>Foundation</t>
        </is>
      </c>
      <c r="E144" s="20" t="n">
        <v>2022</v>
      </c>
      <c r="F144" s="20" t="inlineStr"/>
      <c r="G144" t="inlineStr">
        <is>
          <t>Felicia Chiu</t>
        </is>
      </c>
      <c r="H144" t="inlineStr">
        <is>
          <t>INVESTMENT DIRECTOR</t>
        </is>
      </c>
      <c r="I144" t="inlineStr">
        <is>
          <t>Director of Investments</t>
        </is>
      </c>
      <c r="J144" s="21" t="n"/>
      <c r="K144" s="21" t="n"/>
      <c r="L144" s="21" t="n"/>
      <c r="M144" s="21" t="n"/>
      <c r="N144" s="21" t="n"/>
      <c r="O144" s="21" t="n"/>
      <c r="P144" s="21" t="n">
        <v>1913695</v>
      </c>
      <c r="Q144" s="21" t="n">
        <v>1913695</v>
      </c>
      <c r="R144" s="21">
        <f>IF(Q144="","",Q144*(1+in_GrowthRate)^(YEARFRAC(DATE(2022,12,31),in_AgeToDate)*IF(in_AgeToDate&lt;DATE(2022,12,31),-1,1)+1))</f>
        <v/>
      </c>
      <c r="S144" s="38" t="n"/>
      <c r="T144" s="43">
        <f>HYPERLINK("https://projects.propublica.org/nonprofits/organizations/943397785/202323189349106572/full","view filing")</f>
        <v/>
      </c>
    </row>
    <row r="145">
      <c r="A145" t="inlineStr">
        <is>
          <t>Indiana University Foundation</t>
        </is>
      </c>
      <c r="B145" s="20" t="inlineStr">
        <is>
          <t>IN</t>
        </is>
      </c>
      <c r="C145" s="42" t="n">
        <v>4.05</v>
      </c>
      <c r="D145" t="inlineStr">
        <is>
          <t>Endowment</t>
        </is>
      </c>
      <c r="E145" s="20" t="n">
        <v>2024</v>
      </c>
      <c r="F145" s="20" t="inlineStr"/>
      <c r="G145" t="inlineStr">
        <is>
          <t>Scott Ryan</t>
        </is>
      </c>
      <c r="H145" t="inlineStr">
        <is>
          <t>Director of Investments</t>
        </is>
      </c>
      <c r="I145" t="inlineStr">
        <is>
          <t>Director of Investments</t>
        </is>
      </c>
      <c r="J145" s="21" t="n">
        <v>165600</v>
      </c>
      <c r="K145" s="21" t="n">
        <v>247208</v>
      </c>
      <c r="L145" s="21" t="n">
        <v>412808</v>
      </c>
      <c r="M145" s="21" t="n"/>
      <c r="N145" s="21" t="n">
        <v>41490</v>
      </c>
      <c r="O145" s="21" t="n">
        <v>47915</v>
      </c>
      <c r="P145" s="21" t="n">
        <v>502213</v>
      </c>
      <c r="Q145" s="21" t="n">
        <v>502213</v>
      </c>
      <c r="R145" s="21">
        <f>IF(Q145="","",Q145*(1+in_GrowthRate)^(YEARFRAC(DATE(2024,6,30),in_AgeToDate)*IF(in_AgeToDate&lt;DATE(2024,6,30),-1,1)+1))</f>
        <v/>
      </c>
      <c r="S145" s="38" t="n">
        <v>1.49280193236715</v>
      </c>
      <c r="T145" s="43">
        <f>HYPERLINK("https://projects.propublica.org/nonprofits/organizations/356018940/202531199349300633/full","view filing")</f>
        <v/>
      </c>
    </row>
    <row r="146">
      <c r="A146" t="inlineStr">
        <is>
          <t>Indiana University Foundation</t>
        </is>
      </c>
      <c r="B146" s="20" t="inlineStr">
        <is>
          <t>IN</t>
        </is>
      </c>
      <c r="C146" s="42" t="n">
        <v>4.05</v>
      </c>
      <c r="D146" t="inlineStr">
        <is>
          <t>Endowment</t>
        </is>
      </c>
      <c r="E146" s="20" t="n">
        <v>2023</v>
      </c>
      <c r="F146" s="20" t="inlineStr"/>
      <c r="G146" t="inlineStr">
        <is>
          <t>Scott Ryan</t>
        </is>
      </c>
      <c r="H146" t="inlineStr">
        <is>
          <t>Director of Investments</t>
        </is>
      </c>
      <c r="I146" t="inlineStr">
        <is>
          <t>Director of Investments</t>
        </is>
      </c>
      <c r="J146" s="21" t="n">
        <v>160500</v>
      </c>
      <c r="K146" s="21" t="n">
        <v>165000</v>
      </c>
      <c r="L146" s="21" t="n">
        <v>325500</v>
      </c>
      <c r="M146" s="21" t="n"/>
      <c r="N146" s="21" t="n">
        <v>38400</v>
      </c>
      <c r="O146" s="21" t="n">
        <v>40102</v>
      </c>
      <c r="P146" s="21" t="n">
        <v>404002</v>
      </c>
      <c r="Q146" s="21" t="n">
        <v>404002</v>
      </c>
      <c r="R146" s="21">
        <f>IF(Q146="","",Q146*(1+in_GrowthRate)^(YEARFRAC(DATE(2023,6,30),in_AgeToDate)*IF(in_AgeToDate&lt;DATE(2023,6,30),-1,1)+1))</f>
        <v/>
      </c>
      <c r="S146" s="38" t="n">
        <v>1.02803738317757</v>
      </c>
      <c r="T146" s="43">
        <f>HYPERLINK("https://projects.propublica.org/nonprofits/organizations/356018940/202431349349308023/full","view filing")</f>
        <v/>
      </c>
    </row>
    <row r="147">
      <c r="A147" t="inlineStr">
        <is>
          <t>Indiana University Foundation</t>
        </is>
      </c>
      <c r="B147" s="20" t="inlineStr">
        <is>
          <t>IN</t>
        </is>
      </c>
      <c r="C147" s="42" t="n">
        <v>4.05</v>
      </c>
      <c r="D147" t="inlineStr">
        <is>
          <t>Endowment</t>
        </is>
      </c>
      <c r="E147" s="20" t="n">
        <v>2022</v>
      </c>
      <c r="F147" s="20" t="inlineStr"/>
      <c r="G147" t="inlineStr">
        <is>
          <t>Scott Ryan</t>
        </is>
      </c>
      <c r="H147" t="inlineStr">
        <is>
          <t>Director of Investments</t>
        </is>
      </c>
      <c r="I147" t="inlineStr">
        <is>
          <t>Director of Investments</t>
        </is>
      </c>
      <c r="J147" s="21" t="n">
        <v>134952</v>
      </c>
      <c r="K147" s="21" t="n">
        <v>74533</v>
      </c>
      <c r="L147" s="21" t="n">
        <v>209485</v>
      </c>
      <c r="M147" s="21" t="n">
        <v>300</v>
      </c>
      <c r="N147" s="21" t="n">
        <v>26960</v>
      </c>
      <c r="O147" s="21" t="n">
        <v>54513</v>
      </c>
      <c r="P147" s="21" t="n">
        <v>291258</v>
      </c>
      <c r="Q147" s="21" t="n">
        <v>291258</v>
      </c>
      <c r="R147" s="21">
        <f>IF(Q147="","",Q147*(1+in_GrowthRate)^(YEARFRAC(DATE(2022,6,30),in_AgeToDate)*IF(in_AgeToDate&lt;DATE(2022,6,30),-1,1)+1))</f>
        <v/>
      </c>
      <c r="S147" s="38" t="n">
        <v>0.5522926670223487</v>
      </c>
      <c r="T147" s="43">
        <f>HYPERLINK("https://projects.propublica.org/nonprofits/organizations/356018940/202331249349302338/full","view filing")</f>
        <v/>
      </c>
    </row>
    <row r="148">
      <c r="A148" t="inlineStr">
        <is>
          <t>Institute For Advanced Study</t>
        </is>
      </c>
      <c r="B148" s="20" t="inlineStr">
        <is>
          <t>NJ</t>
        </is>
      </c>
      <c r="C148" s="42" t="n">
        <v>1.27</v>
      </c>
      <c r="D148" t="inlineStr">
        <is>
          <t>Other</t>
        </is>
      </c>
      <c r="E148" s="20" t="n">
        <v>2025</v>
      </c>
      <c r="F148" s="20">
        <f>IF(AND(OR(in_Mode="All Funds",AND(C148&gt;=in_BandFloor,C148&lt;=in_BandCeiling,OR(in_Geography="National",COUNTIFS(lst_GeoPreset,in_Geography,lst_GeoState,B148)&gt;0,AND(in_Geography="Custom",ISNUMBER(SEARCH(B148,SUBSTITUTE(in_CustomStates," ",""))))),OR(AND(D148="Endowment",Inputs!$B$14="Y"),AND(D148="Foundation",Inputs!$B$15="Y"),AND(D148="Healthcare",Inputs!$B$16="Y"),AND(D148="Pension",Inputs!$B$17="Y"),AND(D148="OCIO",Inputs!$B$18="Y"),AND(D148="Other",Inputs!$B$19="Y")))),A148&lt;&gt;in_ClientOrg,NOT(AND(in_ExclHarvard="Y",ISNUMBER(SEARCH("Harvard",A148))))),"Y","")</f>
        <v/>
      </c>
      <c r="G148" t="inlineStr">
        <is>
          <t>Adam Solan</t>
        </is>
      </c>
      <c r="H148" t="inlineStr">
        <is>
          <t>INVESTMENT OFFICER</t>
        </is>
      </c>
      <c r="I148" t="inlineStr">
        <is>
          <t>Investment Officer</t>
        </is>
      </c>
      <c r="J148" s="21" t="n">
        <v>475712</v>
      </c>
      <c r="K148" s="21" t="n"/>
      <c r="L148" s="21" t="n">
        <v>475712</v>
      </c>
      <c r="M148" s="21" t="n">
        <v>5853</v>
      </c>
      <c r="N148" s="21" t="n">
        <v>42477</v>
      </c>
      <c r="O148" s="21" t="n">
        <v>8737</v>
      </c>
      <c r="P148" s="21" t="n">
        <v>532779</v>
      </c>
      <c r="Q148" s="21" t="n">
        <v>532779</v>
      </c>
      <c r="R148" s="21">
        <f>IF(Q148="","",Q148*(1+in_GrowthRate)^(YEARFRAC(DATE(2025,6,30),in_AgeToDate)*IF(in_AgeToDate&lt;DATE(2025,6,30),-1,1)+1))</f>
        <v/>
      </c>
      <c r="S148" s="38" t="n">
        <v>0</v>
      </c>
      <c r="T148" s="43">
        <f>HYPERLINK("https://projects.propublica.org/nonprofits/organizations/210634988/202631269349301938/full","view filing")</f>
        <v/>
      </c>
    </row>
    <row r="149">
      <c r="A149" t="inlineStr">
        <is>
          <t>Institute For Advanced Study</t>
        </is>
      </c>
      <c r="B149" s="20" t="inlineStr">
        <is>
          <t>NJ</t>
        </is>
      </c>
      <c r="C149" s="42" t="n">
        <v>1.27</v>
      </c>
      <c r="D149" t="inlineStr">
        <is>
          <t>Other</t>
        </is>
      </c>
      <c r="E149" s="20" t="n">
        <v>2024</v>
      </c>
      <c r="F149" s="20" t="inlineStr"/>
      <c r="G149" t="inlineStr">
        <is>
          <t>Adam Solan</t>
        </is>
      </c>
      <c r="H149" t="inlineStr">
        <is>
          <t>INVESTMENT OFFICER</t>
        </is>
      </c>
      <c r="I149" t="inlineStr">
        <is>
          <t>Investment Officer</t>
        </is>
      </c>
      <c r="J149" s="21" t="n">
        <v>452514</v>
      </c>
      <c r="K149" s="21" t="n"/>
      <c r="L149" s="21" t="n">
        <v>452514</v>
      </c>
      <c r="M149" s="21" t="n">
        <v>5696</v>
      </c>
      <c r="N149" s="21" t="n">
        <v>40689</v>
      </c>
      <c r="O149" s="21" t="n">
        <v>8692</v>
      </c>
      <c r="P149" s="21" t="n">
        <v>507591</v>
      </c>
      <c r="Q149" s="21" t="n">
        <v>507591</v>
      </c>
      <c r="R149" s="21">
        <f>IF(Q149="","",Q149*(1+in_GrowthRate)^(YEARFRAC(DATE(2024,6,30),in_AgeToDate)*IF(in_AgeToDate&lt;DATE(2024,6,30),-1,1)+1))</f>
        <v/>
      </c>
      <c r="S149" s="38" t="n">
        <v>0</v>
      </c>
      <c r="T149" s="43">
        <f>HYPERLINK("https://projects.propublica.org/nonprofits/organizations/210634988/202541269349300204/full","view filing")</f>
        <v/>
      </c>
    </row>
    <row r="150">
      <c r="A150" t="inlineStr">
        <is>
          <t>Institute For Advanced Study</t>
        </is>
      </c>
      <c r="B150" s="20" t="inlineStr">
        <is>
          <t>NJ</t>
        </is>
      </c>
      <c r="C150" s="42" t="n">
        <v>1.27</v>
      </c>
      <c r="D150" t="inlineStr">
        <is>
          <t>Other</t>
        </is>
      </c>
      <c r="E150" s="20" t="n">
        <v>2022</v>
      </c>
      <c r="F150" s="20" t="inlineStr"/>
      <c r="G150" t="inlineStr">
        <is>
          <t>Adam Solan</t>
        </is>
      </c>
      <c r="H150" t="inlineStr">
        <is>
          <t>INVESTMENT OFFICER</t>
        </is>
      </c>
      <c r="I150" t="inlineStr">
        <is>
          <t>Investment Officer</t>
        </is>
      </c>
      <c r="J150" s="21" t="n">
        <v>293000</v>
      </c>
      <c r="K150" s="21" t="n">
        <v>176625</v>
      </c>
      <c r="L150" s="21" t="n">
        <v>469625</v>
      </c>
      <c r="M150" s="21" t="n">
        <v>5437</v>
      </c>
      <c r="N150" s="21" t="n">
        <v>35646</v>
      </c>
      <c r="O150" s="21" t="n">
        <v>5863</v>
      </c>
      <c r="P150" s="21" t="n">
        <v>516571</v>
      </c>
      <c r="Q150" s="21" t="n">
        <v>516571</v>
      </c>
      <c r="R150" s="21">
        <f>IF(Q150="","",Q150*(1+in_GrowthRate)^(YEARFRAC(DATE(2022,6,30),in_AgeToDate)*IF(in_AgeToDate&lt;DATE(2022,6,30),-1,1)+1))</f>
        <v/>
      </c>
      <c r="S150" s="38" t="n">
        <v>0.6028156996587031</v>
      </c>
      <c r="T150" s="43">
        <f>HYPERLINK("https://projects.propublica.org/nonprofits/organizations/210634988/202331309349302973/full","view filing")</f>
        <v/>
      </c>
    </row>
    <row r="151">
      <c r="A151" t="inlineStr">
        <is>
          <t>International City Management Association Retirement Corporation</t>
        </is>
      </c>
      <c r="B151" s="20" t="inlineStr">
        <is>
          <t>DC</t>
        </is>
      </c>
      <c r="C151" s="42" t="n">
        <v>0.63</v>
      </c>
      <c r="D151" t="inlineStr">
        <is>
          <t>Pension</t>
        </is>
      </c>
      <c r="E151" s="20" t="n">
        <v>2024</v>
      </c>
      <c r="F151" s="20">
        <f>IF(AND(OR(in_Mode="All Funds",AND(C151&gt;=in_BandFloor,C151&lt;=in_BandCeiling,OR(in_Geography="National",COUNTIFS(lst_GeoPreset,in_Geography,lst_GeoState,B151)&gt;0,AND(in_Geography="Custom",ISNUMBER(SEARCH(B151,SUBSTITUTE(in_CustomStates," ",""))))),OR(AND(D151="Endowment",Inputs!$B$14="Y"),AND(D151="Foundation",Inputs!$B$15="Y"),AND(D151="Healthcare",Inputs!$B$16="Y"),AND(D151="Pension",Inputs!$B$17="Y"),AND(D151="OCIO",Inputs!$B$18="Y"),AND(D151="Other",Inputs!$B$19="Y")))),A151&lt;&gt;in_ClientOrg,NOT(AND(in_ExclHarvard="Y",ISNUMBER(SEARCH("Harvard",A151))))),"Y","")</f>
        <v/>
      </c>
      <c r="G151" t="inlineStr">
        <is>
          <t>Karen Chong-Wulff</t>
        </is>
      </c>
      <c r="H151" t="inlineStr">
        <is>
          <t>MVP, Fixed Income Investments</t>
        </is>
      </c>
      <c r="I151" t="inlineStr">
        <is>
          <t>Investment Manager</t>
        </is>
      </c>
      <c r="J151" s="21" t="n">
        <v>408642</v>
      </c>
      <c r="K151" s="21" t="n">
        <v>787760</v>
      </c>
      <c r="L151" s="21" t="n">
        <v>1196402</v>
      </c>
      <c r="M151" s="21" t="n">
        <v>2919</v>
      </c>
      <c r="N151" s="21" t="n">
        <v>123030</v>
      </c>
      <c r="O151" s="21" t="n">
        <v>36209</v>
      </c>
      <c r="P151" s="21" t="n">
        <v>1358560</v>
      </c>
      <c r="Q151" s="21" t="n">
        <v>1311380</v>
      </c>
      <c r="R151" s="21">
        <f>IF(Q151="","",Q151*(1+in_GrowthRate)^(YEARFRAC(DATE(2024,12,31),in_AgeToDate)*IF(in_AgeToDate&lt;DATE(2024,12,31),-1,1)+1))</f>
        <v/>
      </c>
      <c r="S151" s="38" t="n">
        <v>1.927750940921393</v>
      </c>
      <c r="T151" s="43">
        <f>HYPERLINK("https://projects.propublica.org/nonprofits/organizations/237268394/202533189349305858/full","view filing")</f>
        <v/>
      </c>
    </row>
    <row r="152">
      <c r="A152" t="inlineStr">
        <is>
          <t>International City Management Association Retirement Corporation</t>
        </is>
      </c>
      <c r="B152" s="20" t="inlineStr">
        <is>
          <t>DC</t>
        </is>
      </c>
      <c r="C152" s="42" t="n">
        <v>0.63</v>
      </c>
      <c r="D152" t="inlineStr">
        <is>
          <t>Pension</t>
        </is>
      </c>
      <c r="E152" s="20" t="n">
        <v>2024</v>
      </c>
      <c r="F152" s="20">
        <f>IF(AND(OR(in_Mode="All Funds",AND(C152&gt;=in_BandFloor,C152&lt;=in_BandCeiling,OR(in_Geography="National",COUNTIFS(lst_GeoPreset,in_Geography,lst_GeoState,B152)&gt;0,AND(in_Geography="Custom",ISNUMBER(SEARCH(B152,SUBSTITUTE(in_CustomStates," ",""))))),OR(AND(D152="Endowment",Inputs!$B$14="Y"),AND(D152="Foundation",Inputs!$B$15="Y"),AND(D152="Healthcare",Inputs!$B$16="Y"),AND(D152="Pension",Inputs!$B$17="Y"),AND(D152="OCIO",Inputs!$B$18="Y"),AND(D152="Other",Inputs!$B$19="Y")))),A152&lt;&gt;in_ClientOrg,NOT(AND(in_ExclHarvard="Y",ISNUMBER(SEARCH("Harvard",A152))))),"Y","")</f>
        <v/>
      </c>
      <c r="G152" t="inlineStr">
        <is>
          <t>Venkatakrishnan Balakrishnan</t>
        </is>
      </c>
      <c r="H152" t="inlineStr">
        <is>
          <t>MVP, Asset Allocation Investments</t>
        </is>
      </c>
      <c r="I152" t="inlineStr">
        <is>
          <t>Investment Manager</t>
        </is>
      </c>
      <c r="J152" s="21" t="n">
        <v>846381</v>
      </c>
      <c r="K152" s="21" t="n"/>
      <c r="L152" s="21" t="n">
        <v>846381</v>
      </c>
      <c r="M152" s="21" t="n"/>
      <c r="N152" s="21" t="n">
        <v>24150</v>
      </c>
      <c r="O152" s="21" t="n">
        <v>47995</v>
      </c>
      <c r="P152" s="21" t="n">
        <v>918526</v>
      </c>
      <c r="Q152" s="21" t="n">
        <v>918526</v>
      </c>
      <c r="R152" s="21">
        <f>IF(Q152="","",Q152*(1+in_GrowthRate)^(YEARFRAC(DATE(2024,12,31),in_AgeToDate)*IF(in_AgeToDate&lt;DATE(2024,12,31),-1,1)+1))</f>
        <v/>
      </c>
      <c r="S152" s="38" t="n">
        <v>0</v>
      </c>
      <c r="T152" s="43">
        <f>HYPERLINK("https://projects.propublica.org/nonprofits/organizations/237268394/202533189349305858/full","view filing")</f>
        <v/>
      </c>
    </row>
    <row r="153">
      <c r="A153" t="inlineStr">
        <is>
          <t>International City Management Association Retirement Corporation</t>
        </is>
      </c>
      <c r="B153" s="20" t="inlineStr">
        <is>
          <t>DC</t>
        </is>
      </c>
      <c r="C153" s="42" t="n">
        <v>0.63</v>
      </c>
      <c r="D153" t="inlineStr">
        <is>
          <t>Pension</t>
        </is>
      </c>
      <c r="E153" s="20" t="n">
        <v>2023</v>
      </c>
      <c r="F153" s="20" t="inlineStr"/>
      <c r="G153" t="inlineStr">
        <is>
          <t>Karen Chong-Wulff</t>
        </is>
      </c>
      <c r="H153" t="inlineStr">
        <is>
          <t>MVP, FIXED INCOME INVESTMENTS</t>
        </is>
      </c>
      <c r="I153" t="inlineStr">
        <is>
          <t>Investment Manager</t>
        </is>
      </c>
      <c r="J153" s="21" t="n">
        <v>402577</v>
      </c>
      <c r="K153" s="21" t="n">
        <v>636408</v>
      </c>
      <c r="L153" s="21" t="n">
        <v>1038985</v>
      </c>
      <c r="M153" s="21" t="n">
        <v>2867</v>
      </c>
      <c r="N153" s="21" t="n">
        <v>159060</v>
      </c>
      <c r="O153" s="21" t="n">
        <v>32935</v>
      </c>
      <c r="P153" s="21" t="n">
        <v>1233847</v>
      </c>
      <c r="Q153" s="21" t="n">
        <v>1233847</v>
      </c>
      <c r="R153" s="21">
        <f>IF(Q153="","",Q153*(1+in_GrowthRate)^(YEARFRAC(DATE(2023,12,31),in_AgeToDate)*IF(in_AgeToDate&lt;DATE(2023,12,31),-1,1)+1))</f>
        <v/>
      </c>
      <c r="S153" s="38" t="n">
        <v>1.580835467500627</v>
      </c>
      <c r="T153" s="43">
        <f>HYPERLINK("https://projects.propublica.org/nonprofits/organizations/237268394/202413179349307346/full","view filing")</f>
        <v/>
      </c>
    </row>
    <row r="154">
      <c r="A154" t="inlineStr">
        <is>
          <t>International City Management Association Retirement Corporation</t>
        </is>
      </c>
      <c r="B154" s="20" t="inlineStr">
        <is>
          <t>DC</t>
        </is>
      </c>
      <c r="C154" s="42" t="n">
        <v>0.63</v>
      </c>
      <c r="D154" t="inlineStr">
        <is>
          <t>Pension</t>
        </is>
      </c>
      <c r="E154" s="20" t="n">
        <v>2023</v>
      </c>
      <c r="F154" s="20" t="inlineStr"/>
      <c r="G154" t="inlineStr">
        <is>
          <t>Venkatakrishnan Balakrishnan</t>
        </is>
      </c>
      <c r="H154" t="inlineStr">
        <is>
          <t>MVP, ASSET ALLOC'N INVESTMENTS</t>
        </is>
      </c>
      <c r="I154" t="inlineStr">
        <is>
          <t>Investment Manager</t>
        </is>
      </c>
      <c r="J154" s="21" t="n">
        <v>241137</v>
      </c>
      <c r="K154" s="21" t="n">
        <v>522421</v>
      </c>
      <c r="L154" s="21" t="n">
        <v>763558</v>
      </c>
      <c r="M154" s="21" t="n">
        <v>2800</v>
      </c>
      <c r="N154" s="21" t="n">
        <v>23100</v>
      </c>
      <c r="O154" s="21" t="n">
        <v>45481</v>
      </c>
      <c r="P154" s="21" t="n">
        <v>834939</v>
      </c>
      <c r="Q154" s="21" t="n">
        <v>834939</v>
      </c>
      <c r="R154" s="21">
        <f>IF(Q154="","",Q154*(1+in_GrowthRate)^(YEARFRAC(DATE(2023,12,31),in_AgeToDate)*IF(in_AgeToDate&lt;DATE(2023,12,31),-1,1)+1))</f>
        <v/>
      </c>
      <c r="S154" s="38" t="n">
        <v>2.166490418309924</v>
      </c>
      <c r="T154" s="43">
        <f>HYPERLINK("https://projects.propublica.org/nonprofits/organizations/237268394/202413179349307346/full","view filing")</f>
        <v/>
      </c>
    </row>
    <row r="155">
      <c r="A155" t="inlineStr">
        <is>
          <t>Iowa State University Foundation</t>
        </is>
      </c>
      <c r="B155" s="20" t="inlineStr">
        <is>
          <t>IA</t>
        </is>
      </c>
      <c r="C155" s="42" t="n">
        <v>1.91</v>
      </c>
      <c r="D155" t="inlineStr">
        <is>
          <t>Endowment</t>
        </is>
      </c>
      <c r="E155" s="20" t="n">
        <v>2022</v>
      </c>
      <c r="F155" s="20" t="inlineStr"/>
      <c r="G155" t="inlineStr">
        <is>
          <t>Michael Wahlin</t>
        </is>
      </c>
      <c r="H155" t="inlineStr">
        <is>
          <t>ASSISTANT VP OF INVESTMENTS</t>
        </is>
      </c>
      <c r="I155" t="inlineStr">
        <is>
          <t>Director of Investments</t>
        </is>
      </c>
      <c r="J155" s="21" t="n">
        <v>143776</v>
      </c>
      <c r="K155" s="21" t="n"/>
      <c r="L155" s="21" t="n">
        <v>143776</v>
      </c>
      <c r="M155" s="21" t="n">
        <v>2231</v>
      </c>
      <c r="N155" s="21" t="n">
        <v>14736</v>
      </c>
      <c r="O155" s="21" t="n">
        <v>21274</v>
      </c>
      <c r="P155" s="21" t="n">
        <v>182017</v>
      </c>
      <c r="Q155" s="21" t="n">
        <v>182017</v>
      </c>
      <c r="R155" s="21">
        <f>IF(Q155="","",Q155*(1+in_GrowthRate)^(YEARFRAC(DATE(2022,6,30),in_AgeToDate)*IF(in_AgeToDate&lt;DATE(2022,6,30),-1,1)+1))</f>
        <v/>
      </c>
      <c r="S155" s="38" t="n">
        <v>0</v>
      </c>
      <c r="T155" s="43">
        <f>HYPERLINK("https://projects.propublica.org/nonprofits/organizations/421143702/202311169349300101/full","view filing")</f>
        <v/>
      </c>
    </row>
    <row r="156">
      <c r="A156" t="inlineStr">
        <is>
          <t>John Templeton Foundation</t>
        </is>
      </c>
      <c r="B156" s="20" t="inlineStr">
        <is>
          <t>PA</t>
        </is>
      </c>
      <c r="C156" s="42" t="n">
        <v>3.27</v>
      </c>
      <c r="D156" t="inlineStr">
        <is>
          <t>Foundation</t>
        </is>
      </c>
      <c r="E156" s="20" t="n">
        <v>2024</v>
      </c>
      <c r="F156" s="20">
        <f>IF(AND(OR(in_Mode="All Funds",AND(C156&gt;=in_BandFloor,C156&lt;=in_BandCeiling,OR(in_Geography="National",COUNTIFS(lst_GeoPreset,in_Geography,lst_GeoState,B156)&gt;0,AND(in_Geography="Custom",ISNUMBER(SEARCH(B156,SUBSTITUTE(in_CustomStates," ",""))))),OR(AND(D156="Endowment",Inputs!$B$14="Y"),AND(D156="Foundation",Inputs!$B$15="Y"),AND(D156="Healthcare",Inputs!$B$16="Y"),AND(D156="Pension",Inputs!$B$17="Y"),AND(D156="OCIO",Inputs!$B$18="Y"),AND(D156="Other",Inputs!$B$19="Y")))),A156&lt;&gt;in_ClientOrg,NOT(AND(in_ExclHarvard="Y",ISNUMBER(SEARCH("Harvard",A156))))),"Y","")</f>
        <v/>
      </c>
      <c r="G156" t="inlineStr">
        <is>
          <t>Brian Crawford</t>
        </is>
      </c>
      <c r="H156" t="inlineStr">
        <is>
          <t>DIRECTOR INVESTMENTS</t>
        </is>
      </c>
      <c r="I156" t="inlineStr">
        <is>
          <t>Director of Investments</t>
        </is>
      </c>
      <c r="J156" s="21" t="n"/>
      <c r="K156" s="21" t="n"/>
      <c r="L156" s="21" t="n"/>
      <c r="M156" s="21" t="n"/>
      <c r="N156" s="21" t="n"/>
      <c r="O156" s="21" t="n">
        <v>72076</v>
      </c>
      <c r="P156" s="21" t="n">
        <v>671484</v>
      </c>
      <c r="Q156" s="21" t="n">
        <v>671484</v>
      </c>
      <c r="R156" s="21">
        <f>IF(Q156="","",Q156*(1+in_GrowthRate)^(YEARFRAC(DATE(2024,12,31),in_AgeToDate)*IF(in_AgeToDate&lt;DATE(2024,12,31),-1,1)+1))</f>
        <v/>
      </c>
      <c r="S156" s="38" t="n"/>
      <c r="T156" s="43">
        <f>HYPERLINK("https://projects.propublica.org/nonprofits/organizations/621322826/202533009349100608/full","view filing")</f>
        <v/>
      </c>
    </row>
    <row r="157">
      <c r="A157" t="inlineStr">
        <is>
          <t>John Templeton Foundation</t>
        </is>
      </c>
      <c r="B157" s="20" t="inlineStr">
        <is>
          <t>PA</t>
        </is>
      </c>
      <c r="C157" s="42" t="n">
        <v>3.27</v>
      </c>
      <c r="D157" t="inlineStr">
        <is>
          <t>Foundation</t>
        </is>
      </c>
      <c r="E157" s="20" t="n">
        <v>2023</v>
      </c>
      <c r="F157" s="20" t="inlineStr"/>
      <c r="G157" t="inlineStr">
        <is>
          <t>Brian Crawford</t>
        </is>
      </c>
      <c r="H157" t="inlineStr">
        <is>
          <t>DIRECTOR INVESTMENTS</t>
        </is>
      </c>
      <c r="I157" t="inlineStr">
        <is>
          <t>Director of Investments</t>
        </is>
      </c>
      <c r="J157" s="21" t="n"/>
      <c r="K157" s="21" t="n"/>
      <c r="L157" s="21" t="n"/>
      <c r="M157" s="21" t="n"/>
      <c r="N157" s="21" t="n"/>
      <c r="O157" s="21" t="n">
        <v>66551</v>
      </c>
      <c r="P157" s="21" t="n">
        <v>770813</v>
      </c>
      <c r="Q157" s="21" t="n">
        <v>770813</v>
      </c>
      <c r="R157" s="21">
        <f>IF(Q157="","",Q157*(1+in_GrowthRate)^(YEARFRAC(DATE(2023,12,31),in_AgeToDate)*IF(in_AgeToDate&lt;DATE(2023,12,31),-1,1)+1))</f>
        <v/>
      </c>
      <c r="S157" s="38" t="n"/>
      <c r="T157" s="43">
        <f>HYPERLINK("https://projects.propublica.org/nonprofits/organizations/621322826/202423099349100062/full","view filing")</f>
        <v/>
      </c>
    </row>
    <row r="158">
      <c r="A158" t="inlineStr">
        <is>
          <t>John Templeton Foundation</t>
        </is>
      </c>
      <c r="B158" s="20" t="inlineStr">
        <is>
          <t>PA</t>
        </is>
      </c>
      <c r="C158" s="42" t="n">
        <v>3.27</v>
      </c>
      <c r="D158" t="inlineStr">
        <is>
          <t>Foundation</t>
        </is>
      </c>
      <c r="E158" s="20" t="n">
        <v>2022</v>
      </c>
      <c r="F158" s="20" t="inlineStr"/>
      <c r="G158" t="inlineStr">
        <is>
          <t>Brian Crawford</t>
        </is>
      </c>
      <c r="H158" t="inlineStr">
        <is>
          <t>DIRECTOR INVESTMENTS</t>
        </is>
      </c>
      <c r="I158" t="inlineStr">
        <is>
          <t>Director of Investments</t>
        </is>
      </c>
      <c r="J158" s="21" t="n"/>
      <c r="K158" s="21" t="n"/>
      <c r="L158" s="21" t="n"/>
      <c r="M158" s="21" t="n"/>
      <c r="N158" s="21" t="n"/>
      <c r="O158" s="21" t="n">
        <v>34661</v>
      </c>
      <c r="P158" s="21" t="n">
        <v>799661</v>
      </c>
      <c r="Q158" s="21" t="n">
        <v>799661</v>
      </c>
      <c r="R158" s="21">
        <f>IF(Q158="","",Q158*(1+in_GrowthRate)^(YEARFRAC(DATE(2022,12,31),in_AgeToDate)*IF(in_AgeToDate&lt;DATE(2022,12,31),-1,1)+1))</f>
        <v/>
      </c>
      <c r="S158" s="38" t="n"/>
      <c r="T158" s="43">
        <f>HYPERLINK("https://projects.propublica.org/nonprofits/organizations/621322826/202333079349100543/full","view filing")</f>
        <v/>
      </c>
    </row>
    <row r="159">
      <c r="A159" t="inlineStr">
        <is>
          <t>Kansas State University Foundation</t>
        </is>
      </c>
      <c r="B159" s="20" t="inlineStr">
        <is>
          <t>KS</t>
        </is>
      </c>
      <c r="C159" s="42" t="n">
        <v>0.9</v>
      </c>
      <c r="D159" t="inlineStr">
        <is>
          <t>Endowment</t>
        </is>
      </c>
      <c r="E159" s="20" t="n">
        <v>2025</v>
      </c>
      <c r="F159" s="20">
        <f>IF(AND(OR(in_Mode="All Funds",AND(C159&gt;=in_BandFloor,C159&lt;=in_BandCeiling,OR(in_Geography="National",COUNTIFS(lst_GeoPreset,in_Geography,lst_GeoState,B159)&gt;0,AND(in_Geography="Custom",ISNUMBER(SEARCH(B159,SUBSTITUTE(in_CustomStates," ",""))))),OR(AND(D159="Endowment",Inputs!$B$14="Y"),AND(D159="Foundation",Inputs!$B$15="Y"),AND(D159="Healthcare",Inputs!$B$16="Y"),AND(D159="Pension",Inputs!$B$17="Y"),AND(D159="OCIO",Inputs!$B$18="Y"),AND(D159="Other",Inputs!$B$19="Y")))),A159&lt;&gt;in_ClientOrg,NOT(AND(in_ExclHarvard="Y",ISNUMBER(SEARCH("Harvard",A159))))),"Y","")</f>
        <v/>
      </c>
      <c r="G159" t="inlineStr">
        <is>
          <t>Matthew Smagacz</t>
        </is>
      </c>
      <c r="H159" t="inlineStr">
        <is>
          <t>DIRECTOR OF INVESTMENTS</t>
        </is>
      </c>
      <c r="I159" t="inlineStr">
        <is>
          <t>Director of Investments</t>
        </is>
      </c>
      <c r="J159" s="21" t="n">
        <v>182623</v>
      </c>
      <c r="K159" s="21" t="n">
        <v>51000</v>
      </c>
      <c r="L159" s="21" t="n">
        <v>233623</v>
      </c>
      <c r="M159" s="21" t="n">
        <v>7832</v>
      </c>
      <c r="N159" s="21" t="n">
        <v>17235</v>
      </c>
      <c r="O159" s="21" t="n">
        <v>37081</v>
      </c>
      <c r="P159" s="21" t="n">
        <v>295771</v>
      </c>
      <c r="Q159" s="21" t="n">
        <v>295771</v>
      </c>
      <c r="R159" s="21">
        <f>IF(Q159="","",Q159*(1+in_GrowthRate)^(YEARFRAC(DATE(2025,6,30),in_AgeToDate)*IF(in_AgeToDate&lt;DATE(2025,6,30),-1,1)+1))</f>
        <v/>
      </c>
      <c r="S159" s="38" t="n">
        <v>0.2792638386183559</v>
      </c>
      <c r="T159" s="43">
        <f>HYPERLINK("https://projects.propublica.org/nonprofits/organizations/480667209/202641339349304244/full","view filing")</f>
        <v/>
      </c>
    </row>
    <row r="160">
      <c r="A160" t="inlineStr">
        <is>
          <t>Kansas State University Foundation</t>
        </is>
      </c>
      <c r="B160" s="20" t="inlineStr">
        <is>
          <t>KS</t>
        </is>
      </c>
      <c r="C160" s="42" t="n">
        <v>0.9</v>
      </c>
      <c r="D160" t="inlineStr">
        <is>
          <t>Endowment</t>
        </is>
      </c>
      <c r="E160" s="20" t="n">
        <v>2022</v>
      </c>
      <c r="F160" s="20" t="inlineStr"/>
      <c r="G160" t="inlineStr">
        <is>
          <t>Paul Chai</t>
        </is>
      </c>
      <c r="H160" t="inlineStr">
        <is>
          <t>DIRECTOR OF INVESTMENTS</t>
        </is>
      </c>
      <c r="I160" t="inlineStr">
        <is>
          <t>Director of Investments</t>
        </is>
      </c>
      <c r="J160" s="21" t="n">
        <v>164517</v>
      </c>
      <c r="K160" s="21" t="n">
        <v>158363</v>
      </c>
      <c r="L160" s="21" t="n">
        <v>322880</v>
      </c>
      <c r="M160" s="21" t="n">
        <v>280</v>
      </c>
      <c r="N160" s="21" t="n">
        <v>17001</v>
      </c>
      <c r="O160" s="21" t="n">
        <v>27494</v>
      </c>
      <c r="P160" s="21" t="n">
        <v>367655</v>
      </c>
      <c r="Q160" s="21" t="n">
        <v>367655</v>
      </c>
      <c r="R160" s="21">
        <f>IF(Q160="","",Q160*(1+in_GrowthRate)^(YEARFRAC(DATE(2022,6,30),in_AgeToDate)*IF(in_AgeToDate&lt;DATE(2022,6,30),-1,1)+1))</f>
        <v/>
      </c>
      <c r="S160" s="38" t="n">
        <v>0.9625935313675791</v>
      </c>
      <c r="T160" s="43">
        <f>HYPERLINK("https://projects.propublica.org/nonprofits/organizations/480667209/202321359349303907/full","view filing")</f>
        <v/>
      </c>
    </row>
    <row r="161">
      <c r="A161" t="inlineStr">
        <is>
          <t>Kansas University Endowment Assoc</t>
        </is>
      </c>
      <c r="B161" s="20" t="inlineStr">
        <is>
          <t>KS</t>
        </is>
      </c>
      <c r="C161" s="42" t="n">
        <v>2.69</v>
      </c>
      <c r="D161" t="inlineStr">
        <is>
          <t>Endowment</t>
        </is>
      </c>
      <c r="E161" s="20" t="n">
        <v>2025</v>
      </c>
      <c r="F161" s="20">
        <f>IF(AND(OR(in_Mode="All Funds",AND(C161&gt;=in_BandFloor,C161&lt;=in_BandCeiling,OR(in_Geography="National",COUNTIFS(lst_GeoPreset,in_Geography,lst_GeoState,B161)&gt;0,AND(in_Geography="Custom",ISNUMBER(SEARCH(B161,SUBSTITUTE(in_CustomStates," ",""))))),OR(AND(D161="Endowment",Inputs!$B$14="Y"),AND(D161="Foundation",Inputs!$B$15="Y"),AND(D161="Healthcare",Inputs!$B$16="Y"),AND(D161="Pension",Inputs!$B$17="Y"),AND(D161="OCIO",Inputs!$B$18="Y"),AND(D161="Other",Inputs!$B$19="Y")))),A161&lt;&gt;in_ClientOrg,NOT(AND(in_ExclHarvard="Y",ISNUMBER(SEARCH("Harvard",A161))))),"Y","")</f>
        <v/>
      </c>
      <c r="G161" t="inlineStr">
        <is>
          <t>Ryan M Toner</t>
        </is>
      </c>
      <c r="H161" t="inlineStr">
        <is>
          <t>DIRECTOR, INVESTMENTS</t>
        </is>
      </c>
      <c r="I161" t="inlineStr">
        <is>
          <t>Director of Investments</t>
        </is>
      </c>
      <c r="J161" s="21" t="n">
        <v>184183</v>
      </c>
      <c r="K161" s="21" t="n">
        <v>53462</v>
      </c>
      <c r="L161" s="21" t="n">
        <v>237645</v>
      </c>
      <c r="M161" s="21" t="n"/>
      <c r="N161" s="21" t="n">
        <v>36826</v>
      </c>
      <c r="O161" s="21" t="n">
        <v>9455</v>
      </c>
      <c r="P161" s="21" t="n">
        <v>283926</v>
      </c>
      <c r="Q161" s="21" t="n">
        <v>283926</v>
      </c>
      <c r="R161" s="21">
        <f>IF(Q161="","",Q161*(1+in_GrowthRate)^(YEARFRAC(DATE(2025,6,30),in_AgeToDate)*IF(in_AgeToDate&lt;DATE(2025,6,30),-1,1)+1))</f>
        <v/>
      </c>
      <c r="S161" s="38" t="n">
        <v>0.290265659697149</v>
      </c>
      <c r="T161" s="43">
        <f>HYPERLINK("https://projects.propublica.org/nonprofits/organizations/480547734/202631329349306968/full","view filing")</f>
        <v/>
      </c>
    </row>
    <row r="162">
      <c r="A162" t="inlineStr">
        <is>
          <t>Kansas University Endowment Assoc</t>
        </is>
      </c>
      <c r="B162" s="20" t="inlineStr">
        <is>
          <t>KS</t>
        </is>
      </c>
      <c r="C162" s="42" t="n">
        <v>2.69</v>
      </c>
      <c r="D162" t="inlineStr">
        <is>
          <t>Endowment</t>
        </is>
      </c>
      <c r="E162" s="20" t="n">
        <v>2025</v>
      </c>
      <c r="F162" s="20">
        <f>IF(AND(OR(in_Mode="All Funds",AND(C162&gt;=in_BandFloor,C162&lt;=in_BandCeiling,OR(in_Geography="National",COUNTIFS(lst_GeoPreset,in_Geography,lst_GeoState,B162)&gt;0,AND(in_Geography="Custom",ISNUMBER(SEARCH(B162,SUBSTITUTE(in_CustomStates," ",""))))),OR(AND(D162="Endowment",Inputs!$B$14="Y"),AND(D162="Foundation",Inputs!$B$15="Y"),AND(D162="Healthcare",Inputs!$B$16="Y"),AND(D162="Pension",Inputs!$B$17="Y"),AND(D162="OCIO",Inputs!$B$18="Y"),AND(D162="Other",Inputs!$B$19="Y")))),A162&lt;&gt;in_ClientOrg,NOT(AND(in_ExclHarvard="Y",ISNUMBER(SEARCH("Harvard",A162))))),"Y","")</f>
        <v/>
      </c>
      <c r="G162" t="inlineStr">
        <is>
          <t>Stacy D Nuss</t>
        </is>
      </c>
      <c r="H162" t="inlineStr">
        <is>
          <t>VP Investments &amp; Asst Treasurer</t>
        </is>
      </c>
      <c r="I162" t="inlineStr">
        <is>
          <t>Director of Investments</t>
        </is>
      </c>
      <c r="J162" s="21" t="n">
        <v>238293</v>
      </c>
      <c r="K162" s="21" t="n">
        <v>95721</v>
      </c>
      <c r="L162" s="21" t="n">
        <v>334014</v>
      </c>
      <c r="M162" s="21" t="n"/>
      <c r="N162" s="21" t="n">
        <v>73782</v>
      </c>
      <c r="O162" s="21" t="n">
        <v>686</v>
      </c>
      <c r="P162" s="21" t="n">
        <v>408482</v>
      </c>
      <c r="Q162" s="21" t="n">
        <v>408482</v>
      </c>
      <c r="R162" s="21">
        <f>IF(Q162="","",Q162*(1+in_GrowthRate)^(YEARFRAC(DATE(2025,6,30),in_AgeToDate)*IF(in_AgeToDate&lt;DATE(2025,6,30),-1,1)+1))</f>
        <v/>
      </c>
      <c r="S162" s="38" t="n">
        <v>0.4016945525046896</v>
      </c>
      <c r="T162" s="43">
        <f>HYPERLINK("https://projects.propublica.org/nonprofits/organizations/480547734/202631329349306968/full","view filing")</f>
        <v/>
      </c>
    </row>
    <row r="163">
      <c r="A163" t="inlineStr">
        <is>
          <t>Kansas University Endowment Assoc</t>
        </is>
      </c>
      <c r="B163" s="20" t="inlineStr">
        <is>
          <t>KS</t>
        </is>
      </c>
      <c r="C163" s="42" t="n">
        <v>2.69</v>
      </c>
      <c r="D163" t="inlineStr">
        <is>
          <t>Endowment</t>
        </is>
      </c>
      <c r="E163" s="20" t="n">
        <v>2024</v>
      </c>
      <c r="F163" s="20" t="inlineStr"/>
      <c r="G163" t="inlineStr">
        <is>
          <t>Ryan M Toner</t>
        </is>
      </c>
      <c r="H163" t="inlineStr">
        <is>
          <t>DIRECTOR, INVESTMENTS</t>
        </is>
      </c>
      <c r="I163" t="inlineStr">
        <is>
          <t>Director of Investments</t>
        </is>
      </c>
      <c r="J163" s="21" t="n">
        <v>168999</v>
      </c>
      <c r="K163" s="21" t="n">
        <v>54796</v>
      </c>
      <c r="L163" s="21" t="n">
        <v>223795</v>
      </c>
      <c r="M163" s="21" t="n"/>
      <c r="N163" s="21" t="n">
        <v>50562</v>
      </c>
      <c r="O163" s="21" t="n">
        <v>8118</v>
      </c>
      <c r="P163" s="21" t="n">
        <v>282475</v>
      </c>
      <c r="Q163" s="21" t="n">
        <v>282475</v>
      </c>
      <c r="R163" s="21">
        <f>IF(Q163="","",Q163*(1+in_GrowthRate)^(YEARFRAC(DATE(2024,6,30),in_AgeToDate)*IF(in_AgeToDate&lt;DATE(2024,6,30),-1,1)+1))</f>
        <v/>
      </c>
      <c r="S163" s="38" t="n">
        <v>0.3242386049621596</v>
      </c>
      <c r="T163" s="43">
        <f>HYPERLINK("https://projects.propublica.org/nonprofits/organizations/480547734/202501339349304880/full","view filing")</f>
        <v/>
      </c>
    </row>
    <row r="164">
      <c r="A164" t="inlineStr">
        <is>
          <t>Kansas University Endowment Assoc</t>
        </is>
      </c>
      <c r="B164" s="20" t="inlineStr">
        <is>
          <t>KS</t>
        </is>
      </c>
      <c r="C164" s="42" t="n">
        <v>2.69</v>
      </c>
      <c r="D164" t="inlineStr">
        <is>
          <t>Endowment</t>
        </is>
      </c>
      <c r="E164" s="20" t="n">
        <v>2024</v>
      </c>
      <c r="F164" s="20" t="inlineStr"/>
      <c r="G164" t="inlineStr">
        <is>
          <t>Stacy D Nuss</t>
        </is>
      </c>
      <c r="H164" t="inlineStr">
        <is>
          <t>VP Investments &amp; Asst Treasurer</t>
        </is>
      </c>
      <c r="I164" t="inlineStr">
        <is>
          <t>Director of Investments</t>
        </is>
      </c>
      <c r="J164" s="21" t="n">
        <v>224696</v>
      </c>
      <c r="K164" s="21" t="n">
        <v>113227</v>
      </c>
      <c r="L164" s="21" t="n">
        <v>337923</v>
      </c>
      <c r="M164" s="21" t="n"/>
      <c r="N164" s="21" t="n">
        <v>139867</v>
      </c>
      <c r="O164" s="21" t="n">
        <v>670</v>
      </c>
      <c r="P164" s="21" t="n">
        <v>478460</v>
      </c>
      <c r="Q164" s="21" t="n">
        <v>478460</v>
      </c>
      <c r="R164" s="21">
        <f>IF(Q164="","",Q164*(1+in_GrowthRate)^(YEARFRAC(DATE(2024,6,30),in_AgeToDate)*IF(in_AgeToDate&lt;DATE(2024,6,30),-1,1)+1))</f>
        <v/>
      </c>
      <c r="S164" s="38" t="n">
        <v>0.5039119521486809</v>
      </c>
      <c r="T164" s="43">
        <f>HYPERLINK("https://projects.propublica.org/nonprofits/organizations/480547734/202501339349304880/full","view filing")</f>
        <v/>
      </c>
    </row>
    <row r="165">
      <c r="A165" t="inlineStr">
        <is>
          <t>Kansas University Endowment Assoc</t>
        </is>
      </c>
      <c r="B165" s="20" t="inlineStr">
        <is>
          <t>KS</t>
        </is>
      </c>
      <c r="C165" s="42" t="n">
        <v>2.69</v>
      </c>
      <c r="D165" t="inlineStr">
        <is>
          <t>Endowment</t>
        </is>
      </c>
      <c r="E165" s="20" t="n">
        <v>2023</v>
      </c>
      <c r="F165" s="20" t="inlineStr"/>
      <c r="G165" t="inlineStr">
        <is>
          <t>James G Clarke</t>
        </is>
      </c>
      <c r="H165" t="inlineStr">
        <is>
          <t>Treasurer/SVP Investments</t>
        </is>
      </c>
      <c r="I165" t="inlineStr">
        <is>
          <t>Director of Investments</t>
        </is>
      </c>
      <c r="J165" s="21" t="n">
        <v>363051</v>
      </c>
      <c r="K165" s="21" t="n">
        <v>367810</v>
      </c>
      <c r="L165" s="21" t="n">
        <v>730861</v>
      </c>
      <c r="M165" s="21" t="n"/>
      <c r="N165" s="21" t="n">
        <v>116481</v>
      </c>
      <c r="O165" s="21" t="n">
        <v>813</v>
      </c>
      <c r="P165" s="21" t="n">
        <v>848155</v>
      </c>
      <c r="Q165" s="21" t="n">
        <v>848155</v>
      </c>
      <c r="R165" s="21">
        <f>IF(Q165="","",Q165*(1+in_GrowthRate)^(YEARFRAC(DATE(2023,6,30),in_AgeToDate)*IF(in_AgeToDate&lt;DATE(2023,6,30),-1,1)+1))</f>
        <v/>
      </c>
      <c r="S165" s="38" t="n">
        <v>1.013108351168293</v>
      </c>
      <c r="T165" s="43">
        <f>HYPERLINK("https://projects.propublica.org/nonprofits/organizations/480547734/202431319349305008/full","view filing")</f>
        <v/>
      </c>
    </row>
    <row r="166">
      <c r="A166" t="inlineStr">
        <is>
          <t>Kansas University Endowment Assoc</t>
        </is>
      </c>
      <c r="B166" s="20" t="inlineStr">
        <is>
          <t>KS</t>
        </is>
      </c>
      <c r="C166" s="42" t="n">
        <v>2.69</v>
      </c>
      <c r="D166" t="inlineStr">
        <is>
          <t>Endowment</t>
        </is>
      </c>
      <c r="E166" s="20" t="n">
        <v>2023</v>
      </c>
      <c r="F166" s="20" t="inlineStr"/>
      <c r="G166" t="inlineStr">
        <is>
          <t>Ryan Toner</t>
        </is>
      </c>
      <c r="H166" t="inlineStr">
        <is>
          <t>DIRECTOR OF INVESTMENTS</t>
        </is>
      </c>
      <c r="I166" t="inlineStr">
        <is>
          <t>Director of Investments</t>
        </is>
      </c>
      <c r="J166" s="21" t="n">
        <v>150801</v>
      </c>
      <c r="K166" s="21" t="n">
        <v>54266</v>
      </c>
      <c r="L166" s="21" t="n">
        <v>205067</v>
      </c>
      <c r="M166" s="21" t="n"/>
      <c r="N166" s="21" t="n">
        <v>41343</v>
      </c>
      <c r="O166" s="21" t="n">
        <v>7569</v>
      </c>
      <c r="P166" s="21" t="n">
        <v>253979</v>
      </c>
      <c r="Q166" s="21" t="n">
        <v>253979</v>
      </c>
      <c r="R166" s="21">
        <f>IF(Q166="","",Q166*(1+in_GrowthRate)^(YEARFRAC(DATE(2023,6,30),in_AgeToDate)*IF(in_AgeToDate&lt;DATE(2023,6,30),-1,1)+1))</f>
        <v/>
      </c>
      <c r="S166" s="38" t="n">
        <v>0.3598517251211862</v>
      </c>
      <c r="T166" s="43">
        <f>HYPERLINK("https://projects.propublica.org/nonprofits/organizations/480547734/202431319349305008/full","view filing")</f>
        <v/>
      </c>
    </row>
    <row r="167">
      <c r="A167" t="inlineStr">
        <is>
          <t>Kansas University Endowment Assoc</t>
        </is>
      </c>
      <c r="B167" s="20" t="inlineStr">
        <is>
          <t>KS</t>
        </is>
      </c>
      <c r="C167" s="42" t="n">
        <v>2.69</v>
      </c>
      <c r="D167" t="inlineStr">
        <is>
          <t>Endowment</t>
        </is>
      </c>
      <c r="E167" s="20" t="n">
        <v>2023</v>
      </c>
      <c r="F167" s="20" t="inlineStr"/>
      <c r="G167" t="inlineStr">
        <is>
          <t>Stacy Nuss</t>
        </is>
      </c>
      <c r="H167" t="inlineStr">
        <is>
          <t>VP Investments &amp; Asst Treasurer</t>
        </is>
      </c>
      <c r="I167" t="inlineStr">
        <is>
          <t>Director of Investments</t>
        </is>
      </c>
      <c r="J167" s="21" t="n">
        <v>207307</v>
      </c>
      <c r="K167" s="21" t="n">
        <v>115898</v>
      </c>
      <c r="L167" s="21" t="n">
        <v>323205</v>
      </c>
      <c r="M167" s="21" t="n"/>
      <c r="N167" s="21" t="n">
        <v>125731</v>
      </c>
      <c r="O167" s="21" t="n">
        <v>643</v>
      </c>
      <c r="P167" s="21" t="n">
        <v>449579</v>
      </c>
      <c r="Q167" s="21" t="n">
        <v>449579</v>
      </c>
      <c r="R167" s="21">
        <f>IF(Q167="","",Q167*(1+in_GrowthRate)^(YEARFRAC(DATE(2023,6,30),in_AgeToDate)*IF(in_AgeToDate&lt;DATE(2023,6,30),-1,1)+1))</f>
        <v/>
      </c>
      <c r="S167" s="38" t="n">
        <v>0.5590645757258559</v>
      </c>
      <c r="T167" s="43">
        <f>HYPERLINK("https://projects.propublica.org/nonprofits/organizations/480547734/202431319349305008/full","view filing")</f>
        <v/>
      </c>
    </row>
    <row r="168">
      <c r="A168" t="inlineStr">
        <is>
          <t>Kansas University Endowment Assoc</t>
        </is>
      </c>
      <c r="B168" s="20" t="inlineStr">
        <is>
          <t>KS</t>
        </is>
      </c>
      <c r="C168" s="42" t="n">
        <v>2.69</v>
      </c>
      <c r="D168" t="inlineStr">
        <is>
          <t>Endowment</t>
        </is>
      </c>
      <c r="E168" s="20" t="n">
        <v>2022</v>
      </c>
      <c r="F168" s="20" t="inlineStr"/>
      <c r="G168" t="inlineStr">
        <is>
          <t>James G Clarke</t>
        </is>
      </c>
      <c r="H168" t="inlineStr">
        <is>
          <t>Treasurer/SVP Investments</t>
        </is>
      </c>
      <c r="I168" t="inlineStr">
        <is>
          <t>Director of Investments</t>
        </is>
      </c>
      <c r="J168" s="21" t="n">
        <v>331158</v>
      </c>
      <c r="K168" s="21" t="n">
        <v>10000</v>
      </c>
      <c r="L168" s="21" t="n">
        <v>341158</v>
      </c>
      <c r="M168" s="21" t="n"/>
      <c r="N168" s="21" t="n">
        <v>44441</v>
      </c>
      <c r="O168" s="21" t="n">
        <v>802</v>
      </c>
      <c r="P168" s="21" t="n">
        <v>386401</v>
      </c>
      <c r="Q168" s="21" t="n">
        <v>386401</v>
      </c>
      <c r="R168" s="21">
        <f>IF(Q168="","",Q168*(1+in_GrowthRate)^(YEARFRAC(DATE(2022,6,30),in_AgeToDate)*IF(in_AgeToDate&lt;DATE(2022,6,30),-1,1)+1))</f>
        <v/>
      </c>
      <c r="S168" s="38" t="n">
        <v>0.03019706605306229</v>
      </c>
      <c r="T168" s="43">
        <f>HYPERLINK("https://projects.propublica.org/nonprofits/organizations/480547734/202341309349304859/full","view filing")</f>
        <v/>
      </c>
    </row>
    <row r="169">
      <c r="A169" t="inlineStr">
        <is>
          <t>Kansas University Endowment Assoc</t>
        </is>
      </c>
      <c r="B169" s="20" t="inlineStr">
        <is>
          <t>KS</t>
        </is>
      </c>
      <c r="C169" s="42" t="n">
        <v>2.69</v>
      </c>
      <c r="D169" t="inlineStr">
        <is>
          <t>Endowment</t>
        </is>
      </c>
      <c r="E169" s="20" t="n">
        <v>2022</v>
      </c>
      <c r="F169" s="20" t="inlineStr"/>
      <c r="G169" t="inlineStr">
        <is>
          <t>Stacy Nuss</t>
        </is>
      </c>
      <c r="H169" t="inlineStr">
        <is>
          <t>VP Investments &amp; Asst Treasurer</t>
        </is>
      </c>
      <c r="I169" t="inlineStr">
        <is>
          <t>Director of Investments</t>
        </is>
      </c>
      <c r="J169" s="21" t="n">
        <v>190892</v>
      </c>
      <c r="K169" s="21" t="n"/>
      <c r="L169" s="21" t="n">
        <v>190892</v>
      </c>
      <c r="M169" s="21" t="n"/>
      <c r="N169" s="21" t="n">
        <v>41604</v>
      </c>
      <c r="O169" s="21" t="n">
        <v>592</v>
      </c>
      <c r="P169" s="21" t="n">
        <v>233088</v>
      </c>
      <c r="Q169" s="21" t="n">
        <v>233088</v>
      </c>
      <c r="R169" s="21">
        <f>IF(Q169="","",Q169*(1+in_GrowthRate)^(YEARFRAC(DATE(2022,6,30),in_AgeToDate)*IF(in_AgeToDate&lt;DATE(2022,6,30),-1,1)+1))</f>
        <v/>
      </c>
      <c r="S169" s="38" t="n">
        <v>0</v>
      </c>
      <c r="T169" s="43">
        <f>HYPERLINK("https://projects.propublica.org/nonprofits/organizations/480547734/202341309349304859/full","view filing")</f>
        <v/>
      </c>
    </row>
    <row r="170">
      <c r="A170" t="inlineStr">
        <is>
          <t>Kimbell Art Foundation</t>
        </is>
      </c>
      <c r="B170" s="20" t="inlineStr">
        <is>
          <t>TX</t>
        </is>
      </c>
      <c r="C170" s="42" t="n">
        <v>0.44</v>
      </c>
      <c r="D170" t="inlineStr">
        <is>
          <t>Foundation</t>
        </is>
      </c>
      <c r="E170" s="20" t="n">
        <v>2024</v>
      </c>
      <c r="F170" s="20">
        <f>IF(AND(OR(in_Mode="All Funds",AND(C170&gt;=in_BandFloor,C170&lt;=in_BandCeiling,OR(in_Geography="National",COUNTIFS(lst_GeoPreset,in_Geography,lst_GeoState,B170)&gt;0,AND(in_Geography="Custom",ISNUMBER(SEARCH(B170,SUBSTITUTE(in_CustomStates," ",""))))),OR(AND(D170="Endowment",Inputs!$B$14="Y"),AND(D170="Foundation",Inputs!$B$15="Y"),AND(D170="Healthcare",Inputs!$B$16="Y"),AND(D170="Pension",Inputs!$B$17="Y"),AND(D170="OCIO",Inputs!$B$18="Y"),AND(D170="Other",Inputs!$B$19="Y")))),A170&lt;&gt;in_ClientOrg,NOT(AND(in_ExclHarvard="Y",ISNUMBER(SEARCH("Harvard",A170))))),"Y","")</f>
        <v/>
      </c>
      <c r="G170" t="inlineStr">
        <is>
          <t>Mark K Rich</t>
        </is>
      </c>
      <c r="H170" t="inlineStr">
        <is>
          <t>Dir. of Investments</t>
        </is>
      </c>
      <c r="I170" t="inlineStr">
        <is>
          <t>Director of Investments</t>
        </is>
      </c>
      <c r="J170" s="21" t="n"/>
      <c r="K170" s="21" t="n"/>
      <c r="L170" s="21" t="n"/>
      <c r="M170" s="21" t="n"/>
      <c r="N170" s="21" t="n"/>
      <c r="O170" s="21" t="n"/>
      <c r="P170" s="21" t="n">
        <v>300000</v>
      </c>
      <c r="Q170" s="21" t="n">
        <v>300000</v>
      </c>
      <c r="R170" s="21">
        <f>IF(Q170="","",Q170*(1+in_GrowthRate)^(YEARFRAC(DATE(2024,12,31),in_AgeToDate)*IF(in_AgeToDate&lt;DATE(2024,12,31),-1,1)+1))</f>
        <v/>
      </c>
      <c r="S170" s="38" t="n"/>
      <c r="T170" s="43">
        <f>HYPERLINK("https://projects.propublica.org/nonprofits/organizations/756036226/202503159349101490/full","view filing")</f>
        <v/>
      </c>
    </row>
    <row r="171">
      <c r="A171" t="inlineStr">
        <is>
          <t>Kimbell Art Foundation</t>
        </is>
      </c>
      <c r="B171" s="20" t="inlineStr">
        <is>
          <t>TX</t>
        </is>
      </c>
      <c r="C171" s="42" t="n">
        <v>0.44</v>
      </c>
      <c r="D171" t="inlineStr">
        <is>
          <t>Foundation</t>
        </is>
      </c>
      <c r="E171" s="20" t="n">
        <v>2023</v>
      </c>
      <c r="F171" s="20" t="inlineStr"/>
      <c r="G171" t="inlineStr">
        <is>
          <t>Mark K Rich</t>
        </is>
      </c>
      <c r="H171" t="inlineStr">
        <is>
          <t>Dir. of Investments</t>
        </is>
      </c>
      <c r="I171" t="inlineStr">
        <is>
          <t>Director of Investments</t>
        </is>
      </c>
      <c r="J171" s="21" t="n"/>
      <c r="K171" s="21" t="n"/>
      <c r="L171" s="21" t="n"/>
      <c r="M171" s="21" t="n"/>
      <c r="N171" s="21" t="n"/>
      <c r="O171" s="21" t="n"/>
      <c r="P171" s="21" t="n">
        <v>249600</v>
      </c>
      <c r="Q171" s="21" t="n">
        <v>249600</v>
      </c>
      <c r="R171" s="21">
        <f>IF(Q171="","",Q171*(1+in_GrowthRate)^(YEARFRAC(DATE(2023,12,31),in_AgeToDate)*IF(in_AgeToDate&lt;DATE(2023,12,31),-1,1)+1))</f>
        <v/>
      </c>
      <c r="S171" s="38" t="n"/>
      <c r="T171" s="43">
        <f>HYPERLINK("https://projects.propublica.org/nonprofits/organizations/756036226/202403189349102980/full","view filing")</f>
        <v/>
      </c>
    </row>
    <row r="172">
      <c r="A172" t="inlineStr">
        <is>
          <t>Kimbell Art Foundation</t>
        </is>
      </c>
      <c r="B172" s="20" t="inlineStr">
        <is>
          <t>TX</t>
        </is>
      </c>
      <c r="C172" s="42" t="n">
        <v>0.44</v>
      </c>
      <c r="D172" t="inlineStr">
        <is>
          <t>Foundation</t>
        </is>
      </c>
      <c r="E172" s="20" t="n">
        <v>2022</v>
      </c>
      <c r="F172" s="20" t="inlineStr"/>
      <c r="G172" t="inlineStr">
        <is>
          <t>Mark K Rich</t>
        </is>
      </c>
      <c r="H172" t="inlineStr">
        <is>
          <t>Dir. of Investments</t>
        </is>
      </c>
      <c r="I172" t="inlineStr">
        <is>
          <t>Director of Investments</t>
        </is>
      </c>
      <c r="J172" s="21" t="n"/>
      <c r="K172" s="21" t="n"/>
      <c r="L172" s="21" t="n"/>
      <c r="M172" s="21" t="n"/>
      <c r="N172" s="21" t="n"/>
      <c r="O172" s="21" t="n"/>
      <c r="P172" s="21" t="n">
        <v>243400</v>
      </c>
      <c r="Q172" s="21" t="n">
        <v>243400</v>
      </c>
      <c r="R172" s="21">
        <f>IF(Q172="","",Q172*(1+in_GrowthRate)^(YEARFRAC(DATE(2022,12,31),in_AgeToDate)*IF(in_AgeToDate&lt;DATE(2022,12,31),-1,1)+1))</f>
        <v/>
      </c>
      <c r="S172" s="38" t="n"/>
      <c r="T172" s="43">
        <f>HYPERLINK("https://projects.propublica.org/nonprofits/organizations/756036226/202323189349105612/full","view filing")</f>
        <v/>
      </c>
    </row>
    <row r="173">
      <c r="A173" t="inlineStr">
        <is>
          <t>Kresge Foundation</t>
        </is>
      </c>
      <c r="B173" s="20" t="inlineStr">
        <is>
          <t>MI</t>
        </is>
      </c>
      <c r="C173" s="42" t="n">
        <v>3.96</v>
      </c>
      <c r="D173" t="inlineStr">
        <is>
          <t>Foundation</t>
        </is>
      </c>
      <c r="E173" s="20" t="n">
        <v>2024</v>
      </c>
      <c r="F173" s="20">
        <f>IF(AND(OR(in_Mode="All Funds",AND(C173&gt;=in_BandFloor,C173&lt;=in_BandCeiling,OR(in_Geography="National",COUNTIFS(lst_GeoPreset,in_Geography,lst_GeoState,B173)&gt;0,AND(in_Geography="Custom",ISNUMBER(SEARCH(B173,SUBSTITUTE(in_CustomStates," ",""))))),OR(AND(D173="Endowment",Inputs!$B$14="Y"),AND(D173="Foundation",Inputs!$B$15="Y"),AND(D173="Healthcare",Inputs!$B$16="Y"),AND(D173="Pension",Inputs!$B$17="Y"),AND(D173="OCIO",Inputs!$B$18="Y"),AND(D173="Other",Inputs!$B$19="Y")))),A173&lt;&gt;in_ClientOrg,NOT(AND(in_ExclHarvard="Y",ISNUMBER(SEARCH("Harvard",A173))))),"Y","")</f>
        <v/>
      </c>
      <c r="G173" t="inlineStr">
        <is>
          <t>Debra Kozole Stmt 25</t>
        </is>
      </c>
      <c r="H173" t="inlineStr">
        <is>
          <t>INVESTMENT DIRECTOR</t>
        </is>
      </c>
      <c r="I173" t="inlineStr">
        <is>
          <t>Director of Investments</t>
        </is>
      </c>
      <c r="J173" s="21" t="n"/>
      <c r="K173" s="21" t="n"/>
      <c r="L173" s="21" t="n"/>
      <c r="M173" s="21" t="n"/>
      <c r="N173" s="21" t="n"/>
      <c r="O173" s="21" t="n"/>
      <c r="P173" s="21" t="n">
        <v>369413</v>
      </c>
      <c r="Q173" s="21" t="n">
        <v>369413</v>
      </c>
      <c r="R173" s="21">
        <f>IF(Q173="","",Q173*(1+in_GrowthRate)^(YEARFRAC(DATE(2024,12,31),in_AgeToDate)*IF(in_AgeToDate&lt;DATE(2024,12,31),-1,1)+1))</f>
        <v/>
      </c>
      <c r="S173" s="38" t="n"/>
      <c r="T173" s="43">
        <f>HYPERLINK("https://projects.propublica.org/nonprofits/organizations/381359217/202513169349101931/full","view filing")</f>
        <v/>
      </c>
    </row>
    <row r="174">
      <c r="A174" t="inlineStr">
        <is>
          <t>Kresge Foundation</t>
        </is>
      </c>
      <c r="B174" s="20" t="inlineStr">
        <is>
          <t>MI</t>
        </is>
      </c>
      <c r="C174" s="42" t="n">
        <v>3.96</v>
      </c>
      <c r="D174" t="inlineStr">
        <is>
          <t>Foundation</t>
        </is>
      </c>
      <c r="E174" s="20" t="n">
        <v>2024</v>
      </c>
      <c r="F174" s="20">
        <f>IF(AND(OR(in_Mode="All Funds",AND(C174&gt;=in_BandFloor,C174&lt;=in_BandCeiling,OR(in_Geography="National",COUNTIFS(lst_GeoPreset,in_Geography,lst_GeoState,B174)&gt;0,AND(in_Geography="Custom",ISNUMBER(SEARCH(B174,SUBSTITUTE(in_CustomStates," ",""))))),OR(AND(D174="Endowment",Inputs!$B$14="Y"),AND(D174="Foundation",Inputs!$B$15="Y"),AND(D174="Healthcare",Inputs!$B$16="Y"),AND(D174="Pension",Inputs!$B$17="Y"),AND(D174="OCIO",Inputs!$B$18="Y"),AND(D174="Other",Inputs!$B$19="Y")))),A174&lt;&gt;in_ClientOrg,NOT(AND(in_ExclHarvard="Y",ISNUMBER(SEARCH("Harvard",A174))))),"Y","")</f>
        <v/>
      </c>
      <c r="G174" t="inlineStr">
        <is>
          <t>Jon Gentry Stmt 25</t>
        </is>
      </c>
      <c r="H174" t="inlineStr">
        <is>
          <t>INVESTMENT MANAGING</t>
        </is>
      </c>
      <c r="I174" t="inlineStr">
        <is>
          <t>Investment Manager</t>
        </is>
      </c>
      <c r="J174" s="21" t="n"/>
      <c r="K174" s="21" t="n"/>
      <c r="L174" s="21" t="n"/>
      <c r="M174" s="21" t="n"/>
      <c r="N174" s="21" t="n"/>
      <c r="O174" s="21" t="n"/>
      <c r="P174" s="21" t="n">
        <v>787348</v>
      </c>
      <c r="Q174" s="21" t="n">
        <v>787348</v>
      </c>
      <c r="R174" s="21">
        <f>IF(Q174="","",Q174*(1+in_GrowthRate)^(YEARFRAC(DATE(2024,12,31),in_AgeToDate)*IF(in_AgeToDate&lt;DATE(2024,12,31),-1,1)+1))</f>
        <v/>
      </c>
      <c r="S174" s="38" t="n"/>
      <c r="T174" s="43">
        <f>HYPERLINK("https://projects.propublica.org/nonprofits/organizations/381359217/202513169349101931/full","view filing")</f>
        <v/>
      </c>
    </row>
    <row r="175">
      <c r="A175" t="inlineStr">
        <is>
          <t>Kresge Foundation</t>
        </is>
      </c>
      <c r="B175" s="20" t="inlineStr">
        <is>
          <t>MI</t>
        </is>
      </c>
      <c r="C175" s="42" t="n">
        <v>3.96</v>
      </c>
      <c r="D175" t="inlineStr">
        <is>
          <t>Foundation</t>
        </is>
      </c>
      <c r="E175" s="20" t="n">
        <v>2024</v>
      </c>
      <c r="F175" s="20">
        <f>IF(AND(OR(in_Mode="All Funds",AND(C175&gt;=in_BandFloor,C175&lt;=in_BandCeiling,OR(in_Geography="National",COUNTIFS(lst_GeoPreset,in_Geography,lst_GeoState,B175)&gt;0,AND(in_Geography="Custom",ISNUMBER(SEARCH(B175,SUBSTITUTE(in_CustomStates," ",""))))),OR(AND(D175="Endowment",Inputs!$B$14="Y"),AND(D175="Foundation",Inputs!$B$15="Y"),AND(D175="Healthcare",Inputs!$B$16="Y"),AND(D175="Pension",Inputs!$B$17="Y"),AND(D175="OCIO",Inputs!$B$18="Y"),AND(D175="Other",Inputs!$B$19="Y")))),A175&lt;&gt;in_ClientOrg,NOT(AND(in_ExclHarvard="Y",ISNUMBER(SEARCH("Harvard",A175))))),"Y","")</f>
        <v/>
      </c>
      <c r="G175" t="inlineStr">
        <is>
          <t>Venus Phillips Stmt 25</t>
        </is>
      </c>
      <c r="H175" t="inlineStr">
        <is>
          <t>INVESTMENT MANAGING</t>
        </is>
      </c>
      <c r="I175" t="inlineStr">
        <is>
          <t>Investment Manager</t>
        </is>
      </c>
      <c r="J175" s="21" t="n"/>
      <c r="K175" s="21" t="n"/>
      <c r="L175" s="21" t="n"/>
      <c r="M175" s="21" t="n"/>
      <c r="N175" s="21" t="n"/>
      <c r="O175" s="21" t="n"/>
      <c r="P175" s="21" t="n">
        <v>682731</v>
      </c>
      <c r="Q175" s="21" t="n">
        <v>682731</v>
      </c>
      <c r="R175" s="21">
        <f>IF(Q175="","",Q175*(1+in_GrowthRate)^(YEARFRAC(DATE(2024,12,31),in_AgeToDate)*IF(in_AgeToDate&lt;DATE(2024,12,31),-1,1)+1))</f>
        <v/>
      </c>
      <c r="S175" s="38" t="n"/>
      <c r="T175" s="43">
        <f>HYPERLINK("https://projects.propublica.org/nonprofits/organizations/381359217/202513169349101931/full","view filing")</f>
        <v/>
      </c>
    </row>
    <row r="176">
      <c r="A176" t="inlineStr">
        <is>
          <t>Kresge Foundation</t>
        </is>
      </c>
      <c r="B176" s="20" t="inlineStr">
        <is>
          <t>MI</t>
        </is>
      </c>
      <c r="C176" s="42" t="n">
        <v>3.96</v>
      </c>
      <c r="D176" t="inlineStr">
        <is>
          <t>Foundation</t>
        </is>
      </c>
      <c r="E176" s="20" t="n">
        <v>2023</v>
      </c>
      <c r="F176" s="20" t="inlineStr"/>
      <c r="G176" t="inlineStr">
        <is>
          <t>Adrian Ohmer Stmt 24</t>
        </is>
      </c>
      <c r="H176" t="inlineStr">
        <is>
          <t>INVESTMENT DIRECTOR</t>
        </is>
      </c>
      <c r="I176" t="inlineStr">
        <is>
          <t>Director of Investments</t>
        </is>
      </c>
      <c r="J176" s="21" t="n"/>
      <c r="K176" s="21" t="n"/>
      <c r="L176" s="21" t="n"/>
      <c r="M176" s="21" t="n"/>
      <c r="N176" s="21" t="n"/>
      <c r="O176" s="21" t="n"/>
      <c r="P176" s="21" t="n">
        <v>374625</v>
      </c>
      <c r="Q176" s="21" t="n">
        <v>374625</v>
      </c>
      <c r="R176" s="21">
        <f>IF(Q176="","",Q176*(1+in_GrowthRate)^(YEARFRAC(DATE(2023,12,31),in_AgeToDate)*IF(in_AgeToDate&lt;DATE(2023,12,31),-1,1)+1))</f>
        <v/>
      </c>
      <c r="S176" s="38" t="n"/>
      <c r="T176" s="43">
        <f>HYPERLINK("https://projects.propublica.org/nonprofits/organizations/381359217/202413199349106071/full","view filing")</f>
        <v/>
      </c>
    </row>
    <row r="177">
      <c r="A177" t="inlineStr">
        <is>
          <t>Kresge Foundation</t>
        </is>
      </c>
      <c r="B177" s="20" t="inlineStr">
        <is>
          <t>MI</t>
        </is>
      </c>
      <c r="C177" s="42" t="n">
        <v>3.96</v>
      </c>
      <c r="D177" t="inlineStr">
        <is>
          <t>Foundation</t>
        </is>
      </c>
      <c r="E177" s="20" t="n">
        <v>2023</v>
      </c>
      <c r="F177" s="20" t="inlineStr"/>
      <c r="G177" t="inlineStr">
        <is>
          <t>Jon Gentry Stmt 24</t>
        </is>
      </c>
      <c r="H177" t="inlineStr">
        <is>
          <t>INVESTMENT MANAGING</t>
        </is>
      </c>
      <c r="I177" t="inlineStr">
        <is>
          <t>Investment Manager</t>
        </is>
      </c>
      <c r="J177" s="21" t="n"/>
      <c r="K177" s="21" t="n"/>
      <c r="L177" s="21" t="n"/>
      <c r="M177" s="21" t="n"/>
      <c r="N177" s="21" t="n"/>
      <c r="O177" s="21" t="n"/>
      <c r="P177" s="21" t="n">
        <v>787469</v>
      </c>
      <c r="Q177" s="21" t="n">
        <v>787469</v>
      </c>
      <c r="R177" s="21">
        <f>IF(Q177="","",Q177*(1+in_GrowthRate)^(YEARFRAC(DATE(2023,12,31),in_AgeToDate)*IF(in_AgeToDate&lt;DATE(2023,12,31),-1,1)+1))</f>
        <v/>
      </c>
      <c r="S177" s="38" t="n"/>
      <c r="T177" s="43">
        <f>HYPERLINK("https://projects.propublica.org/nonprofits/organizations/381359217/202413199349106071/full","view filing")</f>
        <v/>
      </c>
    </row>
    <row r="178">
      <c r="A178" t="inlineStr">
        <is>
          <t>Kresge Foundation</t>
        </is>
      </c>
      <c r="B178" s="20" t="inlineStr">
        <is>
          <t>MI</t>
        </is>
      </c>
      <c r="C178" s="42" t="n">
        <v>3.96</v>
      </c>
      <c r="D178" t="inlineStr">
        <is>
          <t>Foundation</t>
        </is>
      </c>
      <c r="E178" s="20" t="n">
        <v>2023</v>
      </c>
      <c r="F178" s="20" t="inlineStr"/>
      <c r="G178" t="inlineStr">
        <is>
          <t>Venus Phillips Stmt 24</t>
        </is>
      </c>
      <c r="H178" t="inlineStr">
        <is>
          <t>INVESTMENT MANAGING</t>
        </is>
      </c>
      <c r="I178" t="inlineStr">
        <is>
          <t>Investment Manager</t>
        </is>
      </c>
      <c r="J178" s="21" t="n"/>
      <c r="K178" s="21" t="n"/>
      <c r="L178" s="21" t="n"/>
      <c r="M178" s="21" t="n"/>
      <c r="N178" s="21" t="n"/>
      <c r="O178" s="21" t="n"/>
      <c r="P178" s="21" t="n">
        <v>637881</v>
      </c>
      <c r="Q178" s="21" t="n">
        <v>637881</v>
      </c>
      <c r="R178" s="21">
        <f>IF(Q178="","",Q178*(1+in_GrowthRate)^(YEARFRAC(DATE(2023,12,31),in_AgeToDate)*IF(in_AgeToDate&lt;DATE(2023,12,31),-1,1)+1))</f>
        <v/>
      </c>
      <c r="S178" s="38" t="n"/>
      <c r="T178" s="43">
        <f>HYPERLINK("https://projects.propublica.org/nonprofits/organizations/381359217/202413199349106071/full","view filing")</f>
        <v/>
      </c>
    </row>
    <row r="179">
      <c r="A179" t="inlineStr">
        <is>
          <t>Kresge Foundation</t>
        </is>
      </c>
      <c r="B179" s="20" t="inlineStr">
        <is>
          <t>MI</t>
        </is>
      </c>
      <c r="C179" s="42" t="n">
        <v>3.96</v>
      </c>
      <c r="D179" t="inlineStr">
        <is>
          <t>Foundation</t>
        </is>
      </c>
      <c r="E179" s="20" t="n">
        <v>2022</v>
      </c>
      <c r="F179" s="20" t="inlineStr"/>
      <c r="G179" t="inlineStr">
        <is>
          <t>Adrian Ohmer Stmt 25</t>
        </is>
      </c>
      <c r="H179" t="inlineStr">
        <is>
          <t>INVESTMENT DIRECTOR</t>
        </is>
      </c>
      <c r="I179" t="inlineStr">
        <is>
          <t>Director of Investments</t>
        </is>
      </c>
      <c r="J179" s="21" t="n"/>
      <c r="K179" s="21" t="n"/>
      <c r="L179" s="21" t="n"/>
      <c r="M179" s="21" t="n"/>
      <c r="N179" s="21" t="n"/>
      <c r="O179" s="21" t="n"/>
      <c r="P179" s="21" t="n">
        <v>315745</v>
      </c>
      <c r="Q179" s="21" t="n">
        <v>315745</v>
      </c>
      <c r="R179" s="21">
        <f>IF(Q179="","",Q179*(1+in_GrowthRate)^(YEARFRAC(DATE(2022,12,31),in_AgeToDate)*IF(in_AgeToDate&lt;DATE(2022,12,31),-1,1)+1))</f>
        <v/>
      </c>
      <c r="S179" s="38" t="n"/>
      <c r="T179" s="43">
        <f>HYPERLINK("https://projects.propublica.org/nonprofits/organizations/381359217/202333179349102048/full","view filing")</f>
        <v/>
      </c>
    </row>
    <row r="180">
      <c r="A180" t="inlineStr">
        <is>
          <t>Kresge Foundation</t>
        </is>
      </c>
      <c r="B180" s="20" t="inlineStr">
        <is>
          <t>MI</t>
        </is>
      </c>
      <c r="C180" s="42" t="n">
        <v>3.96</v>
      </c>
      <c r="D180" t="inlineStr">
        <is>
          <t>Foundation</t>
        </is>
      </c>
      <c r="E180" s="20" t="n">
        <v>2022</v>
      </c>
      <c r="F180" s="20" t="inlineStr"/>
      <c r="G180" t="inlineStr">
        <is>
          <t>Jon Gentry Stmt 25</t>
        </is>
      </c>
      <c r="H180" t="inlineStr">
        <is>
          <t>INVESTMENT MANAGING</t>
        </is>
      </c>
      <c r="I180" t="inlineStr">
        <is>
          <t>Investment Manager</t>
        </is>
      </c>
      <c r="J180" s="21" t="n"/>
      <c r="K180" s="21" t="n"/>
      <c r="L180" s="21" t="n"/>
      <c r="M180" s="21" t="n"/>
      <c r="N180" s="21" t="n"/>
      <c r="O180" s="21" t="n"/>
      <c r="P180" s="21" t="n">
        <v>684678</v>
      </c>
      <c r="Q180" s="21" t="n">
        <v>684678</v>
      </c>
      <c r="R180" s="21">
        <f>IF(Q180="","",Q180*(1+in_GrowthRate)^(YEARFRAC(DATE(2022,12,31),in_AgeToDate)*IF(in_AgeToDate&lt;DATE(2022,12,31),-1,1)+1))</f>
        <v/>
      </c>
      <c r="S180" s="38" t="n"/>
      <c r="T180" s="43">
        <f>HYPERLINK("https://projects.propublica.org/nonprofits/organizations/381359217/202333179349102048/full","view filing")</f>
        <v/>
      </c>
    </row>
    <row r="181">
      <c r="A181" t="inlineStr">
        <is>
          <t>Kresge Foundation</t>
        </is>
      </c>
      <c r="B181" s="20" t="inlineStr">
        <is>
          <t>MI</t>
        </is>
      </c>
      <c r="C181" s="42" t="n">
        <v>3.96</v>
      </c>
      <c r="D181" t="inlineStr">
        <is>
          <t>Foundation</t>
        </is>
      </c>
      <c r="E181" s="20" t="n">
        <v>2022</v>
      </c>
      <c r="F181" s="20" t="inlineStr"/>
      <c r="G181" t="inlineStr">
        <is>
          <t>Venus Phillips Stmt 25</t>
        </is>
      </c>
      <c r="H181" t="inlineStr">
        <is>
          <t>INVESTMENT MANAGING</t>
        </is>
      </c>
      <c r="I181" t="inlineStr">
        <is>
          <t>Investment Manager</t>
        </is>
      </c>
      <c r="J181" s="21" t="n"/>
      <c r="K181" s="21" t="n"/>
      <c r="L181" s="21" t="n"/>
      <c r="M181" s="21" t="n"/>
      <c r="N181" s="21" t="n"/>
      <c r="O181" s="21" t="n"/>
      <c r="P181" s="21" t="n">
        <v>463078</v>
      </c>
      <c r="Q181" s="21" t="n">
        <v>463078</v>
      </c>
      <c r="R181" s="21">
        <f>IF(Q181="","",Q181*(1+in_GrowthRate)^(YEARFRAC(DATE(2022,12,31),in_AgeToDate)*IF(in_AgeToDate&lt;DATE(2022,12,31),-1,1)+1))</f>
        <v/>
      </c>
      <c r="S181" s="38" t="n"/>
      <c r="T181" s="43">
        <f>HYPERLINK("https://projects.propublica.org/nonprofits/organizations/381359217/202333179349102048/full","view filing")</f>
        <v/>
      </c>
    </row>
    <row r="182">
      <c r="A182" t="inlineStr">
        <is>
          <t>Lafayette College</t>
        </is>
      </c>
      <c r="B182" s="20" t="inlineStr">
        <is>
          <t>PA</t>
        </is>
      </c>
      <c r="C182" s="42" t="n">
        <v>1.2</v>
      </c>
      <c r="D182" t="inlineStr">
        <is>
          <t>Endowment</t>
        </is>
      </c>
      <c r="E182" s="20" t="n">
        <v>2025</v>
      </c>
      <c r="F182" s="20">
        <f>IF(AND(OR(in_Mode="All Funds",AND(C182&gt;=in_BandFloor,C182&lt;=in_BandCeiling,OR(in_Geography="National",COUNTIFS(lst_GeoPreset,in_Geography,lst_GeoState,B182)&gt;0,AND(in_Geography="Custom",ISNUMBER(SEARCH(B182,SUBSTITUTE(in_CustomStates," ",""))))),OR(AND(D182="Endowment",Inputs!$B$14="Y"),AND(D182="Foundation",Inputs!$B$15="Y"),AND(D182="Healthcare",Inputs!$B$16="Y"),AND(D182="Pension",Inputs!$B$17="Y"),AND(D182="OCIO",Inputs!$B$18="Y"),AND(D182="Other",Inputs!$B$19="Y")))),A182&lt;&gt;in_ClientOrg,NOT(AND(in_ExclHarvard="Y",ISNUMBER(SEARCH("Harvard",A182))))),"Y","")</f>
        <v/>
      </c>
      <c r="G182" t="inlineStr">
        <is>
          <t>John R Dailey</t>
        </is>
      </c>
      <c r="H182" t="inlineStr">
        <is>
          <t>DIRECTOR OF INVESTMENTS</t>
        </is>
      </c>
      <c r="I182" t="inlineStr">
        <is>
          <t>Director of Investments</t>
        </is>
      </c>
      <c r="J182" s="21" t="n">
        <v>266219</v>
      </c>
      <c r="K182" s="21" t="n">
        <v>216000</v>
      </c>
      <c r="L182" s="21" t="n">
        <v>482219</v>
      </c>
      <c r="M182" s="21" t="n">
        <v>689</v>
      </c>
      <c r="N182" s="21" t="n">
        <v>27117</v>
      </c>
      <c r="O182" s="21" t="n">
        <v>16330</v>
      </c>
      <c r="P182" s="21" t="n">
        <v>526355</v>
      </c>
      <c r="Q182" s="21" t="n">
        <v>526355</v>
      </c>
      <c r="R182" s="21">
        <f>IF(Q182="","",Q182*(1+in_GrowthRate)^(YEARFRAC(DATE(2025,6,30),in_AgeToDate)*IF(in_AgeToDate&lt;DATE(2025,6,30),-1,1)+1))</f>
        <v/>
      </c>
      <c r="S182" s="38" t="n">
        <v>0.8113620740818649</v>
      </c>
      <c r="T182" s="43">
        <f>HYPERLINK("https://projects.propublica.org/nonprofits/organizations/240795686/202611349349301311/full","view filing")</f>
        <v/>
      </c>
    </row>
    <row r="183">
      <c r="A183" t="inlineStr">
        <is>
          <t>Lafayette College</t>
        </is>
      </c>
      <c r="B183" s="20" t="inlineStr">
        <is>
          <t>PA</t>
        </is>
      </c>
      <c r="C183" s="42" t="n">
        <v>1.2</v>
      </c>
      <c r="D183" t="inlineStr">
        <is>
          <t>Endowment</t>
        </is>
      </c>
      <c r="E183" s="20" t="n">
        <v>2024</v>
      </c>
      <c r="F183" s="20" t="inlineStr"/>
      <c r="G183" t="inlineStr">
        <is>
          <t>John R Dailey</t>
        </is>
      </c>
      <c r="H183" t="inlineStr">
        <is>
          <t>DIRECTOR OF INVESTMENTS</t>
        </is>
      </c>
      <c r="I183" t="inlineStr">
        <is>
          <t>Director of Investments</t>
        </is>
      </c>
      <c r="J183" s="21" t="n">
        <v>255044</v>
      </c>
      <c r="K183" s="21" t="n">
        <v>250000</v>
      </c>
      <c r="L183" s="21" t="n">
        <v>505044</v>
      </c>
      <c r="M183" s="21" t="n">
        <v>657</v>
      </c>
      <c r="N183" s="21" t="n">
        <v>25317</v>
      </c>
      <c r="O183" s="21" t="n">
        <v>15558</v>
      </c>
      <c r="P183" s="21" t="n">
        <v>546576</v>
      </c>
      <c r="Q183" s="21" t="n">
        <v>546576</v>
      </c>
      <c r="R183" s="21">
        <f>IF(Q183="","",Q183*(1+in_GrowthRate)^(YEARFRAC(DATE(2024,6,30),in_AgeToDate)*IF(in_AgeToDate&lt;DATE(2024,6,30),-1,1)+1))</f>
        <v/>
      </c>
      <c r="S183" s="38" t="n">
        <v>0.9802230203415881</v>
      </c>
      <c r="T183" s="43">
        <f>HYPERLINK("https://projects.propublica.org/nonprofits/organizations/240795686/202531349349305958/full","view filing")</f>
        <v/>
      </c>
    </row>
    <row r="184">
      <c r="A184" t="inlineStr">
        <is>
          <t>Lafayette College</t>
        </is>
      </c>
      <c r="B184" s="20" t="inlineStr">
        <is>
          <t>PA</t>
        </is>
      </c>
      <c r="C184" s="42" t="n">
        <v>1.2</v>
      </c>
      <c r="D184" t="inlineStr">
        <is>
          <t>Endowment</t>
        </is>
      </c>
      <c r="E184" s="20" t="n">
        <v>2024</v>
      </c>
      <c r="F184" s="20" t="inlineStr"/>
      <c r="G184" t="inlineStr">
        <is>
          <t>Li Zhao</t>
        </is>
      </c>
      <c r="H184" t="inlineStr">
        <is>
          <t>DIRECTOR OF INVESTMENTS</t>
        </is>
      </c>
      <c r="I184" t="inlineStr">
        <is>
          <t>Director of Investments</t>
        </is>
      </c>
      <c r="J184" s="21" t="n">
        <v>237477</v>
      </c>
      <c r="K184" s="21" t="n">
        <v>225000</v>
      </c>
      <c r="L184" s="21" t="n">
        <v>462477</v>
      </c>
      <c r="M184" s="21" t="n">
        <v>347</v>
      </c>
      <c r="N184" s="21" t="n">
        <v>22562</v>
      </c>
      <c r="O184" s="21" t="n">
        <v>663</v>
      </c>
      <c r="P184" s="21" t="n">
        <v>486049</v>
      </c>
      <c r="Q184" s="21" t="n">
        <v>486049</v>
      </c>
      <c r="R184" s="21">
        <f>IF(Q184="","",Q184*(1+in_GrowthRate)^(YEARFRAC(DATE(2024,6,30),in_AgeToDate)*IF(in_AgeToDate&lt;DATE(2024,6,30),-1,1)+1))</f>
        <v/>
      </c>
      <c r="S184" s="38" t="n">
        <v>0.9474601750906404</v>
      </c>
      <c r="T184" s="43">
        <f>HYPERLINK("https://projects.propublica.org/nonprofits/organizations/240795686/202531349349305958/full","view filing")</f>
        <v/>
      </c>
    </row>
    <row r="185">
      <c r="A185" t="inlineStr">
        <is>
          <t>Lafayette College</t>
        </is>
      </c>
      <c r="B185" s="20" t="inlineStr">
        <is>
          <t>PA</t>
        </is>
      </c>
      <c r="C185" s="42" t="n">
        <v>1.2</v>
      </c>
      <c r="D185" t="inlineStr">
        <is>
          <t>Endowment</t>
        </is>
      </c>
      <c r="E185" s="20" t="n">
        <v>2023</v>
      </c>
      <c r="F185" s="20" t="inlineStr"/>
      <c r="G185" t="inlineStr">
        <is>
          <t>John R Dailey</t>
        </is>
      </c>
      <c r="H185" t="inlineStr">
        <is>
          <t>INVESTMENT DIRECTOR</t>
        </is>
      </c>
      <c r="I185" t="inlineStr">
        <is>
          <t>Director of Investments</t>
        </is>
      </c>
      <c r="J185" s="21" t="n">
        <v>255000</v>
      </c>
      <c r="K185" s="21" t="n">
        <v>145000</v>
      </c>
      <c r="L185" s="21" t="n">
        <v>400000</v>
      </c>
      <c r="M185" s="21" t="n">
        <v>623</v>
      </c>
      <c r="N185" s="21" t="n">
        <v>24225</v>
      </c>
      <c r="O185" s="21" t="n">
        <v>14764</v>
      </c>
      <c r="P185" s="21" t="n">
        <v>439612</v>
      </c>
      <c r="Q185" s="21" t="n">
        <v>439612</v>
      </c>
      <c r="R185" s="21">
        <f>IF(Q185="","",Q185*(1+in_GrowthRate)^(YEARFRAC(DATE(2023,6,30),in_AgeToDate)*IF(in_AgeToDate&lt;DATE(2023,6,30),-1,1)+1))</f>
        <v/>
      </c>
      <c r="S185" s="38" t="n">
        <v>0.5686274509803921</v>
      </c>
      <c r="T185" s="43">
        <f>HYPERLINK("https://projects.propublica.org/nonprofits/organizations/240795686/202431219349301968/full","view filing")</f>
        <v/>
      </c>
    </row>
    <row r="186">
      <c r="A186" t="inlineStr">
        <is>
          <t>Lafayette College</t>
        </is>
      </c>
      <c r="B186" s="20" t="inlineStr">
        <is>
          <t>PA</t>
        </is>
      </c>
      <c r="C186" s="42" t="n">
        <v>1.2</v>
      </c>
      <c r="D186" t="inlineStr">
        <is>
          <t>Endowment</t>
        </is>
      </c>
      <c r="E186" s="20" t="n">
        <v>2023</v>
      </c>
      <c r="F186" s="20" t="inlineStr"/>
      <c r="G186" t="inlineStr">
        <is>
          <t>Li Zhao</t>
        </is>
      </c>
      <c r="H186" t="inlineStr">
        <is>
          <t>INVESTMENT DIRECTOR</t>
        </is>
      </c>
      <c r="I186" t="inlineStr">
        <is>
          <t>Director of Investments</t>
        </is>
      </c>
      <c r="J186" s="21" t="n">
        <v>215000</v>
      </c>
      <c r="K186" s="21" t="n">
        <v>170000</v>
      </c>
      <c r="L186" s="21" t="n">
        <v>385000</v>
      </c>
      <c r="M186" s="21" t="n">
        <v>306</v>
      </c>
      <c r="N186" s="21" t="n">
        <v>20425</v>
      </c>
      <c r="O186" s="21" t="n">
        <v>2892</v>
      </c>
      <c r="P186" s="21" t="n">
        <v>408623</v>
      </c>
      <c r="Q186" s="21" t="n">
        <v>408623</v>
      </c>
      <c r="R186" s="21">
        <f>IF(Q186="","",Q186*(1+in_GrowthRate)^(YEARFRAC(DATE(2023,6,30),in_AgeToDate)*IF(in_AgeToDate&lt;DATE(2023,6,30),-1,1)+1))</f>
        <v/>
      </c>
      <c r="S186" s="38" t="n">
        <v>0.7906976744186046</v>
      </c>
      <c r="T186" s="43">
        <f>HYPERLINK("https://projects.propublica.org/nonprofits/organizations/240795686/202431219349301968/full","view filing")</f>
        <v/>
      </c>
    </row>
    <row r="187">
      <c r="A187" t="inlineStr">
        <is>
          <t>Lehigh University</t>
        </is>
      </c>
      <c r="B187" s="20" t="inlineStr">
        <is>
          <t>PA</t>
        </is>
      </c>
      <c r="C187" s="42" t="n">
        <v>2</v>
      </c>
      <c r="D187" t="inlineStr">
        <is>
          <t>Endowment</t>
        </is>
      </c>
      <c r="E187" s="20" t="n">
        <v>2025</v>
      </c>
      <c r="F187" s="20">
        <f>IF(AND(OR(in_Mode="All Funds",AND(C187&gt;=in_BandFloor,C187&lt;=in_BandCeiling,OR(in_Geography="National",COUNTIFS(lst_GeoPreset,in_Geography,lst_GeoState,B187)&gt;0,AND(in_Geography="Custom",ISNUMBER(SEARCH(B187,SUBSTITUTE(in_CustomStates," ",""))))),OR(AND(D187="Endowment",Inputs!$B$14="Y"),AND(D187="Foundation",Inputs!$B$15="Y"),AND(D187="Healthcare",Inputs!$B$16="Y"),AND(D187="Pension",Inputs!$B$17="Y"),AND(D187="OCIO",Inputs!$B$18="Y"),AND(D187="Other",Inputs!$B$19="Y")))),A187&lt;&gt;in_ClientOrg,NOT(AND(in_ExclHarvard="Y",ISNUMBER(SEARCH("Harvard",A187))))),"Y","")</f>
        <v/>
      </c>
      <c r="G187" t="inlineStr">
        <is>
          <t>Michael D Gould</t>
        </is>
      </c>
      <c r="H187" t="inlineStr">
        <is>
          <t>DIRECTOR INVEST. OFF.</t>
        </is>
      </c>
      <c r="I187" t="inlineStr">
        <is>
          <t>Director of Investments</t>
        </is>
      </c>
      <c r="J187" s="21" t="n">
        <v>309054</v>
      </c>
      <c r="K187" s="21" t="n">
        <v>386953</v>
      </c>
      <c r="L187" s="21" t="n">
        <v>696007</v>
      </c>
      <c r="M187" s="21" t="n">
        <v>289</v>
      </c>
      <c r="N187" s="21" t="n">
        <v>30650</v>
      </c>
      <c r="O187" s="21" t="n">
        <v>25867</v>
      </c>
      <c r="P187" s="21" t="n">
        <v>752813</v>
      </c>
      <c r="Q187" s="21" t="n">
        <v>752813</v>
      </c>
      <c r="R187" s="21">
        <f>IF(Q187="","",Q187*(1+in_GrowthRate)^(YEARFRAC(DATE(2025,6,30),in_AgeToDate)*IF(in_AgeToDate&lt;DATE(2025,6,30),-1,1)+1))</f>
        <v/>
      </c>
      <c r="S187" s="38" t="n">
        <v>1.252056274955186</v>
      </c>
      <c r="T187" s="43">
        <f>HYPERLINK("https://projects.propublica.org/nonprofits/organizations/240795445/202610899349301306/full","view filing")</f>
        <v/>
      </c>
    </row>
    <row r="188">
      <c r="A188" t="inlineStr">
        <is>
          <t>Lehigh University</t>
        </is>
      </c>
      <c r="B188" s="20" t="inlineStr">
        <is>
          <t>PA</t>
        </is>
      </c>
      <c r="C188" s="42" t="n">
        <v>2</v>
      </c>
      <c r="D188" t="inlineStr">
        <is>
          <t>Endowment</t>
        </is>
      </c>
      <c r="E188" s="20" t="n">
        <v>2024</v>
      </c>
      <c r="F188" s="20" t="inlineStr"/>
      <c r="G188" t="inlineStr">
        <is>
          <t>Michael D Gould</t>
        </is>
      </c>
      <c r="H188" t="inlineStr">
        <is>
          <t>ASSOC DIR. INVEST. OFF.</t>
        </is>
      </c>
      <c r="I188" t="inlineStr">
        <is>
          <t>Director of Investments</t>
        </is>
      </c>
      <c r="J188" s="21" t="n">
        <v>305385</v>
      </c>
      <c r="K188" s="21" t="n">
        <v>431880</v>
      </c>
      <c r="L188" s="21" t="n">
        <v>737265</v>
      </c>
      <c r="M188" s="21" t="n">
        <v>275</v>
      </c>
      <c r="N188" s="21" t="n">
        <v>30349</v>
      </c>
      <c r="O188" s="21" t="n">
        <v>6781</v>
      </c>
      <c r="P188" s="21" t="n">
        <v>774670</v>
      </c>
      <c r="Q188" s="21" t="n">
        <v>774670</v>
      </c>
      <c r="R188" s="21">
        <f>IF(Q188="","",Q188*(1+in_GrowthRate)^(YEARFRAC(DATE(2024,6,30),in_AgeToDate)*IF(in_AgeToDate&lt;DATE(2024,6,30),-1,1)+1))</f>
        <v/>
      </c>
      <c r="S188" s="38" t="n">
        <v>1.414214843558131</v>
      </c>
      <c r="T188" s="43">
        <f>HYPERLINK("https://projects.propublica.org/nonprofits/organizations/240795445/202511159349301861/full","view filing")</f>
        <v/>
      </c>
    </row>
    <row r="189">
      <c r="A189" t="inlineStr">
        <is>
          <t>Lehigh University</t>
        </is>
      </c>
      <c r="B189" s="20" t="inlineStr">
        <is>
          <t>PA</t>
        </is>
      </c>
      <c r="C189" s="42" t="n">
        <v>2</v>
      </c>
      <c r="D189" t="inlineStr">
        <is>
          <t>Endowment</t>
        </is>
      </c>
      <c r="E189" s="20" t="n">
        <v>2023</v>
      </c>
      <c r="F189" s="20" t="inlineStr"/>
      <c r="G189" t="inlineStr">
        <is>
          <t>Michael D Gould</t>
        </is>
      </c>
      <c r="H189" t="inlineStr">
        <is>
          <t>ASSOC DIR. INVEST. OFF.</t>
        </is>
      </c>
      <c r="I189" t="inlineStr">
        <is>
          <t>Director of Investments</t>
        </is>
      </c>
      <c r="J189" s="21" t="n">
        <v>277900</v>
      </c>
      <c r="K189" s="21" t="n">
        <v>299117</v>
      </c>
      <c r="L189" s="21" t="n">
        <v>577017</v>
      </c>
      <c r="M189" s="21" t="n">
        <v>227</v>
      </c>
      <c r="N189" s="21" t="n">
        <v>20282</v>
      </c>
      <c r="O189" s="21" t="n">
        <v>1374</v>
      </c>
      <c r="P189" s="21" t="n">
        <v>598900</v>
      </c>
      <c r="Q189" s="21" t="n">
        <v>598900</v>
      </c>
      <c r="R189" s="21">
        <f>IF(Q189="","",Q189*(1+in_GrowthRate)^(YEARFRAC(DATE(2023,6,30),in_AgeToDate)*IF(in_AgeToDate&lt;DATE(2023,6,30),-1,1)+1))</f>
        <v/>
      </c>
      <c r="S189" s="38" t="n">
        <v>1.076347607052897</v>
      </c>
      <c r="T189" s="43">
        <f>HYPERLINK("https://projects.propublica.org/nonprofits/organizations/240795445/202421079349301702/full","view filing")</f>
        <v/>
      </c>
    </row>
    <row r="190">
      <c r="A190" t="inlineStr">
        <is>
          <t>Lehigh University</t>
        </is>
      </c>
      <c r="B190" s="20" t="inlineStr">
        <is>
          <t>PA</t>
        </is>
      </c>
      <c r="C190" s="42" t="n">
        <v>2</v>
      </c>
      <c r="D190" t="inlineStr">
        <is>
          <t>Endowment</t>
        </is>
      </c>
      <c r="E190" s="20" t="n">
        <v>2022</v>
      </c>
      <c r="F190" s="20" t="inlineStr"/>
      <c r="G190" t="inlineStr">
        <is>
          <t>Michael D Gould</t>
        </is>
      </c>
      <c r="H190" t="inlineStr">
        <is>
          <t>ASSOC DIR. INVEST. OFF.</t>
        </is>
      </c>
      <c r="I190" t="inlineStr">
        <is>
          <t>Director of Investments</t>
        </is>
      </c>
      <c r="J190" s="21" t="n">
        <v>212537</v>
      </c>
      <c r="K190" s="21" t="n">
        <v>232932</v>
      </c>
      <c r="L190" s="21" t="n">
        <v>445469</v>
      </c>
      <c r="M190" s="21" t="n">
        <v>167</v>
      </c>
      <c r="N190" s="21" t="n">
        <v>10848</v>
      </c>
      <c r="O190" s="21" t="n">
        <v>1077</v>
      </c>
      <c r="P190" s="21" t="n">
        <v>457561</v>
      </c>
      <c r="Q190" s="21" t="n">
        <v>457561</v>
      </c>
      <c r="R190" s="21">
        <f>IF(Q190="","",Q190*(1+in_GrowthRate)^(YEARFRAC(DATE(2022,6,30),in_AgeToDate)*IF(in_AgeToDate&lt;DATE(2022,6,30),-1,1)+1))</f>
        <v/>
      </c>
      <c r="S190" s="38" t="n">
        <v>1.095959762300211</v>
      </c>
      <c r="T190" s="43">
        <f>HYPERLINK("https://projects.propublica.org/nonprofits/organizations/240795445/202340799349300989/full","view filing")</f>
        <v/>
      </c>
    </row>
    <row r="191">
      <c r="A191" t="inlineStr">
        <is>
          <t>Leona M &amp; Harry B Helmsley Charitable Trust</t>
        </is>
      </c>
      <c r="B191" s="20" t="inlineStr">
        <is>
          <t>NY</t>
        </is>
      </c>
      <c r="C191" s="42" t="n">
        <v>6.99</v>
      </c>
      <c r="D191" t="inlineStr">
        <is>
          <t>Foundation</t>
        </is>
      </c>
      <c r="E191" s="20" t="n">
        <v>2025</v>
      </c>
      <c r="F191" s="20">
        <f>IF(AND(OR(in_Mode="All Funds",AND(C191&gt;=in_BandFloor,C191&lt;=in_BandCeiling,OR(in_Geography="National",COUNTIFS(lst_GeoPreset,in_Geography,lst_GeoState,B191)&gt;0,AND(in_Geography="Custom",ISNUMBER(SEARCH(B191,SUBSTITUTE(in_CustomStates," ",""))))),OR(AND(D191="Endowment",Inputs!$B$14="Y"),AND(D191="Foundation",Inputs!$B$15="Y"),AND(D191="Healthcare",Inputs!$B$16="Y"),AND(D191="Pension",Inputs!$B$17="Y"),AND(D191="OCIO",Inputs!$B$18="Y"),AND(D191="Other",Inputs!$B$19="Y")))),A191&lt;&gt;in_ClientOrg,NOT(AND(in_ExclHarvard="Y",ISNUMBER(SEARCH("Harvard",A191))))),"Y","")</f>
        <v/>
      </c>
      <c r="G191" t="inlineStr">
        <is>
          <t>Al Y Kim</t>
        </is>
      </c>
      <c r="H191" t="inlineStr">
        <is>
          <t>DIRECTOR OF INVESTME</t>
        </is>
      </c>
      <c r="I191" t="inlineStr">
        <is>
          <t>Director of Investments</t>
        </is>
      </c>
      <c r="J191" s="21" t="n"/>
      <c r="K191" s="21" t="n"/>
      <c r="L191" s="21" t="n"/>
      <c r="M191" s="21" t="n"/>
      <c r="N191" s="21" t="n"/>
      <c r="O191" s="21" t="n"/>
      <c r="P191" s="21" t="n">
        <v>769227</v>
      </c>
      <c r="Q191" s="21" t="n">
        <v>769227</v>
      </c>
      <c r="R191" s="21">
        <f>IF(Q191="","",Q191*(1+in_GrowthRate)^(YEARFRAC(DATE(2025,3,31),in_AgeToDate)*IF(in_AgeToDate&lt;DATE(2025,3,31),-1,1)+1))</f>
        <v/>
      </c>
      <c r="S191" s="38" t="n"/>
      <c r="T191" s="43">
        <f>HYPERLINK("https://projects.propublica.org/nonprofits/organizations/137184401/202600369349100525/full","view filing")</f>
        <v/>
      </c>
    </row>
    <row r="192">
      <c r="A192" t="inlineStr">
        <is>
          <t>Leona M &amp; Harry B Helmsley Charitable Trust</t>
        </is>
      </c>
      <c r="B192" s="20" t="inlineStr">
        <is>
          <t>NY</t>
        </is>
      </c>
      <c r="C192" s="42" t="n">
        <v>6.99</v>
      </c>
      <c r="D192" t="inlineStr">
        <is>
          <t>Foundation</t>
        </is>
      </c>
      <c r="E192" s="20" t="n">
        <v>2025</v>
      </c>
      <c r="F192" s="20">
        <f>IF(AND(OR(in_Mode="All Funds",AND(C192&gt;=in_BandFloor,C192&lt;=in_BandCeiling,OR(in_Geography="National",COUNTIFS(lst_GeoPreset,in_Geography,lst_GeoState,B192)&gt;0,AND(in_Geography="Custom",ISNUMBER(SEARCH(B192,SUBSTITUTE(in_CustomStates," ",""))))),OR(AND(D192="Endowment",Inputs!$B$14="Y"),AND(D192="Foundation",Inputs!$B$15="Y"),AND(D192="Healthcare",Inputs!$B$16="Y"),AND(D192="Pension",Inputs!$B$17="Y"),AND(D192="OCIO",Inputs!$B$18="Y"),AND(D192="Other",Inputs!$B$19="Y")))),A192&lt;&gt;in_ClientOrg,NOT(AND(in_ExclHarvard="Y",ISNUMBER(SEARCH("Harvard",A192))))),"Y","")</f>
        <v/>
      </c>
      <c r="G192" t="inlineStr">
        <is>
          <t>Brian B Chun</t>
        </is>
      </c>
      <c r="H192" t="inlineStr">
        <is>
          <t>DIRECTOR OF INVESTME</t>
        </is>
      </c>
      <c r="I192" t="inlineStr">
        <is>
          <t>Director of Investments</t>
        </is>
      </c>
      <c r="J192" s="21" t="n"/>
      <c r="K192" s="21" t="n"/>
      <c r="L192" s="21" t="n"/>
      <c r="M192" s="21" t="n"/>
      <c r="N192" s="21" t="n"/>
      <c r="O192" s="21" t="n"/>
      <c r="P192" s="21" t="n">
        <v>550358</v>
      </c>
      <c r="Q192" s="21" t="n">
        <v>550358</v>
      </c>
      <c r="R192" s="21">
        <f>IF(Q192="","",Q192*(1+in_GrowthRate)^(YEARFRAC(DATE(2025,3,31),in_AgeToDate)*IF(in_AgeToDate&lt;DATE(2025,3,31),-1,1)+1))</f>
        <v/>
      </c>
      <c r="S192" s="38" t="n"/>
      <c r="T192" s="43">
        <f>HYPERLINK("https://projects.propublica.org/nonprofits/organizations/137184401/202600369349100525/full","view filing")</f>
        <v/>
      </c>
    </row>
    <row r="193">
      <c r="A193" t="inlineStr">
        <is>
          <t>Leona M &amp; Harry B Helmsley Charitable Trust</t>
        </is>
      </c>
      <c r="B193" s="20" t="inlineStr">
        <is>
          <t>NY</t>
        </is>
      </c>
      <c r="C193" s="42" t="n">
        <v>6.99</v>
      </c>
      <c r="D193" t="inlineStr">
        <is>
          <t>Foundation</t>
        </is>
      </c>
      <c r="E193" s="20" t="n">
        <v>2024</v>
      </c>
      <c r="F193" s="20" t="inlineStr"/>
      <c r="G193" t="inlineStr">
        <is>
          <t>Al Y Kim</t>
        </is>
      </c>
      <c r="H193" t="inlineStr">
        <is>
          <t>DIRECTOR OF INVESTME</t>
        </is>
      </c>
      <c r="I193" t="inlineStr">
        <is>
          <t>Director of Investments</t>
        </is>
      </c>
      <c r="J193" s="21" t="n"/>
      <c r="K193" s="21" t="n"/>
      <c r="L193" s="21" t="n"/>
      <c r="M193" s="21" t="n"/>
      <c r="N193" s="21" t="n"/>
      <c r="O193" s="21" t="n"/>
      <c r="P193" s="21" t="n">
        <v>735817</v>
      </c>
      <c r="Q193" s="21" t="n">
        <v>735817</v>
      </c>
      <c r="R193" s="21">
        <f>IF(Q193="","",Q193*(1+in_GrowthRate)^(YEARFRAC(DATE(2024,3,31),in_AgeToDate)*IF(in_AgeToDate&lt;DATE(2024,3,31),-1,1)+1))</f>
        <v/>
      </c>
      <c r="S193" s="38" t="n"/>
      <c r="T193" s="43">
        <f>HYPERLINK("https://projects.propublica.org/nonprofits/organizations/137184401/202530289349100408/full","view filing")</f>
        <v/>
      </c>
    </row>
    <row r="194">
      <c r="A194" t="inlineStr">
        <is>
          <t>Leona M &amp; Harry B Helmsley Charitable Trust</t>
        </is>
      </c>
      <c r="B194" s="20" t="inlineStr">
        <is>
          <t>NY</t>
        </is>
      </c>
      <c r="C194" s="42" t="n">
        <v>6.99</v>
      </c>
      <c r="D194" t="inlineStr">
        <is>
          <t>Foundation</t>
        </is>
      </c>
      <c r="E194" s="20" t="n">
        <v>2024</v>
      </c>
      <c r="F194" s="20" t="inlineStr"/>
      <c r="G194" t="inlineStr">
        <is>
          <t>Brian B Chun</t>
        </is>
      </c>
      <c r="H194" t="inlineStr">
        <is>
          <t>DIRECTOR OF INVESTME</t>
        </is>
      </c>
      <c r="I194" t="inlineStr">
        <is>
          <t>Director of Investments</t>
        </is>
      </c>
      <c r="J194" s="21" t="n"/>
      <c r="K194" s="21" t="n"/>
      <c r="L194" s="21" t="n"/>
      <c r="M194" s="21" t="n"/>
      <c r="N194" s="21" t="n"/>
      <c r="O194" s="21" t="n"/>
      <c r="P194" s="21" t="n">
        <v>454231</v>
      </c>
      <c r="Q194" s="21" t="n">
        <v>454231</v>
      </c>
      <c r="R194" s="21">
        <f>IF(Q194="","",Q194*(1+in_GrowthRate)^(YEARFRAC(DATE(2024,3,31),in_AgeToDate)*IF(in_AgeToDate&lt;DATE(2024,3,31),-1,1)+1))</f>
        <v/>
      </c>
      <c r="S194" s="38" t="n"/>
      <c r="T194" s="43">
        <f>HYPERLINK("https://projects.propublica.org/nonprofits/organizations/137184401/202530289349100408/full","view filing")</f>
        <v/>
      </c>
    </row>
    <row r="195">
      <c r="A195" t="inlineStr">
        <is>
          <t>Leona M &amp; Harry B Helmsley Charitable Trust</t>
        </is>
      </c>
      <c r="B195" s="20" t="inlineStr">
        <is>
          <t>NY</t>
        </is>
      </c>
      <c r="C195" s="42" t="n">
        <v>6.99</v>
      </c>
      <c r="D195" t="inlineStr">
        <is>
          <t>Foundation</t>
        </is>
      </c>
      <c r="E195" s="20" t="n">
        <v>2023</v>
      </c>
      <c r="F195" s="20" t="inlineStr"/>
      <c r="G195" t="inlineStr">
        <is>
          <t>Al Y Kim</t>
        </is>
      </c>
      <c r="H195" t="inlineStr">
        <is>
          <t>DIRECTOR OF INVESTME</t>
        </is>
      </c>
      <c r="I195" t="inlineStr">
        <is>
          <t>Director of Investments</t>
        </is>
      </c>
      <c r="J195" s="21" t="n"/>
      <c r="K195" s="21" t="n"/>
      <c r="L195" s="21" t="n"/>
      <c r="M195" s="21" t="n"/>
      <c r="N195" s="21" t="n"/>
      <c r="O195" s="21" t="n"/>
      <c r="P195" s="21" t="n">
        <v>952777</v>
      </c>
      <c r="Q195" s="21" t="n">
        <v>952777</v>
      </c>
      <c r="R195" s="21">
        <f>IF(Q195="","",Q195*(1+in_GrowthRate)^(YEARFRAC(DATE(2023,3,31),in_AgeToDate)*IF(in_AgeToDate&lt;DATE(2023,3,31),-1,1)+1))</f>
        <v/>
      </c>
      <c r="S195" s="38" t="n"/>
      <c r="T195" s="43">
        <f>HYPERLINK("https://projects.propublica.org/nonprofits/organizations/137184401/202400379349100025/full","view filing")</f>
        <v/>
      </c>
    </row>
    <row r="196">
      <c r="A196" t="inlineStr">
        <is>
          <t>Leona M &amp; Harry B Helmsley Charitable Trust</t>
        </is>
      </c>
      <c r="B196" s="20" t="inlineStr">
        <is>
          <t>NY</t>
        </is>
      </c>
      <c r="C196" s="42" t="n">
        <v>6.99</v>
      </c>
      <c r="D196" t="inlineStr">
        <is>
          <t>Foundation</t>
        </is>
      </c>
      <c r="E196" s="20" t="n">
        <v>2023</v>
      </c>
      <c r="F196" s="20" t="inlineStr"/>
      <c r="G196" t="inlineStr">
        <is>
          <t>Brian B Chun</t>
        </is>
      </c>
      <c r="H196" t="inlineStr">
        <is>
          <t>INVESTMENT OFFICER</t>
        </is>
      </c>
      <c r="I196" t="inlineStr">
        <is>
          <t>Investment Officer</t>
        </is>
      </c>
      <c r="J196" s="21" t="n"/>
      <c r="K196" s="21" t="n"/>
      <c r="L196" s="21" t="n"/>
      <c r="M196" s="21" t="n"/>
      <c r="N196" s="21" t="n"/>
      <c r="O196" s="21" t="n"/>
      <c r="P196" s="21" t="n">
        <v>468187</v>
      </c>
      <c r="Q196" s="21" t="n">
        <v>468187</v>
      </c>
      <c r="R196" s="21">
        <f>IF(Q196="","",Q196*(1+in_GrowthRate)^(YEARFRAC(DATE(2023,3,31),in_AgeToDate)*IF(in_AgeToDate&lt;DATE(2023,3,31),-1,1)+1))</f>
        <v/>
      </c>
      <c r="S196" s="38" t="n"/>
      <c r="T196" s="43">
        <f>HYPERLINK("https://projects.propublica.org/nonprofits/organizations/137184401/202400379349100025/full","view filing")</f>
        <v/>
      </c>
    </row>
    <row r="197">
      <c r="A197" t="inlineStr">
        <is>
          <t>Leona M &amp; Harry B Helmsley Charitable Trust</t>
        </is>
      </c>
      <c r="B197" s="20" t="inlineStr">
        <is>
          <t>NY</t>
        </is>
      </c>
      <c r="C197" s="42" t="n">
        <v>6.99</v>
      </c>
      <c r="D197" t="inlineStr">
        <is>
          <t>Foundation</t>
        </is>
      </c>
      <c r="E197" s="20" t="n">
        <v>2023</v>
      </c>
      <c r="F197" s="20" t="inlineStr"/>
      <c r="G197" t="inlineStr">
        <is>
          <t>Joshua W Fenton</t>
        </is>
      </c>
      <c r="H197" t="inlineStr">
        <is>
          <t>DIRECTOR OF INVESTME</t>
        </is>
      </c>
      <c r="I197" t="inlineStr">
        <is>
          <t>Director of Investments</t>
        </is>
      </c>
      <c r="J197" s="21" t="n"/>
      <c r="K197" s="21" t="n"/>
      <c r="L197" s="21" t="n"/>
      <c r="M197" s="21" t="n"/>
      <c r="N197" s="21" t="n"/>
      <c r="O197" s="21" t="n"/>
      <c r="P197" s="21" t="n">
        <v>962255</v>
      </c>
      <c r="Q197" s="21" t="n">
        <v>962255</v>
      </c>
      <c r="R197" s="21">
        <f>IF(Q197="","",Q197*(1+in_GrowthRate)^(YEARFRAC(DATE(2023,3,31),in_AgeToDate)*IF(in_AgeToDate&lt;DATE(2023,3,31),-1,1)+1))</f>
        <v/>
      </c>
      <c r="S197" s="38" t="n"/>
      <c r="T197" s="43">
        <f>HYPERLINK("https://projects.propublica.org/nonprofits/organizations/137184401/202400379349100025/full","view filing")</f>
        <v/>
      </c>
    </row>
    <row r="198">
      <c r="A198" t="inlineStr">
        <is>
          <t>Leona M &amp; Harry B Helmsley Charitable Trust</t>
        </is>
      </c>
      <c r="B198" s="20" t="inlineStr">
        <is>
          <t>NY</t>
        </is>
      </c>
      <c r="C198" s="42" t="n">
        <v>6.99</v>
      </c>
      <c r="D198" t="inlineStr">
        <is>
          <t>Foundation</t>
        </is>
      </c>
      <c r="E198" s="20" t="n">
        <v>2022</v>
      </c>
      <c r="F198" s="20" t="inlineStr"/>
      <c r="G198" t="inlineStr">
        <is>
          <t>Al Y Kim</t>
        </is>
      </c>
      <c r="H198" t="inlineStr">
        <is>
          <t>DIRECTOR OF INVESTME</t>
        </is>
      </c>
      <c r="I198" t="inlineStr">
        <is>
          <t>Director of Investments</t>
        </is>
      </c>
      <c r="J198" s="21" t="n"/>
      <c r="K198" s="21" t="n"/>
      <c r="L198" s="21" t="n"/>
      <c r="M198" s="21" t="n"/>
      <c r="N198" s="21" t="n"/>
      <c r="O198" s="21" t="n"/>
      <c r="P198" s="21" t="n">
        <v>915458</v>
      </c>
      <c r="Q198" s="21" t="n">
        <v>915458</v>
      </c>
      <c r="R198" s="21">
        <f>IF(Q198="","",Q198*(1+in_GrowthRate)^(YEARFRAC(DATE(2022,3,31),in_AgeToDate)*IF(in_AgeToDate&lt;DATE(2022,3,31),-1,1)+1))</f>
        <v/>
      </c>
      <c r="S198" s="38" t="n"/>
      <c r="T198" s="43">
        <f>HYPERLINK("https://projects.propublica.org/nonprofits/organizations/137184401/202300389349100520/full","view filing")</f>
        <v/>
      </c>
    </row>
    <row r="199">
      <c r="A199" t="inlineStr">
        <is>
          <t>Leona M &amp; Harry B Helmsley Charitable Trust</t>
        </is>
      </c>
      <c r="B199" s="20" t="inlineStr">
        <is>
          <t>NY</t>
        </is>
      </c>
      <c r="C199" s="42" t="n">
        <v>6.99</v>
      </c>
      <c r="D199" t="inlineStr">
        <is>
          <t>Foundation</t>
        </is>
      </c>
      <c r="E199" s="20" t="n">
        <v>2022</v>
      </c>
      <c r="F199" s="20" t="inlineStr"/>
      <c r="G199" t="inlineStr">
        <is>
          <t>Brian B Chun</t>
        </is>
      </c>
      <c r="H199" t="inlineStr">
        <is>
          <t>INVESTMENT OFFICER</t>
        </is>
      </c>
      <c r="I199" t="inlineStr">
        <is>
          <t>Investment Officer</t>
        </is>
      </c>
      <c r="J199" s="21" t="n"/>
      <c r="K199" s="21" t="n"/>
      <c r="L199" s="21" t="n"/>
      <c r="M199" s="21" t="n"/>
      <c r="N199" s="21" t="n"/>
      <c r="O199" s="21" t="n"/>
      <c r="P199" s="21" t="n">
        <v>461296</v>
      </c>
      <c r="Q199" s="21" t="n">
        <v>461296</v>
      </c>
      <c r="R199" s="21">
        <f>IF(Q199="","",Q199*(1+in_GrowthRate)^(YEARFRAC(DATE(2022,3,31),in_AgeToDate)*IF(in_AgeToDate&lt;DATE(2022,3,31),-1,1)+1))</f>
        <v/>
      </c>
      <c r="S199" s="38" t="n"/>
      <c r="T199" s="43">
        <f>HYPERLINK("https://projects.propublica.org/nonprofits/organizations/137184401/202300389349100520/full","view filing")</f>
        <v/>
      </c>
    </row>
    <row r="200">
      <c r="A200" t="inlineStr">
        <is>
          <t>Leona M &amp; Harry B Helmsley Charitable Trust</t>
        </is>
      </c>
      <c r="B200" s="20" t="inlineStr">
        <is>
          <t>NY</t>
        </is>
      </c>
      <c r="C200" s="42" t="n">
        <v>6.99</v>
      </c>
      <c r="D200" t="inlineStr">
        <is>
          <t>Foundation</t>
        </is>
      </c>
      <c r="E200" s="20" t="n">
        <v>2022</v>
      </c>
      <c r="F200" s="20" t="inlineStr"/>
      <c r="G200" t="inlineStr">
        <is>
          <t>Joshua W Fenton</t>
        </is>
      </c>
      <c r="H200" t="inlineStr">
        <is>
          <t>DIRECTOR OF INVESTME</t>
        </is>
      </c>
      <c r="I200" t="inlineStr">
        <is>
          <t>Director of Investments</t>
        </is>
      </c>
      <c r="J200" s="21" t="n"/>
      <c r="K200" s="21" t="n"/>
      <c r="L200" s="21" t="n"/>
      <c r="M200" s="21" t="n"/>
      <c r="N200" s="21" t="n"/>
      <c r="O200" s="21" t="n"/>
      <c r="P200" s="21" t="n">
        <v>914728</v>
      </c>
      <c r="Q200" s="21" t="n">
        <v>914728</v>
      </c>
      <c r="R200" s="21">
        <f>IF(Q200="","",Q200*(1+in_GrowthRate)^(YEARFRAC(DATE(2022,3,31),in_AgeToDate)*IF(in_AgeToDate&lt;DATE(2022,3,31),-1,1)+1))</f>
        <v/>
      </c>
      <c r="S200" s="38" t="n"/>
      <c r="T200" s="43">
        <f>HYPERLINK("https://projects.propublica.org/nonprofits/organizations/137184401/202300389349100520/full","view filing")</f>
        <v/>
      </c>
    </row>
    <row r="201">
      <c r="A201" t="inlineStr">
        <is>
          <t>Lilly Endowment Inc</t>
        </is>
      </c>
      <c r="B201" s="20" t="inlineStr">
        <is>
          <t>IN</t>
        </is>
      </c>
      <c r="C201" s="42" t="n">
        <v>60.57</v>
      </c>
      <c r="D201" t="inlineStr">
        <is>
          <t>Foundation</t>
        </is>
      </c>
      <c r="E201" s="20" t="n">
        <v>2025</v>
      </c>
      <c r="F201" s="20">
        <f>IF(AND(OR(in_Mode="All Funds",AND(C201&gt;=in_BandFloor,C201&lt;=in_BandCeiling,OR(in_Geography="National",COUNTIFS(lst_GeoPreset,in_Geography,lst_GeoState,B201)&gt;0,AND(in_Geography="Custom",ISNUMBER(SEARCH(B201,SUBSTITUTE(in_CustomStates," ",""))))),OR(AND(D201="Endowment",Inputs!$B$14="Y"),AND(D201="Foundation",Inputs!$B$15="Y"),AND(D201="Healthcare",Inputs!$B$16="Y"),AND(D201="Pension",Inputs!$B$17="Y"),AND(D201="OCIO",Inputs!$B$18="Y"),AND(D201="Other",Inputs!$B$19="Y")))),A201&lt;&gt;in_ClientOrg,NOT(AND(in_ExclHarvard="Y",ISNUMBER(SEARCH("Harvard",A201))))),"Y","")</f>
        <v/>
      </c>
      <c r="G201" t="inlineStr">
        <is>
          <t>Peter A Buck</t>
        </is>
      </c>
      <c r="H201" t="inlineStr">
        <is>
          <t>VP INVEST&amp;GM</t>
        </is>
      </c>
      <c r="I201" t="inlineStr">
        <is>
          <t>Director of Investments</t>
        </is>
      </c>
      <c r="J201" s="21" t="n"/>
      <c r="K201" s="21" t="n"/>
      <c r="L201" s="21" t="n"/>
      <c r="M201" s="21" t="n"/>
      <c r="N201" s="21" t="n"/>
      <c r="O201" s="21" t="n">
        <v>128456</v>
      </c>
      <c r="P201" s="21" t="n">
        <v>635956</v>
      </c>
      <c r="Q201" s="21" t="n">
        <v>635956</v>
      </c>
      <c r="R201" s="21">
        <f>IF(Q201="","",Q201*(1+in_GrowthRate)^(YEARFRAC(DATE(2025,12,31),in_AgeToDate)*IF(in_AgeToDate&lt;DATE(2025,12,31),-1,1)+1))</f>
        <v/>
      </c>
      <c r="S201" s="38" t="n"/>
      <c r="T201" s="43">
        <f>HYPERLINK("https://projects.propublica.org/nonprofits/organizations/350868122/202641359349103099/full","view filing")</f>
        <v/>
      </c>
    </row>
    <row r="202">
      <c r="A202" t="inlineStr">
        <is>
          <t>Lilly Endowment Inc</t>
        </is>
      </c>
      <c r="B202" s="20" t="inlineStr">
        <is>
          <t>IN</t>
        </is>
      </c>
      <c r="C202" s="42" t="n">
        <v>60.57</v>
      </c>
      <c r="D202" t="inlineStr">
        <is>
          <t>Foundation</t>
        </is>
      </c>
      <c r="E202" s="20" t="n">
        <v>2024</v>
      </c>
      <c r="F202" s="20" t="inlineStr"/>
      <c r="G202" t="inlineStr">
        <is>
          <t>Peter A Buck</t>
        </is>
      </c>
      <c r="H202" t="inlineStr">
        <is>
          <t>VP INVEST&amp;GM</t>
        </is>
      </c>
      <c r="I202" t="inlineStr">
        <is>
          <t>Director of Investments</t>
        </is>
      </c>
      <c r="J202" s="21" t="n"/>
      <c r="K202" s="21" t="n"/>
      <c r="L202" s="21" t="n"/>
      <c r="M202" s="21" t="n"/>
      <c r="N202" s="21" t="n"/>
      <c r="O202" s="21" t="n">
        <v>122560</v>
      </c>
      <c r="P202" s="21" t="n">
        <v>598560</v>
      </c>
      <c r="Q202" s="21" t="n">
        <v>598560</v>
      </c>
      <c r="R202" s="21">
        <f>IF(Q202="","",Q202*(1+in_GrowthRate)^(YEARFRAC(DATE(2024,12,31),in_AgeToDate)*IF(in_AgeToDate&lt;DATE(2024,12,31),-1,1)+1))</f>
        <v/>
      </c>
      <c r="S202" s="38" t="n"/>
      <c r="T202" s="43">
        <f>HYPERLINK("https://projects.propublica.org/nonprofits/organizations/350868122/202521359349102167/full","view filing")</f>
        <v/>
      </c>
    </row>
    <row r="203">
      <c r="A203" t="inlineStr">
        <is>
          <t>Lilly Endowment Inc</t>
        </is>
      </c>
      <c r="B203" s="20" t="inlineStr">
        <is>
          <t>IN</t>
        </is>
      </c>
      <c r="C203" s="42" t="n">
        <v>60.57</v>
      </c>
      <c r="D203" t="inlineStr">
        <is>
          <t>Foundation</t>
        </is>
      </c>
      <c r="E203" s="20" t="n">
        <v>2023</v>
      </c>
      <c r="F203" s="20" t="inlineStr"/>
      <c r="G203" t="inlineStr">
        <is>
          <t>Peter A Buck</t>
        </is>
      </c>
      <c r="H203" t="inlineStr">
        <is>
          <t>VP INVEST&amp;GM</t>
        </is>
      </c>
      <c r="I203" t="inlineStr">
        <is>
          <t>Director of Investments</t>
        </is>
      </c>
      <c r="J203" s="21" t="n"/>
      <c r="K203" s="21" t="n"/>
      <c r="L203" s="21" t="n"/>
      <c r="M203" s="21" t="n"/>
      <c r="N203" s="21" t="n"/>
      <c r="O203" s="21" t="n">
        <v>105604</v>
      </c>
      <c r="P203" s="21" t="n">
        <v>530604</v>
      </c>
      <c r="Q203" s="21" t="n">
        <v>530604</v>
      </c>
      <c r="R203" s="21">
        <f>IF(Q203="","",Q203*(1+in_GrowthRate)^(YEARFRAC(DATE(2023,12,31),in_AgeToDate)*IF(in_AgeToDate&lt;DATE(2023,12,31),-1,1)+1))</f>
        <v/>
      </c>
      <c r="S203" s="38" t="n"/>
      <c r="T203" s="43">
        <f>HYPERLINK("https://projects.propublica.org/nonprofits/organizations/350868122/202421359349103342/full","view filing")</f>
        <v/>
      </c>
    </row>
    <row r="204">
      <c r="A204" t="inlineStr">
        <is>
          <t>Lilly Endowment Inc</t>
        </is>
      </c>
      <c r="B204" s="20" t="inlineStr">
        <is>
          <t>IN</t>
        </is>
      </c>
      <c r="C204" s="42" t="n">
        <v>60.57</v>
      </c>
      <c r="D204" t="inlineStr">
        <is>
          <t>Foundation</t>
        </is>
      </c>
      <c r="E204" s="20" t="n">
        <v>2022</v>
      </c>
      <c r="F204" s="20" t="inlineStr"/>
      <c r="G204" t="inlineStr">
        <is>
          <t>Peter A Buck</t>
        </is>
      </c>
      <c r="H204" t="inlineStr">
        <is>
          <t>VP INVEST&amp;GM</t>
        </is>
      </c>
      <c r="I204" t="inlineStr">
        <is>
          <t>Director of Investments</t>
        </is>
      </c>
      <c r="J204" s="21" t="n"/>
      <c r="K204" s="21" t="n"/>
      <c r="L204" s="21" t="n"/>
      <c r="M204" s="21" t="n"/>
      <c r="N204" s="21" t="n"/>
      <c r="O204" s="21" t="n">
        <v>92393</v>
      </c>
      <c r="P204" s="21" t="n">
        <v>442393</v>
      </c>
      <c r="Q204" s="21" t="n">
        <v>442393</v>
      </c>
      <c r="R204" s="21">
        <f>IF(Q204="","",Q204*(1+in_GrowthRate)^(YEARFRAC(DATE(2022,12,31),in_AgeToDate)*IF(in_AgeToDate&lt;DATE(2022,12,31),-1,1)+1))</f>
        <v/>
      </c>
      <c r="S204" s="38" t="n"/>
      <c r="T204" s="43">
        <f>HYPERLINK("https://projects.propublica.org/nonprofits/organizations/350868122/202311359349102611/full","view filing")</f>
        <v/>
      </c>
    </row>
    <row r="205">
      <c r="A205" t="inlineStr">
        <is>
          <t>Lumina Foundation For Education Inc</t>
        </is>
      </c>
      <c r="B205" s="20" t="inlineStr">
        <is>
          <t>IN</t>
        </is>
      </c>
      <c r="C205" s="42" t="n">
        <v>1.36</v>
      </c>
      <c r="D205" t="inlineStr">
        <is>
          <t>Foundation</t>
        </is>
      </c>
      <c r="E205" s="20" t="n">
        <v>2024</v>
      </c>
      <c r="F205" s="20">
        <f>IF(AND(OR(in_Mode="All Funds",AND(C205&gt;=in_BandFloor,C205&lt;=in_BandCeiling,OR(in_Geography="National",COUNTIFS(lst_GeoPreset,in_Geography,lst_GeoState,B205)&gt;0,AND(in_Geography="Custom",ISNUMBER(SEARCH(B205,SUBSTITUTE(in_CustomStates," ",""))))),OR(AND(D205="Endowment",Inputs!$B$14="Y"),AND(D205="Foundation",Inputs!$B$15="Y"),AND(D205="Healthcare",Inputs!$B$16="Y"),AND(D205="Pension",Inputs!$B$17="Y"),AND(D205="OCIO",Inputs!$B$18="Y"),AND(D205="Other",Inputs!$B$19="Y")))),A205&lt;&gt;in_ClientOrg,NOT(AND(in_ExclHarvard="Y",ISNUMBER(SEARCH("Harvard",A205))))),"Y","")</f>
        <v/>
      </c>
      <c r="G205" t="inlineStr">
        <is>
          <t>Cody Coppotelli</t>
        </is>
      </c>
      <c r="H205" t="inlineStr">
        <is>
          <t>Dir of Inv (8.24)</t>
        </is>
      </c>
      <c r="I205" t="inlineStr">
        <is>
          <t>Director of Investments</t>
        </is>
      </c>
      <c r="J205" s="21" t="n"/>
      <c r="K205" s="21" t="n"/>
      <c r="L205" s="21" t="n"/>
      <c r="M205" s="21" t="n"/>
      <c r="N205" s="21" t="n"/>
      <c r="O205" s="21" t="n"/>
      <c r="P205" s="21" t="n">
        <v>318603</v>
      </c>
      <c r="Q205" s="21" t="n">
        <v>318603</v>
      </c>
      <c r="R205" s="21">
        <f>IF(Q205="","",Q205*(1+in_GrowthRate)^(YEARFRAC(DATE(2024,12,31),in_AgeToDate)*IF(in_AgeToDate&lt;DATE(2024,12,31),-1,1)+1))</f>
        <v/>
      </c>
      <c r="S205" s="38" t="n"/>
      <c r="T205" s="43">
        <f>HYPERLINK("https://projects.propublica.org/nonprofits/organizations/351813228/202533219349105458/full","view filing")</f>
        <v/>
      </c>
    </row>
    <row r="206">
      <c r="A206" t="inlineStr">
        <is>
          <t>Lumina Foundation For Education Inc</t>
        </is>
      </c>
      <c r="B206" s="20" t="inlineStr">
        <is>
          <t>IN</t>
        </is>
      </c>
      <c r="C206" s="42" t="n">
        <v>1.36</v>
      </c>
      <c r="D206" t="inlineStr">
        <is>
          <t>Foundation</t>
        </is>
      </c>
      <c r="E206" s="20" t="n">
        <v>2023</v>
      </c>
      <c r="F206" s="20" t="inlineStr"/>
      <c r="G206" t="inlineStr">
        <is>
          <t>Cody Coppotelli</t>
        </is>
      </c>
      <c r="H206" t="inlineStr">
        <is>
          <t>Dir. of Investments</t>
        </is>
      </c>
      <c r="I206" t="inlineStr">
        <is>
          <t>Director of Investments</t>
        </is>
      </c>
      <c r="J206" s="21" t="n"/>
      <c r="K206" s="21" t="n"/>
      <c r="L206" s="21" t="n"/>
      <c r="M206" s="21" t="n"/>
      <c r="N206" s="21" t="n"/>
      <c r="O206" s="21" t="n"/>
      <c r="P206" s="21" t="n">
        <v>240274</v>
      </c>
      <c r="Q206" s="21" t="n">
        <v>240274</v>
      </c>
      <c r="R206" s="21">
        <f>IF(Q206="","",Q206*(1+in_GrowthRate)^(YEARFRAC(DATE(2023,12,31),in_AgeToDate)*IF(in_AgeToDate&lt;DATE(2023,12,31),-1,1)+1))</f>
        <v/>
      </c>
      <c r="S206" s="38" t="n"/>
      <c r="T206" s="43">
        <f>HYPERLINK("https://projects.propublica.org/nonprofits/organizations/351813228/202443209349104529/full","view filing")</f>
        <v/>
      </c>
    </row>
    <row r="207">
      <c r="A207" t="inlineStr">
        <is>
          <t>Lumina Foundation For Education Inc</t>
        </is>
      </c>
      <c r="B207" s="20" t="inlineStr">
        <is>
          <t>IN</t>
        </is>
      </c>
      <c r="C207" s="42" t="n">
        <v>1.36</v>
      </c>
      <c r="D207" t="inlineStr">
        <is>
          <t>Foundation</t>
        </is>
      </c>
      <c r="E207" s="20" t="n">
        <v>2022</v>
      </c>
      <c r="F207" s="20" t="inlineStr"/>
      <c r="G207" t="inlineStr">
        <is>
          <t>Cody Coppotelli</t>
        </is>
      </c>
      <c r="H207" t="inlineStr">
        <is>
          <t>Dir. of Investments</t>
        </is>
      </c>
      <c r="I207" t="inlineStr">
        <is>
          <t>Director of Investments</t>
        </is>
      </c>
      <c r="J207" s="21" t="n"/>
      <c r="K207" s="21" t="n"/>
      <c r="L207" s="21" t="n"/>
      <c r="M207" s="21" t="n"/>
      <c r="N207" s="21" t="n"/>
      <c r="O207" s="21" t="n"/>
      <c r="P207" s="21" t="n">
        <v>209958</v>
      </c>
      <c r="Q207" s="21" t="n">
        <v>209958</v>
      </c>
      <c r="R207" s="21">
        <f>IF(Q207="","",Q207*(1+in_GrowthRate)^(YEARFRAC(DATE(2022,12,31),in_AgeToDate)*IF(in_AgeToDate&lt;DATE(2022,12,31),-1,1)+1))</f>
        <v/>
      </c>
      <c r="S207" s="38" t="n"/>
      <c r="T207" s="43">
        <f>HYPERLINK("https://projects.propublica.org/nonprofits/organizations/351813228/202313199349101271/full","view filing")</f>
        <v/>
      </c>
    </row>
    <row r="208">
      <c r="A208" t="inlineStr">
        <is>
          <t>M J Murdock Charitable Trust</t>
        </is>
      </c>
      <c r="B208" s="20" t="inlineStr">
        <is>
          <t>WA</t>
        </is>
      </c>
      <c r="C208" s="42" t="n">
        <v>1.96</v>
      </c>
      <c r="D208" t="inlineStr">
        <is>
          <t>Foundation</t>
        </is>
      </c>
      <c r="E208" s="20" t="n">
        <v>2024</v>
      </c>
      <c r="F208" s="20">
        <f>IF(AND(OR(in_Mode="All Funds",AND(C208&gt;=in_BandFloor,C208&lt;=in_BandCeiling,OR(in_Geography="National",COUNTIFS(lst_GeoPreset,in_Geography,lst_GeoState,B208)&gt;0,AND(in_Geography="Custom",ISNUMBER(SEARCH(B208,SUBSTITUTE(in_CustomStates," ",""))))),OR(AND(D208="Endowment",Inputs!$B$14="Y"),AND(D208="Foundation",Inputs!$B$15="Y"),AND(D208="Healthcare",Inputs!$B$16="Y"),AND(D208="Pension",Inputs!$B$17="Y"),AND(D208="OCIO",Inputs!$B$18="Y"),AND(D208="Other",Inputs!$B$19="Y")))),A208&lt;&gt;in_ClientOrg,NOT(AND(in_ExclHarvard="Y",ISNUMBER(SEARCH("Harvard",A208))))),"Y","")</f>
        <v/>
      </c>
      <c r="G208" t="inlineStr">
        <is>
          <t>Clare Maxwell</t>
        </is>
      </c>
      <c r="H208" t="inlineStr">
        <is>
          <t>INVESTMENT OFFICER</t>
        </is>
      </c>
      <c r="I208" t="inlineStr">
        <is>
          <t>Investment Officer</t>
        </is>
      </c>
      <c r="J208" s="21" t="n"/>
      <c r="K208" s="21" t="n"/>
      <c r="L208" s="21" t="n"/>
      <c r="M208" s="21" t="n"/>
      <c r="N208" s="21" t="n"/>
      <c r="O208" s="21" t="n"/>
      <c r="P208" s="21" t="n">
        <v>284025</v>
      </c>
      <c r="Q208" s="21" t="n">
        <v>284025</v>
      </c>
      <c r="R208" s="21">
        <f>IF(Q208="","",Q208*(1+in_GrowthRate)^(YEARFRAC(DATE(2024,12,31),in_AgeToDate)*IF(in_AgeToDate&lt;DATE(2024,12,31),-1,1)+1))</f>
        <v/>
      </c>
      <c r="S208" s="38" t="n"/>
      <c r="T208" s="43">
        <f>HYPERLINK("https://projects.propublica.org/nonprofits/organizations/237456468/202513189349104056/full","view filing")</f>
        <v/>
      </c>
    </row>
    <row r="209">
      <c r="A209" t="inlineStr">
        <is>
          <t>M J Murdock Charitable Trust</t>
        </is>
      </c>
      <c r="B209" s="20" t="inlineStr">
        <is>
          <t>WA</t>
        </is>
      </c>
      <c r="C209" s="42" t="n">
        <v>1.96</v>
      </c>
      <c r="D209" t="inlineStr">
        <is>
          <t>Foundation</t>
        </is>
      </c>
      <c r="E209" s="20" t="n">
        <v>2023</v>
      </c>
      <c r="F209" s="20" t="inlineStr"/>
      <c r="G209" t="inlineStr">
        <is>
          <t>Clare Maxwell</t>
        </is>
      </c>
      <c r="H209" t="inlineStr">
        <is>
          <t>INVESTMENT OFFICER</t>
        </is>
      </c>
      <c r="I209" t="inlineStr">
        <is>
          <t>Investment Officer</t>
        </is>
      </c>
      <c r="J209" s="21" t="n"/>
      <c r="K209" s="21" t="n"/>
      <c r="L209" s="21" t="n"/>
      <c r="M209" s="21" t="n"/>
      <c r="N209" s="21" t="n"/>
      <c r="O209" s="21" t="n"/>
      <c r="P209" s="21" t="n">
        <v>242481</v>
      </c>
      <c r="Q209" s="21" t="n">
        <v>242481</v>
      </c>
      <c r="R209" s="21">
        <f>IF(Q209="","",Q209*(1+in_GrowthRate)^(YEARFRAC(DATE(2023,12,31),in_AgeToDate)*IF(in_AgeToDate&lt;DATE(2023,12,31),-1,1)+1))</f>
        <v/>
      </c>
      <c r="S209" s="38" t="n"/>
      <c r="T209" s="43">
        <f>HYPERLINK("https://projects.propublica.org/nonprofits/organizations/237456468/202443199349106519/full","view filing")</f>
        <v/>
      </c>
    </row>
    <row r="210">
      <c r="A210" t="inlineStr">
        <is>
          <t>M J Murdock Charitable Trust</t>
        </is>
      </c>
      <c r="B210" s="20" t="inlineStr">
        <is>
          <t>WA</t>
        </is>
      </c>
      <c r="C210" s="42" t="n">
        <v>1.96</v>
      </c>
      <c r="D210" t="inlineStr">
        <is>
          <t>Foundation</t>
        </is>
      </c>
      <c r="E210" s="20" t="n">
        <v>2022</v>
      </c>
      <c r="F210" s="20" t="inlineStr"/>
      <c r="G210" t="inlineStr">
        <is>
          <t>Mark Pyatt</t>
        </is>
      </c>
      <c r="H210" t="inlineStr">
        <is>
          <t>INVESTMENT OFFICER</t>
        </is>
      </c>
      <c r="I210" t="inlineStr">
        <is>
          <t>Investment Officer</t>
        </is>
      </c>
      <c r="J210" s="21" t="n"/>
      <c r="K210" s="21" t="n"/>
      <c r="L210" s="21" t="n"/>
      <c r="M210" s="21" t="n"/>
      <c r="N210" s="21" t="n"/>
      <c r="O210" s="21" t="n"/>
      <c r="P210" s="21" t="n">
        <v>223042</v>
      </c>
      <c r="Q210" s="21" t="n">
        <v>223042</v>
      </c>
      <c r="R210" s="21">
        <f>IF(Q210="","",Q210*(1+in_GrowthRate)^(YEARFRAC(DATE(2022,12,31),in_AgeToDate)*IF(in_AgeToDate&lt;DATE(2022,12,31),-1,1)+1))</f>
        <v/>
      </c>
      <c r="S210" s="38" t="n"/>
      <c r="T210" s="43">
        <f>HYPERLINK("https://projects.propublica.org/nonprofits/organizations/237456468/202313199349103306/full","view filing")</f>
        <v/>
      </c>
    </row>
    <row r="211">
      <c r="A211" t="inlineStr">
        <is>
          <t>Macalester College</t>
        </is>
      </c>
      <c r="B211" s="20" t="inlineStr">
        <is>
          <t>MN</t>
        </is>
      </c>
      <c r="C211" s="42" t="n">
        <v>0.92</v>
      </c>
      <c r="D211" t="inlineStr">
        <is>
          <t>Endowment</t>
        </is>
      </c>
      <c r="E211" s="20" t="n">
        <v>2025</v>
      </c>
      <c r="F211" s="20">
        <f>IF(AND(OR(in_Mode="All Funds",AND(C211&gt;=in_BandFloor,C211&lt;=in_BandCeiling,OR(in_Geography="National",COUNTIFS(lst_GeoPreset,in_Geography,lst_GeoState,B211)&gt;0,AND(in_Geography="Custom",ISNUMBER(SEARCH(B211,SUBSTITUTE(in_CustomStates," ",""))))),OR(AND(D211="Endowment",Inputs!$B$14="Y"),AND(D211="Foundation",Inputs!$B$15="Y"),AND(D211="Healthcare",Inputs!$B$16="Y"),AND(D211="Pension",Inputs!$B$17="Y"),AND(D211="OCIO",Inputs!$B$18="Y"),AND(D211="Other",Inputs!$B$19="Y")))),A211&lt;&gt;in_ClientOrg,NOT(AND(in_ExclHarvard="Y",ISNUMBER(SEARCH("Harvard",A211))))),"Y","")</f>
        <v/>
      </c>
      <c r="G211" t="inlineStr">
        <is>
          <t>Jeff Doherty End 83024</t>
        </is>
      </c>
      <c r="H211" t="inlineStr">
        <is>
          <t>DIRECTOR, INVESTMENT ANALYSIS</t>
        </is>
      </c>
      <c r="I211" t="inlineStr">
        <is>
          <t>Director of Investments</t>
        </is>
      </c>
      <c r="J211" s="21" t="n">
        <v>110862</v>
      </c>
      <c r="K211" s="21" t="n"/>
      <c r="L211" s="21" t="n">
        <v>110862</v>
      </c>
      <c r="M211" s="21" t="n">
        <v>91233</v>
      </c>
      <c r="N211" s="21" t="n">
        <v>13602</v>
      </c>
      <c r="O211" s="21" t="n">
        <v>20996</v>
      </c>
      <c r="P211" s="21" t="n">
        <v>236693</v>
      </c>
      <c r="Q211" s="21" t="n">
        <v>236693</v>
      </c>
      <c r="R211" s="21">
        <f>IF(Q211="","",Q211*(1+in_GrowthRate)^(YEARFRAC(DATE(2025,5,31),in_AgeToDate)*IF(in_AgeToDate&lt;DATE(2025,5,31),-1,1)+1))</f>
        <v/>
      </c>
      <c r="S211" s="38" t="n">
        <v>0</v>
      </c>
      <c r="T211" s="43">
        <f>HYPERLINK("https://projects.propublica.org/nonprofits/organizations/410693962/202600769349301400/full","view filing")</f>
        <v/>
      </c>
    </row>
    <row r="212">
      <c r="A212" t="inlineStr">
        <is>
          <t>Macalester College</t>
        </is>
      </c>
      <c r="B212" s="20" t="inlineStr">
        <is>
          <t>MN</t>
        </is>
      </c>
      <c r="C212" s="42" t="n">
        <v>0.92</v>
      </c>
      <c r="D212" t="inlineStr">
        <is>
          <t>Endowment</t>
        </is>
      </c>
      <c r="E212" s="20" t="n">
        <v>2024</v>
      </c>
      <c r="F212" s="20" t="inlineStr"/>
      <c r="G212" t="inlineStr">
        <is>
          <t>Jeff Doherty</t>
        </is>
      </c>
      <c r="H212" t="inlineStr">
        <is>
          <t>DIRECTOR, INVESTMENT ANALYSIS</t>
        </is>
      </c>
      <c r="I212" t="inlineStr">
        <is>
          <t>Director of Investments</t>
        </is>
      </c>
      <c r="J212" s="21" t="n">
        <v>167373</v>
      </c>
      <c r="K212" s="21" t="n"/>
      <c r="L212" s="21" t="n">
        <v>167373</v>
      </c>
      <c r="M212" s="21" t="n">
        <v>136</v>
      </c>
      <c r="N212" s="21" t="n">
        <v>17574</v>
      </c>
      <c r="O212" s="21" t="n">
        <v>22013</v>
      </c>
      <c r="P212" s="21" t="n">
        <v>207096</v>
      </c>
      <c r="Q212" s="21" t="n">
        <v>207096</v>
      </c>
      <c r="R212" s="21">
        <f>IF(Q212="","",Q212*(1+in_GrowthRate)^(YEARFRAC(DATE(2024,5,31),in_AgeToDate)*IF(in_AgeToDate&lt;DATE(2024,5,31),-1,1)+1))</f>
        <v/>
      </c>
      <c r="S212" s="38" t="n">
        <v>0</v>
      </c>
      <c r="T212" s="43">
        <f>HYPERLINK("https://projects.propublica.org/nonprofits/organizations/410693962/202540929349300944/full","view filing")</f>
        <v/>
      </c>
    </row>
    <row r="213">
      <c r="A213" t="inlineStr">
        <is>
          <t>Maclellan Foundation Inc</t>
        </is>
      </c>
      <c r="B213" s="20" t="inlineStr">
        <is>
          <t>TN</t>
        </is>
      </c>
      <c r="C213" s="42" t="n">
        <v>0.24</v>
      </c>
      <c r="D213" t="inlineStr">
        <is>
          <t>Foundation</t>
        </is>
      </c>
      <c r="E213" s="20" t="n">
        <v>2024</v>
      </c>
      <c r="F213" s="20">
        <f>IF(AND(OR(in_Mode="All Funds",AND(C213&gt;=in_BandFloor,C213&lt;=in_BandCeiling,OR(in_Geography="National",COUNTIFS(lst_GeoPreset,in_Geography,lst_GeoState,B213)&gt;0,AND(in_Geography="Custom",ISNUMBER(SEARCH(B213,SUBSTITUTE(in_CustomStates," ",""))))),OR(AND(D213="Endowment",Inputs!$B$14="Y"),AND(D213="Foundation",Inputs!$B$15="Y"),AND(D213="Healthcare",Inputs!$B$16="Y"),AND(D213="Pension",Inputs!$B$17="Y"),AND(D213="OCIO",Inputs!$B$18="Y"),AND(D213="Other",Inputs!$B$19="Y")))),A213&lt;&gt;in_ClientOrg,NOT(AND(in_ExclHarvard="Y",ISNUMBER(SEARCH("Harvard",A213))))),"Y","")</f>
        <v/>
      </c>
      <c r="G213" t="inlineStr">
        <is>
          <t>Matthew B Ashton</t>
        </is>
      </c>
      <c r="H213" t="inlineStr">
        <is>
          <t>INVESTMENT OFFICER</t>
        </is>
      </c>
      <c r="I213" t="inlineStr">
        <is>
          <t>Investment Officer</t>
        </is>
      </c>
      <c r="J213" s="21" t="n"/>
      <c r="K213" s="21" t="n"/>
      <c r="L213" s="21" t="n"/>
      <c r="M213" s="21" t="n"/>
      <c r="N213" s="21" t="n"/>
      <c r="O213" s="21" t="n"/>
      <c r="P213" s="21" t="n">
        <v>197488</v>
      </c>
      <c r="Q213" s="21" t="n">
        <v>197488</v>
      </c>
      <c r="R213" s="21">
        <f>IF(Q213="","",Q213*(1+in_GrowthRate)^(YEARFRAC(DATE(2024,12,31),in_AgeToDate)*IF(in_AgeToDate&lt;DATE(2024,12,31),-1,1)+1))</f>
        <v/>
      </c>
      <c r="S213" s="38" t="n"/>
      <c r="T213" s="43">
        <f>HYPERLINK("https://projects.propublica.org/nonprofits/organizations/626041468/202543219349103334/full","view filing")</f>
        <v/>
      </c>
    </row>
    <row r="214">
      <c r="A214" t="inlineStr">
        <is>
          <t>Maclellan Foundation Inc</t>
        </is>
      </c>
      <c r="B214" s="20" t="inlineStr">
        <is>
          <t>TN</t>
        </is>
      </c>
      <c r="C214" s="42" t="n">
        <v>0.24</v>
      </c>
      <c r="D214" t="inlineStr">
        <is>
          <t>Foundation</t>
        </is>
      </c>
      <c r="E214" s="20" t="n">
        <v>2023</v>
      </c>
      <c r="F214" s="20" t="inlineStr"/>
      <c r="G214" t="inlineStr">
        <is>
          <t>Matthew B Ashton</t>
        </is>
      </c>
      <c r="H214" t="inlineStr">
        <is>
          <t>INVESTMENT OFFICER</t>
        </is>
      </c>
      <c r="I214" t="inlineStr">
        <is>
          <t>Investment Officer</t>
        </is>
      </c>
      <c r="J214" s="21" t="n"/>
      <c r="K214" s="21" t="n"/>
      <c r="L214" s="21" t="n"/>
      <c r="M214" s="21" t="n"/>
      <c r="N214" s="21" t="n"/>
      <c r="O214" s="21" t="n"/>
      <c r="P214" s="21" t="n">
        <v>176584</v>
      </c>
      <c r="Q214" s="21" t="n">
        <v>176584</v>
      </c>
      <c r="R214" s="21">
        <f>IF(Q214="","",Q214*(1+in_GrowthRate)^(YEARFRAC(DATE(2023,12,31),in_AgeToDate)*IF(in_AgeToDate&lt;DATE(2023,12,31),-1,1)+1))</f>
        <v/>
      </c>
      <c r="S214" s="38" t="n"/>
      <c r="T214" s="43">
        <f>HYPERLINK("https://projects.propublica.org/nonprofits/organizations/626041468/202403209349103050/full","view filing")</f>
        <v/>
      </c>
    </row>
    <row r="215">
      <c r="A215" t="inlineStr">
        <is>
          <t>Maclellan Foundation Inc</t>
        </is>
      </c>
      <c r="B215" s="20" t="inlineStr">
        <is>
          <t>TN</t>
        </is>
      </c>
      <c r="C215" s="42" t="n">
        <v>0.24</v>
      </c>
      <c r="D215" t="inlineStr">
        <is>
          <t>Foundation</t>
        </is>
      </c>
      <c r="E215" s="20" t="n">
        <v>2022</v>
      </c>
      <c r="F215" s="20" t="inlineStr"/>
      <c r="G215" t="inlineStr">
        <is>
          <t>Matthew B Ashton</t>
        </is>
      </c>
      <c r="H215" t="inlineStr">
        <is>
          <t>INVESTMENT OFFICER</t>
        </is>
      </c>
      <c r="I215" t="inlineStr">
        <is>
          <t>Investment Officer</t>
        </is>
      </c>
      <c r="J215" s="21" t="n"/>
      <c r="K215" s="21" t="n"/>
      <c r="L215" s="21" t="n"/>
      <c r="M215" s="21" t="n"/>
      <c r="N215" s="21" t="n"/>
      <c r="O215" s="21" t="n"/>
      <c r="P215" s="21" t="n">
        <v>155753</v>
      </c>
      <c r="Q215" s="21" t="n">
        <v>155753</v>
      </c>
      <c r="R215" s="21">
        <f>IF(Q215="","",Q215*(1+in_GrowthRate)^(YEARFRAC(DATE(2022,12,31),in_AgeToDate)*IF(in_AgeToDate&lt;DATE(2022,12,31),-1,1)+1))</f>
        <v/>
      </c>
      <c r="S215" s="38" t="n"/>
      <c r="T215" s="43">
        <f>HYPERLINK("https://projects.propublica.org/nonprofits/organizations/626041468/202333199349110163/full","view filing")</f>
        <v/>
      </c>
    </row>
    <row r="216">
      <c r="A216" t="inlineStr">
        <is>
          <t>Margaret A Cargill Foundation</t>
        </is>
      </c>
      <c r="B216" s="20" t="inlineStr">
        <is>
          <t>MN</t>
        </is>
      </c>
      <c r="C216" s="42" t="n">
        <v>3.05</v>
      </c>
      <c r="D216" t="inlineStr">
        <is>
          <t>Foundation</t>
        </is>
      </c>
      <c r="E216" s="20" t="n">
        <v>2024</v>
      </c>
      <c r="F216" s="20">
        <f>IF(AND(OR(in_Mode="All Funds",AND(C216&gt;=in_BandFloor,C216&lt;=in_BandCeiling,OR(in_Geography="National",COUNTIFS(lst_GeoPreset,in_Geography,lst_GeoState,B216)&gt;0,AND(in_Geography="Custom",ISNUMBER(SEARCH(B216,SUBSTITUTE(in_CustomStates," ",""))))),OR(AND(D216="Endowment",Inputs!$B$14="Y"),AND(D216="Foundation",Inputs!$B$15="Y"),AND(D216="Healthcare",Inputs!$B$16="Y"),AND(D216="Pension",Inputs!$B$17="Y"),AND(D216="OCIO",Inputs!$B$18="Y"),AND(D216="Other",Inputs!$B$19="Y")))),A216&lt;&gt;in_ClientOrg,NOT(AND(in_ExclHarvard="Y",ISNUMBER(SEARCH("Harvard",A216))))),"Y","")</f>
        <v/>
      </c>
      <c r="G216" t="inlineStr">
        <is>
          <t>Christopher Vogt</t>
        </is>
      </c>
      <c r="H216" t="inlineStr">
        <is>
          <t>INVESTMENT DIRECTOR</t>
        </is>
      </c>
      <c r="I216" t="inlineStr">
        <is>
          <t>Director of Investments</t>
        </is>
      </c>
      <c r="J216" s="21" t="n"/>
      <c r="K216" s="21" t="n"/>
      <c r="L216" s="21" t="n"/>
      <c r="M216" s="21" t="n"/>
      <c r="N216" s="21" t="n"/>
      <c r="O216" s="21" t="n"/>
      <c r="P216" s="21" t="n">
        <v>1156794</v>
      </c>
      <c r="Q216" s="21" t="n">
        <v>1156794</v>
      </c>
      <c r="R216" s="21">
        <f>IF(Q216="","",Q216*(1+in_GrowthRate)^(YEARFRAC(DATE(2024,12,31),in_AgeToDate)*IF(in_AgeToDate&lt;DATE(2024,12,31),-1,1)+1))</f>
        <v/>
      </c>
      <c r="S216" s="38" t="n"/>
      <c r="T216" s="43">
        <f>HYPERLINK("https://projects.propublica.org/nonprofits/organizations/371758406/202503189349102200/full","view filing")</f>
        <v/>
      </c>
    </row>
    <row r="217">
      <c r="A217" t="inlineStr">
        <is>
          <t>Margaret A Cargill Foundation</t>
        </is>
      </c>
      <c r="B217" s="20" t="inlineStr">
        <is>
          <t>MN</t>
        </is>
      </c>
      <c r="C217" s="42" t="n">
        <v>3.05</v>
      </c>
      <c r="D217" t="inlineStr">
        <is>
          <t>Foundation</t>
        </is>
      </c>
      <c r="E217" s="20" t="n">
        <v>2024</v>
      </c>
      <c r="F217" s="20">
        <f>IF(AND(OR(in_Mode="All Funds",AND(C217&gt;=in_BandFloor,C217&lt;=in_BandCeiling,OR(in_Geography="National",COUNTIFS(lst_GeoPreset,in_Geography,lst_GeoState,B217)&gt;0,AND(in_Geography="Custom",ISNUMBER(SEARCH(B217,SUBSTITUTE(in_CustomStates," ",""))))),OR(AND(D217="Endowment",Inputs!$B$14="Y"),AND(D217="Foundation",Inputs!$B$15="Y"),AND(D217="Healthcare",Inputs!$B$16="Y"),AND(D217="Pension",Inputs!$B$17="Y"),AND(D217="OCIO",Inputs!$B$18="Y"),AND(D217="Other",Inputs!$B$19="Y")))),A217&lt;&gt;in_ClientOrg,NOT(AND(in_ExclHarvard="Y",ISNUMBER(SEARCH("Harvard",A217))))),"Y","")</f>
        <v/>
      </c>
      <c r="G217" t="inlineStr">
        <is>
          <t>Matthew Minnis</t>
        </is>
      </c>
      <c r="H217" t="inlineStr">
        <is>
          <t>INVESTMENT DIRECTOR</t>
        </is>
      </c>
      <c r="I217" t="inlineStr">
        <is>
          <t>Director of Investments</t>
        </is>
      </c>
      <c r="J217" s="21" t="n"/>
      <c r="K217" s="21" t="n"/>
      <c r="L217" s="21" t="n"/>
      <c r="M217" s="21" t="n"/>
      <c r="N217" s="21" t="n"/>
      <c r="O217" s="21" t="n"/>
      <c r="P217" s="21" t="n">
        <v>1169575</v>
      </c>
      <c r="Q217" s="21" t="n">
        <v>1169575</v>
      </c>
      <c r="R217" s="21">
        <f>IF(Q217="","",Q217*(1+in_GrowthRate)^(YEARFRAC(DATE(2024,12,31),in_AgeToDate)*IF(in_AgeToDate&lt;DATE(2024,12,31),-1,1)+1))</f>
        <v/>
      </c>
      <c r="S217" s="38" t="n"/>
      <c r="T217" s="43">
        <f>HYPERLINK("https://projects.propublica.org/nonprofits/organizations/371758406/202503189349102200/full","view filing")</f>
        <v/>
      </c>
    </row>
    <row r="218">
      <c r="A218" t="inlineStr">
        <is>
          <t>Margaret A Cargill Foundation</t>
        </is>
      </c>
      <c r="B218" s="20" t="inlineStr">
        <is>
          <t>MN</t>
        </is>
      </c>
      <c r="C218" s="42" t="n">
        <v>3.05</v>
      </c>
      <c r="D218" t="inlineStr">
        <is>
          <t>Foundation</t>
        </is>
      </c>
      <c r="E218" s="20" t="n">
        <v>2024</v>
      </c>
      <c r="F218" s="20">
        <f>IF(AND(OR(in_Mode="All Funds",AND(C218&gt;=in_BandFloor,C218&lt;=in_BandCeiling,OR(in_Geography="National",COUNTIFS(lst_GeoPreset,in_Geography,lst_GeoState,B218)&gt;0,AND(in_Geography="Custom",ISNUMBER(SEARCH(B218,SUBSTITUTE(in_CustomStates," ",""))))),OR(AND(D218="Endowment",Inputs!$B$14="Y"),AND(D218="Foundation",Inputs!$B$15="Y"),AND(D218="Healthcare",Inputs!$B$16="Y"),AND(D218="Pension",Inputs!$B$17="Y"),AND(D218="OCIO",Inputs!$B$18="Y"),AND(D218="Other",Inputs!$B$19="Y")))),A218&lt;&gt;in_ClientOrg,NOT(AND(in_ExclHarvard="Y",ISNUMBER(SEARCH("Harvard",A218))))),"Y","")</f>
        <v/>
      </c>
      <c r="G218" t="inlineStr">
        <is>
          <t>Michael Ruetz</t>
        </is>
      </c>
      <c r="H218" t="inlineStr">
        <is>
          <t>INVESTMENT DIRECTOR/</t>
        </is>
      </c>
      <c r="I218" t="inlineStr">
        <is>
          <t>Director of Investments</t>
        </is>
      </c>
      <c r="J218" s="21" t="n"/>
      <c r="K218" s="21" t="n"/>
      <c r="L218" s="21" t="n"/>
      <c r="M218" s="21" t="n"/>
      <c r="N218" s="21" t="n"/>
      <c r="O218" s="21" t="n"/>
      <c r="P218" s="21" t="n">
        <v>1469321</v>
      </c>
      <c r="Q218" s="21" t="n">
        <v>1469321</v>
      </c>
      <c r="R218" s="21">
        <f>IF(Q218="","",Q218*(1+in_GrowthRate)^(YEARFRAC(DATE(2024,12,31),in_AgeToDate)*IF(in_AgeToDate&lt;DATE(2024,12,31),-1,1)+1))</f>
        <v/>
      </c>
      <c r="S218" s="38" t="n"/>
      <c r="T218" s="43">
        <f>HYPERLINK("https://projects.propublica.org/nonprofits/organizations/371758406/202503189349102200/full","view filing")</f>
        <v/>
      </c>
    </row>
    <row r="219">
      <c r="A219" t="inlineStr">
        <is>
          <t>Margaret A Cargill Foundation</t>
        </is>
      </c>
      <c r="B219" s="20" t="inlineStr">
        <is>
          <t>MN</t>
        </is>
      </c>
      <c r="C219" s="42" t="n">
        <v>3.05</v>
      </c>
      <c r="D219" t="inlineStr">
        <is>
          <t>Foundation</t>
        </is>
      </c>
      <c r="E219" s="20" t="n">
        <v>2024</v>
      </c>
      <c r="F219" s="20">
        <f>IF(AND(OR(in_Mode="All Funds",AND(C219&gt;=in_BandFloor,C219&lt;=in_BandCeiling,OR(in_Geography="National",COUNTIFS(lst_GeoPreset,in_Geography,lst_GeoState,B219)&gt;0,AND(in_Geography="Custom",ISNUMBER(SEARCH(B219,SUBSTITUTE(in_CustomStates," ",""))))),OR(AND(D219="Endowment",Inputs!$B$14="Y"),AND(D219="Foundation",Inputs!$B$15="Y"),AND(D219="Healthcare",Inputs!$B$16="Y"),AND(D219="Pension",Inputs!$B$17="Y"),AND(D219="OCIO",Inputs!$B$18="Y"),AND(D219="Other",Inputs!$B$19="Y")))),A219&lt;&gt;in_ClientOrg,NOT(AND(in_ExclHarvard="Y",ISNUMBER(SEARCH("Harvard",A219))))),"Y","")</f>
        <v/>
      </c>
      <c r="G219" t="inlineStr">
        <is>
          <t>Rodney Overcash</t>
        </is>
      </c>
      <c r="H219" t="inlineStr">
        <is>
          <t>INVESTMENT DIRECTOR</t>
        </is>
      </c>
      <c r="I219" t="inlineStr">
        <is>
          <t>Director of Investments</t>
        </is>
      </c>
      <c r="J219" s="21" t="n"/>
      <c r="K219" s="21" t="n"/>
      <c r="L219" s="21" t="n"/>
      <c r="M219" s="21" t="n"/>
      <c r="N219" s="21" t="n"/>
      <c r="O219" s="21" t="n"/>
      <c r="P219" s="21" t="n">
        <v>1186225</v>
      </c>
      <c r="Q219" s="21" t="n">
        <v>1186225</v>
      </c>
      <c r="R219" s="21">
        <f>IF(Q219="","",Q219*(1+in_GrowthRate)^(YEARFRAC(DATE(2024,12,31),in_AgeToDate)*IF(in_AgeToDate&lt;DATE(2024,12,31),-1,1)+1))</f>
        <v/>
      </c>
      <c r="S219" s="38" t="n"/>
      <c r="T219" s="43">
        <f>HYPERLINK("https://projects.propublica.org/nonprofits/organizations/371758406/202503189349102200/full","view filing")</f>
        <v/>
      </c>
    </row>
    <row r="220">
      <c r="A220" t="inlineStr">
        <is>
          <t>Margaret A Cargill Foundation</t>
        </is>
      </c>
      <c r="B220" s="20" t="inlineStr">
        <is>
          <t>MN</t>
        </is>
      </c>
      <c r="C220" s="42" t="n">
        <v>3.05</v>
      </c>
      <c r="D220" t="inlineStr">
        <is>
          <t>Foundation</t>
        </is>
      </c>
      <c r="E220" s="20" t="n">
        <v>2024</v>
      </c>
      <c r="F220" s="20">
        <f>IF(AND(OR(in_Mode="All Funds",AND(C220&gt;=in_BandFloor,C220&lt;=in_BandCeiling,OR(in_Geography="National",COUNTIFS(lst_GeoPreset,in_Geography,lst_GeoState,B220)&gt;0,AND(in_Geography="Custom",ISNUMBER(SEARCH(B220,SUBSTITUTE(in_CustomStates," ",""))))),OR(AND(D220="Endowment",Inputs!$B$14="Y"),AND(D220="Foundation",Inputs!$B$15="Y"),AND(D220="Healthcare",Inputs!$B$16="Y"),AND(D220="Pension",Inputs!$B$17="Y"),AND(D220="OCIO",Inputs!$B$18="Y"),AND(D220="Other",Inputs!$B$19="Y")))),A220&lt;&gt;in_ClientOrg,NOT(AND(in_ExclHarvard="Y",ISNUMBER(SEARCH("Harvard",A220))))),"Y","")</f>
        <v/>
      </c>
      <c r="G220" t="inlineStr">
        <is>
          <t>Tricia Scrivner</t>
        </is>
      </c>
      <c r="H220" t="inlineStr">
        <is>
          <t>INVESTMENT DIRECTOR</t>
        </is>
      </c>
      <c r="I220" t="inlineStr">
        <is>
          <t>Director of Investments</t>
        </is>
      </c>
      <c r="J220" s="21" t="n"/>
      <c r="K220" s="21" t="n"/>
      <c r="L220" s="21" t="n"/>
      <c r="M220" s="21" t="n"/>
      <c r="N220" s="21" t="n"/>
      <c r="O220" s="21" t="n"/>
      <c r="P220" s="21" t="n">
        <v>1158163</v>
      </c>
      <c r="Q220" s="21" t="n">
        <v>1158163</v>
      </c>
      <c r="R220" s="21">
        <f>IF(Q220="","",Q220*(1+in_GrowthRate)^(YEARFRAC(DATE(2024,12,31),in_AgeToDate)*IF(in_AgeToDate&lt;DATE(2024,12,31),-1,1)+1))</f>
        <v/>
      </c>
      <c r="S220" s="38" t="n"/>
      <c r="T220" s="43">
        <f>HYPERLINK("https://projects.propublica.org/nonprofits/organizations/371758406/202503189349102200/full","view filing")</f>
        <v/>
      </c>
    </row>
    <row r="221">
      <c r="A221" t="inlineStr">
        <is>
          <t>Margaret A Cargill Foundation</t>
        </is>
      </c>
      <c r="B221" s="20" t="inlineStr">
        <is>
          <t>MN</t>
        </is>
      </c>
      <c r="C221" s="42" t="n">
        <v>3.05</v>
      </c>
      <c r="D221" t="inlineStr">
        <is>
          <t>Foundation</t>
        </is>
      </c>
      <c r="E221" s="20" t="n">
        <v>2023</v>
      </c>
      <c r="F221" s="20" t="inlineStr"/>
      <c r="G221" t="inlineStr">
        <is>
          <t>Christopher Vogt</t>
        </is>
      </c>
      <c r="H221" t="inlineStr">
        <is>
          <t>INVESTMENT DIRECTOR</t>
        </is>
      </c>
      <c r="I221" t="inlineStr">
        <is>
          <t>Director of Investments</t>
        </is>
      </c>
      <c r="J221" s="21" t="n"/>
      <c r="K221" s="21" t="n"/>
      <c r="L221" s="21" t="n"/>
      <c r="M221" s="21" t="n"/>
      <c r="N221" s="21" t="n"/>
      <c r="O221" s="21" t="n"/>
      <c r="P221" s="21" t="n">
        <v>919493</v>
      </c>
      <c r="Q221" s="21" t="n">
        <v>919493</v>
      </c>
      <c r="R221" s="21">
        <f>IF(Q221="","",Q221*(1+in_GrowthRate)^(YEARFRAC(DATE(2023,12,31),in_AgeToDate)*IF(in_AgeToDate&lt;DATE(2023,12,31),-1,1)+1))</f>
        <v/>
      </c>
      <c r="S221" s="38" t="n"/>
      <c r="T221" s="43">
        <f>HYPERLINK("https://projects.propublica.org/nonprofits/organizations/371758406/202403199349105610/full","view filing")</f>
        <v/>
      </c>
    </row>
    <row r="222">
      <c r="A222" t="inlineStr">
        <is>
          <t>Margaret A Cargill Foundation</t>
        </is>
      </c>
      <c r="B222" s="20" t="inlineStr">
        <is>
          <t>MN</t>
        </is>
      </c>
      <c r="C222" s="42" t="n">
        <v>3.05</v>
      </c>
      <c r="D222" t="inlineStr">
        <is>
          <t>Foundation</t>
        </is>
      </c>
      <c r="E222" s="20" t="n">
        <v>2023</v>
      </c>
      <c r="F222" s="20" t="inlineStr"/>
      <c r="G222" t="inlineStr">
        <is>
          <t>Matthew Minnis</t>
        </is>
      </c>
      <c r="H222" t="inlineStr">
        <is>
          <t>INVESTMENT DIRECTOR</t>
        </is>
      </c>
      <c r="I222" t="inlineStr">
        <is>
          <t>Director of Investments</t>
        </is>
      </c>
      <c r="J222" s="21" t="n"/>
      <c r="K222" s="21" t="n"/>
      <c r="L222" s="21" t="n"/>
      <c r="M222" s="21" t="n"/>
      <c r="N222" s="21" t="n"/>
      <c r="O222" s="21" t="n"/>
      <c r="P222" s="21" t="n">
        <v>934905</v>
      </c>
      <c r="Q222" s="21" t="n">
        <v>934905</v>
      </c>
      <c r="R222" s="21">
        <f>IF(Q222="","",Q222*(1+in_GrowthRate)^(YEARFRAC(DATE(2023,12,31),in_AgeToDate)*IF(in_AgeToDate&lt;DATE(2023,12,31),-1,1)+1))</f>
        <v/>
      </c>
      <c r="S222" s="38" t="n"/>
      <c r="T222" s="43">
        <f>HYPERLINK("https://projects.propublica.org/nonprofits/organizations/371758406/202403199349105610/full","view filing")</f>
        <v/>
      </c>
    </row>
    <row r="223">
      <c r="A223" t="inlineStr">
        <is>
          <t>Margaret A Cargill Foundation</t>
        </is>
      </c>
      <c r="B223" s="20" t="inlineStr">
        <is>
          <t>MN</t>
        </is>
      </c>
      <c r="C223" s="42" t="n">
        <v>3.05</v>
      </c>
      <c r="D223" t="inlineStr">
        <is>
          <t>Foundation</t>
        </is>
      </c>
      <c r="E223" s="20" t="n">
        <v>2023</v>
      </c>
      <c r="F223" s="20" t="inlineStr"/>
      <c r="G223" t="inlineStr">
        <is>
          <t>Michael Ruetz</t>
        </is>
      </c>
      <c r="H223" t="inlineStr">
        <is>
          <t>INVESTMENT DIRECTOR/</t>
        </is>
      </c>
      <c r="I223" t="inlineStr">
        <is>
          <t>Director of Investments</t>
        </is>
      </c>
      <c r="J223" s="21" t="n"/>
      <c r="K223" s="21" t="n"/>
      <c r="L223" s="21" t="n"/>
      <c r="M223" s="21" t="n"/>
      <c r="N223" s="21" t="n"/>
      <c r="O223" s="21" t="n"/>
      <c r="P223" s="21" t="n">
        <v>1152158</v>
      </c>
      <c r="Q223" s="21" t="n">
        <v>1152158</v>
      </c>
      <c r="R223" s="21">
        <f>IF(Q223="","",Q223*(1+in_GrowthRate)^(YEARFRAC(DATE(2023,12,31),in_AgeToDate)*IF(in_AgeToDate&lt;DATE(2023,12,31),-1,1)+1))</f>
        <v/>
      </c>
      <c r="S223" s="38" t="n"/>
      <c r="T223" s="43">
        <f>HYPERLINK("https://projects.propublica.org/nonprofits/organizations/371758406/202403199349105610/full","view filing")</f>
        <v/>
      </c>
    </row>
    <row r="224">
      <c r="A224" t="inlineStr">
        <is>
          <t>Margaret A Cargill Foundation</t>
        </is>
      </c>
      <c r="B224" s="20" t="inlineStr">
        <is>
          <t>MN</t>
        </is>
      </c>
      <c r="C224" s="42" t="n">
        <v>3.05</v>
      </c>
      <c r="D224" t="inlineStr">
        <is>
          <t>Foundation</t>
        </is>
      </c>
      <c r="E224" s="20" t="n">
        <v>2023</v>
      </c>
      <c r="F224" s="20" t="inlineStr"/>
      <c r="G224" t="inlineStr">
        <is>
          <t>Rodney Overcash</t>
        </is>
      </c>
      <c r="H224" t="inlineStr">
        <is>
          <t>INVESTMENT DIRECTOR</t>
        </is>
      </c>
      <c r="I224" t="inlineStr">
        <is>
          <t>Director of Investments</t>
        </is>
      </c>
      <c r="J224" s="21" t="n"/>
      <c r="K224" s="21" t="n"/>
      <c r="L224" s="21" t="n"/>
      <c r="M224" s="21" t="n"/>
      <c r="N224" s="21" t="n"/>
      <c r="O224" s="21" t="n"/>
      <c r="P224" s="21" t="n">
        <v>990561</v>
      </c>
      <c r="Q224" s="21" t="n">
        <v>990561</v>
      </c>
      <c r="R224" s="21">
        <f>IF(Q224="","",Q224*(1+in_GrowthRate)^(YEARFRAC(DATE(2023,12,31),in_AgeToDate)*IF(in_AgeToDate&lt;DATE(2023,12,31),-1,1)+1))</f>
        <v/>
      </c>
      <c r="S224" s="38" t="n"/>
      <c r="T224" s="43">
        <f>HYPERLINK("https://projects.propublica.org/nonprofits/organizations/371758406/202403199349105610/full","view filing")</f>
        <v/>
      </c>
    </row>
    <row r="225">
      <c r="A225" t="inlineStr">
        <is>
          <t>Margaret A Cargill Foundation</t>
        </is>
      </c>
      <c r="B225" s="20" t="inlineStr">
        <is>
          <t>MN</t>
        </is>
      </c>
      <c r="C225" s="42" t="n">
        <v>3.05</v>
      </c>
      <c r="D225" t="inlineStr">
        <is>
          <t>Foundation</t>
        </is>
      </c>
      <c r="E225" s="20" t="n">
        <v>2023</v>
      </c>
      <c r="F225" s="20" t="inlineStr"/>
      <c r="G225" t="inlineStr">
        <is>
          <t>Tricia Scrivner</t>
        </is>
      </c>
      <c r="H225" t="inlineStr">
        <is>
          <t>INVESTMENT DIRECTOR</t>
        </is>
      </c>
      <c r="I225" t="inlineStr">
        <is>
          <t>Director of Investments</t>
        </is>
      </c>
      <c r="J225" s="21" t="n"/>
      <c r="K225" s="21" t="n"/>
      <c r="L225" s="21" t="n"/>
      <c r="M225" s="21" t="n"/>
      <c r="N225" s="21" t="n"/>
      <c r="O225" s="21" t="n"/>
      <c r="P225" s="21" t="n">
        <v>894673</v>
      </c>
      <c r="Q225" s="21" t="n">
        <v>894673</v>
      </c>
      <c r="R225" s="21">
        <f>IF(Q225="","",Q225*(1+in_GrowthRate)^(YEARFRAC(DATE(2023,12,31),in_AgeToDate)*IF(in_AgeToDate&lt;DATE(2023,12,31),-1,1)+1))</f>
        <v/>
      </c>
      <c r="S225" s="38" t="n"/>
      <c r="T225" s="43">
        <f>HYPERLINK("https://projects.propublica.org/nonprofits/organizations/371758406/202403199349105610/full","view filing")</f>
        <v/>
      </c>
    </row>
    <row r="226">
      <c r="A226" t="inlineStr">
        <is>
          <t>Margaret A Cargill Foundation</t>
        </is>
      </c>
      <c r="B226" s="20" t="inlineStr">
        <is>
          <t>MN</t>
        </is>
      </c>
      <c r="C226" s="42" t="n">
        <v>3.05</v>
      </c>
      <c r="D226" t="inlineStr">
        <is>
          <t>Foundation</t>
        </is>
      </c>
      <c r="E226" s="20" t="n">
        <v>2022</v>
      </c>
      <c r="F226" s="20" t="inlineStr"/>
      <c r="G226" t="inlineStr">
        <is>
          <t>Christopher Vogt</t>
        </is>
      </c>
      <c r="H226" t="inlineStr">
        <is>
          <t>INVESTMENT DIRECTOR</t>
        </is>
      </c>
      <c r="I226" t="inlineStr">
        <is>
          <t>Director of Investments</t>
        </is>
      </c>
      <c r="J226" s="21" t="n"/>
      <c r="K226" s="21" t="n"/>
      <c r="L226" s="21" t="n"/>
      <c r="M226" s="21" t="n"/>
      <c r="N226" s="21" t="n"/>
      <c r="O226" s="21" t="n"/>
      <c r="P226" s="21" t="n">
        <v>783320</v>
      </c>
      <c r="Q226" s="21" t="n">
        <v>783320</v>
      </c>
      <c r="R226" s="21">
        <f>IF(Q226="","",Q226*(1+in_GrowthRate)^(YEARFRAC(DATE(2022,12,31),in_AgeToDate)*IF(in_AgeToDate&lt;DATE(2022,12,31),-1,1)+1))</f>
        <v/>
      </c>
      <c r="S226" s="38" t="n"/>
      <c r="T226" s="43">
        <f>HYPERLINK("https://projects.propublica.org/nonprofits/organizations/371758406/202323149349100022/full","view filing")</f>
        <v/>
      </c>
    </row>
    <row r="227">
      <c r="A227" t="inlineStr">
        <is>
          <t>Margaret A Cargill Foundation</t>
        </is>
      </c>
      <c r="B227" s="20" t="inlineStr">
        <is>
          <t>MN</t>
        </is>
      </c>
      <c r="C227" s="42" t="n">
        <v>3.05</v>
      </c>
      <c r="D227" t="inlineStr">
        <is>
          <t>Foundation</t>
        </is>
      </c>
      <c r="E227" s="20" t="n">
        <v>2022</v>
      </c>
      <c r="F227" s="20" t="inlineStr"/>
      <c r="G227" t="inlineStr">
        <is>
          <t>Matthew Minnis</t>
        </is>
      </c>
      <c r="H227" t="inlineStr">
        <is>
          <t>INVESTMENT DIRECTOR</t>
        </is>
      </c>
      <c r="I227" t="inlineStr">
        <is>
          <t>Director of Investments</t>
        </is>
      </c>
      <c r="J227" s="21" t="n"/>
      <c r="K227" s="21" t="n"/>
      <c r="L227" s="21" t="n"/>
      <c r="M227" s="21" t="n"/>
      <c r="N227" s="21" t="n"/>
      <c r="O227" s="21" t="n"/>
      <c r="P227" s="21" t="n">
        <v>750908</v>
      </c>
      <c r="Q227" s="21" t="n">
        <v>750908</v>
      </c>
      <c r="R227" s="21">
        <f>IF(Q227="","",Q227*(1+in_GrowthRate)^(YEARFRAC(DATE(2022,12,31),in_AgeToDate)*IF(in_AgeToDate&lt;DATE(2022,12,31),-1,1)+1))</f>
        <v/>
      </c>
      <c r="S227" s="38" t="n"/>
      <c r="T227" s="43">
        <f>HYPERLINK("https://projects.propublica.org/nonprofits/organizations/371758406/202323149349100022/full","view filing")</f>
        <v/>
      </c>
    </row>
    <row r="228">
      <c r="A228" t="inlineStr">
        <is>
          <t>Margaret A Cargill Foundation</t>
        </is>
      </c>
      <c r="B228" s="20" t="inlineStr">
        <is>
          <t>MN</t>
        </is>
      </c>
      <c r="C228" s="42" t="n">
        <v>3.05</v>
      </c>
      <c r="D228" t="inlineStr">
        <is>
          <t>Foundation</t>
        </is>
      </c>
      <c r="E228" s="20" t="n">
        <v>2022</v>
      </c>
      <c r="F228" s="20" t="inlineStr"/>
      <c r="G228" t="inlineStr">
        <is>
          <t>Michael Ruetz</t>
        </is>
      </c>
      <c r="H228" t="inlineStr">
        <is>
          <t>INVESTMENT DIRECTOR/</t>
        </is>
      </c>
      <c r="I228" t="inlineStr">
        <is>
          <t>Director of Investments</t>
        </is>
      </c>
      <c r="J228" s="21" t="n"/>
      <c r="K228" s="21" t="n"/>
      <c r="L228" s="21" t="n"/>
      <c r="M228" s="21" t="n"/>
      <c r="N228" s="21" t="n"/>
      <c r="O228" s="21" t="n"/>
      <c r="P228" s="21" t="n">
        <v>952253</v>
      </c>
      <c r="Q228" s="21" t="n">
        <v>952253</v>
      </c>
      <c r="R228" s="21">
        <f>IF(Q228="","",Q228*(1+in_GrowthRate)^(YEARFRAC(DATE(2022,12,31),in_AgeToDate)*IF(in_AgeToDate&lt;DATE(2022,12,31),-1,1)+1))</f>
        <v/>
      </c>
      <c r="S228" s="38" t="n"/>
      <c r="T228" s="43">
        <f>HYPERLINK("https://projects.propublica.org/nonprofits/organizations/371758406/202323149349100022/full","view filing")</f>
        <v/>
      </c>
    </row>
    <row r="229">
      <c r="A229" t="inlineStr">
        <is>
          <t>Margaret A Cargill Foundation</t>
        </is>
      </c>
      <c r="B229" s="20" t="inlineStr">
        <is>
          <t>MN</t>
        </is>
      </c>
      <c r="C229" s="42" t="n">
        <v>3.05</v>
      </c>
      <c r="D229" t="inlineStr">
        <is>
          <t>Foundation</t>
        </is>
      </c>
      <c r="E229" s="20" t="n">
        <v>2022</v>
      </c>
      <c r="F229" s="20" t="inlineStr"/>
      <c r="G229" t="inlineStr">
        <is>
          <t>Rodney Overcash</t>
        </is>
      </c>
      <c r="H229" t="inlineStr">
        <is>
          <t>INVESTMENT DIRECTOR</t>
        </is>
      </c>
      <c r="I229" t="inlineStr">
        <is>
          <t>Director of Investments</t>
        </is>
      </c>
      <c r="J229" s="21" t="n"/>
      <c r="K229" s="21" t="n"/>
      <c r="L229" s="21" t="n"/>
      <c r="M229" s="21" t="n"/>
      <c r="N229" s="21" t="n"/>
      <c r="O229" s="21" t="n"/>
      <c r="P229" s="21" t="n">
        <v>789545</v>
      </c>
      <c r="Q229" s="21" t="n">
        <v>789545</v>
      </c>
      <c r="R229" s="21">
        <f>IF(Q229="","",Q229*(1+in_GrowthRate)^(YEARFRAC(DATE(2022,12,31),in_AgeToDate)*IF(in_AgeToDate&lt;DATE(2022,12,31),-1,1)+1))</f>
        <v/>
      </c>
      <c r="S229" s="38" t="n"/>
      <c r="T229" s="43">
        <f>HYPERLINK("https://projects.propublica.org/nonprofits/organizations/371758406/202323149349100022/full","view filing")</f>
        <v/>
      </c>
    </row>
    <row r="230">
      <c r="A230" t="inlineStr">
        <is>
          <t>Margaret A Cargill Foundation</t>
        </is>
      </c>
      <c r="B230" s="20" t="inlineStr">
        <is>
          <t>MN</t>
        </is>
      </c>
      <c r="C230" s="42" t="n">
        <v>3.05</v>
      </c>
      <c r="D230" t="inlineStr">
        <is>
          <t>Foundation</t>
        </is>
      </c>
      <c r="E230" s="20" t="n">
        <v>2022</v>
      </c>
      <c r="F230" s="20" t="inlineStr"/>
      <c r="G230" t="inlineStr">
        <is>
          <t>Tricia Scrivner</t>
        </is>
      </c>
      <c r="H230" t="inlineStr">
        <is>
          <t>INVESTMENT DIRECTOR</t>
        </is>
      </c>
      <c r="I230" t="inlineStr">
        <is>
          <t>Director of Investments</t>
        </is>
      </c>
      <c r="J230" s="21" t="n"/>
      <c r="K230" s="21" t="n"/>
      <c r="L230" s="21" t="n"/>
      <c r="M230" s="21" t="n"/>
      <c r="N230" s="21" t="n"/>
      <c r="O230" s="21" t="n"/>
      <c r="P230" s="21" t="n">
        <v>770803</v>
      </c>
      <c r="Q230" s="21" t="n">
        <v>770803</v>
      </c>
      <c r="R230" s="21">
        <f>IF(Q230="","",Q230*(1+in_GrowthRate)^(YEARFRAC(DATE(2022,12,31),in_AgeToDate)*IF(in_AgeToDate&lt;DATE(2022,12,31),-1,1)+1))</f>
        <v/>
      </c>
      <c r="S230" s="38" t="n"/>
      <c r="T230" s="43">
        <f>HYPERLINK("https://projects.propublica.org/nonprofits/organizations/371758406/202323149349100022/full","view filing")</f>
        <v/>
      </c>
    </row>
    <row r="231">
      <c r="A231" t="inlineStr">
        <is>
          <t>Marguerite Casey Foundation</t>
        </is>
      </c>
      <c r="B231" s="20" t="inlineStr">
        <is>
          <t>WA</t>
        </is>
      </c>
      <c r="C231" s="42" t="n">
        <v>0.83</v>
      </c>
      <c r="D231" t="inlineStr">
        <is>
          <t>Foundation</t>
        </is>
      </c>
      <c r="E231" s="20" t="n">
        <v>2022</v>
      </c>
      <c r="F231" s="20" t="inlineStr"/>
      <c r="G231" t="inlineStr">
        <is>
          <t>Dan Gould</t>
        </is>
      </c>
      <c r="H231" t="inlineStr">
        <is>
          <t>VP OF INVESTMENT/FINANCE</t>
        </is>
      </c>
      <c r="I231" t="inlineStr">
        <is>
          <t>Director of Investments</t>
        </is>
      </c>
      <c r="J231" s="21" t="n"/>
      <c r="K231" s="21" t="n"/>
      <c r="L231" s="21" t="n"/>
      <c r="M231" s="21" t="n"/>
      <c r="N231" s="21" t="n"/>
      <c r="O231" s="21" t="n">
        <v>65229</v>
      </c>
      <c r="P231" s="21" t="n">
        <v>383499</v>
      </c>
      <c r="Q231" s="21" t="n">
        <v>383499</v>
      </c>
      <c r="R231" s="21">
        <f>IF(Q231="","",Q231*(1+in_GrowthRate)^(YEARFRAC(DATE(2022,12,31),in_AgeToDate)*IF(in_AgeToDate&lt;DATE(2022,12,31),-1,1)+1))</f>
        <v/>
      </c>
      <c r="S231" s="38" t="n"/>
      <c r="T231" s="43">
        <f>HYPERLINK("https://projects.propublica.org/nonprofits/organizations/912062197/202333189349106243/full","view filing")</f>
        <v/>
      </c>
    </row>
    <row r="232">
      <c r="A232" t="inlineStr">
        <is>
          <t>Massachusetts Institute Of Technology</t>
        </is>
      </c>
      <c r="B232" s="20" t="inlineStr">
        <is>
          <t>MA</t>
        </is>
      </c>
      <c r="C232" s="42" t="n">
        <v>27.37</v>
      </c>
      <c r="D232" t="inlineStr">
        <is>
          <t>Endowment</t>
        </is>
      </c>
      <c r="E232" s="20" t="n">
        <v>2024</v>
      </c>
      <c r="F232" s="20" t="inlineStr"/>
      <c r="G232" t="inlineStr">
        <is>
          <t>Steven Marsh</t>
        </is>
      </c>
      <c r="H232" t="inlineStr">
        <is>
          <t>Senior VP, MITIMCo</t>
        </is>
      </c>
      <c r="I232" t="inlineStr">
        <is>
          <t>Director of Investments</t>
        </is>
      </c>
      <c r="J232" s="21" t="n">
        <v>316381</v>
      </c>
      <c r="K232" s="21" t="n">
        <v>2781253</v>
      </c>
      <c r="L232" s="21" t="n">
        <v>3097634</v>
      </c>
      <c r="M232" s="21" t="n">
        <v>33932</v>
      </c>
      <c r="N232" s="21" t="n">
        <v>16108</v>
      </c>
      <c r="O232" s="21" t="n">
        <v>15841</v>
      </c>
      <c r="P232" s="21" t="n">
        <v>3163515</v>
      </c>
      <c r="Q232" s="21" t="n">
        <v>2750789</v>
      </c>
      <c r="R232" s="21">
        <f>IF(Q232="","",Q232*(1+in_GrowthRate)^(YEARFRAC(DATE(2024,6,30),in_AgeToDate)*IF(in_AgeToDate&lt;DATE(2024,6,30),-1,1)+1))</f>
        <v/>
      </c>
      <c r="S232" s="38" t="n">
        <v>8.790834468567962</v>
      </c>
      <c r="T232" s="43">
        <f>HYPERLINK("https://projects.propublica.org/nonprofits/organizations/42103594/202501359349301830/full","view filing")</f>
        <v/>
      </c>
    </row>
    <row r="233">
      <c r="A233" t="inlineStr">
        <is>
          <t>Massachusetts Institute Of Technology</t>
        </is>
      </c>
      <c r="B233" s="20" t="inlineStr">
        <is>
          <t>MA</t>
        </is>
      </c>
      <c r="C233" s="42" t="n">
        <v>27.37</v>
      </c>
      <c r="D233" t="inlineStr">
        <is>
          <t>Endowment</t>
        </is>
      </c>
      <c r="E233" s="20" t="n">
        <v>2023</v>
      </c>
      <c r="F233" s="20" t="inlineStr"/>
      <c r="G233" t="inlineStr">
        <is>
          <t>Steven Marsh</t>
        </is>
      </c>
      <c r="H233" t="inlineStr">
        <is>
          <t>Senior VP - MITIMCo</t>
        </is>
      </c>
      <c r="I233" t="inlineStr">
        <is>
          <t>Director of Investments</t>
        </is>
      </c>
      <c r="J233" s="21" t="n">
        <v>636312</v>
      </c>
      <c r="K233" s="21" t="n">
        <v>1881797</v>
      </c>
      <c r="L233" s="21" t="n">
        <v>2518109</v>
      </c>
      <c r="M233" s="21" t="n">
        <v>31885</v>
      </c>
      <c r="N233" s="21" t="n">
        <v>464042</v>
      </c>
      <c r="O233" s="21" t="n">
        <v>23952</v>
      </c>
      <c r="P233" s="21" t="n">
        <v>3037988</v>
      </c>
      <c r="Q233" s="21" t="n">
        <v>2589197</v>
      </c>
      <c r="R233" s="21">
        <f>IF(Q233="","",Q233*(1+in_GrowthRate)^(YEARFRAC(DATE(2023,6,30),in_AgeToDate)*IF(in_AgeToDate&lt;DATE(2023,6,30),-1,1)+1))</f>
        <v/>
      </c>
      <c r="S233" s="38" t="n">
        <v>2.957349539219754</v>
      </c>
      <c r="T233" s="43">
        <f>HYPERLINK("https://projects.propublica.org/nonprofits/organizations/42103594/202441369349318094/full","view filing")</f>
        <v/>
      </c>
    </row>
    <row r="234">
      <c r="A234" t="inlineStr">
        <is>
          <t>Massachusetts Institute Of Technology</t>
        </is>
      </c>
      <c r="B234" s="20" t="inlineStr">
        <is>
          <t>MA</t>
        </is>
      </c>
      <c r="C234" s="42" t="n">
        <v>27.37</v>
      </c>
      <c r="D234" t="inlineStr">
        <is>
          <t>Endowment</t>
        </is>
      </c>
      <c r="E234" s="20" t="n">
        <v>2022</v>
      </c>
      <c r="F234" s="20" t="inlineStr"/>
      <c r="G234" t="inlineStr">
        <is>
          <t>Steven Marsh</t>
        </is>
      </c>
      <c r="H234" t="inlineStr">
        <is>
          <t>Senior VP - MITIMCo</t>
        </is>
      </c>
      <c r="I234" t="inlineStr">
        <is>
          <t>Director of Investments</t>
        </is>
      </c>
      <c r="J234" s="21" t="n">
        <v>600382</v>
      </c>
      <c r="K234" s="21" t="n">
        <v>2023130</v>
      </c>
      <c r="L234" s="21" t="n">
        <v>2623512</v>
      </c>
      <c r="M234" s="21" t="n">
        <v>32233</v>
      </c>
      <c r="N234" s="21" t="n">
        <v>463291</v>
      </c>
      <c r="O234" s="21" t="n">
        <v>23107</v>
      </c>
      <c r="P234" s="21" t="n">
        <v>3142143</v>
      </c>
      <c r="Q234" s="21" t="n">
        <v>2742143</v>
      </c>
      <c r="R234" s="21">
        <f>IF(Q234="","",Q234*(1+in_GrowthRate)^(YEARFRAC(DATE(2022,6,30),in_AgeToDate)*IF(in_AgeToDate&lt;DATE(2022,6,30),-1,1)+1))</f>
        <v/>
      </c>
      <c r="S234" s="38" t="n">
        <v>3.369737933515662</v>
      </c>
      <c r="T234" s="43">
        <f>HYPERLINK("https://projects.propublica.org/nonprofits/organizations/42103594/202311329349308061/full","view filing")</f>
        <v/>
      </c>
    </row>
    <row r="235">
      <c r="A235" t="inlineStr">
        <is>
          <t>Mcknight Foundation</t>
        </is>
      </c>
      <c r="B235" s="20" t="inlineStr">
        <is>
          <t>MN</t>
        </is>
      </c>
      <c r="C235" s="42" t="n">
        <v>2.6</v>
      </c>
      <c r="D235" t="inlineStr">
        <is>
          <t>Foundation</t>
        </is>
      </c>
      <c r="E235" s="20" t="n">
        <v>2024</v>
      </c>
      <c r="F235" s="20">
        <f>IF(AND(OR(in_Mode="All Funds",AND(C235&gt;=in_BandFloor,C235&lt;=in_BandCeiling,OR(in_Geography="National",COUNTIFS(lst_GeoPreset,in_Geography,lst_GeoState,B235)&gt;0,AND(in_Geography="Custom",ISNUMBER(SEARCH(B235,SUBSTITUTE(in_CustomStates," ",""))))),OR(AND(D235="Endowment",Inputs!$B$14="Y"),AND(D235="Foundation",Inputs!$B$15="Y"),AND(D235="Healthcare",Inputs!$B$16="Y"),AND(D235="Pension",Inputs!$B$17="Y"),AND(D235="OCIO",Inputs!$B$18="Y"),AND(D235="Other",Inputs!$B$19="Y")))),A235&lt;&gt;in_ClientOrg,NOT(AND(in_ExclHarvard="Y",ISNUMBER(SEARCH("Harvard",A235))))),"Y","")</f>
        <v/>
      </c>
      <c r="G235" t="inlineStr">
        <is>
          <t>Elizabeth Mcgeveran</t>
        </is>
      </c>
      <c r="H235" t="inlineStr">
        <is>
          <t>VP of Investments</t>
        </is>
      </c>
      <c r="I235" t="inlineStr">
        <is>
          <t>Director of Investments</t>
        </is>
      </c>
      <c r="J235" s="21" t="n"/>
      <c r="K235" s="21" t="n"/>
      <c r="L235" s="21" t="n"/>
      <c r="M235" s="21" t="n"/>
      <c r="N235" s="21" t="n"/>
      <c r="O235" s="21" t="n"/>
      <c r="P235" s="21" t="n">
        <v>432136</v>
      </c>
      <c r="Q235" s="21" t="n">
        <v>432136</v>
      </c>
      <c r="R235" s="21">
        <f>IF(Q235="","",Q235*(1+in_GrowthRate)^(YEARFRAC(DATE(2024,12,31),in_AgeToDate)*IF(in_AgeToDate&lt;DATE(2024,12,31),-1,1)+1))</f>
        <v/>
      </c>
      <c r="S235" s="38" t="n"/>
      <c r="T235" s="43">
        <f>HYPERLINK("https://projects.propublica.org/nonprofits/organizations/410754835/202513189349104906/full","view filing")</f>
        <v/>
      </c>
    </row>
    <row r="236">
      <c r="A236" t="inlineStr">
        <is>
          <t>Mcknight Foundation</t>
        </is>
      </c>
      <c r="B236" s="20" t="inlineStr">
        <is>
          <t>MN</t>
        </is>
      </c>
      <c r="C236" s="42" t="n">
        <v>2.6</v>
      </c>
      <c r="D236" t="inlineStr">
        <is>
          <t>Foundation</t>
        </is>
      </c>
      <c r="E236" s="20" t="n">
        <v>2023</v>
      </c>
      <c r="F236" s="20" t="inlineStr"/>
      <c r="G236" t="inlineStr">
        <is>
          <t>Elizabeth Mcgeveran</t>
        </is>
      </c>
      <c r="H236" t="inlineStr">
        <is>
          <t>Dir of Investments</t>
        </is>
      </c>
      <c r="I236" t="inlineStr">
        <is>
          <t>Director of Investments</t>
        </is>
      </c>
      <c r="J236" s="21" t="n"/>
      <c r="K236" s="21" t="n"/>
      <c r="L236" s="21" t="n"/>
      <c r="M236" s="21" t="n"/>
      <c r="N236" s="21" t="n"/>
      <c r="O236" s="21" t="n"/>
      <c r="P236" s="21" t="n">
        <v>386021</v>
      </c>
      <c r="Q236" s="21" t="n">
        <v>386021</v>
      </c>
      <c r="R236" s="21">
        <f>IF(Q236="","",Q236*(1+in_GrowthRate)^(YEARFRAC(DATE(2023,12,31),in_AgeToDate)*IF(in_AgeToDate&lt;DATE(2023,12,31),-1,1)+1))</f>
        <v/>
      </c>
      <c r="S236" s="38" t="n"/>
      <c r="T236" s="43">
        <f>HYPERLINK("https://projects.propublica.org/nonprofits/organizations/410754835/202423199349100607/full","view filing")</f>
        <v/>
      </c>
    </row>
    <row r="237">
      <c r="A237" t="inlineStr">
        <is>
          <t>Mcknight Foundation</t>
        </is>
      </c>
      <c r="B237" s="20" t="inlineStr">
        <is>
          <t>MN</t>
        </is>
      </c>
      <c r="C237" s="42" t="n">
        <v>2.6</v>
      </c>
      <c r="D237" t="inlineStr">
        <is>
          <t>Foundation</t>
        </is>
      </c>
      <c r="E237" s="20" t="n">
        <v>2022</v>
      </c>
      <c r="F237" s="20" t="inlineStr"/>
      <c r="G237" t="inlineStr">
        <is>
          <t>Elizabeth Mcgeveran</t>
        </is>
      </c>
      <c r="H237" t="inlineStr">
        <is>
          <t>DIR of Investments</t>
        </is>
      </c>
      <c r="I237" t="inlineStr">
        <is>
          <t>Director of Investments</t>
        </is>
      </c>
      <c r="J237" s="21" t="n"/>
      <c r="K237" s="21" t="n"/>
      <c r="L237" s="21" t="n"/>
      <c r="M237" s="21" t="n"/>
      <c r="N237" s="21" t="n"/>
      <c r="O237" s="21" t="n"/>
      <c r="P237" s="21" t="n">
        <v>340956</v>
      </c>
      <c r="Q237" s="21" t="n">
        <v>340956</v>
      </c>
      <c r="R237" s="21">
        <f>IF(Q237="","",Q237*(1+in_GrowthRate)^(YEARFRAC(DATE(2022,12,31),in_AgeToDate)*IF(in_AgeToDate&lt;DATE(2022,12,31),-1,1)+1))</f>
        <v/>
      </c>
      <c r="S237" s="38" t="n"/>
      <c r="T237" s="43">
        <f>HYPERLINK("https://projects.propublica.org/nonprofits/organizations/410754835/202343189349103054/full","view filing")</f>
        <v/>
      </c>
    </row>
    <row r="238">
      <c r="A238" t="inlineStr">
        <is>
          <t>Memorial Sloan Kettering Cancer Center</t>
        </is>
      </c>
      <c r="B238" s="20" t="inlineStr">
        <is>
          <t>NY</t>
        </is>
      </c>
      <c r="C238" s="42" t="n">
        <v>6.52</v>
      </c>
      <c r="D238" t="inlineStr">
        <is>
          <t>Healthcare</t>
        </is>
      </c>
      <c r="E238" s="20" t="n">
        <v>2024</v>
      </c>
      <c r="F238" s="20">
        <f>IF(AND(OR(in_Mode="All Funds",AND(C238&gt;=in_BandFloor,C238&lt;=in_BandCeiling,OR(in_Geography="National",COUNTIFS(lst_GeoPreset,in_Geography,lst_GeoState,B238)&gt;0,AND(in_Geography="Custom",ISNUMBER(SEARCH(B238,SUBSTITUTE(in_CustomStates," ",""))))),OR(AND(D238="Endowment",Inputs!$B$14="Y"),AND(D238="Foundation",Inputs!$B$15="Y"),AND(D238="Healthcare",Inputs!$B$16="Y"),AND(D238="Pension",Inputs!$B$17="Y"),AND(D238="OCIO",Inputs!$B$18="Y"),AND(D238="Other",Inputs!$B$19="Y")))),A238&lt;&gt;in_ClientOrg,NOT(AND(in_ExclHarvard="Y",ISNUMBER(SEARCH("Harvard",A238))))),"Y","")</f>
        <v/>
      </c>
      <c r="G238" t="inlineStr">
        <is>
          <t>Eilene De Albuquerque</t>
        </is>
      </c>
      <c r="H238" t="inlineStr">
        <is>
          <t>DIRECTOR INVESTMENTS</t>
        </is>
      </c>
      <c r="I238" t="inlineStr">
        <is>
          <t>Director of Investments</t>
        </is>
      </c>
      <c r="J238" s="21" t="n">
        <v>432231</v>
      </c>
      <c r="K238" s="21" t="n">
        <v>570000</v>
      </c>
      <c r="L238" s="21" t="n">
        <v>1002231</v>
      </c>
      <c r="M238" s="21" t="n">
        <v>741</v>
      </c>
      <c r="N238" s="21" t="n">
        <v>27600</v>
      </c>
      <c r="O238" s="21" t="n">
        <v>51885</v>
      </c>
      <c r="P238" s="21" t="n">
        <v>1082457</v>
      </c>
      <c r="Q238" s="21" t="n">
        <v>1082457</v>
      </c>
      <c r="R238" s="21">
        <f>IF(Q238="","",Q238*(1+in_GrowthRate)^(YEARFRAC(DATE(2024,12,31),in_AgeToDate)*IF(in_AgeToDate&lt;DATE(2024,12,31),-1,1)+1))</f>
        <v/>
      </c>
      <c r="S238" s="38" t="n">
        <v>1.318739285243307</v>
      </c>
      <c r="T238" s="43">
        <f>HYPERLINK("https://projects.propublica.org/nonprofits/organizations/131924236/202533159349305998/full","view filing")</f>
        <v/>
      </c>
    </row>
    <row r="239">
      <c r="A239" t="inlineStr">
        <is>
          <t>Memorial Sloan Kettering Cancer Center</t>
        </is>
      </c>
      <c r="B239" s="20" t="inlineStr">
        <is>
          <t>NY</t>
        </is>
      </c>
      <c r="C239" s="42" t="n">
        <v>6.52</v>
      </c>
      <c r="D239" t="inlineStr">
        <is>
          <t>Healthcare</t>
        </is>
      </c>
      <c r="E239" s="20" t="n">
        <v>2023</v>
      </c>
      <c r="F239" s="20" t="inlineStr"/>
      <c r="G239" t="inlineStr">
        <is>
          <t>Nirschl Novisi</t>
        </is>
      </c>
      <c r="H239" t="inlineStr">
        <is>
          <t>DIRECTOR INVESTMENTS</t>
        </is>
      </c>
      <c r="I239" t="inlineStr">
        <is>
          <t>Director of Investments</t>
        </is>
      </c>
      <c r="J239" s="21" t="n">
        <v>505417</v>
      </c>
      <c r="K239" s="21" t="n">
        <v>578123</v>
      </c>
      <c r="L239" s="21" t="n">
        <v>1083540</v>
      </c>
      <c r="M239" s="21" t="n"/>
      <c r="N239" s="21" t="n">
        <v>26400</v>
      </c>
      <c r="O239" s="21" t="n">
        <v>54771</v>
      </c>
      <c r="P239" s="21" t="n">
        <v>1164711</v>
      </c>
      <c r="Q239" s="21" t="n">
        <v>1164711</v>
      </c>
      <c r="R239" s="21">
        <f>IF(Q239="","",Q239*(1+in_GrowthRate)^(YEARFRAC(DATE(2023,12,31),in_AgeToDate)*IF(in_AgeToDate&lt;DATE(2023,12,31),-1,1)+1))</f>
        <v/>
      </c>
      <c r="S239" s="38" t="n">
        <v>1.143853491275521</v>
      </c>
      <c r="T239" s="43">
        <f>HYPERLINK("https://projects.propublica.org/nonprofits/organizations/131924236/202433199349316733/full","view filing")</f>
        <v/>
      </c>
    </row>
    <row r="240">
      <c r="A240" t="inlineStr">
        <is>
          <t>Memorial Sloan Kettering Cancer Center</t>
        </is>
      </c>
      <c r="B240" s="20" t="inlineStr">
        <is>
          <t>NY</t>
        </is>
      </c>
      <c r="C240" s="42" t="n">
        <v>6.52</v>
      </c>
      <c r="D240" t="inlineStr">
        <is>
          <t>Healthcare</t>
        </is>
      </c>
      <c r="E240" s="20" t="n">
        <v>2023</v>
      </c>
      <c r="F240" s="20" t="inlineStr"/>
      <c r="G240" t="inlineStr">
        <is>
          <t>Steven Kael</t>
        </is>
      </c>
      <c r="H240" t="inlineStr">
        <is>
          <t>DIRECTOR INVESTMENTS</t>
        </is>
      </c>
      <c r="I240" t="inlineStr">
        <is>
          <t>Director of Investments</t>
        </is>
      </c>
      <c r="J240" s="21" t="n">
        <v>969701</v>
      </c>
      <c r="K240" s="21" t="n">
        <v>154500</v>
      </c>
      <c r="L240" s="21" t="n">
        <v>1124201</v>
      </c>
      <c r="M240" s="21" t="n">
        <v>882</v>
      </c>
      <c r="N240" s="21" t="n">
        <v>26400</v>
      </c>
      <c r="O240" s="21" t="n">
        <v>44016</v>
      </c>
      <c r="P240" s="21" t="n">
        <v>1195499</v>
      </c>
      <c r="Q240" s="21" t="n">
        <v>1195499</v>
      </c>
      <c r="R240" s="21">
        <f>IF(Q240="","",Q240*(1+in_GrowthRate)^(YEARFRAC(DATE(2023,12,31),in_AgeToDate)*IF(in_AgeToDate&lt;DATE(2023,12,31),-1,1)+1))</f>
        <v/>
      </c>
      <c r="S240" s="38" t="n">
        <v>0.1593274627952327</v>
      </c>
      <c r="T240" s="43">
        <f>HYPERLINK("https://projects.propublica.org/nonprofits/organizations/131924236/202433199349316733/full","view filing")</f>
        <v/>
      </c>
    </row>
    <row r="241">
      <c r="A241" t="inlineStr">
        <is>
          <t>Meyer Memorial Trust</t>
        </is>
      </c>
      <c r="B241" s="20" t="inlineStr">
        <is>
          <t>OR</t>
        </is>
      </c>
      <c r="C241" s="42" t="n">
        <v>0.88</v>
      </c>
      <c r="D241" t="inlineStr">
        <is>
          <t>Foundation</t>
        </is>
      </c>
      <c r="E241" s="20" t="n">
        <v>2025</v>
      </c>
      <c r="F241" s="20">
        <f>IF(AND(OR(in_Mode="All Funds",AND(C241&gt;=in_BandFloor,C241&lt;=in_BandCeiling,OR(in_Geography="National",COUNTIFS(lst_GeoPreset,in_Geography,lst_GeoState,B241)&gt;0,AND(in_Geography="Custom",ISNUMBER(SEARCH(B241,SUBSTITUTE(in_CustomStates," ",""))))),OR(AND(D241="Endowment",Inputs!$B$14="Y"),AND(D241="Foundation",Inputs!$B$15="Y"),AND(D241="Healthcare",Inputs!$B$16="Y"),AND(D241="Pension",Inputs!$B$17="Y"),AND(D241="OCIO",Inputs!$B$18="Y"),AND(D241="Other",Inputs!$B$19="Y")))),A241&lt;&gt;in_ClientOrg,NOT(AND(in_ExclHarvard="Y",ISNUMBER(SEARCH("Harvard",A241))))),"Y","")</f>
        <v/>
      </c>
      <c r="G241" t="inlineStr">
        <is>
          <t>Sohel Hussain</t>
        </is>
      </c>
      <c r="H241" t="inlineStr">
        <is>
          <t>VP OF INVESTMENTS AN</t>
        </is>
      </c>
      <c r="I241" t="inlineStr">
        <is>
          <t>Director of Investments</t>
        </is>
      </c>
      <c r="J241" s="21" t="n"/>
      <c r="K241" s="21" t="n"/>
      <c r="L241" s="21" t="n"/>
      <c r="M241" s="21" t="n"/>
      <c r="N241" s="21" t="n"/>
      <c r="O241" s="21" t="n"/>
      <c r="P241" s="21" t="n">
        <v>317875</v>
      </c>
      <c r="Q241" s="21" t="n">
        <v>317875</v>
      </c>
      <c r="R241" s="21">
        <f>IF(Q241="","",Q241*(1+in_GrowthRate)^(YEARFRAC(DATE(2025,3,31),in_AgeToDate)*IF(in_AgeToDate&lt;DATE(2025,3,31),-1,1)+1))</f>
        <v/>
      </c>
      <c r="S241" s="38" t="n"/>
      <c r="T241" s="43">
        <f>HYPERLINK("https://projects.propublica.org/nonprofits/organizations/930806316/202600369349100715/full","view filing")</f>
        <v/>
      </c>
    </row>
    <row r="242">
      <c r="A242" t="inlineStr">
        <is>
          <t>Meyer Memorial Trust</t>
        </is>
      </c>
      <c r="B242" s="20" t="inlineStr">
        <is>
          <t>OR</t>
        </is>
      </c>
      <c r="C242" s="42" t="n">
        <v>0.88</v>
      </c>
      <c r="D242" t="inlineStr">
        <is>
          <t>Foundation</t>
        </is>
      </c>
      <c r="E242" s="20" t="n">
        <v>2024</v>
      </c>
      <c r="F242" s="20" t="inlineStr"/>
      <c r="G242" t="inlineStr">
        <is>
          <t>Sohel Hussain</t>
        </is>
      </c>
      <c r="H242" t="inlineStr">
        <is>
          <t>VP OF INVESTMENTS AN</t>
        </is>
      </c>
      <c r="I242" t="inlineStr">
        <is>
          <t>Director of Investments</t>
        </is>
      </c>
      <c r="J242" s="21" t="n"/>
      <c r="K242" s="21" t="n"/>
      <c r="L242" s="21" t="n"/>
      <c r="M242" s="21" t="n"/>
      <c r="N242" s="21" t="n"/>
      <c r="O242" s="21" t="n"/>
      <c r="P242" s="21" t="n">
        <v>371625</v>
      </c>
      <c r="Q242" s="21" t="n">
        <v>371625</v>
      </c>
      <c r="R242" s="21">
        <f>IF(Q242="","",Q242*(1+in_GrowthRate)^(YEARFRAC(DATE(2024,3,31),in_AgeToDate)*IF(in_AgeToDate&lt;DATE(2024,3,31),-1,1)+1))</f>
        <v/>
      </c>
      <c r="S242" s="38" t="n"/>
      <c r="T242" s="43">
        <f>HYPERLINK("https://projects.propublica.org/nonprofits/organizations/930806316/202530439349101018/full","view filing")</f>
        <v/>
      </c>
    </row>
    <row r="243">
      <c r="A243" t="inlineStr">
        <is>
          <t>Mother Cabrini Health Foundation</t>
        </is>
      </c>
      <c r="B243" s="20" t="inlineStr">
        <is>
          <t>NY</t>
        </is>
      </c>
      <c r="C243" s="42" t="n">
        <v>3.2</v>
      </c>
      <c r="D243" t="inlineStr">
        <is>
          <t>Healthcare</t>
        </is>
      </c>
      <c r="E243" s="20" t="n">
        <v>2024</v>
      </c>
      <c r="F243" s="20">
        <f>IF(AND(OR(in_Mode="All Funds",AND(C243&gt;=in_BandFloor,C243&lt;=in_BandCeiling,OR(in_Geography="National",COUNTIFS(lst_GeoPreset,in_Geography,lst_GeoState,B243)&gt;0,AND(in_Geography="Custom",ISNUMBER(SEARCH(B243,SUBSTITUTE(in_CustomStates," ",""))))),OR(AND(D243="Endowment",Inputs!$B$14="Y"),AND(D243="Foundation",Inputs!$B$15="Y"),AND(D243="Healthcare",Inputs!$B$16="Y"),AND(D243="Pension",Inputs!$B$17="Y"),AND(D243="OCIO",Inputs!$B$18="Y"),AND(D243="Other",Inputs!$B$19="Y")))),A243&lt;&gt;in_ClientOrg,NOT(AND(in_ExclHarvard="Y",ISNUMBER(SEARCH("Harvard",A243))))),"Y","")</f>
        <v/>
      </c>
      <c r="G243" t="inlineStr">
        <is>
          <t>Juliette Reiss</t>
        </is>
      </c>
      <c r="H243" t="inlineStr">
        <is>
          <t>INVESTMENT MANAGER</t>
        </is>
      </c>
      <c r="I243" t="inlineStr">
        <is>
          <t>Investment Manager</t>
        </is>
      </c>
      <c r="J243" s="21" t="n"/>
      <c r="K243" s="21" t="n"/>
      <c r="L243" s="21" t="n"/>
      <c r="M243" s="21" t="n"/>
      <c r="N243" s="21" t="n"/>
      <c r="O243" s="21" t="n"/>
      <c r="P243" s="21" t="n">
        <v>371033</v>
      </c>
      <c r="Q243" s="21" t="n">
        <v>371033</v>
      </c>
      <c r="R243" s="21">
        <f>IF(Q243="","",Q243*(1+in_GrowthRate)^(YEARFRAC(DATE(2024,12,31),in_AgeToDate)*IF(in_AgeToDate&lt;DATE(2024,12,31),-1,1)+1))</f>
        <v/>
      </c>
      <c r="S243" s="38" t="n"/>
      <c r="T243" s="43">
        <f>HYPERLINK("https://projects.propublica.org/nonprofits/organizations/830590263/202503219349101675/full","view filing")</f>
        <v/>
      </c>
    </row>
    <row r="244">
      <c r="A244" t="inlineStr">
        <is>
          <t>Mother Cabrini Health Foundation</t>
        </is>
      </c>
      <c r="B244" s="20" t="inlineStr">
        <is>
          <t>NY</t>
        </is>
      </c>
      <c r="C244" s="42" t="n">
        <v>3.2</v>
      </c>
      <c r="D244" t="inlineStr">
        <is>
          <t>Healthcare</t>
        </is>
      </c>
      <c r="E244" s="20" t="n">
        <v>2024</v>
      </c>
      <c r="F244" s="20">
        <f>IF(AND(OR(in_Mode="All Funds",AND(C244&gt;=in_BandFloor,C244&lt;=in_BandCeiling,OR(in_Geography="National",COUNTIFS(lst_GeoPreset,in_Geography,lst_GeoState,B244)&gt;0,AND(in_Geography="Custom",ISNUMBER(SEARCH(B244,SUBSTITUTE(in_CustomStates," ",""))))),OR(AND(D244="Endowment",Inputs!$B$14="Y"),AND(D244="Foundation",Inputs!$B$15="Y"),AND(D244="Healthcare",Inputs!$B$16="Y"),AND(D244="Pension",Inputs!$B$17="Y"),AND(D244="OCIO",Inputs!$B$18="Y"),AND(D244="Other",Inputs!$B$19="Y")))),A244&lt;&gt;in_ClientOrg,NOT(AND(in_ExclHarvard="Y",ISNUMBER(SEARCH("Harvard",A244))))),"Y","")</f>
        <v/>
      </c>
      <c r="G244" t="inlineStr">
        <is>
          <t>Ryan Yanara</t>
        </is>
      </c>
      <c r="H244" t="inlineStr">
        <is>
          <t>DIRECTOR OF INVESTME</t>
        </is>
      </c>
      <c r="I244" t="inlineStr">
        <is>
          <t>Director of Investments</t>
        </is>
      </c>
      <c r="J244" s="21" t="n"/>
      <c r="K244" s="21" t="n"/>
      <c r="L244" s="21" t="n"/>
      <c r="M244" s="21" t="n"/>
      <c r="N244" s="21" t="n"/>
      <c r="O244" s="21" t="n"/>
      <c r="P244" s="21" t="n">
        <v>372221</v>
      </c>
      <c r="Q244" s="21" t="n">
        <v>372221</v>
      </c>
      <c r="R244" s="21">
        <f>IF(Q244="","",Q244*(1+in_GrowthRate)^(YEARFRAC(DATE(2024,12,31),in_AgeToDate)*IF(in_AgeToDate&lt;DATE(2024,12,31),-1,1)+1))</f>
        <v/>
      </c>
      <c r="S244" s="38" t="n"/>
      <c r="T244" s="43">
        <f>HYPERLINK("https://projects.propublica.org/nonprofits/organizations/830590263/202503219349101675/full","view filing")</f>
        <v/>
      </c>
    </row>
    <row r="245">
      <c r="A245" t="inlineStr">
        <is>
          <t>Mother Cabrini Health Foundation</t>
        </is>
      </c>
      <c r="B245" s="20" t="inlineStr">
        <is>
          <t>NY</t>
        </is>
      </c>
      <c r="C245" s="42" t="n">
        <v>3.2</v>
      </c>
      <c r="D245" t="inlineStr">
        <is>
          <t>Healthcare</t>
        </is>
      </c>
      <c r="E245" s="20" t="n">
        <v>2023</v>
      </c>
      <c r="F245" s="20" t="inlineStr"/>
      <c r="G245" t="inlineStr">
        <is>
          <t>Juliette Reiss</t>
        </is>
      </c>
      <c r="H245" t="inlineStr">
        <is>
          <t>INVESTMENT MANAGER</t>
        </is>
      </c>
      <c r="I245" t="inlineStr">
        <is>
          <t>Investment Manager</t>
        </is>
      </c>
      <c r="J245" s="21" t="n"/>
      <c r="K245" s="21" t="n"/>
      <c r="L245" s="21" t="n"/>
      <c r="M245" s="21" t="n"/>
      <c r="N245" s="21" t="n"/>
      <c r="O245" s="21" t="n"/>
      <c r="P245" s="21" t="n">
        <v>364408</v>
      </c>
      <c r="Q245" s="21" t="n">
        <v>364408</v>
      </c>
      <c r="R245" s="21">
        <f>IF(Q245="","",Q245*(1+in_GrowthRate)^(YEARFRAC(DATE(2023,12,31),in_AgeToDate)*IF(in_AgeToDate&lt;DATE(2023,12,31),-1,1)+1))</f>
        <v/>
      </c>
      <c r="S245" s="38" t="n"/>
      <c r="T245" s="43">
        <f>HYPERLINK("https://projects.propublica.org/nonprofits/organizations/830590263/202433209349104363/full","view filing")</f>
        <v/>
      </c>
    </row>
    <row r="246">
      <c r="A246" t="inlineStr">
        <is>
          <t>Mother Cabrini Health Foundation</t>
        </is>
      </c>
      <c r="B246" s="20" t="inlineStr">
        <is>
          <t>NY</t>
        </is>
      </c>
      <c r="C246" s="42" t="n">
        <v>3.2</v>
      </c>
      <c r="D246" t="inlineStr">
        <is>
          <t>Healthcare</t>
        </is>
      </c>
      <c r="E246" s="20" t="n">
        <v>2022</v>
      </c>
      <c r="F246" s="20" t="inlineStr"/>
      <c r="G246" t="inlineStr">
        <is>
          <t>Ryan Yanaro</t>
        </is>
      </c>
      <c r="H246" t="inlineStr">
        <is>
          <t>DIR. OF INVESTMENT O</t>
        </is>
      </c>
      <c r="I246" t="inlineStr">
        <is>
          <t>Director of Investments</t>
        </is>
      </c>
      <c r="J246" s="21" t="n"/>
      <c r="K246" s="21" t="n"/>
      <c r="L246" s="21" t="n"/>
      <c r="M246" s="21" t="n"/>
      <c r="N246" s="21" t="n"/>
      <c r="O246" s="21" t="n"/>
      <c r="P246" s="21" t="n">
        <v>317433</v>
      </c>
      <c r="Q246" s="21" t="n">
        <v>317433</v>
      </c>
      <c r="R246" s="21">
        <f>IF(Q246="","",Q246*(1+in_GrowthRate)^(YEARFRAC(DATE(2022,12,31),in_AgeToDate)*IF(in_AgeToDate&lt;DATE(2022,12,31),-1,1)+1))</f>
        <v/>
      </c>
      <c r="S246" s="38" t="n"/>
      <c r="T246" s="43">
        <f>HYPERLINK("https://projects.propublica.org/nonprofits/organizations/830590263/202343179349104034/full","view filing")</f>
        <v/>
      </c>
    </row>
    <row r="247">
      <c r="A247" t="inlineStr">
        <is>
          <t>Museum Of Fine Arts Houston</t>
        </is>
      </c>
      <c r="B247" s="20" t="inlineStr">
        <is>
          <t>TX</t>
        </is>
      </c>
      <c r="C247" s="42" t="n">
        <v>1.87</v>
      </c>
      <c r="D247" t="inlineStr">
        <is>
          <t>Other</t>
        </is>
      </c>
      <c r="E247" s="20" t="n">
        <v>2025</v>
      </c>
      <c r="F247" s="20">
        <f>IF(AND(OR(in_Mode="All Funds",AND(C247&gt;=in_BandFloor,C247&lt;=in_BandCeiling,OR(in_Geography="National",COUNTIFS(lst_GeoPreset,in_Geography,lst_GeoState,B247)&gt;0,AND(in_Geography="Custom",ISNUMBER(SEARCH(B247,SUBSTITUTE(in_CustomStates," ",""))))),OR(AND(D247="Endowment",Inputs!$B$14="Y"),AND(D247="Foundation",Inputs!$B$15="Y"),AND(D247="Healthcare",Inputs!$B$16="Y"),AND(D247="Pension",Inputs!$B$17="Y"),AND(D247="OCIO",Inputs!$B$18="Y"),AND(D247="Other",Inputs!$B$19="Y")))),A247&lt;&gt;in_ClientOrg,NOT(AND(in_ExclHarvard="Y",ISNUMBER(SEARCH("Harvard",A247))))),"Y","")</f>
        <v/>
      </c>
      <c r="G247" t="inlineStr">
        <is>
          <t>Bradford Smith</t>
        </is>
      </c>
      <c r="H247" t="inlineStr">
        <is>
          <t>INVESTMENT DIRECTOR</t>
        </is>
      </c>
      <c r="I247" t="inlineStr">
        <is>
          <t>Director of Investments</t>
        </is>
      </c>
      <c r="J247" s="21" t="n">
        <v>227660</v>
      </c>
      <c r="K247" s="21" t="n">
        <v>25500</v>
      </c>
      <c r="L247" s="21" t="n">
        <v>253160</v>
      </c>
      <c r="M247" s="21" t="n">
        <v>470</v>
      </c>
      <c r="N247" s="21" t="n">
        <v>12123</v>
      </c>
      <c r="O247" s="21" t="n">
        <v>27987</v>
      </c>
      <c r="P247" s="21" t="n">
        <v>293740</v>
      </c>
      <c r="Q247" s="21" t="n">
        <v>293740</v>
      </c>
      <c r="R247" s="21">
        <f>IF(Q247="","",Q247*(1+in_GrowthRate)^(YEARFRAC(DATE(2025,6,30),in_AgeToDate)*IF(in_AgeToDate&lt;DATE(2025,6,30),-1,1)+1))</f>
        <v/>
      </c>
      <c r="S247" s="38" t="n">
        <v>0.1120091364315207</v>
      </c>
      <c r="T247" s="43">
        <f>HYPERLINK("https://projects.propublica.org/nonprofits/organizations/741109655/202601359349303765/full","view filing")</f>
        <v/>
      </c>
    </row>
    <row r="248">
      <c r="A248" t="inlineStr">
        <is>
          <t>Museum Of Fine Arts Houston</t>
        </is>
      </c>
      <c r="B248" s="20" t="inlineStr">
        <is>
          <t>TX</t>
        </is>
      </c>
      <c r="C248" s="42" t="n">
        <v>1.87</v>
      </c>
      <c r="D248" t="inlineStr">
        <is>
          <t>Other</t>
        </is>
      </c>
      <c r="E248" s="20" t="n">
        <v>2025</v>
      </c>
      <c r="F248" s="20">
        <f>IF(AND(OR(in_Mode="All Funds",AND(C248&gt;=in_BandFloor,C248&lt;=in_BandCeiling,OR(in_Geography="National",COUNTIFS(lst_GeoPreset,in_Geography,lst_GeoState,B248)&gt;0,AND(in_Geography="Custom",ISNUMBER(SEARCH(B248,SUBSTITUTE(in_CustomStates," ",""))))),OR(AND(D248="Endowment",Inputs!$B$14="Y"),AND(D248="Foundation",Inputs!$B$15="Y"),AND(D248="Healthcare",Inputs!$B$16="Y"),AND(D248="Pension",Inputs!$B$17="Y"),AND(D248="OCIO",Inputs!$B$18="Y"),AND(D248="Other",Inputs!$B$19="Y")))),A248&lt;&gt;in_ClientOrg,NOT(AND(in_ExclHarvard="Y",ISNUMBER(SEARCH("Harvard",A248))))),"Y","")</f>
        <v/>
      </c>
      <c r="G248" t="inlineStr">
        <is>
          <t>Darren A Bartsch</t>
        </is>
      </c>
      <c r="H248" t="inlineStr">
        <is>
          <t>MANAGING INVESTMENT DIRECTOR</t>
        </is>
      </c>
      <c r="I248" t="inlineStr">
        <is>
          <t>Director of Investments</t>
        </is>
      </c>
      <c r="J248" s="21" t="n">
        <v>414790</v>
      </c>
      <c r="K248" s="21" t="n">
        <v>45000</v>
      </c>
      <c r="L248" s="21" t="n">
        <v>459790</v>
      </c>
      <c r="M248" s="21" t="n">
        <v>2049</v>
      </c>
      <c r="N248" s="21" t="n">
        <v>17250</v>
      </c>
      <c r="O248" s="21" t="n">
        <v>9669</v>
      </c>
      <c r="P248" s="21" t="n">
        <v>488758</v>
      </c>
      <c r="Q248" s="21" t="n">
        <v>488758</v>
      </c>
      <c r="R248" s="21">
        <f>IF(Q248="","",Q248*(1+in_GrowthRate)^(YEARFRAC(DATE(2025,6,30),in_AgeToDate)*IF(in_AgeToDate&lt;DATE(2025,6,30),-1,1)+1))</f>
        <v/>
      </c>
      <c r="S248" s="38" t="n">
        <v>0.1084886328021408</v>
      </c>
      <c r="T248" s="43">
        <f>HYPERLINK("https://projects.propublica.org/nonprofits/organizations/741109655/202601359349303765/full","view filing")</f>
        <v/>
      </c>
    </row>
    <row r="249">
      <c r="A249" t="inlineStr">
        <is>
          <t>Museum Of Fine Arts Houston</t>
        </is>
      </c>
      <c r="B249" s="20" t="inlineStr">
        <is>
          <t>TX</t>
        </is>
      </c>
      <c r="C249" s="42" t="n">
        <v>1.87</v>
      </c>
      <c r="D249" t="inlineStr">
        <is>
          <t>Other</t>
        </is>
      </c>
      <c r="E249" s="20" t="n">
        <v>2024</v>
      </c>
      <c r="F249" s="20" t="inlineStr"/>
      <c r="G249" t="inlineStr">
        <is>
          <t>Bradford Smith</t>
        </is>
      </c>
      <c r="H249" t="inlineStr">
        <is>
          <t>INVESTMENT DIRECTOR</t>
        </is>
      </c>
      <c r="I249" t="inlineStr">
        <is>
          <t>Director of Investments</t>
        </is>
      </c>
      <c r="J249" s="21" t="n">
        <v>204506</v>
      </c>
      <c r="K249" s="21" t="n">
        <v>20000</v>
      </c>
      <c r="L249" s="21" t="n">
        <v>224506</v>
      </c>
      <c r="M249" s="21" t="n">
        <v>420</v>
      </c>
      <c r="N249" s="21" t="n">
        <v>10965</v>
      </c>
      <c r="O249" s="21" t="n">
        <v>27809</v>
      </c>
      <c r="P249" s="21" t="n">
        <v>263700</v>
      </c>
      <c r="Q249" s="21" t="n">
        <v>263700</v>
      </c>
      <c r="R249" s="21">
        <f>IF(Q249="","",Q249*(1+in_GrowthRate)^(YEARFRAC(DATE(2024,6,30),in_AgeToDate)*IF(in_AgeToDate&lt;DATE(2024,6,30),-1,1)+1))</f>
        <v/>
      </c>
      <c r="S249" s="38" t="n">
        <v>0.09779664166332529</v>
      </c>
      <c r="T249" s="43">
        <f>HYPERLINK("https://projects.propublica.org/nonprofits/organizations/741109655/202531329349303233/full","view filing")</f>
        <v/>
      </c>
    </row>
    <row r="250">
      <c r="A250" t="inlineStr">
        <is>
          <t>Museum Of Fine Arts Houston</t>
        </is>
      </c>
      <c r="B250" s="20" t="inlineStr">
        <is>
          <t>TX</t>
        </is>
      </c>
      <c r="C250" s="42" t="n">
        <v>1.87</v>
      </c>
      <c r="D250" t="inlineStr">
        <is>
          <t>Other</t>
        </is>
      </c>
      <c r="E250" s="20" t="n">
        <v>2024</v>
      </c>
      <c r="F250" s="20" t="inlineStr"/>
      <c r="G250" t="inlineStr">
        <is>
          <t>Darren A Bartsch</t>
        </is>
      </c>
      <c r="H250" t="inlineStr">
        <is>
          <t>MANAGING INVESTMENT DIRECTOR</t>
        </is>
      </c>
      <c r="I250" t="inlineStr">
        <is>
          <t>Director of Investments</t>
        </is>
      </c>
      <c r="J250" s="21" t="n">
        <v>392089</v>
      </c>
      <c r="K250" s="21" t="n">
        <v>40000</v>
      </c>
      <c r="L250" s="21" t="n">
        <v>432089</v>
      </c>
      <c r="M250" s="21" t="n">
        <v>1316</v>
      </c>
      <c r="N250" s="21" t="n">
        <v>16500</v>
      </c>
      <c r="O250" s="21" t="n">
        <v>9103</v>
      </c>
      <c r="P250" s="21" t="n">
        <v>459008</v>
      </c>
      <c r="Q250" s="21" t="n">
        <v>459008</v>
      </c>
      <c r="R250" s="21">
        <f>IF(Q250="","",Q250*(1+in_GrowthRate)^(YEARFRAC(DATE(2024,6,30),in_AgeToDate)*IF(in_AgeToDate&lt;DATE(2024,6,30),-1,1)+1))</f>
        <v/>
      </c>
      <c r="S250" s="38" t="n">
        <v>0.1020176541550515</v>
      </c>
      <c r="T250" s="43">
        <f>HYPERLINK("https://projects.propublica.org/nonprofits/organizations/741109655/202531329349303233/full","view filing")</f>
        <v/>
      </c>
    </row>
    <row r="251">
      <c r="A251" t="inlineStr">
        <is>
          <t>Museum Of Fine Arts Houston</t>
        </is>
      </c>
      <c r="B251" s="20" t="inlineStr">
        <is>
          <t>TX</t>
        </is>
      </c>
      <c r="C251" s="42" t="n">
        <v>1.87</v>
      </c>
      <c r="D251" t="inlineStr">
        <is>
          <t>Other</t>
        </is>
      </c>
      <c r="E251" s="20" t="n">
        <v>2023</v>
      </c>
      <c r="F251" s="20" t="inlineStr"/>
      <c r="G251" t="inlineStr">
        <is>
          <t>Darren A Bartsch</t>
        </is>
      </c>
      <c r="H251" t="inlineStr">
        <is>
          <t>INVESTMENT OFFICER</t>
        </is>
      </c>
      <c r="I251" t="inlineStr">
        <is>
          <t>Investment Officer</t>
        </is>
      </c>
      <c r="J251" s="21" t="n">
        <v>364685</v>
      </c>
      <c r="K251" s="21" t="n">
        <v>36175</v>
      </c>
      <c r="L251" s="21" t="n">
        <v>400860</v>
      </c>
      <c r="M251" s="21" t="n">
        <v>1228</v>
      </c>
      <c r="N251" s="21" t="n">
        <v>15250</v>
      </c>
      <c r="O251" s="21" t="n">
        <v>8382</v>
      </c>
      <c r="P251" s="21" t="n">
        <v>425720</v>
      </c>
      <c r="Q251" s="21" t="n">
        <v>425720</v>
      </c>
      <c r="R251" s="21">
        <f>IF(Q251="","",Q251*(1+in_GrowthRate)^(YEARFRAC(DATE(2023,6,30),in_AgeToDate)*IF(in_AgeToDate&lt;DATE(2023,6,30),-1,1)+1))</f>
        <v/>
      </c>
      <c r="S251" s="38" t="n">
        <v>0.09919519585395616</v>
      </c>
      <c r="T251" s="43">
        <f>HYPERLINK("https://projects.propublica.org/nonprofits/organizations/741109655/202421349349309527/full","view filing")</f>
        <v/>
      </c>
    </row>
    <row r="252">
      <c r="A252" t="inlineStr">
        <is>
          <t>Museum Of Fine Arts Houston</t>
        </is>
      </c>
      <c r="B252" s="20" t="inlineStr">
        <is>
          <t>TX</t>
        </is>
      </c>
      <c r="C252" s="42" t="n">
        <v>1.87</v>
      </c>
      <c r="D252" t="inlineStr">
        <is>
          <t>Other</t>
        </is>
      </c>
      <c r="E252" s="20" t="n">
        <v>2022</v>
      </c>
      <c r="F252" s="20" t="inlineStr"/>
      <c r="G252" t="inlineStr">
        <is>
          <t>Darren A Bartsch</t>
        </is>
      </c>
      <c r="H252" t="inlineStr">
        <is>
          <t>INVESTMENT OFFICER</t>
        </is>
      </c>
      <c r="I252" t="inlineStr">
        <is>
          <t>Investment Officer</t>
        </is>
      </c>
      <c r="J252" s="21" t="n">
        <v>341555</v>
      </c>
      <c r="K252" s="21" t="n">
        <v>34500</v>
      </c>
      <c r="L252" s="21" t="n">
        <v>376055</v>
      </c>
      <c r="M252" s="21" t="n">
        <v>1144</v>
      </c>
      <c r="N252" s="21" t="n">
        <v>14500</v>
      </c>
      <c r="O252" s="21" t="n">
        <v>7843</v>
      </c>
      <c r="P252" s="21" t="n">
        <v>399542</v>
      </c>
      <c r="Q252" s="21" t="n">
        <v>399542</v>
      </c>
      <c r="R252" s="21">
        <f>IF(Q252="","",Q252*(1+in_GrowthRate)^(YEARFRAC(DATE(2022,6,30),in_AgeToDate)*IF(in_AgeToDate&lt;DATE(2022,6,30),-1,1)+1))</f>
        <v/>
      </c>
      <c r="S252" s="38" t="n">
        <v>0.101008622330225</v>
      </c>
      <c r="T252" s="43">
        <f>HYPERLINK("https://projects.propublica.org/nonprofits/organizations/741109655/202341309349304589/full","view filing")</f>
        <v/>
      </c>
    </row>
    <row r="253">
      <c r="A253" t="inlineStr">
        <is>
          <t>Museum Of Modern Art</t>
        </is>
      </c>
      <c r="B253" s="20" t="inlineStr">
        <is>
          <t>NY</t>
        </is>
      </c>
      <c r="C253" s="42" t="n">
        <v>1.95</v>
      </c>
      <c r="D253" t="inlineStr">
        <is>
          <t>Other</t>
        </is>
      </c>
      <c r="E253" s="20" t="n">
        <v>2023</v>
      </c>
      <c r="F253" s="20" t="inlineStr"/>
      <c r="G253" t="inlineStr">
        <is>
          <t>Gabriel Morrow</t>
        </is>
      </c>
      <c r="H253" t="inlineStr">
        <is>
          <t>Director, Investments</t>
        </is>
      </c>
      <c r="I253" t="inlineStr">
        <is>
          <t>Director of Investments</t>
        </is>
      </c>
      <c r="J253" s="21" t="n">
        <v>425905</v>
      </c>
      <c r="K253" s="21" t="n">
        <v>112250</v>
      </c>
      <c r="L253" s="21" t="n">
        <v>538155</v>
      </c>
      <c r="M253" s="21" t="n">
        <v>21088</v>
      </c>
      <c r="N253" s="21" t="n">
        <v>68300</v>
      </c>
      <c r="O253" s="21" t="n">
        <v>27266</v>
      </c>
      <c r="P253" s="21" t="n">
        <v>654809</v>
      </c>
      <c r="Q253" s="21" t="n">
        <v>654809</v>
      </c>
      <c r="R253" s="21">
        <f>IF(Q253="","",Q253*(1+in_GrowthRate)^(YEARFRAC(DATE(2023,6,30),in_AgeToDate)*IF(in_AgeToDate&lt;DATE(2023,6,30),-1,1)+1))</f>
        <v/>
      </c>
      <c r="S253" s="38" t="n">
        <v>0.263556426902713</v>
      </c>
      <c r="T253" s="43">
        <f>HYPERLINK("https://projects.propublica.org/nonprofits/organizations/131624100/202411359349308746/full","view filing")</f>
        <v/>
      </c>
    </row>
    <row r="254">
      <c r="A254" t="inlineStr">
        <is>
          <t>Museum Of Modern Art</t>
        </is>
      </c>
      <c r="B254" s="20" t="inlineStr">
        <is>
          <t>NY</t>
        </is>
      </c>
      <c r="C254" s="42" t="n">
        <v>1.95</v>
      </c>
      <c r="D254" t="inlineStr">
        <is>
          <t>Other</t>
        </is>
      </c>
      <c r="E254" s="20" t="n">
        <v>2022</v>
      </c>
      <c r="F254" s="20" t="inlineStr"/>
      <c r="G254" t="inlineStr">
        <is>
          <t>Gabriel Morrow</t>
        </is>
      </c>
      <c r="H254" t="inlineStr">
        <is>
          <t>Director, Investments</t>
        </is>
      </c>
      <c r="I254" t="inlineStr">
        <is>
          <t>Director of Investments</t>
        </is>
      </c>
      <c r="J254" s="21" t="n">
        <v>295902</v>
      </c>
      <c r="K254" s="21" t="n">
        <v>309504</v>
      </c>
      <c r="L254" s="21" t="n">
        <v>605406</v>
      </c>
      <c r="M254" s="21" t="n">
        <v>19819</v>
      </c>
      <c r="N254" s="21" t="n">
        <v>17400</v>
      </c>
      <c r="O254" s="21" t="n">
        <v>27793</v>
      </c>
      <c r="P254" s="21" t="n">
        <v>670418</v>
      </c>
      <c r="Q254" s="21" t="n">
        <v>670418</v>
      </c>
      <c r="R254" s="21">
        <f>IF(Q254="","",Q254*(1+in_GrowthRate)^(YEARFRAC(DATE(2022,6,30),in_AgeToDate)*IF(in_AgeToDate&lt;DATE(2022,6,30),-1,1)+1))</f>
        <v/>
      </c>
      <c r="S254" s="38" t="n">
        <v>1.045967921811951</v>
      </c>
      <c r="T254" s="43">
        <f>HYPERLINK("https://projects.propublica.org/nonprofits/organizations/131624100/202341359349302904/full","view filing")</f>
        <v/>
      </c>
    </row>
    <row r="255">
      <c r="A255" t="inlineStr">
        <is>
          <t>National Fish And Wildlife Foundation</t>
        </is>
      </c>
      <c r="B255" s="20" t="inlineStr">
        <is>
          <t>DC</t>
        </is>
      </c>
      <c r="C255" s="42" t="n">
        <v>1.36</v>
      </c>
      <c r="D255" t="inlineStr">
        <is>
          <t>Foundation</t>
        </is>
      </c>
      <c r="E255" s="20" t="n">
        <v>2024</v>
      </c>
      <c r="F255" s="20" t="inlineStr"/>
      <c r="G255" t="inlineStr">
        <is>
          <t>Addison Dana</t>
        </is>
      </c>
      <c r="H255" t="inlineStr">
        <is>
          <t>VP. INVESTMENT OFFICER</t>
        </is>
      </c>
      <c r="I255" t="inlineStr">
        <is>
          <t>Investment Officer</t>
        </is>
      </c>
      <c r="J255" s="21" t="n">
        <v>324115</v>
      </c>
      <c r="K255" s="21" t="n">
        <v>62899</v>
      </c>
      <c r="L255" s="21" t="n">
        <v>387014</v>
      </c>
      <c r="M255" s="21" t="n">
        <v>8310</v>
      </c>
      <c r="N255" s="21" t="n">
        <v>99560</v>
      </c>
      <c r="O255" s="21" t="n">
        <v>35380</v>
      </c>
      <c r="P255" s="21" t="n">
        <v>530264</v>
      </c>
      <c r="Q255" s="21" t="n">
        <v>530264</v>
      </c>
      <c r="R255" s="21">
        <f>IF(Q255="","",Q255*(1+in_GrowthRate)^(YEARFRAC(DATE(2024,9,30),in_AgeToDate)*IF(in_AgeToDate&lt;DATE(2024,9,30),-1,1)+1))</f>
        <v/>
      </c>
      <c r="S255" s="38" t="n">
        <v>0.1940638353670765</v>
      </c>
      <c r="T255" s="43">
        <f>HYPERLINK("https://projects.propublica.org/nonprofits/organizations/521384139/202501999349300110/full","view filing")</f>
        <v/>
      </c>
    </row>
    <row r="256">
      <c r="A256" t="inlineStr">
        <is>
          <t>National Fish And Wildlife Foundation</t>
        </is>
      </c>
      <c r="B256" s="20" t="inlineStr">
        <is>
          <t>DC</t>
        </is>
      </c>
      <c r="C256" s="42" t="n">
        <v>1.36</v>
      </c>
      <c r="D256" t="inlineStr">
        <is>
          <t>Foundation</t>
        </is>
      </c>
      <c r="E256" s="20" t="n">
        <v>2022</v>
      </c>
      <c r="F256" s="20" t="inlineStr"/>
      <c r="G256" t="inlineStr">
        <is>
          <t>Addison Dana</t>
        </is>
      </c>
      <c r="H256" t="inlineStr">
        <is>
          <t>VP, INVESTMENTS</t>
        </is>
      </c>
      <c r="I256" t="inlineStr">
        <is>
          <t>Director of Investments</t>
        </is>
      </c>
      <c r="J256" s="21" t="n">
        <v>276821</v>
      </c>
      <c r="K256" s="21" t="n">
        <v>41192</v>
      </c>
      <c r="L256" s="21" t="n">
        <v>318013</v>
      </c>
      <c r="M256" s="21" t="n">
        <v>5313</v>
      </c>
      <c r="N256" s="21" t="n">
        <v>29000</v>
      </c>
      <c r="O256" s="21" t="n">
        <v>29792</v>
      </c>
      <c r="P256" s="21" t="n">
        <v>382118</v>
      </c>
      <c r="Q256" s="21" t="n">
        <v>382118</v>
      </c>
      <c r="R256" s="21">
        <f>IF(Q256="","",Q256*(1+in_GrowthRate)^(YEARFRAC(DATE(2022,9,30),in_AgeToDate)*IF(in_AgeToDate&lt;DATE(2022,9,30),-1,1)+1))</f>
        <v/>
      </c>
      <c r="S256" s="38" t="n">
        <v>0.1488037396006806</v>
      </c>
      <c r="T256" s="43">
        <f>HYPERLINK("https://projects.propublica.org/nonprofits/organizations/521384139/202311869349301051/full","view filing")</f>
        <v/>
      </c>
    </row>
    <row r="257">
      <c r="A257" t="inlineStr">
        <is>
          <t>National Geographic Society</t>
        </is>
      </c>
      <c r="B257" s="20" t="inlineStr">
        <is>
          <t>DC</t>
        </is>
      </c>
      <c r="C257" s="42" t="n">
        <v>1.71</v>
      </c>
      <c r="D257" t="inlineStr">
        <is>
          <t>Other</t>
        </is>
      </c>
      <c r="E257" s="20" t="n">
        <v>2025</v>
      </c>
      <c r="F257" s="20">
        <f>IF(AND(OR(in_Mode="All Funds",AND(C257&gt;=in_BandFloor,C257&lt;=in_BandCeiling,OR(in_Geography="National",COUNTIFS(lst_GeoPreset,in_Geography,lst_GeoState,B257)&gt;0,AND(in_Geography="Custom",ISNUMBER(SEARCH(B257,SUBSTITUTE(in_CustomStates," ",""))))),OR(AND(D257="Endowment",Inputs!$B$14="Y"),AND(D257="Foundation",Inputs!$B$15="Y"),AND(D257="Healthcare",Inputs!$B$16="Y"),AND(D257="Pension",Inputs!$B$17="Y"),AND(D257="OCIO",Inputs!$B$18="Y"),AND(D257="Other",Inputs!$B$19="Y")))),A257&lt;&gt;in_ClientOrg,NOT(AND(in_ExclHarvard="Y",ISNUMBER(SEARCH("Harvard",A257))))),"Y","")</f>
        <v/>
      </c>
      <c r="G257" t="inlineStr">
        <is>
          <t>John Coombe</t>
        </is>
      </c>
      <c r="H257" t="inlineStr">
        <is>
          <t>DIRECTOR, INVESTMENTS</t>
        </is>
      </c>
      <c r="I257" t="inlineStr">
        <is>
          <t>Director of Investments</t>
        </is>
      </c>
      <c r="J257" s="21" t="n">
        <v>368358</v>
      </c>
      <c r="K257" s="21" t="n">
        <v>268125</v>
      </c>
      <c r="L257" s="21" t="n">
        <v>636483</v>
      </c>
      <c r="M257" s="21" t="n">
        <v>825</v>
      </c>
      <c r="N257" s="21" t="n">
        <v>11750</v>
      </c>
      <c r="O257" s="21" t="n">
        <v>1764</v>
      </c>
      <c r="P257" s="21" t="n">
        <v>650822</v>
      </c>
      <c r="Q257" s="21" t="n">
        <v>650822</v>
      </c>
      <c r="R257" s="21">
        <f>IF(Q257="","",Q257*(1+in_GrowthRate)^(YEARFRAC(DATE(2025,12,31),in_AgeToDate)*IF(in_AgeToDate&lt;DATE(2025,12,31),-1,1)+1))</f>
        <v/>
      </c>
      <c r="S257" s="38" t="n">
        <v>0.7278924307331455</v>
      </c>
      <c r="T257" s="43">
        <f>HYPERLINK("https://projects.propublica.org/nonprofits/organizations/530193519/202622039349300962/full","view filing")</f>
        <v/>
      </c>
    </row>
    <row r="258">
      <c r="A258" t="inlineStr">
        <is>
          <t>National Geographic Society</t>
        </is>
      </c>
      <c r="B258" s="20" t="inlineStr">
        <is>
          <t>DC</t>
        </is>
      </c>
      <c r="C258" s="42" t="n">
        <v>1.71</v>
      </c>
      <c r="D258" t="inlineStr">
        <is>
          <t>Other</t>
        </is>
      </c>
      <c r="E258" s="20" t="n">
        <v>2024</v>
      </c>
      <c r="F258" s="20" t="inlineStr"/>
      <c r="G258" t="inlineStr">
        <is>
          <t>John Coombe</t>
        </is>
      </c>
      <c r="H258" t="inlineStr">
        <is>
          <t>Director, Investments</t>
        </is>
      </c>
      <c r="I258" t="inlineStr">
        <is>
          <t>Director of Investments</t>
        </is>
      </c>
      <c r="J258" s="21" t="n">
        <v>358386</v>
      </c>
      <c r="K258" s="21" t="n">
        <v>162500</v>
      </c>
      <c r="L258" s="21" t="n">
        <v>520886</v>
      </c>
      <c r="M258" s="21" t="n"/>
      <c r="N258" s="21" t="n"/>
      <c r="O258" s="21" t="n">
        <v>2259</v>
      </c>
      <c r="P258" s="21" t="n">
        <v>523145</v>
      </c>
      <c r="Q258" s="21" t="n">
        <v>523145</v>
      </c>
      <c r="R258" s="21">
        <f>IF(Q258="","",Q258*(1+in_GrowthRate)^(YEARFRAC(DATE(2024,12,31),in_AgeToDate)*IF(in_AgeToDate&lt;DATE(2024,12,31),-1,1)+1))</f>
        <v/>
      </c>
      <c r="S258" s="38" t="n">
        <v>0.4534217296434571</v>
      </c>
      <c r="T258" s="43">
        <f>HYPERLINK("https://projects.propublica.org/nonprofits/organizations/530193519/202512739349301916/full","view filing")</f>
        <v/>
      </c>
    </row>
    <row r="259">
      <c r="A259" t="inlineStr">
        <is>
          <t>National Geographic Society</t>
        </is>
      </c>
      <c r="B259" s="20" t="inlineStr">
        <is>
          <t>DC</t>
        </is>
      </c>
      <c r="C259" s="42" t="n">
        <v>1.71</v>
      </c>
      <c r="D259" t="inlineStr">
        <is>
          <t>Other</t>
        </is>
      </c>
      <c r="E259" s="20" t="n">
        <v>2023</v>
      </c>
      <c r="F259" s="20" t="inlineStr"/>
      <c r="G259" t="inlineStr">
        <is>
          <t>John Coombe</t>
        </is>
      </c>
      <c r="H259" t="inlineStr">
        <is>
          <t>Director, Investments</t>
        </is>
      </c>
      <c r="I259" t="inlineStr">
        <is>
          <t>Director of Investments</t>
        </is>
      </c>
      <c r="J259" s="21" t="n">
        <v>324914</v>
      </c>
      <c r="K259" s="21" t="n">
        <v>27083</v>
      </c>
      <c r="L259" s="21" t="n">
        <v>351997</v>
      </c>
      <c r="M259" s="21" t="n">
        <v>651</v>
      </c>
      <c r="N259" s="21" t="n"/>
      <c r="O259" s="21" t="n">
        <v>2255</v>
      </c>
      <c r="P259" s="21" t="n">
        <v>354903</v>
      </c>
      <c r="Q259" s="21" t="n">
        <v>354903</v>
      </c>
      <c r="R259" s="21">
        <f>IF(Q259="","",Q259*(1+in_GrowthRate)^(YEARFRAC(DATE(2023,12,31),in_AgeToDate)*IF(in_AgeToDate&lt;DATE(2023,12,31),-1,1)+1))</f>
        <v/>
      </c>
      <c r="S259" s="38" t="n">
        <v>0.08335436453953969</v>
      </c>
      <c r="T259" s="43">
        <f>HYPERLINK("https://projects.propublica.org/nonprofits/organizations/530193519/202431319349302053/full","view filing")</f>
        <v/>
      </c>
    </row>
    <row r="260">
      <c r="A260" t="inlineStr">
        <is>
          <t>Oberlin College</t>
        </is>
      </c>
      <c r="B260" s="20" t="inlineStr">
        <is>
          <t>OH</t>
        </is>
      </c>
      <c r="C260" s="42" t="n">
        <v>1.48</v>
      </c>
      <c r="D260" t="inlineStr">
        <is>
          <t>Endowment</t>
        </is>
      </c>
      <c r="E260" s="20" t="n">
        <v>2025</v>
      </c>
      <c r="F260" s="20">
        <f>IF(AND(OR(in_Mode="All Funds",AND(C260&gt;=in_BandFloor,C260&lt;=in_BandCeiling,OR(in_Geography="National",COUNTIFS(lst_GeoPreset,in_Geography,lst_GeoState,B260)&gt;0,AND(in_Geography="Custom",ISNUMBER(SEARCH(B260,SUBSTITUTE(in_CustomStates," ",""))))),OR(AND(D260="Endowment",Inputs!$B$14="Y"),AND(D260="Foundation",Inputs!$B$15="Y"),AND(D260="Healthcare",Inputs!$B$16="Y"),AND(D260="Pension",Inputs!$B$17="Y"),AND(D260="OCIO",Inputs!$B$18="Y"),AND(D260="Other",Inputs!$B$19="Y")))),A260&lt;&gt;in_ClientOrg,NOT(AND(in_ExclHarvard="Y",ISNUMBER(SEARCH("Harvard",A260))))),"Y","")</f>
        <v/>
      </c>
      <c r="G260" t="inlineStr">
        <is>
          <t>Katarzyna Karapuda</t>
        </is>
      </c>
      <c r="H260" t="inlineStr">
        <is>
          <t>Associate Director of Investments</t>
        </is>
      </c>
      <c r="I260" t="inlineStr">
        <is>
          <t>Director of Investments</t>
        </is>
      </c>
      <c r="J260" s="21" t="n">
        <v>198248</v>
      </c>
      <c r="K260" s="21" t="n">
        <v>74079</v>
      </c>
      <c r="L260" s="21" t="n">
        <v>272327</v>
      </c>
      <c r="M260" s="21" t="n">
        <v>178</v>
      </c>
      <c r="N260" s="21" t="n">
        <v>21786</v>
      </c>
      <c r="O260" s="21" t="n">
        <v>832</v>
      </c>
      <c r="P260" s="21" t="n">
        <v>295123</v>
      </c>
      <c r="Q260" s="21" t="n">
        <v>295123</v>
      </c>
      <c r="R260" s="21">
        <f>IF(Q260="","",Q260*(1+in_GrowthRate)^(YEARFRAC(DATE(2025,6,30),in_AgeToDate)*IF(in_AgeToDate&lt;DATE(2025,6,30),-1,1)+1))</f>
        <v/>
      </c>
      <c r="S260" s="38" t="n">
        <v>0.3736683346111941</v>
      </c>
      <c r="T260" s="43">
        <f>HYPERLINK("https://projects.propublica.org/nonprofits/organizations/340714363/202600799349300015/full","view filing")</f>
        <v/>
      </c>
    </row>
    <row r="261">
      <c r="A261" t="inlineStr">
        <is>
          <t>Oberlin College</t>
        </is>
      </c>
      <c r="B261" s="20" t="inlineStr">
        <is>
          <t>OH</t>
        </is>
      </c>
      <c r="C261" s="42" t="n">
        <v>1.48</v>
      </c>
      <c r="D261" t="inlineStr">
        <is>
          <t>Endowment</t>
        </is>
      </c>
      <c r="E261" s="20" t="n">
        <v>2024</v>
      </c>
      <c r="F261" s="20" t="inlineStr"/>
      <c r="G261" t="inlineStr">
        <is>
          <t>Katarzyna Karapuda</t>
        </is>
      </c>
      <c r="H261" t="inlineStr">
        <is>
          <t>Associate Director of Investments</t>
        </is>
      </c>
      <c r="I261" t="inlineStr">
        <is>
          <t>Director of Investments</t>
        </is>
      </c>
      <c r="J261" s="21" t="n">
        <v>205061</v>
      </c>
      <c r="K261" s="21" t="n">
        <v>53398</v>
      </c>
      <c r="L261" s="21" t="n">
        <v>258459</v>
      </c>
      <c r="M261" s="21" t="n">
        <v>173</v>
      </c>
      <c r="N261" s="21" t="n">
        <v>20677</v>
      </c>
      <c r="O261" s="21" t="n">
        <v>817</v>
      </c>
      <c r="P261" s="21" t="n">
        <v>280126</v>
      </c>
      <c r="Q261" s="21" t="n">
        <v>280126</v>
      </c>
      <c r="R261" s="21">
        <f>IF(Q261="","",Q261*(1+in_GrowthRate)^(YEARFRAC(DATE(2024,6,30),in_AgeToDate)*IF(in_AgeToDate&lt;DATE(2024,6,30),-1,1)+1))</f>
        <v/>
      </c>
      <c r="S261" s="38" t="n">
        <v>0.2604005637346936</v>
      </c>
      <c r="T261" s="43">
        <f>HYPERLINK("https://projects.propublica.org/nonprofits/organizations/340714363/202540979349300224/full","view filing")</f>
        <v/>
      </c>
    </row>
    <row r="262">
      <c r="A262" t="inlineStr">
        <is>
          <t>Oberlin College</t>
        </is>
      </c>
      <c r="B262" s="20" t="inlineStr">
        <is>
          <t>OH</t>
        </is>
      </c>
      <c r="C262" s="42" t="n">
        <v>1.48</v>
      </c>
      <c r="D262" t="inlineStr">
        <is>
          <t>Endowment</t>
        </is>
      </c>
      <c r="E262" s="20" t="n">
        <v>2023</v>
      </c>
      <c r="F262" s="20" t="inlineStr"/>
      <c r="G262" t="inlineStr">
        <is>
          <t>Katarzyna Karapuda</t>
        </is>
      </c>
      <c r="H262" t="inlineStr">
        <is>
          <t>Associate Director of Investments</t>
        </is>
      </c>
      <c r="I262" t="inlineStr">
        <is>
          <t>Director of Investments</t>
        </is>
      </c>
      <c r="J262" s="21" t="n">
        <v>206555</v>
      </c>
      <c r="K262" s="21" t="n"/>
      <c r="L262" s="21" t="n">
        <v>206555</v>
      </c>
      <c r="M262" s="21" t="n">
        <v>142</v>
      </c>
      <c r="N262" s="21" t="n">
        <v>16524</v>
      </c>
      <c r="O262" s="21" t="n">
        <v>709</v>
      </c>
      <c r="P262" s="21" t="n">
        <v>223930</v>
      </c>
      <c r="Q262" s="21" t="n">
        <v>223930</v>
      </c>
      <c r="R262" s="21">
        <f>IF(Q262="","",Q262*(1+in_GrowthRate)^(YEARFRAC(DATE(2023,6,30),in_AgeToDate)*IF(in_AgeToDate&lt;DATE(2023,6,30),-1,1)+1))</f>
        <v/>
      </c>
      <c r="S262" s="38" t="n">
        <v>0</v>
      </c>
      <c r="T262" s="43">
        <f>HYPERLINK("https://projects.propublica.org/nonprofits/organizations/340714363/202441369349312414/full","view filing")</f>
        <v/>
      </c>
    </row>
    <row r="263">
      <c r="A263" t="inlineStr">
        <is>
          <t>Pepperdine University</t>
        </is>
      </c>
      <c r="B263" s="20" t="inlineStr">
        <is>
          <t>CA</t>
        </is>
      </c>
      <c r="C263" s="42" t="n">
        <v>1.29</v>
      </c>
      <c r="D263" t="inlineStr">
        <is>
          <t>Endowment</t>
        </is>
      </c>
      <c r="E263" s="20" t="n">
        <v>2025</v>
      </c>
      <c r="F263" s="20">
        <f>IF(AND(OR(in_Mode="All Funds",AND(C263&gt;=in_BandFloor,C263&lt;=in_BandCeiling,OR(in_Geography="National",COUNTIFS(lst_GeoPreset,in_Geography,lst_GeoState,B263)&gt;0,AND(in_Geography="Custom",ISNUMBER(SEARCH(B263,SUBSTITUTE(in_CustomStates," ",""))))),OR(AND(D263="Endowment",Inputs!$B$14="Y"),AND(D263="Foundation",Inputs!$B$15="Y"),AND(D263="Healthcare",Inputs!$B$16="Y"),AND(D263="Pension",Inputs!$B$17="Y"),AND(D263="OCIO",Inputs!$B$18="Y"),AND(D263="Other",Inputs!$B$19="Y")))),A263&lt;&gt;in_ClientOrg,NOT(AND(in_ExclHarvard="Y",ISNUMBER(SEARCH("Harvard",A263))))),"Y","")</f>
        <v/>
      </c>
      <c r="G263" t="inlineStr">
        <is>
          <t>Faye Holton</t>
        </is>
      </c>
      <c r="H263" t="inlineStr">
        <is>
          <t>DIRECTOR OF INVESTMENTS</t>
        </is>
      </c>
      <c r="I263" t="inlineStr">
        <is>
          <t>Director of Investments</t>
        </is>
      </c>
      <c r="J263" s="21" t="n">
        <v>244969</v>
      </c>
      <c r="K263" s="21" t="n"/>
      <c r="L263" s="21" t="n">
        <v>244969</v>
      </c>
      <c r="M263" s="21" t="n">
        <v>3556</v>
      </c>
      <c r="N263" s="21" t="n">
        <v>25239</v>
      </c>
      <c r="O263" s="21" t="n">
        <v>19466</v>
      </c>
      <c r="P263" s="21" t="n">
        <v>293230</v>
      </c>
      <c r="Q263" s="21" t="n">
        <v>293230</v>
      </c>
      <c r="R263" s="21">
        <f>IF(Q263="","",Q263*(1+in_GrowthRate)^(YEARFRAC(DATE(2025,7,31),in_AgeToDate)*IF(in_AgeToDate&lt;DATE(2025,7,31),-1,1)+1))</f>
        <v/>
      </c>
      <c r="S263" s="38" t="n">
        <v>0</v>
      </c>
      <c r="T263" s="43">
        <f>HYPERLINK("https://projects.propublica.org/nonprofits/organizations/951644037/202611539349301221/full","view filing")</f>
        <v/>
      </c>
    </row>
    <row r="264">
      <c r="A264" t="inlineStr">
        <is>
          <t>Pepperdine University</t>
        </is>
      </c>
      <c r="B264" s="20" t="inlineStr">
        <is>
          <t>CA</t>
        </is>
      </c>
      <c r="C264" s="42" t="n">
        <v>1.29</v>
      </c>
      <c r="D264" t="inlineStr">
        <is>
          <t>Endowment</t>
        </is>
      </c>
      <c r="E264" s="20" t="n">
        <v>2025</v>
      </c>
      <c r="F264" s="20">
        <f>IF(AND(OR(in_Mode="All Funds",AND(C264&gt;=in_BandFloor,C264&lt;=in_BandCeiling,OR(in_Geography="National",COUNTIFS(lst_GeoPreset,in_Geography,lst_GeoState,B264)&gt;0,AND(in_Geography="Custom",ISNUMBER(SEARCH(B264,SUBSTITUTE(in_CustomStates," ",""))))),OR(AND(D264="Endowment",Inputs!$B$14="Y"),AND(D264="Foundation",Inputs!$B$15="Y"),AND(D264="Healthcare",Inputs!$B$16="Y"),AND(D264="Pension",Inputs!$B$17="Y"),AND(D264="OCIO",Inputs!$B$18="Y"),AND(D264="Other",Inputs!$B$19="Y")))),A264&lt;&gt;in_ClientOrg,NOT(AND(in_ExclHarvard="Y",ISNUMBER(SEARCH("Harvard",A264))))),"Y","")</f>
        <v/>
      </c>
      <c r="G264" t="inlineStr">
        <is>
          <t>Michael Nicks</t>
        </is>
      </c>
      <c r="H264" t="inlineStr">
        <is>
          <t>DIRECTOR OF INVESTMENTS</t>
        </is>
      </c>
      <c r="I264" t="inlineStr">
        <is>
          <t>Director of Investments</t>
        </is>
      </c>
      <c r="J264" s="21" t="n">
        <v>247715</v>
      </c>
      <c r="K264" s="21" t="n"/>
      <c r="L264" s="21" t="n">
        <v>247715</v>
      </c>
      <c r="M264" s="21" t="n">
        <v>2436</v>
      </c>
      <c r="N264" s="21" t="n">
        <v>26402</v>
      </c>
      <c r="O264" s="21" t="n">
        <v>49187</v>
      </c>
      <c r="P264" s="21" t="n">
        <v>325740</v>
      </c>
      <c r="Q264" s="21" t="n">
        <v>325740</v>
      </c>
      <c r="R264" s="21">
        <f>IF(Q264="","",Q264*(1+in_GrowthRate)^(YEARFRAC(DATE(2025,7,31),in_AgeToDate)*IF(in_AgeToDate&lt;DATE(2025,7,31),-1,1)+1))</f>
        <v/>
      </c>
      <c r="S264" s="38" t="n">
        <v>0</v>
      </c>
      <c r="T264" s="43">
        <f>HYPERLINK("https://projects.propublica.org/nonprofits/organizations/951644037/202611539349301221/full","view filing")</f>
        <v/>
      </c>
    </row>
    <row r="265">
      <c r="A265" t="inlineStr">
        <is>
          <t>Pepperdine University</t>
        </is>
      </c>
      <c r="B265" s="20" t="inlineStr">
        <is>
          <t>CA</t>
        </is>
      </c>
      <c r="C265" s="42" t="n">
        <v>1.29</v>
      </c>
      <c r="D265" t="inlineStr">
        <is>
          <t>Endowment</t>
        </is>
      </c>
      <c r="E265" s="20" t="n">
        <v>2024</v>
      </c>
      <c r="F265" s="20" t="inlineStr"/>
      <c r="G265" t="inlineStr">
        <is>
          <t>Faye Holton</t>
        </is>
      </c>
      <c r="H265" t="inlineStr">
        <is>
          <t>DIRECTOR OF INVESTMENTS</t>
        </is>
      </c>
      <c r="I265" t="inlineStr">
        <is>
          <t>Director of Investments</t>
        </is>
      </c>
      <c r="J265" s="21" t="n">
        <v>237315</v>
      </c>
      <c r="K265" s="21" t="n">
        <v>8000</v>
      </c>
      <c r="L265" s="21" t="n">
        <v>245315</v>
      </c>
      <c r="M265" s="21" t="n">
        <v>3406</v>
      </c>
      <c r="N265" s="21" t="n">
        <v>24374</v>
      </c>
      <c r="O265" s="21" t="n">
        <v>19946</v>
      </c>
      <c r="P265" s="21" t="n">
        <v>293041</v>
      </c>
      <c r="Q265" s="21" t="n">
        <v>293041</v>
      </c>
      <c r="R265" s="21">
        <f>IF(Q265="","",Q265*(1+in_GrowthRate)^(YEARFRAC(DATE(2024,7,31),in_AgeToDate)*IF(in_AgeToDate&lt;DATE(2024,7,31),-1,1)+1))</f>
        <v/>
      </c>
      <c r="S265" s="38" t="n">
        <v>0.03371046920759328</v>
      </c>
      <c r="T265" s="43">
        <f>HYPERLINK("https://projects.propublica.org/nonprofits/organizations/951644037/202501569349301705/full","view filing")</f>
        <v/>
      </c>
    </row>
    <row r="266">
      <c r="A266" t="inlineStr">
        <is>
          <t>Pepperdine University</t>
        </is>
      </c>
      <c r="B266" s="20" t="inlineStr">
        <is>
          <t>CA</t>
        </is>
      </c>
      <c r="C266" s="42" t="n">
        <v>1.29</v>
      </c>
      <c r="D266" t="inlineStr">
        <is>
          <t>Endowment</t>
        </is>
      </c>
      <c r="E266" s="20" t="n">
        <v>2024</v>
      </c>
      <c r="F266" s="20" t="inlineStr"/>
      <c r="G266" t="inlineStr">
        <is>
          <t>Michael Nicks</t>
        </is>
      </c>
      <c r="H266" t="inlineStr">
        <is>
          <t>DIRECTOR OF INVESTMENTS</t>
        </is>
      </c>
      <c r="I266" t="inlineStr">
        <is>
          <t>Director of Investments</t>
        </is>
      </c>
      <c r="J266" s="21" t="n">
        <v>238857</v>
      </c>
      <c r="K266" s="21" t="n">
        <v>8000</v>
      </c>
      <c r="L266" s="21" t="n">
        <v>246857</v>
      </c>
      <c r="M266" s="21" t="n">
        <v>2307</v>
      </c>
      <c r="N266" s="21" t="n">
        <v>25358</v>
      </c>
      <c r="O266" s="21" t="n">
        <v>51778</v>
      </c>
      <c r="P266" s="21" t="n">
        <v>326300</v>
      </c>
      <c r="Q266" s="21" t="n">
        <v>326300</v>
      </c>
      <c r="R266" s="21">
        <f>IF(Q266="","",Q266*(1+in_GrowthRate)^(YEARFRAC(DATE(2024,7,31),in_AgeToDate)*IF(in_AgeToDate&lt;DATE(2024,7,31),-1,1)+1))</f>
        <v/>
      </c>
      <c r="S266" s="38" t="n">
        <v>0.03349284299811184</v>
      </c>
      <c r="T266" s="43">
        <f>HYPERLINK("https://projects.propublica.org/nonprofits/organizations/951644037/202501569349301705/full","view filing")</f>
        <v/>
      </c>
    </row>
    <row r="267">
      <c r="A267" t="inlineStr">
        <is>
          <t>Pepperdine University</t>
        </is>
      </c>
      <c r="B267" s="20" t="inlineStr">
        <is>
          <t>CA</t>
        </is>
      </c>
      <c r="C267" s="42" t="n">
        <v>1.29</v>
      </c>
      <c r="D267" t="inlineStr">
        <is>
          <t>Endowment</t>
        </is>
      </c>
      <c r="E267" s="20" t="n">
        <v>2023</v>
      </c>
      <c r="F267" s="20" t="inlineStr"/>
      <c r="G267" t="inlineStr">
        <is>
          <t>Faye Holton</t>
        </is>
      </c>
      <c r="H267" t="inlineStr">
        <is>
          <t>DIRECTOR OF INVESTMENTS</t>
        </is>
      </c>
      <c r="I267" t="inlineStr">
        <is>
          <t>Director of Investments</t>
        </is>
      </c>
      <c r="J267" s="21" t="n">
        <v>227729</v>
      </c>
      <c r="K267" s="21" t="n">
        <v>8000</v>
      </c>
      <c r="L267" s="21" t="n">
        <v>235729</v>
      </c>
      <c r="M267" s="21" t="n">
        <v>2827</v>
      </c>
      <c r="N267" s="21" t="n">
        <v>23264</v>
      </c>
      <c r="O267" s="21" t="n">
        <v>18620</v>
      </c>
      <c r="P267" s="21" t="n">
        <v>280440</v>
      </c>
      <c r="Q267" s="21" t="n">
        <v>280440</v>
      </c>
      <c r="R267" s="21">
        <f>IF(Q267="","",Q267*(1+in_GrowthRate)^(YEARFRAC(DATE(2023,7,31),in_AgeToDate)*IF(in_AgeToDate&lt;DATE(2023,7,31),-1,1)+1))</f>
        <v/>
      </c>
      <c r="S267" s="38" t="n">
        <v>0.03512947406786136</v>
      </c>
      <c r="T267" s="43">
        <f>HYPERLINK("https://projects.propublica.org/nonprofits/organizations/951644037/202441669349300249/full","view filing")</f>
        <v/>
      </c>
    </row>
    <row r="268">
      <c r="A268" t="inlineStr">
        <is>
          <t>Pepperdine University</t>
        </is>
      </c>
      <c r="B268" s="20" t="inlineStr">
        <is>
          <t>CA</t>
        </is>
      </c>
      <c r="C268" s="42" t="n">
        <v>1.29</v>
      </c>
      <c r="D268" t="inlineStr">
        <is>
          <t>Endowment</t>
        </is>
      </c>
      <c r="E268" s="20" t="n">
        <v>2023</v>
      </c>
      <c r="F268" s="20" t="inlineStr"/>
      <c r="G268" t="inlineStr">
        <is>
          <t>Michael Nicks</t>
        </is>
      </c>
      <c r="H268" t="inlineStr">
        <is>
          <t>DIRECTOR OF INVESTMENTS</t>
        </is>
      </c>
      <c r="I268" t="inlineStr">
        <is>
          <t>Director of Investments</t>
        </is>
      </c>
      <c r="J268" s="21" t="n">
        <v>228229</v>
      </c>
      <c r="K268" s="21" t="n">
        <v>8000</v>
      </c>
      <c r="L268" s="21" t="n">
        <v>236229</v>
      </c>
      <c r="M268" s="21" t="n">
        <v>1648</v>
      </c>
      <c r="N268" s="21" t="n">
        <v>24142</v>
      </c>
      <c r="O268" s="21" t="n">
        <v>50213</v>
      </c>
      <c r="P268" s="21" t="n">
        <v>312232</v>
      </c>
      <c r="Q268" s="21" t="n">
        <v>312232</v>
      </c>
      <c r="R268" s="21">
        <f>IF(Q268="","",Q268*(1+in_GrowthRate)^(YEARFRAC(DATE(2023,7,31),in_AgeToDate)*IF(in_AgeToDate&lt;DATE(2023,7,31),-1,1)+1))</f>
        <v/>
      </c>
      <c r="S268" s="38" t="n">
        <v>0.0350525130461072</v>
      </c>
      <c r="T268" s="43">
        <f>HYPERLINK("https://projects.propublica.org/nonprofits/organizations/951644037/202441669349300249/full","view filing")</f>
        <v/>
      </c>
    </row>
    <row r="269">
      <c r="A269" t="inlineStr">
        <is>
          <t>Pepperdine University</t>
        </is>
      </c>
      <c r="B269" s="20" t="inlineStr">
        <is>
          <t>CA</t>
        </is>
      </c>
      <c r="C269" s="42" t="n">
        <v>1.29</v>
      </c>
      <c r="D269" t="inlineStr">
        <is>
          <t>Endowment</t>
        </is>
      </c>
      <c r="E269" s="20" t="n">
        <v>2022</v>
      </c>
      <c r="F269" s="20" t="inlineStr"/>
      <c r="G269" t="inlineStr">
        <is>
          <t>Faye Holton</t>
        </is>
      </c>
      <c r="H269" t="inlineStr">
        <is>
          <t>DIRECTOR OF INVESTMENTS</t>
        </is>
      </c>
      <c r="I269" t="inlineStr">
        <is>
          <t>Director of Investments</t>
        </is>
      </c>
      <c r="J269" s="21" t="n">
        <v>197325</v>
      </c>
      <c r="K269" s="21" t="n">
        <v>750</v>
      </c>
      <c r="L269" s="21" t="n">
        <v>198075</v>
      </c>
      <c r="M269" s="21" t="n">
        <v>1842</v>
      </c>
      <c r="N269" s="21" t="n">
        <v>13207</v>
      </c>
      <c r="O269" s="21" t="n">
        <v>20598</v>
      </c>
      <c r="P269" s="21" t="n">
        <v>233722</v>
      </c>
      <c r="Q269" s="21" t="n">
        <v>233722</v>
      </c>
      <c r="R269" s="21">
        <f>IF(Q269="","",Q269*(1+in_GrowthRate)^(YEARFRAC(DATE(2022,7,31),in_AgeToDate)*IF(in_AgeToDate&lt;DATE(2022,7,31),-1,1)+1))</f>
        <v/>
      </c>
      <c r="S269" s="38" t="n">
        <v>0.003800836183960471</v>
      </c>
      <c r="T269" s="43">
        <f>HYPERLINK("https://projects.propublica.org/nonprofits/organizations/951644037/202321649349301852/full","view filing")</f>
        <v/>
      </c>
    </row>
    <row r="270">
      <c r="A270" t="inlineStr">
        <is>
          <t>Pepperdine University</t>
        </is>
      </c>
      <c r="B270" s="20" t="inlineStr">
        <is>
          <t>CA</t>
        </is>
      </c>
      <c r="C270" s="42" t="n">
        <v>1.29</v>
      </c>
      <c r="D270" t="inlineStr">
        <is>
          <t>Endowment</t>
        </is>
      </c>
      <c r="E270" s="20" t="n">
        <v>2022</v>
      </c>
      <c r="F270" s="20" t="inlineStr"/>
      <c r="G270" t="inlineStr">
        <is>
          <t>Michael Nicks</t>
        </is>
      </c>
      <c r="H270" t="inlineStr">
        <is>
          <t>DIRECTOR OF INVESTMENTS</t>
        </is>
      </c>
      <c r="I270" t="inlineStr">
        <is>
          <t>Director of Investments</t>
        </is>
      </c>
      <c r="J270" s="21" t="n">
        <v>185583</v>
      </c>
      <c r="K270" s="21" t="n">
        <v>750</v>
      </c>
      <c r="L270" s="21" t="n">
        <v>186333</v>
      </c>
      <c r="M270" s="21" t="n">
        <v>1496</v>
      </c>
      <c r="N270" s="21" t="n">
        <v>13322</v>
      </c>
      <c r="O270" s="21" t="n">
        <v>53239</v>
      </c>
      <c r="P270" s="21" t="n">
        <v>254390</v>
      </c>
      <c r="Q270" s="21" t="n">
        <v>254390</v>
      </c>
      <c r="R270" s="21">
        <f>IF(Q270="","",Q270*(1+in_GrowthRate)^(YEARFRAC(DATE(2022,7,31),in_AgeToDate)*IF(in_AgeToDate&lt;DATE(2022,7,31),-1,1)+1))</f>
        <v/>
      </c>
      <c r="S270" s="38" t="n">
        <v>0.004041318439727777</v>
      </c>
      <c r="T270" s="43">
        <f>HYPERLINK("https://projects.propublica.org/nonprofits/organizations/951644037/202321649349301852/full","view filing")</f>
        <v/>
      </c>
    </row>
    <row r="271">
      <c r="A271" t="inlineStr">
        <is>
          <t>Pomona College</t>
        </is>
      </c>
      <c r="B271" s="20" t="inlineStr">
        <is>
          <t>CA</t>
        </is>
      </c>
      <c r="C271" s="42" t="n">
        <v>3.22</v>
      </c>
      <c r="D271" t="inlineStr">
        <is>
          <t>Endowment</t>
        </is>
      </c>
      <c r="E271" s="20" t="n">
        <v>2025</v>
      </c>
      <c r="F271" s="20">
        <f>IF(AND(OR(in_Mode="All Funds",AND(C271&gt;=in_BandFloor,C271&lt;=in_BandCeiling,OR(in_Geography="National",COUNTIFS(lst_GeoPreset,in_Geography,lst_GeoState,B271)&gt;0,AND(in_Geography="Custom",ISNUMBER(SEARCH(B271,SUBSTITUTE(in_CustomStates," ",""))))),OR(AND(D271="Endowment",Inputs!$B$14="Y"),AND(D271="Foundation",Inputs!$B$15="Y"),AND(D271="Healthcare",Inputs!$B$16="Y"),AND(D271="Pension",Inputs!$B$17="Y"),AND(D271="OCIO",Inputs!$B$18="Y"),AND(D271="Other",Inputs!$B$19="Y")))),A271&lt;&gt;in_ClientOrg,NOT(AND(in_ExclHarvard="Y",ISNUMBER(SEARCH("Harvard",A271))))),"Y","")</f>
        <v/>
      </c>
      <c r="G271" t="inlineStr">
        <is>
          <t>Joshua Ross</t>
        </is>
      </c>
      <c r="H271" t="inlineStr">
        <is>
          <t>DIR OF INVESTMENTS</t>
        </is>
      </c>
      <c r="I271" t="inlineStr">
        <is>
          <t>Director of Investments</t>
        </is>
      </c>
      <c r="J271" s="21" t="n">
        <v>301795</v>
      </c>
      <c r="K271" s="21" t="n">
        <v>98162</v>
      </c>
      <c r="L271" s="21" t="n">
        <v>399957</v>
      </c>
      <c r="M271" s="21" t="n">
        <v>46000</v>
      </c>
      <c r="N271" s="21" t="n">
        <v>38028</v>
      </c>
      <c r="O271" s="21" t="n">
        <v>36725</v>
      </c>
      <c r="P271" s="21" t="n">
        <v>520710</v>
      </c>
      <c r="Q271" s="21" t="n">
        <v>520710</v>
      </c>
      <c r="R271" s="21">
        <f>IF(Q271="","",Q271*(1+in_GrowthRate)^(YEARFRAC(DATE(2025,6,30),in_AgeToDate)*IF(in_AgeToDate&lt;DATE(2025,6,30),-1,1)+1))</f>
        <v/>
      </c>
      <c r="S271" s="38" t="n">
        <v>0.3252605245282394</v>
      </c>
      <c r="T271" s="43">
        <f>HYPERLINK("https://projects.propublica.org/nonprofits/organizations/951664112/202621329349306532/full","view filing")</f>
        <v/>
      </c>
    </row>
    <row r="272">
      <c r="A272" t="inlineStr">
        <is>
          <t>Pomona College</t>
        </is>
      </c>
      <c r="B272" s="20" t="inlineStr">
        <is>
          <t>CA</t>
        </is>
      </c>
      <c r="C272" s="42" t="n">
        <v>3.22</v>
      </c>
      <c r="D272" t="inlineStr">
        <is>
          <t>Endowment</t>
        </is>
      </c>
      <c r="E272" s="20" t="n">
        <v>2024</v>
      </c>
      <c r="F272" s="20" t="inlineStr"/>
      <c r="G272" t="inlineStr">
        <is>
          <t>Emily Webb</t>
        </is>
      </c>
      <c r="H272" t="inlineStr">
        <is>
          <t>DIR. OF INVESTMENTS</t>
        </is>
      </c>
      <c r="I272" t="inlineStr">
        <is>
          <t>Director of Investments</t>
        </is>
      </c>
      <c r="J272" s="21" t="n">
        <v>260641</v>
      </c>
      <c r="K272" s="21" t="n">
        <v>72075</v>
      </c>
      <c r="L272" s="21" t="n">
        <v>332716</v>
      </c>
      <c r="M272" s="21" t="n"/>
      <c r="N272" s="21" t="n">
        <v>28020</v>
      </c>
      <c r="O272" s="21" t="n">
        <v>14515</v>
      </c>
      <c r="P272" s="21" t="n">
        <v>375251</v>
      </c>
      <c r="Q272" s="21" t="n">
        <v>375251</v>
      </c>
      <c r="R272" s="21">
        <f>IF(Q272="","",Q272*(1+in_GrowthRate)^(YEARFRAC(DATE(2024,6,30),in_AgeToDate)*IF(in_AgeToDate&lt;DATE(2024,6,30),-1,1)+1))</f>
        <v/>
      </c>
      <c r="S272" s="38" t="n">
        <v>0.2765297861809922</v>
      </c>
      <c r="T272" s="43">
        <f>HYPERLINK("https://projects.propublica.org/nonprofits/organizations/951664112/202521349349307757/full","view filing")</f>
        <v/>
      </c>
    </row>
    <row r="273">
      <c r="A273" t="inlineStr">
        <is>
          <t>Pomona College</t>
        </is>
      </c>
      <c r="B273" s="20" t="inlineStr">
        <is>
          <t>CA</t>
        </is>
      </c>
      <c r="C273" s="42" t="n">
        <v>3.22</v>
      </c>
      <c r="D273" t="inlineStr">
        <is>
          <t>Endowment</t>
        </is>
      </c>
      <c r="E273" s="20" t="n">
        <v>2024</v>
      </c>
      <c r="F273" s="20" t="inlineStr"/>
      <c r="G273" t="inlineStr">
        <is>
          <t>Joshua Ross</t>
        </is>
      </c>
      <c r="H273" t="inlineStr">
        <is>
          <t>DIR. OF INVESTMENTS</t>
        </is>
      </c>
      <c r="I273" t="inlineStr">
        <is>
          <t>Director of Investments</t>
        </is>
      </c>
      <c r="J273" s="21" t="n">
        <v>260979</v>
      </c>
      <c r="K273" s="21" t="n">
        <v>83700</v>
      </c>
      <c r="L273" s="21" t="n">
        <v>344679</v>
      </c>
      <c r="M273" s="21" t="n">
        <v>45000</v>
      </c>
      <c r="N273" s="21" t="n">
        <v>34850</v>
      </c>
      <c r="O273" s="21" t="n">
        <v>36250</v>
      </c>
      <c r="P273" s="21" t="n">
        <v>460779</v>
      </c>
      <c r="Q273" s="21" t="n">
        <v>460779</v>
      </c>
      <c r="R273" s="21">
        <f>IF(Q273="","",Q273*(1+in_GrowthRate)^(YEARFRAC(DATE(2024,6,30),in_AgeToDate)*IF(in_AgeToDate&lt;DATE(2024,6,30),-1,1)+1))</f>
        <v/>
      </c>
      <c r="S273" s="38" t="n">
        <v>0.3207154598645868</v>
      </c>
      <c r="T273" s="43">
        <f>HYPERLINK("https://projects.propublica.org/nonprofits/organizations/951664112/202521349349307757/full","view filing")</f>
        <v/>
      </c>
    </row>
    <row r="274">
      <c r="A274" t="inlineStr">
        <is>
          <t>President &amp; Trustees Of Colby College</t>
        </is>
      </c>
      <c r="B274" s="20" t="inlineStr">
        <is>
          <t>ME</t>
        </is>
      </c>
      <c r="C274" s="42" t="n">
        <v>1.16</v>
      </c>
      <c r="D274" t="inlineStr">
        <is>
          <t>Endowment</t>
        </is>
      </c>
      <c r="E274" s="20" t="n">
        <v>2022</v>
      </c>
      <c r="F274" s="20" t="inlineStr"/>
      <c r="G274" t="inlineStr">
        <is>
          <t>Sibunruang Harris</t>
        </is>
      </c>
      <c r="H274" t="inlineStr">
        <is>
          <t>Director Investments</t>
        </is>
      </c>
      <c r="I274" t="inlineStr">
        <is>
          <t>Director of Investments</t>
        </is>
      </c>
      <c r="J274" s="21" t="n">
        <v>176760</v>
      </c>
      <c r="K274" s="21" t="n">
        <v>38390</v>
      </c>
      <c r="L274" s="21" t="n">
        <v>215150</v>
      </c>
      <c r="M274" s="21" t="n">
        <v>50000</v>
      </c>
      <c r="N274" s="21" t="n">
        <v>20978</v>
      </c>
      <c r="O274" s="21" t="n">
        <v>26709</v>
      </c>
      <c r="P274" s="21" t="n">
        <v>312837</v>
      </c>
      <c r="Q274" s="21" t="n">
        <v>312837</v>
      </c>
      <c r="R274" s="21">
        <f>IF(Q274="","",Q274*(1+in_GrowthRate)^(YEARFRAC(DATE(2022,6,30),in_AgeToDate)*IF(in_AgeToDate&lt;DATE(2022,6,30),-1,1)+1))</f>
        <v/>
      </c>
      <c r="S274" s="38" t="n">
        <v>0.2171871464132157</v>
      </c>
      <c r="T274" s="43">
        <f>HYPERLINK("https://projects.propublica.org/nonprofits/organizations/10211497/202301359349310385/full","view filing")</f>
        <v/>
      </c>
    </row>
    <row r="275">
      <c r="A275" t="inlineStr">
        <is>
          <t>Purdue Research Foundation</t>
        </is>
      </c>
      <c r="B275" s="20" t="inlineStr">
        <is>
          <t>IN</t>
        </is>
      </c>
      <c r="C275" s="42" t="n">
        <v>4.67</v>
      </c>
      <c r="D275" t="inlineStr">
        <is>
          <t>Foundation</t>
        </is>
      </c>
      <c r="E275" s="20" t="n">
        <v>2024</v>
      </c>
      <c r="F275" s="20" t="inlineStr"/>
      <c r="G275" t="inlineStr">
        <is>
          <t>Blair Webb</t>
        </is>
      </c>
      <c r="H275" t="inlineStr">
        <is>
          <t>Director of Investments</t>
        </is>
      </c>
      <c r="I275" t="inlineStr">
        <is>
          <t>Director of Investments</t>
        </is>
      </c>
      <c r="J275" s="21" t="n">
        <v>248664</v>
      </c>
      <c r="K275" s="21" t="n">
        <v>61417</v>
      </c>
      <c r="L275" s="21" t="n">
        <v>310081</v>
      </c>
      <c r="M275" s="21" t="n">
        <v>326</v>
      </c>
      <c r="N275" s="21" t="n">
        <v>25962</v>
      </c>
      <c r="O275" s="21" t="n">
        <v>21719</v>
      </c>
      <c r="P275" s="21" t="n">
        <v>358088</v>
      </c>
      <c r="Q275" s="21" t="n">
        <v>358088</v>
      </c>
      <c r="R275" s="21">
        <f>IF(Q275="","",Q275*(1+in_GrowthRate)^(YEARFRAC(DATE(2024,6,30),in_AgeToDate)*IF(in_AgeToDate&lt;DATE(2024,6,30),-1,1)+1))</f>
        <v/>
      </c>
      <c r="S275" s="38" t="n">
        <v>0.246987903355532</v>
      </c>
      <c r="T275" s="43">
        <f>HYPERLINK("https://projects.propublica.org/nonprofits/organizations/351052049/202541329349304169/full","view filing")</f>
        <v/>
      </c>
    </row>
    <row r="276">
      <c r="A276" t="inlineStr">
        <is>
          <t>Purdue Research Foundation</t>
        </is>
      </c>
      <c r="B276" s="20" t="inlineStr">
        <is>
          <t>IN</t>
        </is>
      </c>
      <c r="C276" s="42" t="n">
        <v>4.67</v>
      </c>
      <c r="D276" t="inlineStr">
        <is>
          <t>Foundation</t>
        </is>
      </c>
      <c r="E276" s="20" t="n">
        <v>2023</v>
      </c>
      <c r="F276" s="20" t="inlineStr"/>
      <c r="G276" t="inlineStr">
        <is>
          <t>Blair Webb</t>
        </is>
      </c>
      <c r="H276" t="inlineStr">
        <is>
          <t>Director of Investments</t>
        </is>
      </c>
      <c r="I276" t="inlineStr">
        <is>
          <t>Director of Investments</t>
        </is>
      </c>
      <c r="J276" s="21" t="n">
        <v>240419</v>
      </c>
      <c r="K276" s="21" t="n">
        <v>86205</v>
      </c>
      <c r="L276" s="21" t="n">
        <v>326624</v>
      </c>
      <c r="M276" s="21" t="n">
        <v>312</v>
      </c>
      <c r="N276" s="21" t="n">
        <v>25000</v>
      </c>
      <c r="O276" s="21" t="n">
        <v>22453</v>
      </c>
      <c r="P276" s="21" t="n">
        <v>374389</v>
      </c>
      <c r="Q276" s="21" t="n">
        <v>374389</v>
      </c>
      <c r="R276" s="21">
        <f>IF(Q276="","",Q276*(1+in_GrowthRate)^(YEARFRAC(DATE(2023,6,30),in_AgeToDate)*IF(in_AgeToDate&lt;DATE(2023,6,30),-1,1)+1))</f>
        <v/>
      </c>
      <c r="S276" s="38" t="n">
        <v>0.3585615113614148</v>
      </c>
      <c r="T276" s="43">
        <f>HYPERLINK("https://projects.propublica.org/nonprofits/organizations/351052049/202401239349301830/full","view filing")</f>
        <v/>
      </c>
    </row>
    <row r="277">
      <c r="A277" t="inlineStr">
        <is>
          <t>Purdue Research Foundation</t>
        </is>
      </c>
      <c r="B277" s="20" t="inlineStr">
        <is>
          <t>IN</t>
        </is>
      </c>
      <c r="C277" s="42" t="n">
        <v>4.67</v>
      </c>
      <c r="D277" t="inlineStr">
        <is>
          <t>Foundation</t>
        </is>
      </c>
      <c r="E277" s="20" t="n">
        <v>2022</v>
      </c>
      <c r="F277" s="20" t="inlineStr"/>
      <c r="G277" t="inlineStr">
        <is>
          <t>Sanjay Patel</t>
        </is>
      </c>
      <c r="H277" t="inlineStr">
        <is>
          <t>Director of Investments</t>
        </is>
      </c>
      <c r="I277" t="inlineStr">
        <is>
          <t>Director of Investments</t>
        </is>
      </c>
      <c r="J277" s="21" t="n">
        <v>247242</v>
      </c>
      <c r="K277" s="21" t="n">
        <v>28417</v>
      </c>
      <c r="L277" s="21" t="n">
        <v>275659</v>
      </c>
      <c r="M277" s="21" t="n">
        <v>351</v>
      </c>
      <c r="N277" s="21" t="n">
        <v>25000</v>
      </c>
      <c r="O277" s="21" t="n">
        <v>15488</v>
      </c>
      <c r="P277" s="21" t="n">
        <v>316498</v>
      </c>
      <c r="Q277" s="21" t="n">
        <v>316498</v>
      </c>
      <c r="R277" s="21">
        <f>IF(Q277="","",Q277*(1+in_GrowthRate)^(YEARFRAC(DATE(2022,6,30),in_AgeToDate)*IF(in_AgeToDate&lt;DATE(2022,6,30),-1,1)+1))</f>
        <v/>
      </c>
      <c r="S277" s="38" t="n">
        <v>0.1149359736614329</v>
      </c>
      <c r="T277" s="43">
        <f>HYPERLINK("https://projects.propublica.org/nonprofits/organizations/351052049/202341319349305369/full","view filing")</f>
        <v/>
      </c>
    </row>
    <row r="278">
      <c r="A278" t="inlineStr">
        <is>
          <t>Rainwater Charitable Foundation</t>
        </is>
      </c>
      <c r="B278" s="20" t="inlineStr">
        <is>
          <t>TX</t>
        </is>
      </c>
      <c r="C278" s="42" t="n">
        <v>1.03</v>
      </c>
      <c r="D278" t="inlineStr">
        <is>
          <t>Foundation</t>
        </is>
      </c>
      <c r="E278" s="20" t="n">
        <v>2024</v>
      </c>
      <c r="F278" s="20">
        <f>IF(AND(OR(in_Mode="All Funds",AND(C278&gt;=in_BandFloor,C278&lt;=in_BandCeiling,OR(in_Geography="National",COUNTIFS(lst_GeoPreset,in_Geography,lst_GeoState,B278)&gt;0,AND(in_Geography="Custom",ISNUMBER(SEARCH(B278,SUBSTITUTE(in_CustomStates," ",""))))),OR(AND(D278="Endowment",Inputs!$B$14="Y"),AND(D278="Foundation",Inputs!$B$15="Y"),AND(D278="Healthcare",Inputs!$B$16="Y"),AND(D278="Pension",Inputs!$B$17="Y"),AND(D278="OCIO",Inputs!$B$18="Y"),AND(D278="Other",Inputs!$B$19="Y")))),A278&lt;&gt;in_ClientOrg,NOT(AND(in_ExclHarvard="Y",ISNUMBER(SEARCH("Harvard",A278))))),"Y","")</f>
        <v/>
      </c>
      <c r="G278" t="inlineStr">
        <is>
          <t>Trent Moen</t>
        </is>
      </c>
      <c r="H278" t="inlineStr">
        <is>
          <t>INVESTMENT DIRECTOR</t>
        </is>
      </c>
      <c r="I278" t="inlineStr">
        <is>
          <t>Director of Investments</t>
        </is>
      </c>
      <c r="J278" s="21" t="n"/>
      <c r="K278" s="21" t="n"/>
      <c r="L278" s="21" t="n"/>
      <c r="M278" s="21" t="n"/>
      <c r="N278" s="21" t="n"/>
      <c r="O278" s="21" t="n"/>
      <c r="P278" s="21" t="n">
        <v>234466</v>
      </c>
      <c r="Q278" s="21" t="n">
        <v>234466</v>
      </c>
      <c r="R278" s="21">
        <f>IF(Q278="","",Q278*(1+in_GrowthRate)^(YEARFRAC(DATE(2024,12,31),in_AgeToDate)*IF(in_AgeToDate&lt;DATE(2024,12,31),-1,1)+1))</f>
        <v/>
      </c>
      <c r="S278" s="38" t="n"/>
      <c r="T278" s="43">
        <f>HYPERLINK("https://projects.propublica.org/nonprofits/organizations/800870036/202513179349102861/full","view filing")</f>
        <v/>
      </c>
    </row>
    <row r="279">
      <c r="A279" t="inlineStr">
        <is>
          <t>Red Gates Foundation</t>
        </is>
      </c>
      <c r="B279" s="20" t="inlineStr">
        <is>
          <t>VA</t>
        </is>
      </c>
      <c r="C279" s="42" t="n">
        <v>1.34</v>
      </c>
      <c r="D279" t="inlineStr">
        <is>
          <t>Foundation</t>
        </is>
      </c>
      <c r="E279" s="20" t="n">
        <v>2024</v>
      </c>
      <c r="F279" s="20">
        <f>IF(AND(OR(in_Mode="All Funds",AND(C279&gt;=in_BandFloor,C279&lt;=in_BandCeiling,OR(in_Geography="National",COUNTIFS(lst_GeoPreset,in_Geography,lst_GeoState,B279)&gt;0,AND(in_Geography="Custom",ISNUMBER(SEARCH(B279,SUBSTITUTE(in_CustomStates," ",""))))),OR(AND(D279="Endowment",Inputs!$B$14="Y"),AND(D279="Foundation",Inputs!$B$15="Y"),AND(D279="Healthcare",Inputs!$B$16="Y"),AND(D279="Pension",Inputs!$B$17="Y"),AND(D279="OCIO",Inputs!$B$18="Y"),AND(D279="Other",Inputs!$B$19="Y")))),A279&lt;&gt;in_ClientOrg,NOT(AND(in_ExclHarvard="Y",ISNUMBER(SEARCH("Harvard",A279))))),"Y","")</f>
        <v/>
      </c>
      <c r="G279" t="inlineStr">
        <is>
          <t>Mark Smith</t>
        </is>
      </c>
      <c r="H279" t="inlineStr">
        <is>
          <t>DIRECTOR OF INVESTME</t>
        </is>
      </c>
      <c r="I279" t="inlineStr">
        <is>
          <t>Director of Investments</t>
        </is>
      </c>
      <c r="J279" s="21" t="n"/>
      <c r="K279" s="21" t="n"/>
      <c r="L279" s="21" t="n"/>
      <c r="M279" s="21" t="n"/>
      <c r="N279" s="21" t="n"/>
      <c r="O279" s="21" t="n"/>
      <c r="P279" s="21" t="n">
        <v>390687</v>
      </c>
      <c r="Q279" s="21" t="n">
        <v>390687</v>
      </c>
      <c r="R279" s="21">
        <f>IF(Q279="","",Q279*(1+in_GrowthRate)^(YEARFRAC(DATE(2024,12,31),in_AgeToDate)*IF(in_AgeToDate&lt;DATE(2024,12,31),-1,1)+1))</f>
        <v/>
      </c>
      <c r="S279" s="38" t="n"/>
      <c r="T279" s="43">
        <f>HYPERLINK("https://projects.propublica.org/nonprofits/organizations/301201296/202513179349102486/full","view filing")</f>
        <v/>
      </c>
    </row>
    <row r="280">
      <c r="A280" t="inlineStr">
        <is>
          <t>Red Gates Foundation</t>
        </is>
      </c>
      <c r="B280" s="20" t="inlineStr">
        <is>
          <t>VA</t>
        </is>
      </c>
      <c r="C280" s="42" t="n">
        <v>1.34</v>
      </c>
      <c r="D280" t="inlineStr">
        <is>
          <t>Foundation</t>
        </is>
      </c>
      <c r="E280" s="20" t="n">
        <v>2023</v>
      </c>
      <c r="F280" s="20" t="inlineStr"/>
      <c r="G280" t="inlineStr">
        <is>
          <t>Mark Smith</t>
        </is>
      </c>
      <c r="H280" t="inlineStr">
        <is>
          <t>DIRECTOR OF INVESTME</t>
        </is>
      </c>
      <c r="I280" t="inlineStr">
        <is>
          <t>Director of Investments</t>
        </is>
      </c>
      <c r="J280" s="21" t="n"/>
      <c r="K280" s="21" t="n"/>
      <c r="L280" s="21" t="n"/>
      <c r="M280" s="21" t="n"/>
      <c r="N280" s="21" t="n"/>
      <c r="O280" s="21" t="n"/>
      <c r="P280" s="21" t="n">
        <v>222872</v>
      </c>
      <c r="Q280" s="21" t="n">
        <v>222872</v>
      </c>
      <c r="R280" s="21">
        <f>IF(Q280="","",Q280*(1+in_GrowthRate)^(YEARFRAC(DATE(2023,12,31),in_AgeToDate)*IF(in_AgeToDate&lt;DATE(2023,12,31),-1,1)+1))</f>
        <v/>
      </c>
      <c r="S280" s="38" t="n"/>
      <c r="T280" s="43">
        <f>HYPERLINK("https://projects.propublica.org/nonprofits/organizations/301201296/202443169349101034/full","view filing")</f>
        <v/>
      </c>
    </row>
    <row r="281">
      <c r="A281" t="inlineStr">
        <is>
          <t>Reed Institute</t>
        </is>
      </c>
      <c r="B281" s="20" t="inlineStr">
        <is>
          <t>OR</t>
        </is>
      </c>
      <c r="C281" s="42" t="n">
        <v>0.88</v>
      </c>
      <c r="D281" t="inlineStr">
        <is>
          <t>Endowment</t>
        </is>
      </c>
      <c r="E281" s="20" t="n">
        <v>2025</v>
      </c>
      <c r="F281" s="20">
        <f>IF(AND(OR(in_Mode="All Funds",AND(C281&gt;=in_BandFloor,C281&lt;=in_BandCeiling,OR(in_Geography="National",COUNTIFS(lst_GeoPreset,in_Geography,lst_GeoState,B281)&gt;0,AND(in_Geography="Custom",ISNUMBER(SEARCH(B281,SUBSTITUTE(in_CustomStates," ",""))))),OR(AND(D281="Endowment",Inputs!$B$14="Y"),AND(D281="Foundation",Inputs!$B$15="Y"),AND(D281="Healthcare",Inputs!$B$16="Y"),AND(D281="Pension",Inputs!$B$17="Y"),AND(D281="OCIO",Inputs!$B$18="Y"),AND(D281="Other",Inputs!$B$19="Y")))),A281&lt;&gt;in_ClientOrg,NOT(AND(in_ExclHarvard="Y",ISNUMBER(SEARCH("Harvard",A281))))),"Y","")</f>
        <v/>
      </c>
      <c r="G281" t="inlineStr">
        <is>
          <t>Andrew Lonergan</t>
        </is>
      </c>
      <c r="H281" t="inlineStr">
        <is>
          <t>Director of Investments</t>
        </is>
      </c>
      <c r="I281" t="inlineStr">
        <is>
          <t>Director of Investments</t>
        </is>
      </c>
      <c r="J281" s="21" t="n">
        <v>202925</v>
      </c>
      <c r="K281" s="21" t="n">
        <v>47549</v>
      </c>
      <c r="L281" s="21" t="n">
        <v>250474</v>
      </c>
      <c r="M281" s="21" t="n">
        <v>840</v>
      </c>
      <c r="N281" s="21" t="n">
        <v>20292</v>
      </c>
      <c r="O281" s="21" t="n">
        <v>22273</v>
      </c>
      <c r="P281" s="21" t="n">
        <v>293879</v>
      </c>
      <c r="Q281" s="21" t="n">
        <v>293879</v>
      </c>
      <c r="R281" s="21">
        <f>IF(Q281="","",Q281*(1+in_GrowthRate)^(YEARFRAC(DATE(2025,6,30),in_AgeToDate)*IF(in_AgeToDate&lt;DATE(2025,6,30),-1,1)+1))</f>
        <v/>
      </c>
      <c r="S281" s="38" t="n">
        <v>0.2343180978193914</v>
      </c>
      <c r="T281" s="43">
        <f>HYPERLINK("https://projects.propublica.org/nonprofits/organizations/930386908/202631319349304193/full","view filing")</f>
        <v/>
      </c>
    </row>
    <row r="282">
      <c r="A282" t="inlineStr">
        <is>
          <t>Reed Institute</t>
        </is>
      </c>
      <c r="B282" s="20" t="inlineStr">
        <is>
          <t>OR</t>
        </is>
      </c>
      <c r="C282" s="42" t="n">
        <v>0.88</v>
      </c>
      <c r="D282" t="inlineStr">
        <is>
          <t>Endowment</t>
        </is>
      </c>
      <c r="E282" s="20" t="n">
        <v>2024</v>
      </c>
      <c r="F282" s="20" t="inlineStr"/>
      <c r="G282" t="inlineStr">
        <is>
          <t>Andrew Lonergan</t>
        </is>
      </c>
      <c r="H282" t="inlineStr">
        <is>
          <t>Director of Investments</t>
        </is>
      </c>
      <c r="I282" t="inlineStr">
        <is>
          <t>Director of Investments</t>
        </is>
      </c>
      <c r="J282" s="21" t="n">
        <v>197054</v>
      </c>
      <c r="K282" s="21" t="n">
        <v>33086</v>
      </c>
      <c r="L282" s="21" t="n">
        <v>230140</v>
      </c>
      <c r="M282" s="21" t="n">
        <v>840</v>
      </c>
      <c r="N282" s="21" t="n">
        <v>19705</v>
      </c>
      <c r="O282" s="21" t="n">
        <v>21366</v>
      </c>
      <c r="P282" s="21" t="n">
        <v>272051</v>
      </c>
      <c r="Q282" s="21" t="n">
        <v>272051</v>
      </c>
      <c r="R282" s="21">
        <f>IF(Q282="","",Q282*(1+in_GrowthRate)^(YEARFRAC(DATE(2024,6,30),in_AgeToDate)*IF(in_AgeToDate&lt;DATE(2024,6,30),-1,1)+1))</f>
        <v/>
      </c>
      <c r="S282" s="38" t="n">
        <v>0.1679032143473363</v>
      </c>
      <c r="T282" s="43">
        <f>HYPERLINK("https://projects.propublica.org/nonprofits/organizations/930386908/202531279349301508/full","view filing")</f>
        <v/>
      </c>
    </row>
    <row r="283">
      <c r="A283" t="inlineStr">
        <is>
          <t>Reed Institute</t>
        </is>
      </c>
      <c r="B283" s="20" t="inlineStr">
        <is>
          <t>OR</t>
        </is>
      </c>
      <c r="C283" s="42" t="n">
        <v>0.88</v>
      </c>
      <c r="D283" t="inlineStr">
        <is>
          <t>Endowment</t>
        </is>
      </c>
      <c r="E283" s="20" t="n">
        <v>2023</v>
      </c>
      <c r="F283" s="20" t="inlineStr"/>
      <c r="G283" t="inlineStr">
        <is>
          <t>Andrew Lonergan</t>
        </is>
      </c>
      <c r="H283" t="inlineStr">
        <is>
          <t>Director of Investments</t>
        </is>
      </c>
      <c r="I283" t="inlineStr">
        <is>
          <t>Director of Investments</t>
        </is>
      </c>
      <c r="J283" s="21" t="n">
        <v>186155</v>
      </c>
      <c r="K283" s="21" t="n">
        <v>21944</v>
      </c>
      <c r="L283" s="21" t="n">
        <v>208099</v>
      </c>
      <c r="M283" s="21" t="n">
        <v>595</v>
      </c>
      <c r="N283" s="21" t="n">
        <v>18615</v>
      </c>
      <c r="O283" s="21" t="n">
        <v>20237</v>
      </c>
      <c r="P283" s="21" t="n">
        <v>247546</v>
      </c>
      <c r="Q283" s="21" t="n">
        <v>247546</v>
      </c>
      <c r="R283" s="21">
        <f>IF(Q283="","",Q283*(1+in_GrowthRate)^(YEARFRAC(DATE(2023,6,30),in_AgeToDate)*IF(in_AgeToDate&lt;DATE(2023,6,30),-1,1)+1))</f>
        <v/>
      </c>
      <c r="S283" s="38" t="n">
        <v>0.1178802610727619</v>
      </c>
      <c r="T283" s="43">
        <f>HYPERLINK("https://projects.propublica.org/nonprofits/organizations/930386908/202401279349302600/full","view filing")</f>
        <v/>
      </c>
    </row>
    <row r="284">
      <c r="A284" t="inlineStr">
        <is>
          <t>Richard King Mellon Foundation Dtd 01 01 47</t>
        </is>
      </c>
      <c r="B284" s="20" t="inlineStr">
        <is>
          <t>PA</t>
        </is>
      </c>
      <c r="C284" s="42" t="n">
        <v>3.19</v>
      </c>
      <c r="D284" t="inlineStr">
        <is>
          <t>Foundation</t>
        </is>
      </c>
      <c r="E284" s="20" t="n">
        <v>2023</v>
      </c>
      <c r="F284" s="20" t="inlineStr"/>
      <c r="G284" t="inlineStr">
        <is>
          <t>Patrick J Strollo Iii</t>
        </is>
      </c>
      <c r="H284" t="inlineStr">
        <is>
          <t>VP/INVESTMENT OFFICE</t>
        </is>
      </c>
      <c r="I284" t="inlineStr">
        <is>
          <t>Director of Investments</t>
        </is>
      </c>
      <c r="J284" s="21" t="n"/>
      <c r="K284" s="21" t="n"/>
      <c r="L284" s="21" t="n"/>
      <c r="M284" s="21" t="n"/>
      <c r="N284" s="21" t="n"/>
      <c r="O284" s="21" t="n"/>
      <c r="P284" s="21" t="n">
        <v>194821</v>
      </c>
      <c r="Q284" s="21" t="n">
        <v>194821</v>
      </c>
      <c r="R284" s="21">
        <f>IF(Q284="","",Q284*(1+in_GrowthRate)^(YEARFRAC(DATE(2023,12,31),in_AgeToDate)*IF(in_AgeToDate&lt;DATE(2023,12,31),-1,1)+1))</f>
        <v/>
      </c>
      <c r="S284" s="38" t="n"/>
      <c r="T284" s="43">
        <f>HYPERLINK("https://projects.propublica.org/nonprofits/organizations/251127705/202423199349102637/full","view filing")</f>
        <v/>
      </c>
    </row>
    <row r="285">
      <c r="A285" t="inlineStr">
        <is>
          <t>Rotary International</t>
        </is>
      </c>
      <c r="B285" s="20" t="inlineStr">
        <is>
          <t>IL</t>
        </is>
      </c>
      <c r="C285" s="42" t="n">
        <v>0.11</v>
      </c>
      <c r="D285" t="inlineStr">
        <is>
          <t>Other</t>
        </is>
      </c>
      <c r="E285" s="20" t="n">
        <v>2025</v>
      </c>
      <c r="F285" s="20">
        <f>IF(AND(OR(in_Mode="All Funds",AND(C285&gt;=in_BandFloor,C285&lt;=in_BandCeiling,OR(in_Geography="National",COUNTIFS(lst_GeoPreset,in_Geography,lst_GeoState,B285)&gt;0,AND(in_Geography="Custom",ISNUMBER(SEARCH(B285,SUBSTITUTE(in_CustomStates," ",""))))),OR(AND(D285="Endowment",Inputs!$B$14="Y"),AND(D285="Foundation",Inputs!$B$15="Y"),AND(D285="Healthcare",Inputs!$B$16="Y"),AND(D285="Pension",Inputs!$B$17="Y"),AND(D285="OCIO",Inputs!$B$18="Y"),AND(D285="Other",Inputs!$B$19="Y")))),A285&lt;&gt;in_ClientOrg,NOT(AND(in_ExclHarvard="Y",ISNUMBER(SEARCH("Harvard",A285))))),"Y","")</f>
        <v/>
      </c>
      <c r="G285" t="inlineStr">
        <is>
          <t>Jonathan South</t>
        </is>
      </c>
      <c r="H285" t="inlineStr">
        <is>
          <t>INVESTMENT OFFICER</t>
        </is>
      </c>
      <c r="I285" t="inlineStr">
        <is>
          <t>Investment Officer</t>
        </is>
      </c>
      <c r="J285" s="21" t="n">
        <v>15523</v>
      </c>
      <c r="K285" s="21" t="n"/>
      <c r="L285" s="21" t="n">
        <v>15523</v>
      </c>
      <c r="M285" s="21" t="n">
        <v>179</v>
      </c>
      <c r="N285" s="21" t="n">
        <v>1507</v>
      </c>
      <c r="O285" s="21" t="n">
        <v>550</v>
      </c>
      <c r="P285" s="21" t="n">
        <v>17759</v>
      </c>
      <c r="Q285" s="21" t="n">
        <v>17759</v>
      </c>
      <c r="R285" s="21">
        <f>IF(Q285="","",Q285*(1+in_GrowthRate)^(YEARFRAC(DATE(2025,6,30),in_AgeToDate)*IF(in_AgeToDate&lt;DATE(2025,6,30),-1,1)+1))</f>
        <v/>
      </c>
      <c r="S285" s="38" t="n">
        <v>0</v>
      </c>
      <c r="T285" s="43">
        <f>HYPERLINK("https://projects.propublica.org/nonprofits/organizations/361707667/202640829349300319/full","view filing")</f>
        <v/>
      </c>
    </row>
    <row r="286">
      <c r="A286" t="inlineStr">
        <is>
          <t>Rotary International</t>
        </is>
      </c>
      <c r="B286" s="20" t="inlineStr">
        <is>
          <t>IL</t>
        </is>
      </c>
      <c r="C286" s="42" t="n">
        <v>0.11</v>
      </c>
      <c r="D286" t="inlineStr">
        <is>
          <t>Other</t>
        </is>
      </c>
      <c r="E286" s="20" t="n">
        <v>2025</v>
      </c>
      <c r="F286" s="20">
        <f>IF(AND(OR(in_Mode="All Funds",AND(C286&gt;=in_BandFloor,C286&lt;=in_BandCeiling,OR(in_Geography="National",COUNTIFS(lst_GeoPreset,in_Geography,lst_GeoState,B286)&gt;0,AND(in_Geography="Custom",ISNUMBER(SEARCH(B286,SUBSTITUTE(in_CustomStates," ",""))))),OR(AND(D286="Endowment",Inputs!$B$14="Y"),AND(D286="Foundation",Inputs!$B$15="Y"),AND(D286="Healthcare",Inputs!$B$16="Y"),AND(D286="Pension",Inputs!$B$17="Y"),AND(D286="OCIO",Inputs!$B$18="Y"),AND(D286="Other",Inputs!$B$19="Y")))),A286&lt;&gt;in_ClientOrg,NOT(AND(in_ExclHarvard="Y",ISNUMBER(SEARCH("Harvard",A286))))),"Y","")</f>
        <v/>
      </c>
      <c r="G286" t="inlineStr">
        <is>
          <t>Michael Patock</t>
        </is>
      </c>
      <c r="H286" t="inlineStr">
        <is>
          <t>INVESTMENT OFFICER</t>
        </is>
      </c>
      <c r="I286" t="inlineStr">
        <is>
          <t>Investment Officer</t>
        </is>
      </c>
      <c r="J286" s="21" t="n">
        <v>16058</v>
      </c>
      <c r="K286" s="21" t="n"/>
      <c r="L286" s="21" t="n">
        <v>16058</v>
      </c>
      <c r="M286" s="21" t="n">
        <v>60</v>
      </c>
      <c r="N286" s="21" t="n">
        <v>2165</v>
      </c>
      <c r="O286" s="21" t="n"/>
      <c r="P286" s="21" t="n">
        <v>18283</v>
      </c>
      <c r="Q286" s="21" t="n">
        <v>18283</v>
      </c>
      <c r="R286" s="21">
        <f>IF(Q286="","",Q286*(1+in_GrowthRate)^(YEARFRAC(DATE(2025,6,30),in_AgeToDate)*IF(in_AgeToDate&lt;DATE(2025,6,30),-1,1)+1))</f>
        <v/>
      </c>
      <c r="S286" s="38" t="n">
        <v>0</v>
      </c>
      <c r="T286" s="43">
        <f>HYPERLINK("https://projects.propublica.org/nonprofits/organizations/361707667/202640829349300319/full","view filing")</f>
        <v/>
      </c>
    </row>
    <row r="287">
      <c r="A287" t="inlineStr">
        <is>
          <t>Rotary International</t>
        </is>
      </c>
      <c r="B287" s="20" t="inlineStr">
        <is>
          <t>IL</t>
        </is>
      </c>
      <c r="C287" s="42" t="n">
        <v>0.11</v>
      </c>
      <c r="D287" t="inlineStr">
        <is>
          <t>Other</t>
        </is>
      </c>
      <c r="E287" s="20" t="n">
        <v>2024</v>
      </c>
      <c r="F287" s="20" t="inlineStr"/>
      <c r="G287" t="inlineStr">
        <is>
          <t>Jonathan South</t>
        </is>
      </c>
      <c r="H287" t="inlineStr">
        <is>
          <t>INVESTMENT OFFICER</t>
        </is>
      </c>
      <c r="I287" t="inlineStr">
        <is>
          <t>Investment Officer</t>
        </is>
      </c>
      <c r="J287" s="21" t="n">
        <v>14521</v>
      </c>
      <c r="K287" s="21" t="n"/>
      <c r="L287" s="21" t="n">
        <v>14521</v>
      </c>
      <c r="M287" s="21" t="n">
        <v>170</v>
      </c>
      <c r="N287" s="21" t="n">
        <v>1435</v>
      </c>
      <c r="O287" s="21" t="n">
        <v>1647</v>
      </c>
      <c r="P287" s="21" t="n">
        <v>17773</v>
      </c>
      <c r="Q287" s="21" t="n">
        <v>17773</v>
      </c>
      <c r="R287" s="21">
        <f>IF(Q287="","",Q287*(1+in_GrowthRate)^(YEARFRAC(DATE(2024,6,30),in_AgeToDate)*IF(in_AgeToDate&lt;DATE(2024,6,30),-1,1)+1))</f>
        <v/>
      </c>
      <c r="S287" s="38" t="n">
        <v>0</v>
      </c>
      <c r="T287" s="43">
        <f>HYPERLINK("https://projects.propublica.org/nonprofits/organizations/361707667/202500919349301100/full","view filing")</f>
        <v/>
      </c>
    </row>
    <row r="288">
      <c r="A288" t="inlineStr">
        <is>
          <t>Rotary International</t>
        </is>
      </c>
      <c r="B288" s="20" t="inlineStr">
        <is>
          <t>IL</t>
        </is>
      </c>
      <c r="C288" s="42" t="n">
        <v>0.11</v>
      </c>
      <c r="D288" t="inlineStr">
        <is>
          <t>Other</t>
        </is>
      </c>
      <c r="E288" s="20" t="n">
        <v>2024</v>
      </c>
      <c r="F288" s="20" t="inlineStr"/>
      <c r="G288" t="inlineStr">
        <is>
          <t>Michael Patock</t>
        </is>
      </c>
      <c r="H288" t="inlineStr">
        <is>
          <t>INVESTMENT OFFICER</t>
        </is>
      </c>
      <c r="I288" t="inlineStr">
        <is>
          <t>Investment Officer</t>
        </is>
      </c>
      <c r="J288" s="21" t="n">
        <v>15422</v>
      </c>
      <c r="K288" s="21" t="n"/>
      <c r="L288" s="21" t="n">
        <v>15422</v>
      </c>
      <c r="M288" s="21" t="n">
        <v>283</v>
      </c>
      <c r="N288" s="21" t="n">
        <v>2104</v>
      </c>
      <c r="O288" s="21" t="n"/>
      <c r="P288" s="21" t="n">
        <v>17809</v>
      </c>
      <c r="Q288" s="21" t="n">
        <v>17809</v>
      </c>
      <c r="R288" s="21">
        <f>IF(Q288="","",Q288*(1+in_GrowthRate)^(YEARFRAC(DATE(2024,6,30),in_AgeToDate)*IF(in_AgeToDate&lt;DATE(2024,6,30),-1,1)+1))</f>
        <v/>
      </c>
      <c r="S288" s="38" t="n">
        <v>0</v>
      </c>
      <c r="T288" s="43">
        <f>HYPERLINK("https://projects.propublica.org/nonprofits/organizations/361707667/202500919349301100/full","view filing")</f>
        <v/>
      </c>
    </row>
    <row r="289">
      <c r="A289" t="inlineStr">
        <is>
          <t>Rotary International</t>
        </is>
      </c>
      <c r="B289" s="20" t="inlineStr">
        <is>
          <t>IL</t>
        </is>
      </c>
      <c r="C289" s="42" t="n">
        <v>0.11</v>
      </c>
      <c r="D289" t="inlineStr">
        <is>
          <t>Other</t>
        </is>
      </c>
      <c r="E289" s="20" t="n">
        <v>2023</v>
      </c>
      <c r="F289" s="20" t="inlineStr"/>
      <c r="G289" t="inlineStr">
        <is>
          <t>Jonathan South</t>
        </is>
      </c>
      <c r="H289" t="inlineStr">
        <is>
          <t>INVESTMENT OFFICER</t>
        </is>
      </c>
      <c r="I289" t="inlineStr">
        <is>
          <t>Investment Officer</t>
        </is>
      </c>
      <c r="J289" s="21" t="n">
        <v>13546</v>
      </c>
      <c r="K289" s="21" t="n"/>
      <c r="L289" s="21" t="n">
        <v>13546</v>
      </c>
      <c r="M289" s="21" t="n"/>
      <c r="N289" s="21" t="n">
        <v>1372</v>
      </c>
      <c r="O289" s="21" t="n">
        <v>2645</v>
      </c>
      <c r="P289" s="21" t="n">
        <v>17563</v>
      </c>
      <c r="Q289" s="21" t="n">
        <v>17563</v>
      </c>
      <c r="R289" s="21">
        <f>IF(Q289="","",Q289*(1+in_GrowthRate)^(YEARFRAC(DATE(2023,6,30),in_AgeToDate)*IF(in_AgeToDate&lt;DATE(2023,6,30),-1,1)+1))</f>
        <v/>
      </c>
      <c r="S289" s="38" t="n">
        <v>0</v>
      </c>
      <c r="T289" s="43">
        <f>HYPERLINK("https://projects.propublica.org/nonprofits/organizations/361707667/202420789349300117/full","view filing")</f>
        <v/>
      </c>
    </row>
    <row r="290">
      <c r="A290" t="inlineStr">
        <is>
          <t>Rotary International</t>
        </is>
      </c>
      <c r="B290" s="20" t="inlineStr">
        <is>
          <t>IL</t>
        </is>
      </c>
      <c r="C290" s="42" t="n">
        <v>0.11</v>
      </c>
      <c r="D290" t="inlineStr">
        <is>
          <t>Other</t>
        </is>
      </c>
      <c r="E290" s="20" t="n">
        <v>2023</v>
      </c>
      <c r="F290" s="20" t="inlineStr"/>
      <c r="G290" t="inlineStr">
        <is>
          <t>Michael Patock</t>
        </is>
      </c>
      <c r="H290" t="inlineStr">
        <is>
          <t>INVESTMENT OFFICER</t>
        </is>
      </c>
      <c r="I290" t="inlineStr">
        <is>
          <t>Investment Officer</t>
        </is>
      </c>
      <c r="J290" s="21" t="n">
        <v>14681</v>
      </c>
      <c r="K290" s="21" t="n"/>
      <c r="L290" s="21" t="n">
        <v>14681</v>
      </c>
      <c r="M290" s="21" t="n">
        <v>272</v>
      </c>
      <c r="N290" s="21" t="n">
        <v>1940</v>
      </c>
      <c r="O290" s="21" t="n"/>
      <c r="P290" s="21" t="n">
        <v>16893</v>
      </c>
      <c r="Q290" s="21" t="n">
        <v>16893</v>
      </c>
      <c r="R290" s="21">
        <f>IF(Q290="","",Q290*(1+in_GrowthRate)^(YEARFRAC(DATE(2023,6,30),in_AgeToDate)*IF(in_AgeToDate&lt;DATE(2023,6,30),-1,1)+1))</f>
        <v/>
      </c>
      <c r="S290" s="38" t="n">
        <v>0</v>
      </c>
      <c r="T290" s="43">
        <f>HYPERLINK("https://projects.propublica.org/nonprofits/organizations/361707667/202420789349300117/full","view filing")</f>
        <v/>
      </c>
    </row>
    <row r="291">
      <c r="A291" t="inlineStr">
        <is>
          <t>Rotary International</t>
        </is>
      </c>
      <c r="B291" s="20" t="inlineStr">
        <is>
          <t>IL</t>
        </is>
      </c>
      <c r="C291" s="42" t="n">
        <v>0.11</v>
      </c>
      <c r="D291" t="inlineStr">
        <is>
          <t>Other</t>
        </is>
      </c>
      <c r="E291" s="20" t="n">
        <v>2022</v>
      </c>
      <c r="F291" s="20" t="inlineStr"/>
      <c r="G291" t="inlineStr">
        <is>
          <t>Jonathan South</t>
        </is>
      </c>
      <c r="H291" t="inlineStr">
        <is>
          <t>INVESTMENT OFFICER</t>
        </is>
      </c>
      <c r="I291" t="inlineStr">
        <is>
          <t>Investment Officer</t>
        </is>
      </c>
      <c r="J291" s="21" t="n">
        <v>13544</v>
      </c>
      <c r="K291" s="21" t="n"/>
      <c r="L291" s="21" t="n">
        <v>13544</v>
      </c>
      <c r="M291" s="21" t="n">
        <v>106</v>
      </c>
      <c r="N291" s="21" t="n">
        <v>1325</v>
      </c>
      <c r="O291" s="21" t="n">
        <v>2248</v>
      </c>
      <c r="P291" s="21" t="n">
        <v>17223</v>
      </c>
      <c r="Q291" s="21" t="n">
        <v>17223</v>
      </c>
      <c r="R291" s="21">
        <f>IF(Q291="","",Q291*(1+in_GrowthRate)^(YEARFRAC(DATE(2022,6,30),in_AgeToDate)*IF(in_AgeToDate&lt;DATE(2022,6,30),-1,1)+1))</f>
        <v/>
      </c>
      <c r="S291" s="38" t="n">
        <v>0</v>
      </c>
      <c r="T291" s="43">
        <f>HYPERLINK("https://projects.propublica.org/nonprofits/organizations/361707667/202301119349300100/full","view filing")</f>
        <v/>
      </c>
    </row>
    <row r="292">
      <c r="A292" t="inlineStr">
        <is>
          <t>Rotary International</t>
        </is>
      </c>
      <c r="B292" s="20" t="inlineStr">
        <is>
          <t>IL</t>
        </is>
      </c>
      <c r="C292" s="42" t="n">
        <v>0.11</v>
      </c>
      <c r="D292" t="inlineStr">
        <is>
          <t>Other</t>
        </is>
      </c>
      <c r="E292" s="20" t="n">
        <v>2022</v>
      </c>
      <c r="F292" s="20" t="inlineStr"/>
      <c r="G292" t="inlineStr">
        <is>
          <t>Michael Patock</t>
        </is>
      </c>
      <c r="H292" t="inlineStr">
        <is>
          <t>INVESTMENT OFFICER</t>
        </is>
      </c>
      <c r="I292" t="inlineStr">
        <is>
          <t>Investment Officer</t>
        </is>
      </c>
      <c r="J292" s="21" t="n">
        <v>14270</v>
      </c>
      <c r="K292" s="21" t="n"/>
      <c r="L292" s="21" t="n">
        <v>14270</v>
      </c>
      <c r="M292" s="21" t="n">
        <v>106</v>
      </c>
      <c r="N292" s="21" t="n">
        <v>1853</v>
      </c>
      <c r="O292" s="21" t="n"/>
      <c r="P292" s="21" t="n">
        <v>16229</v>
      </c>
      <c r="Q292" s="21" t="n">
        <v>16229</v>
      </c>
      <c r="R292" s="21">
        <f>IF(Q292="","",Q292*(1+in_GrowthRate)^(YEARFRAC(DATE(2022,6,30),in_AgeToDate)*IF(in_AgeToDate&lt;DATE(2022,6,30),-1,1)+1))</f>
        <v/>
      </c>
      <c r="S292" s="38" t="n">
        <v>0</v>
      </c>
      <c r="T292" s="43">
        <f>HYPERLINK("https://projects.propublica.org/nonprofits/organizations/361707667/202301119349300100/full","view filing")</f>
        <v/>
      </c>
    </row>
    <row r="293">
      <c r="A293" t="inlineStr">
        <is>
          <t>Saint Paul &amp; Minnesota Foundation</t>
        </is>
      </c>
      <c r="B293" s="20" t="inlineStr">
        <is>
          <t>MN</t>
        </is>
      </c>
      <c r="C293" s="42" t="n">
        <v>1.65</v>
      </c>
      <c r="D293" t="inlineStr">
        <is>
          <t>Foundation</t>
        </is>
      </c>
      <c r="E293" s="20" t="n">
        <v>2025</v>
      </c>
      <c r="F293" s="20">
        <f>IF(AND(OR(in_Mode="All Funds",AND(C293&gt;=in_BandFloor,C293&lt;=in_BandCeiling,OR(in_Geography="National",COUNTIFS(lst_GeoPreset,in_Geography,lst_GeoState,B293)&gt;0,AND(in_Geography="Custom",ISNUMBER(SEARCH(B293,SUBSTITUTE(in_CustomStates," ",""))))),OR(AND(D293="Endowment",Inputs!$B$14="Y"),AND(D293="Foundation",Inputs!$B$15="Y"),AND(D293="Healthcare",Inputs!$B$16="Y"),AND(D293="Pension",Inputs!$B$17="Y"),AND(D293="OCIO",Inputs!$B$18="Y"),AND(D293="Other",Inputs!$B$19="Y")))),A293&lt;&gt;in_ClientOrg,NOT(AND(in_ExclHarvard="Y",ISNUMBER(SEARCH("Harvard",A293))))),"Y","")</f>
        <v/>
      </c>
      <c r="G293" t="inlineStr">
        <is>
          <t>Ashley Gam</t>
        </is>
      </c>
      <c r="H293" t="inlineStr">
        <is>
          <t>DIRECTOR OF INVESTMENTS</t>
        </is>
      </c>
      <c r="I293" t="inlineStr">
        <is>
          <t>Director of Investments</t>
        </is>
      </c>
      <c r="J293" s="21" t="n">
        <v>359377</v>
      </c>
      <c r="K293" s="21" t="n"/>
      <c r="L293" s="21" t="n">
        <v>359377</v>
      </c>
      <c r="M293" s="21" t="n"/>
      <c r="N293" s="21" t="n">
        <v>35000</v>
      </c>
      <c r="O293" s="21" t="n">
        <v>20390</v>
      </c>
      <c r="P293" s="21" t="n">
        <v>414767</v>
      </c>
      <c r="Q293" s="21" t="n">
        <v>414767</v>
      </c>
      <c r="R293" s="21">
        <f>IF(Q293="","",Q293*(1+in_GrowthRate)^(YEARFRAC(DATE(2025,12,31),in_AgeToDate)*IF(in_AgeToDate&lt;DATE(2025,12,31),-1,1)+1))</f>
        <v/>
      </c>
      <c r="S293" s="38" t="n">
        <v>0</v>
      </c>
      <c r="T293" s="43">
        <f>HYPERLINK("https://projects.propublica.org/nonprofits/organizations/416031510/202602399349301030/full","view filing")</f>
        <v/>
      </c>
    </row>
    <row r="294">
      <c r="A294" t="inlineStr">
        <is>
          <t>Saint Paul &amp; Minnesota Foundation</t>
        </is>
      </c>
      <c r="B294" s="20" t="inlineStr">
        <is>
          <t>MN</t>
        </is>
      </c>
      <c r="C294" s="42" t="n">
        <v>1.65</v>
      </c>
      <c r="D294" t="inlineStr">
        <is>
          <t>Foundation</t>
        </is>
      </c>
      <c r="E294" s="20" t="n">
        <v>2024</v>
      </c>
      <c r="F294" s="20" t="inlineStr"/>
      <c r="G294" t="inlineStr">
        <is>
          <t>Ashley Gam</t>
        </is>
      </c>
      <c r="H294" t="inlineStr">
        <is>
          <t>DIRECTOR OF INVESTMENTS</t>
        </is>
      </c>
      <c r="I294" t="inlineStr">
        <is>
          <t>Director of Investments</t>
        </is>
      </c>
      <c r="J294" s="21" t="n">
        <v>337953</v>
      </c>
      <c r="K294" s="21" t="n"/>
      <c r="L294" s="21" t="n">
        <v>337953</v>
      </c>
      <c r="M294" s="21" t="n"/>
      <c r="N294" s="21" t="n">
        <v>20886</v>
      </c>
      <c r="O294" s="21" t="n">
        <v>18383</v>
      </c>
      <c r="P294" s="21" t="n">
        <v>377222</v>
      </c>
      <c r="Q294" s="21" t="n">
        <v>377222</v>
      </c>
      <c r="R294" s="21">
        <f>IF(Q294="","",Q294*(1+in_GrowthRate)^(YEARFRAC(DATE(2024,12,31),in_AgeToDate)*IF(in_AgeToDate&lt;DATE(2024,12,31),-1,1)+1))</f>
        <v/>
      </c>
      <c r="S294" s="38" t="n">
        <v>0</v>
      </c>
      <c r="T294" s="43">
        <f>HYPERLINK("https://projects.propublica.org/nonprofits/organizations/416031510/202502379349301475/full","view filing")</f>
        <v/>
      </c>
    </row>
    <row r="295">
      <c r="A295" t="inlineStr">
        <is>
          <t>San Francisco Foundation</t>
        </is>
      </c>
      <c r="B295" s="20" t="inlineStr">
        <is>
          <t>CA</t>
        </is>
      </c>
      <c r="C295" s="42" t="n">
        <v>1.8</v>
      </c>
      <c r="D295" t="inlineStr">
        <is>
          <t>Foundation</t>
        </is>
      </c>
      <c r="E295" s="20" t="n">
        <v>2024</v>
      </c>
      <c r="F295" s="20" t="inlineStr"/>
      <c r="G295" t="inlineStr">
        <is>
          <t>Mark Doherty</t>
        </is>
      </c>
      <c r="H295" t="inlineStr">
        <is>
          <t>SENIOR DIRECTOR OF INVESTMENTS</t>
        </is>
      </c>
      <c r="I295" t="inlineStr">
        <is>
          <t>Director of Investments</t>
        </is>
      </c>
      <c r="J295" s="21" t="n">
        <v>189631</v>
      </c>
      <c r="K295" s="21" t="n"/>
      <c r="L295" s="21" t="n">
        <v>189631</v>
      </c>
      <c r="M295" s="21" t="n"/>
      <c r="N295" s="21" t="n">
        <v>22637</v>
      </c>
      <c r="O295" s="21" t="n">
        <v>861</v>
      </c>
      <c r="P295" s="21" t="n">
        <v>213129</v>
      </c>
      <c r="Q295" s="21" t="n">
        <v>213129</v>
      </c>
      <c r="R295" s="21">
        <f>IF(Q295="","",Q295*(1+in_GrowthRate)^(YEARFRAC(DATE(2024,6,30),in_AgeToDate)*IF(in_AgeToDate&lt;DATE(2024,6,30),-1,1)+1))</f>
        <v/>
      </c>
      <c r="S295" s="38" t="n">
        <v>0</v>
      </c>
      <c r="T295" s="43">
        <f>HYPERLINK("https://projects.propublica.org/nonprofits/organizations/10679337/202541339349302554/full","view filing")</f>
        <v/>
      </c>
    </row>
    <row r="296">
      <c r="A296" t="inlineStr">
        <is>
          <t>San Francisco Foundation</t>
        </is>
      </c>
      <c r="B296" s="20" t="inlineStr">
        <is>
          <t>CA</t>
        </is>
      </c>
      <c r="C296" s="42" t="n">
        <v>1.8</v>
      </c>
      <c r="D296" t="inlineStr">
        <is>
          <t>Foundation</t>
        </is>
      </c>
      <c r="E296" s="20" t="n">
        <v>2023</v>
      </c>
      <c r="F296" s="20" t="inlineStr"/>
      <c r="G296" t="inlineStr">
        <is>
          <t>Mark Doherty</t>
        </is>
      </c>
      <c r="H296" t="inlineStr">
        <is>
          <t>SENIOR DIRECTOR OF INVESTMENTS</t>
        </is>
      </c>
      <c r="I296" t="inlineStr">
        <is>
          <t>Director of Investments</t>
        </is>
      </c>
      <c r="J296" s="21" t="n">
        <v>182065</v>
      </c>
      <c r="K296" s="21" t="n"/>
      <c r="L296" s="21" t="n">
        <v>182065</v>
      </c>
      <c r="M296" s="21" t="n"/>
      <c r="N296" s="21" t="n">
        <v>21786</v>
      </c>
      <c r="O296" s="21" t="n">
        <v>1170</v>
      </c>
      <c r="P296" s="21" t="n">
        <v>205021</v>
      </c>
      <c r="Q296" s="21" t="n">
        <v>205021</v>
      </c>
      <c r="R296" s="21">
        <f>IF(Q296="","",Q296*(1+in_GrowthRate)^(YEARFRAC(DATE(2023,6,30),in_AgeToDate)*IF(in_AgeToDate&lt;DATE(2023,6,30),-1,1)+1))</f>
        <v/>
      </c>
      <c r="S296" s="38" t="n">
        <v>0</v>
      </c>
      <c r="T296" s="43">
        <f>HYPERLINK("https://projects.propublica.org/nonprofits/organizations/10679337/202431359349311628/full","view filing")</f>
        <v/>
      </c>
    </row>
    <row r="297">
      <c r="A297" t="inlineStr">
        <is>
          <t>San Francisco Foundation</t>
        </is>
      </c>
      <c r="B297" s="20" t="inlineStr">
        <is>
          <t>CA</t>
        </is>
      </c>
      <c r="C297" s="42" t="n">
        <v>1.8</v>
      </c>
      <c r="D297" t="inlineStr">
        <is>
          <t>Foundation</t>
        </is>
      </c>
      <c r="E297" s="20" t="n">
        <v>2022</v>
      </c>
      <c r="F297" s="20" t="inlineStr"/>
      <c r="G297" t="inlineStr">
        <is>
          <t>Mark Doherty</t>
        </is>
      </c>
      <c r="H297" t="inlineStr">
        <is>
          <t>SENIOR DIRECTOR OF INVESTMENTS</t>
        </is>
      </c>
      <c r="I297" t="inlineStr">
        <is>
          <t>Director of Investments</t>
        </is>
      </c>
      <c r="J297" s="21" t="n">
        <v>174982</v>
      </c>
      <c r="K297" s="21" t="n"/>
      <c r="L297" s="21" t="n">
        <v>174982</v>
      </c>
      <c r="M297" s="21" t="n"/>
      <c r="N297" s="21" t="n">
        <v>20901</v>
      </c>
      <c r="O297" s="21" t="n">
        <v>993</v>
      </c>
      <c r="P297" s="21" t="n">
        <v>196876</v>
      </c>
      <c r="Q297" s="21" t="n">
        <v>196876</v>
      </c>
      <c r="R297" s="21">
        <f>IF(Q297="","",Q297*(1+in_GrowthRate)^(YEARFRAC(DATE(2022,6,30),in_AgeToDate)*IF(in_AgeToDate&lt;DATE(2022,6,30),-1,1)+1))</f>
        <v/>
      </c>
      <c r="S297" s="38" t="n">
        <v>0</v>
      </c>
      <c r="T297" s="43">
        <f>HYPERLINK("https://projects.propublica.org/nonprofits/organizations/10679337/202301309349301545/full","view filing")</f>
        <v/>
      </c>
    </row>
    <row r="298">
      <c r="A298" t="inlineStr">
        <is>
          <t>Seattle Childrens Healthcare System</t>
        </is>
      </c>
      <c r="B298" s="20" t="inlineStr">
        <is>
          <t>WA</t>
        </is>
      </c>
      <c r="C298" s="42" t="n">
        <v>1.16</v>
      </c>
      <c r="D298" t="inlineStr">
        <is>
          <t>Healthcare</t>
        </is>
      </c>
      <c r="E298" s="20" t="n">
        <v>2025</v>
      </c>
      <c r="F298" s="20">
        <f>IF(AND(OR(in_Mode="All Funds",AND(C298&gt;=in_BandFloor,C298&lt;=in_BandCeiling,OR(in_Geography="National",COUNTIFS(lst_GeoPreset,in_Geography,lst_GeoState,B298)&gt;0,AND(in_Geography="Custom",ISNUMBER(SEARCH(B298,SUBSTITUTE(in_CustomStates," ",""))))),OR(AND(D298="Endowment",Inputs!$B$14="Y"),AND(D298="Foundation",Inputs!$B$15="Y"),AND(D298="Healthcare",Inputs!$B$16="Y"),AND(D298="Pension",Inputs!$B$17="Y"),AND(D298="OCIO",Inputs!$B$18="Y"),AND(D298="Other",Inputs!$B$19="Y")))),A298&lt;&gt;in_ClientOrg,NOT(AND(in_ExclHarvard="Y",ISNUMBER(SEARCH("Harvard",A298))))),"Y","")</f>
        <v/>
      </c>
      <c r="G298" t="inlineStr">
        <is>
          <t>James Olson</t>
        </is>
      </c>
      <c r="H298" t="inlineStr">
        <is>
          <t>INVESTMENT DIRECTOR</t>
        </is>
      </c>
      <c r="I298" t="inlineStr">
        <is>
          <t>Director of Investments</t>
        </is>
      </c>
      <c r="J298" s="21" t="n">
        <v>259859</v>
      </c>
      <c r="K298" s="21" t="n">
        <v>133493</v>
      </c>
      <c r="L298" s="21" t="n">
        <v>393352</v>
      </c>
      <c r="M298" s="21" t="n"/>
      <c r="N298" s="21" t="n">
        <v>26660</v>
      </c>
      <c r="O298" s="21" t="n">
        <v>34906</v>
      </c>
      <c r="P298" s="21" t="n">
        <v>454918</v>
      </c>
      <c r="Q298" s="21" t="n">
        <v>454918</v>
      </c>
      <c r="R298" s="21">
        <f>IF(Q298="","",Q298*(1+in_GrowthRate)^(YEARFRAC(DATE(2025,9,30),in_AgeToDate)*IF(in_AgeToDate&lt;DATE(2025,9,30),-1,1)+1))</f>
        <v/>
      </c>
      <c r="S298" s="38" t="n">
        <v>0.5137132060078735</v>
      </c>
      <c r="T298" s="43">
        <f>HYPERLINK("https://projects.propublica.org/nonprofits/organizations/911250116/202612269349303751/full","view filing")</f>
        <v/>
      </c>
    </row>
    <row r="299">
      <c r="A299" t="inlineStr">
        <is>
          <t>Seattle Childrens Healthcare System</t>
        </is>
      </c>
      <c r="B299" s="20" t="inlineStr">
        <is>
          <t>WA</t>
        </is>
      </c>
      <c r="C299" s="42" t="n">
        <v>1.16</v>
      </c>
      <c r="D299" t="inlineStr">
        <is>
          <t>Healthcare</t>
        </is>
      </c>
      <c r="E299" s="20" t="n">
        <v>2024</v>
      </c>
      <c r="F299" s="20" t="inlineStr"/>
      <c r="G299" t="inlineStr">
        <is>
          <t>James Olson</t>
        </is>
      </c>
      <c r="H299" t="inlineStr">
        <is>
          <t>INVESTMENT DIRECTOR</t>
        </is>
      </c>
      <c r="I299" t="inlineStr">
        <is>
          <t>Director of Investments</t>
        </is>
      </c>
      <c r="J299" s="21" t="n">
        <v>245058</v>
      </c>
      <c r="K299" s="21" t="n">
        <v>125937</v>
      </c>
      <c r="L299" s="21" t="n">
        <v>370995</v>
      </c>
      <c r="M299" s="21" t="n"/>
      <c r="N299" s="21" t="n">
        <v>22852</v>
      </c>
      <c r="O299" s="21" t="n">
        <v>32817</v>
      </c>
      <c r="P299" s="21" t="n">
        <v>426664</v>
      </c>
      <c r="Q299" s="21" t="n">
        <v>426664</v>
      </c>
      <c r="R299" s="21">
        <f>IF(Q299="","",Q299*(1+in_GrowthRate)^(YEARFRAC(DATE(2024,9,30),in_AgeToDate)*IF(in_AgeToDate&lt;DATE(2024,9,30),-1,1)+1))</f>
        <v/>
      </c>
      <c r="S299" s="38" t="n">
        <v>0.5139069118331171</v>
      </c>
      <c r="T299" s="43">
        <f>HYPERLINK("https://projects.propublica.org/nonprofits/organizations/911250116/202542739349302109/full","view filing")</f>
        <v/>
      </c>
    </row>
    <row r="300">
      <c r="A300" t="inlineStr">
        <is>
          <t>Seattle Childrens Healthcare System</t>
        </is>
      </c>
      <c r="B300" s="20" t="inlineStr">
        <is>
          <t>WA</t>
        </is>
      </c>
      <c r="C300" s="42" t="n">
        <v>1.16</v>
      </c>
      <c r="D300" t="inlineStr">
        <is>
          <t>Healthcare</t>
        </is>
      </c>
      <c r="E300" s="20" t="n">
        <v>2023</v>
      </c>
      <c r="F300" s="20" t="inlineStr"/>
      <c r="G300" t="inlineStr">
        <is>
          <t>James Olson</t>
        </is>
      </c>
      <c r="H300" t="inlineStr">
        <is>
          <t>DIRECTOR OF INVESTMENTS</t>
        </is>
      </c>
      <c r="I300" t="inlineStr">
        <is>
          <t>Director of Investments</t>
        </is>
      </c>
      <c r="J300" s="21" t="n">
        <v>60721</v>
      </c>
      <c r="K300" s="21" t="n">
        <v>114488</v>
      </c>
      <c r="L300" s="21" t="n">
        <v>175209</v>
      </c>
      <c r="M300" s="21" t="n"/>
      <c r="N300" s="21" t="n">
        <v>9068</v>
      </c>
      <c r="O300" s="21" t="n">
        <v>7655</v>
      </c>
      <c r="P300" s="21" t="n">
        <v>191932</v>
      </c>
      <c r="Q300" s="21" t="n">
        <v>191932</v>
      </c>
      <c r="R300" s="21">
        <f>IF(Q300="","",Q300*(1+in_GrowthRate)^(YEARFRAC(DATE(2023,9,30),in_AgeToDate)*IF(in_AgeToDate&lt;DATE(2023,9,30),-1,1)+1))</f>
        <v/>
      </c>
      <c r="S300" s="38" t="n">
        <v>1.885476194397326</v>
      </c>
      <c r="T300" s="43">
        <f>HYPERLINK("https://projects.propublica.org/nonprofits/organizations/911250116/202442279349301039/full","view filing")</f>
        <v/>
      </c>
    </row>
    <row r="301">
      <c r="A301" t="inlineStr">
        <is>
          <t>Smithsonian Institute</t>
        </is>
      </c>
      <c r="B301" s="20" t="inlineStr">
        <is>
          <t>DC</t>
        </is>
      </c>
      <c r="C301" s="42" t="n">
        <v>3.63</v>
      </c>
      <c r="D301" t="inlineStr">
        <is>
          <t>Other</t>
        </is>
      </c>
      <c r="E301" s="20" t="n">
        <v>2024</v>
      </c>
      <c r="F301" s="20" t="inlineStr"/>
      <c r="G301" t="inlineStr">
        <is>
          <t>Jeffrey Smith</t>
        </is>
      </c>
      <c r="H301" t="inlineStr">
        <is>
          <t>INVESTMENT OFFICER</t>
        </is>
      </c>
      <c r="I301" t="inlineStr">
        <is>
          <t>Investment Officer</t>
        </is>
      </c>
      <c r="J301" s="21" t="n">
        <v>276560</v>
      </c>
      <c r="K301" s="21" t="n">
        <v>422892</v>
      </c>
      <c r="L301" s="21" t="n">
        <v>699452</v>
      </c>
      <c r="M301" s="21" t="n">
        <v>440</v>
      </c>
      <c r="N301" s="21" t="n">
        <v>41874</v>
      </c>
      <c r="O301" s="21" t="n">
        <v>41171</v>
      </c>
      <c r="P301" s="21" t="n">
        <v>782937</v>
      </c>
      <c r="Q301" s="21" t="n">
        <v>782937</v>
      </c>
      <c r="R301" s="21">
        <f>IF(Q301="","",Q301*(1+in_GrowthRate)^(YEARFRAC(DATE(2024,9,30),in_AgeToDate)*IF(in_AgeToDate&lt;DATE(2024,9,30),-1,1)+1))</f>
        <v/>
      </c>
      <c r="S301" s="38" t="n">
        <v>1.529114839456176</v>
      </c>
      <c r="T301" s="43">
        <f>HYPERLINK("https://projects.propublica.org/nonprofits/organizations/530206027/202542239349300544/full","view filing")</f>
        <v/>
      </c>
    </row>
    <row r="302">
      <c r="A302" t="inlineStr">
        <is>
          <t>Smithsonian Institute</t>
        </is>
      </c>
      <c r="B302" s="20" t="inlineStr">
        <is>
          <t>DC</t>
        </is>
      </c>
      <c r="C302" s="42" t="n">
        <v>3.63</v>
      </c>
      <c r="D302" t="inlineStr">
        <is>
          <t>Other</t>
        </is>
      </c>
      <c r="E302" s="20" t="n">
        <v>2024</v>
      </c>
      <c r="F302" s="20" t="inlineStr"/>
      <c r="G302" t="inlineStr">
        <is>
          <t>Michael Giovenco</t>
        </is>
      </c>
      <c r="H302" t="inlineStr">
        <is>
          <t>INVESTMENT OFFICER</t>
        </is>
      </c>
      <c r="I302" t="inlineStr">
        <is>
          <t>Investment Officer</t>
        </is>
      </c>
      <c r="J302" s="21" t="n">
        <v>263828</v>
      </c>
      <c r="K302" s="21" t="n">
        <v>383547</v>
      </c>
      <c r="L302" s="21" t="n">
        <v>647375</v>
      </c>
      <c r="M302" s="21" t="n">
        <v>603</v>
      </c>
      <c r="N302" s="21" t="n">
        <v>37661</v>
      </c>
      <c r="O302" s="21" t="n">
        <v>12787</v>
      </c>
      <c r="P302" s="21" t="n">
        <v>698426</v>
      </c>
      <c r="Q302" s="21" t="n">
        <v>698426</v>
      </c>
      <c r="R302" s="21">
        <f>IF(Q302="","",Q302*(1+in_GrowthRate)^(YEARFRAC(DATE(2024,9,30),in_AgeToDate)*IF(in_AgeToDate&lt;DATE(2024,9,30),-1,1)+1))</f>
        <v/>
      </c>
      <c r="S302" s="38" t="n">
        <v>1.453776703003472</v>
      </c>
      <c r="T302" s="43">
        <f>HYPERLINK("https://projects.propublica.org/nonprofits/organizations/530206027/202542239349300544/full","view filing")</f>
        <v/>
      </c>
    </row>
    <row r="303">
      <c r="A303" t="inlineStr">
        <is>
          <t>Smithsonian Institute</t>
        </is>
      </c>
      <c r="B303" s="20" t="inlineStr">
        <is>
          <t>DC</t>
        </is>
      </c>
      <c r="C303" s="42" t="n">
        <v>3.63</v>
      </c>
      <c r="D303" t="inlineStr">
        <is>
          <t>Other</t>
        </is>
      </c>
      <c r="E303" s="20" t="n">
        <v>2024</v>
      </c>
      <c r="F303" s="20" t="inlineStr"/>
      <c r="G303" t="inlineStr">
        <is>
          <t>Ryan Dotson</t>
        </is>
      </c>
      <c r="H303" t="inlineStr">
        <is>
          <t>INVESTMENT OFFICER</t>
        </is>
      </c>
      <c r="I303" t="inlineStr">
        <is>
          <t>Investment Officer</t>
        </is>
      </c>
      <c r="J303" s="21" t="n">
        <v>241086</v>
      </c>
      <c r="K303" s="21" t="n">
        <v>332073</v>
      </c>
      <c r="L303" s="21" t="n">
        <v>573159</v>
      </c>
      <c r="M303" s="21" t="n">
        <v>257</v>
      </c>
      <c r="N303" s="21" t="n">
        <v>37102</v>
      </c>
      <c r="O303" s="21" t="n">
        <v>46194</v>
      </c>
      <c r="P303" s="21" t="n">
        <v>656712</v>
      </c>
      <c r="Q303" s="21" t="n">
        <v>656712</v>
      </c>
      <c r="R303" s="21">
        <f>IF(Q303="","",Q303*(1+in_GrowthRate)^(YEARFRAC(DATE(2024,9,30),in_AgeToDate)*IF(in_AgeToDate&lt;DATE(2024,9,30),-1,1)+1))</f>
        <v/>
      </c>
      <c r="S303" s="38" t="n">
        <v>1.377404743535502</v>
      </c>
      <c r="T303" s="43">
        <f>HYPERLINK("https://projects.propublica.org/nonprofits/organizations/530206027/202542239349300544/full","view filing")</f>
        <v/>
      </c>
    </row>
    <row r="304">
      <c r="A304" t="inlineStr">
        <is>
          <t>Smithsonian Institute</t>
        </is>
      </c>
      <c r="B304" s="20" t="inlineStr">
        <is>
          <t>DC</t>
        </is>
      </c>
      <c r="C304" s="42" t="n">
        <v>3.63</v>
      </c>
      <c r="D304" t="inlineStr">
        <is>
          <t>Other</t>
        </is>
      </c>
      <c r="E304" s="20" t="n">
        <v>2023</v>
      </c>
      <c r="F304" s="20" t="inlineStr"/>
      <c r="G304" t="inlineStr">
        <is>
          <t>Jeffrey Smith</t>
        </is>
      </c>
      <c r="H304" t="inlineStr">
        <is>
          <t>INVESTMENT OFFICER</t>
        </is>
      </c>
      <c r="I304" t="inlineStr">
        <is>
          <t>Investment Officer</t>
        </is>
      </c>
      <c r="J304" s="21" t="n">
        <v>267171</v>
      </c>
      <c r="K304" s="21" t="n">
        <v>412500</v>
      </c>
      <c r="L304" s="21" t="n">
        <v>679671</v>
      </c>
      <c r="M304" s="21" t="n">
        <v>421</v>
      </c>
      <c r="N304" s="21" t="n">
        <v>40587</v>
      </c>
      <c r="O304" s="21" t="n">
        <v>37327</v>
      </c>
      <c r="P304" s="21" t="n">
        <v>758006</v>
      </c>
      <c r="Q304" s="21" t="n">
        <v>758006</v>
      </c>
      <c r="R304" s="21">
        <f>IF(Q304="","",Q304*(1+in_GrowthRate)^(YEARFRAC(DATE(2023,9,30),in_AgeToDate)*IF(in_AgeToDate&lt;DATE(2023,9,30),-1,1)+1))</f>
        <v/>
      </c>
      <c r="S304" s="38" t="n">
        <v>1.543954995115488</v>
      </c>
      <c r="T304" s="43">
        <f>HYPERLINK("https://projects.propublica.org/nonprofits/organizations/530206027/202442289349302354/full","view filing")</f>
        <v/>
      </c>
    </row>
    <row r="305">
      <c r="A305" t="inlineStr">
        <is>
          <t>Smithsonian Institute</t>
        </is>
      </c>
      <c r="B305" s="20" t="inlineStr">
        <is>
          <t>DC</t>
        </is>
      </c>
      <c r="C305" s="42" t="n">
        <v>3.63</v>
      </c>
      <c r="D305" t="inlineStr">
        <is>
          <t>Other</t>
        </is>
      </c>
      <c r="E305" s="20" t="n">
        <v>2023</v>
      </c>
      <c r="F305" s="20" t="inlineStr"/>
      <c r="G305" t="inlineStr">
        <is>
          <t>Michael Giovenco</t>
        </is>
      </c>
      <c r="H305" t="inlineStr">
        <is>
          <t>INVESTMENT OFFICER</t>
        </is>
      </c>
      <c r="I305" t="inlineStr">
        <is>
          <t>Investment Officer</t>
        </is>
      </c>
      <c r="J305" s="21" t="n">
        <v>253671</v>
      </c>
      <c r="K305" s="21" t="n">
        <v>371250</v>
      </c>
      <c r="L305" s="21" t="n">
        <v>624921</v>
      </c>
      <c r="M305" s="21" t="n">
        <v>573</v>
      </c>
      <c r="N305" s="21" t="n">
        <v>36228</v>
      </c>
      <c r="O305" s="21" t="n">
        <v>11763</v>
      </c>
      <c r="P305" s="21" t="n">
        <v>673485</v>
      </c>
      <c r="Q305" s="21" t="n">
        <v>673485</v>
      </c>
      <c r="R305" s="21">
        <f>IF(Q305="","",Q305*(1+in_GrowthRate)^(YEARFRAC(DATE(2023,9,30),in_AgeToDate)*IF(in_AgeToDate&lt;DATE(2023,9,30),-1,1)+1))</f>
        <v/>
      </c>
      <c r="S305" s="38" t="n">
        <v>1.463509821777026</v>
      </c>
      <c r="T305" s="43">
        <f>HYPERLINK("https://projects.propublica.org/nonprofits/organizations/530206027/202442289349302354/full","view filing")</f>
        <v/>
      </c>
    </row>
    <row r="306">
      <c r="A306" t="inlineStr">
        <is>
          <t>Smithsonian Institute</t>
        </is>
      </c>
      <c r="B306" s="20" t="inlineStr">
        <is>
          <t>DC</t>
        </is>
      </c>
      <c r="C306" s="42" t="n">
        <v>3.63</v>
      </c>
      <c r="D306" t="inlineStr">
        <is>
          <t>Other</t>
        </is>
      </c>
      <c r="E306" s="20" t="n">
        <v>2023</v>
      </c>
      <c r="F306" s="20" t="inlineStr"/>
      <c r="G306" t="inlineStr">
        <is>
          <t>Ryan Dotson</t>
        </is>
      </c>
      <c r="H306" t="inlineStr">
        <is>
          <t>INVESTMENT OFFICER</t>
        </is>
      </c>
      <c r="I306" t="inlineStr">
        <is>
          <t>Investment Officer</t>
        </is>
      </c>
      <c r="J306" s="21" t="n">
        <v>240992</v>
      </c>
      <c r="K306" s="21" t="n">
        <v>371250</v>
      </c>
      <c r="L306" s="21" t="n">
        <v>612242</v>
      </c>
      <c r="M306" s="21" t="n">
        <v>249</v>
      </c>
      <c r="N306" s="21" t="n">
        <v>36229</v>
      </c>
      <c r="O306" s="21" t="n">
        <v>36641</v>
      </c>
      <c r="P306" s="21" t="n">
        <v>685361</v>
      </c>
      <c r="Q306" s="21" t="n">
        <v>685361</v>
      </c>
      <c r="R306" s="21">
        <f>IF(Q306="","",Q306*(1+in_GrowthRate)^(YEARFRAC(DATE(2023,9,30),in_AgeToDate)*IF(in_AgeToDate&lt;DATE(2023,9,30),-1,1)+1))</f>
        <v/>
      </c>
      <c r="S306" s="38" t="n">
        <v>1.540507568715974</v>
      </c>
      <c r="T306" s="43">
        <f>HYPERLINK("https://projects.propublica.org/nonprofits/organizations/530206027/202442289349302354/full","view filing")</f>
        <v/>
      </c>
    </row>
    <row r="307">
      <c r="A307" t="inlineStr">
        <is>
          <t>Spelman College</t>
        </is>
      </c>
      <c r="B307" s="20" t="inlineStr">
        <is>
          <t>GA</t>
        </is>
      </c>
      <c r="C307" s="42" t="n">
        <v>0.57</v>
      </c>
      <c r="D307" t="inlineStr">
        <is>
          <t>Endowment</t>
        </is>
      </c>
      <c r="E307" s="20" t="n">
        <v>2023</v>
      </c>
      <c r="F307" s="20" t="inlineStr"/>
      <c r="G307" t="inlineStr">
        <is>
          <t>Rhonda Honegan</t>
        </is>
      </c>
      <c r="H307" t="inlineStr">
        <is>
          <t>Executive Director of Investments</t>
        </is>
      </c>
      <c r="I307" t="inlineStr">
        <is>
          <t>Director of Investments</t>
        </is>
      </c>
      <c r="J307" s="21" t="n">
        <v>198114</v>
      </c>
      <c r="K307" s="21" t="n"/>
      <c r="L307" s="21" t="n">
        <v>198114</v>
      </c>
      <c r="M307" s="21" t="n"/>
      <c r="N307" s="21" t="n">
        <v>8382</v>
      </c>
      <c r="O307" s="21" t="n">
        <v>15758</v>
      </c>
      <c r="P307" s="21" t="n">
        <v>222254</v>
      </c>
      <c r="Q307" s="21" t="n">
        <v>222254</v>
      </c>
      <c r="R307" s="21">
        <f>IF(Q307="","",Q307*(1+in_GrowthRate)^(YEARFRAC(DATE(2023,6,30),in_AgeToDate)*IF(in_AgeToDate&lt;DATE(2023,6,30),-1,1)+1))</f>
        <v/>
      </c>
      <c r="S307" s="38" t="n">
        <v>0</v>
      </c>
      <c r="T307" s="43">
        <f>HYPERLINK("https://projects.propublica.org/nonprofits/organizations/580566243/202411369349312021/full","view filing")</f>
        <v/>
      </c>
    </row>
    <row r="308">
      <c r="A308" t="inlineStr">
        <is>
          <t>Spelman College</t>
        </is>
      </c>
      <c r="B308" s="20" t="inlineStr">
        <is>
          <t>GA</t>
        </is>
      </c>
      <c r="C308" s="42" t="n">
        <v>0.57</v>
      </c>
      <c r="D308" t="inlineStr">
        <is>
          <t>Endowment</t>
        </is>
      </c>
      <c r="E308" s="20" t="n">
        <v>2022</v>
      </c>
      <c r="F308" s="20" t="inlineStr"/>
      <c r="G308" t="inlineStr">
        <is>
          <t>Rhonda Honegan</t>
        </is>
      </c>
      <c r="H308" t="inlineStr">
        <is>
          <t>Director of Investment</t>
        </is>
      </c>
      <c r="I308" t="inlineStr">
        <is>
          <t>Director of Investments</t>
        </is>
      </c>
      <c r="J308" s="21" t="n">
        <v>234946</v>
      </c>
      <c r="K308" s="21" t="n"/>
      <c r="L308" s="21" t="n">
        <v>234946</v>
      </c>
      <c r="M308" s="21" t="n"/>
      <c r="N308" s="21" t="n">
        <v>16773</v>
      </c>
      <c r="O308" s="21" t="n">
        <v>22936</v>
      </c>
      <c r="P308" s="21" t="n">
        <v>274655</v>
      </c>
      <c r="Q308" s="21" t="n">
        <v>274655</v>
      </c>
      <c r="R308" s="21">
        <f>IF(Q308="","",Q308*(1+in_GrowthRate)^(YEARFRAC(DATE(2022,6,30),in_AgeToDate)*IF(in_AgeToDate&lt;DATE(2022,6,30),-1,1)+1))</f>
        <v/>
      </c>
      <c r="S308" s="38" t="n">
        <v>0</v>
      </c>
      <c r="T308" s="43">
        <f>HYPERLINK("https://projects.propublica.org/nonprofits/organizations/580566243/202311359349320406/full","view filing")</f>
        <v/>
      </c>
    </row>
    <row r="309">
      <c r="A309" t="inlineStr">
        <is>
          <t>Swarthmore College</t>
        </is>
      </c>
      <c r="B309" s="20" t="inlineStr">
        <is>
          <t>PA</t>
        </is>
      </c>
      <c r="C309" s="42" t="n">
        <v>2.84</v>
      </c>
      <c r="D309" t="inlineStr">
        <is>
          <t>Endowment</t>
        </is>
      </c>
      <c r="E309" s="20" t="n">
        <v>2025</v>
      </c>
      <c r="F309" s="20">
        <f>IF(AND(OR(in_Mode="All Funds",AND(C309&gt;=in_BandFloor,C309&lt;=in_BandCeiling,OR(in_Geography="National",COUNTIFS(lst_GeoPreset,in_Geography,lst_GeoState,B309)&gt;0,AND(in_Geography="Custom",ISNUMBER(SEARCH(B309,SUBSTITUTE(in_CustomStates," ",""))))),OR(AND(D309="Endowment",Inputs!$B$14="Y"),AND(D309="Foundation",Inputs!$B$15="Y"),AND(D309="Healthcare",Inputs!$B$16="Y"),AND(D309="Pension",Inputs!$B$17="Y"),AND(D309="OCIO",Inputs!$B$18="Y"),AND(D309="Other",Inputs!$B$19="Y")))),A309&lt;&gt;in_ClientOrg,NOT(AND(in_ExclHarvard="Y",ISNUMBER(SEARCH("Harvard",A309))))),"Y","")</f>
        <v/>
      </c>
      <c r="G309" t="inlineStr">
        <is>
          <t>Ying Han</t>
        </is>
      </c>
      <c r="H309" t="inlineStr">
        <is>
          <t>DIRECTOR OF INVESTMENTS</t>
        </is>
      </c>
      <c r="I309" t="inlineStr">
        <is>
          <t>Director of Investments</t>
        </is>
      </c>
      <c r="J309" s="21" t="n">
        <v>300444</v>
      </c>
      <c r="K309" s="21" t="n"/>
      <c r="L309" s="21" t="n">
        <v>300444</v>
      </c>
      <c r="M309" s="21" t="n"/>
      <c r="N309" s="21" t="n"/>
      <c r="O309" s="21" t="n">
        <v>29597</v>
      </c>
      <c r="P309" s="21" t="n">
        <v>330041</v>
      </c>
      <c r="Q309" s="21" t="n">
        <v>330041</v>
      </c>
      <c r="R309" s="21">
        <f>IF(Q309="","",Q309*(1+in_GrowthRate)^(YEARFRAC(DATE(2025,6,30),in_AgeToDate)*IF(in_AgeToDate&lt;DATE(2025,6,30),-1,1)+1))</f>
        <v/>
      </c>
      <c r="S309" s="38" t="n">
        <v>0</v>
      </c>
      <c r="T309" s="43">
        <f>HYPERLINK("https://projects.propublica.org/nonprofits/organizations/231352683/202621319349304407/full","view filing")</f>
        <v/>
      </c>
    </row>
    <row r="310">
      <c r="A310" t="inlineStr">
        <is>
          <t>Swarthmore College</t>
        </is>
      </c>
      <c r="B310" s="20" t="inlineStr">
        <is>
          <t>PA</t>
        </is>
      </c>
      <c r="C310" s="42" t="n">
        <v>2.84</v>
      </c>
      <c r="D310" t="inlineStr">
        <is>
          <t>Endowment</t>
        </is>
      </c>
      <c r="E310" s="20" t="n">
        <v>2023</v>
      </c>
      <c r="F310" s="20" t="inlineStr"/>
      <c r="G310" t="inlineStr">
        <is>
          <t>Frank C Grunseich</t>
        </is>
      </c>
      <c r="H310" t="inlineStr">
        <is>
          <t>DIRECTOR OF INVESTMENTS</t>
        </is>
      </c>
      <c r="I310" t="inlineStr">
        <is>
          <t>Director of Investments</t>
        </is>
      </c>
      <c r="J310" s="21" t="n">
        <v>360383</v>
      </c>
      <c r="K310" s="21" t="n"/>
      <c r="L310" s="21" t="n">
        <v>360383</v>
      </c>
      <c r="M310" s="21" t="n"/>
      <c r="N310" s="21" t="n">
        <v>30500</v>
      </c>
      <c r="O310" s="21" t="n">
        <v>27857</v>
      </c>
      <c r="P310" s="21" t="n">
        <v>418740</v>
      </c>
      <c r="Q310" s="21" t="n">
        <v>418740</v>
      </c>
      <c r="R310" s="21">
        <f>IF(Q310="","",Q310*(1+in_GrowthRate)^(YEARFRAC(DATE(2023,6,30),in_AgeToDate)*IF(in_AgeToDate&lt;DATE(2023,6,30),-1,1)+1))</f>
        <v/>
      </c>
      <c r="S310" s="38" t="n">
        <v>0</v>
      </c>
      <c r="T310" s="43">
        <f>HYPERLINK("https://projects.propublica.org/nonprofits/organizations/231352683/202401299349304150/full","view filing")</f>
        <v/>
      </c>
    </row>
    <row r="311">
      <c r="A311" t="inlineStr">
        <is>
          <t>Swarthmore College</t>
        </is>
      </c>
      <c r="B311" s="20" t="inlineStr">
        <is>
          <t>PA</t>
        </is>
      </c>
      <c r="C311" s="42" t="n">
        <v>2.84</v>
      </c>
      <c r="D311" t="inlineStr">
        <is>
          <t>Endowment</t>
        </is>
      </c>
      <c r="E311" s="20" t="n">
        <v>2022</v>
      </c>
      <c r="F311" s="20" t="inlineStr"/>
      <c r="G311" t="inlineStr">
        <is>
          <t>Frank C Grunseich</t>
        </is>
      </c>
      <c r="H311" t="inlineStr">
        <is>
          <t>DIRECTOR OF INVESTMENTS</t>
        </is>
      </c>
      <c r="I311" t="inlineStr">
        <is>
          <t>Director of Investments</t>
        </is>
      </c>
      <c r="J311" s="21" t="n">
        <v>294640</v>
      </c>
      <c r="K311" s="21" t="n"/>
      <c r="L311" s="21" t="n">
        <v>294640</v>
      </c>
      <c r="M311" s="21" t="n"/>
      <c r="N311" s="21" t="n">
        <v>28250</v>
      </c>
      <c r="O311" s="21" t="n">
        <v>27148</v>
      </c>
      <c r="P311" s="21" t="n">
        <v>350038</v>
      </c>
      <c r="Q311" s="21" t="n">
        <v>350038</v>
      </c>
      <c r="R311" s="21">
        <f>IF(Q311="","",Q311*(1+in_GrowthRate)^(YEARFRAC(DATE(2022,6,30),in_AgeToDate)*IF(in_AgeToDate&lt;DATE(2022,6,30),-1,1)+1))</f>
        <v/>
      </c>
      <c r="S311" s="38" t="n">
        <v>0</v>
      </c>
      <c r="T311" s="43">
        <f>HYPERLINK("https://projects.propublica.org/nonprofits/organizations/231352683/202301319349301635/full","view filing")</f>
        <v/>
      </c>
    </row>
    <row r="312">
      <c r="A312" t="inlineStr">
        <is>
          <t>Texas A&amp;M Foundation</t>
        </is>
      </c>
      <c r="B312" s="20" t="inlineStr">
        <is>
          <t>TX</t>
        </is>
      </c>
      <c r="C312" s="42" t="n">
        <v>3.43</v>
      </c>
      <c r="D312" t="inlineStr">
        <is>
          <t>Foundation</t>
        </is>
      </c>
      <c r="E312" s="20" t="n">
        <v>2025</v>
      </c>
      <c r="F312" s="20">
        <f>IF(AND(OR(in_Mode="All Funds",AND(C312&gt;=in_BandFloor,C312&lt;=in_BandCeiling,OR(in_Geography="National",COUNTIFS(lst_GeoPreset,in_Geography,lst_GeoState,B312)&gt;0,AND(in_Geography="Custom",ISNUMBER(SEARCH(B312,SUBSTITUTE(in_CustomStates," ",""))))),OR(AND(D312="Endowment",Inputs!$B$14="Y"),AND(D312="Foundation",Inputs!$B$15="Y"),AND(D312="Healthcare",Inputs!$B$16="Y"),AND(D312="Pension",Inputs!$B$17="Y"),AND(D312="OCIO",Inputs!$B$18="Y"),AND(D312="Other",Inputs!$B$19="Y")))),A312&lt;&gt;in_ClientOrg,NOT(AND(in_ExclHarvard="Y",ISNUMBER(SEARCH("Harvard",A312))))),"Y","")</f>
        <v/>
      </c>
      <c r="G312" t="inlineStr">
        <is>
          <t>Andrew Hill</t>
        </is>
      </c>
      <c r="H312" t="inlineStr">
        <is>
          <t>ASST DIRECTOR INVESTMENTS</t>
        </is>
      </c>
      <c r="I312" t="inlineStr">
        <is>
          <t>Director of Investments</t>
        </is>
      </c>
      <c r="J312" s="21" t="n">
        <v>201793</v>
      </c>
      <c r="K312" s="21" t="n">
        <v>92813</v>
      </c>
      <c r="L312" s="21" t="n">
        <v>294606</v>
      </c>
      <c r="M312" s="21" t="n">
        <v>810</v>
      </c>
      <c r="N312" s="21" t="n">
        <v>34057</v>
      </c>
      <c r="O312" s="21" t="n">
        <v>10647</v>
      </c>
      <c r="P312" s="21" t="n">
        <v>340120</v>
      </c>
      <c r="Q312" s="21" t="n">
        <v>340120</v>
      </c>
      <c r="R312" s="21">
        <f>IF(Q312="","",Q312*(1+in_GrowthRate)^(YEARFRAC(DATE(2025,6,30),in_AgeToDate)*IF(in_AgeToDate&lt;DATE(2025,6,30),-1,1)+1))</f>
        <v/>
      </c>
      <c r="S312" s="38" t="n">
        <v>0.4599416233466969</v>
      </c>
      <c r="T312" s="43">
        <f>HYPERLINK("https://projects.propublica.org/nonprofits/organizations/742245072/202601319349304565/full","view filing")</f>
        <v/>
      </c>
    </row>
    <row r="313">
      <c r="A313" t="inlineStr">
        <is>
          <t>Texas A&amp;M Foundation</t>
        </is>
      </c>
      <c r="B313" s="20" t="inlineStr">
        <is>
          <t>TX</t>
        </is>
      </c>
      <c r="C313" s="42" t="n">
        <v>3.43</v>
      </c>
      <c r="D313" t="inlineStr">
        <is>
          <t>Foundation</t>
        </is>
      </c>
      <c r="E313" s="20" t="n">
        <v>2025</v>
      </c>
      <c r="F313" s="20">
        <f>IF(AND(OR(in_Mode="All Funds",AND(C313&gt;=in_BandFloor,C313&lt;=in_BandCeiling,OR(in_Geography="National",COUNTIFS(lst_GeoPreset,in_Geography,lst_GeoState,B313)&gt;0,AND(in_Geography="Custom",ISNUMBER(SEARCH(B313,SUBSTITUTE(in_CustomStates," ",""))))),OR(AND(D313="Endowment",Inputs!$B$14="Y"),AND(D313="Foundation",Inputs!$B$15="Y"),AND(D313="Healthcare",Inputs!$B$16="Y"),AND(D313="Pension",Inputs!$B$17="Y"),AND(D313="OCIO",Inputs!$B$18="Y"),AND(D313="Other",Inputs!$B$19="Y")))),A313&lt;&gt;in_ClientOrg,NOT(AND(in_ExclHarvard="Y",ISNUMBER(SEARCH("Harvard",A313))))),"Y","")</f>
        <v/>
      </c>
      <c r="G313" t="inlineStr">
        <is>
          <t>Blake Mcdonald</t>
        </is>
      </c>
      <c r="H313" t="inlineStr">
        <is>
          <t>ASST DIRECTOR INVESTMENTS</t>
        </is>
      </c>
      <c r="I313" t="inlineStr">
        <is>
          <t>Director of Investments</t>
        </is>
      </c>
      <c r="J313" s="21" t="n">
        <v>193313</v>
      </c>
      <c r="K313" s="21" t="n">
        <v>91200</v>
      </c>
      <c r="L313" s="21" t="n">
        <v>284513</v>
      </c>
      <c r="M313" s="21" t="n">
        <v>432</v>
      </c>
      <c r="N313" s="21" t="n">
        <v>33377</v>
      </c>
      <c r="O313" s="21" t="n">
        <v>11790</v>
      </c>
      <c r="P313" s="21" t="n">
        <v>330112</v>
      </c>
      <c r="Q313" s="21" t="n">
        <v>330112</v>
      </c>
      <c r="R313" s="21">
        <f>IF(Q313="","",Q313*(1+in_GrowthRate)^(YEARFRAC(DATE(2025,6,30),in_AgeToDate)*IF(in_AgeToDate&lt;DATE(2025,6,30),-1,1)+1))</f>
        <v/>
      </c>
      <c r="S313" s="38" t="n">
        <v>0.4717737555156663</v>
      </c>
      <c r="T313" s="43">
        <f>HYPERLINK("https://projects.propublica.org/nonprofits/organizations/742245072/202601319349304565/full","view filing")</f>
        <v/>
      </c>
    </row>
    <row r="314">
      <c r="A314" t="inlineStr">
        <is>
          <t>Texas A&amp;M Foundation</t>
        </is>
      </c>
      <c r="B314" s="20" t="inlineStr">
        <is>
          <t>TX</t>
        </is>
      </c>
      <c r="C314" s="42" t="n">
        <v>3.43</v>
      </c>
      <c r="D314" t="inlineStr">
        <is>
          <t>Foundation</t>
        </is>
      </c>
      <c r="E314" s="20" t="n">
        <v>2025</v>
      </c>
      <c r="F314" s="20">
        <f>IF(AND(OR(in_Mode="All Funds",AND(C314&gt;=in_BandFloor,C314&lt;=in_BandCeiling,OR(in_Geography="National",COUNTIFS(lst_GeoPreset,in_Geography,lst_GeoState,B314)&gt;0,AND(in_Geography="Custom",ISNUMBER(SEARCH(B314,SUBSTITUTE(in_CustomStates," ",""))))),OR(AND(D314="Endowment",Inputs!$B$14="Y"),AND(D314="Foundation",Inputs!$B$15="Y"),AND(D314="Healthcare",Inputs!$B$16="Y"),AND(D314="Pension",Inputs!$B$17="Y"),AND(D314="OCIO",Inputs!$B$18="Y"),AND(D314="Other",Inputs!$B$19="Y")))),A314&lt;&gt;in_ClientOrg,NOT(AND(in_ExclHarvard="Y",ISNUMBER(SEARCH("Harvard",A314))))),"Y","")</f>
        <v/>
      </c>
      <c r="G314" t="inlineStr">
        <is>
          <t>Ross Willmann</t>
        </is>
      </c>
      <c r="H314" t="inlineStr">
        <is>
          <t>INVESTMENT DIRECTOR</t>
        </is>
      </c>
      <c r="I314" t="inlineStr">
        <is>
          <t>Director of Investments</t>
        </is>
      </c>
      <c r="J314" s="21" t="n">
        <v>282949</v>
      </c>
      <c r="K314" s="21" t="n">
        <v>165900</v>
      </c>
      <c r="L314" s="21" t="n">
        <v>448849</v>
      </c>
      <c r="M314" s="21" t="n">
        <v>7551</v>
      </c>
      <c r="N314" s="21" t="n">
        <v>48450</v>
      </c>
      <c r="O314" s="21" t="n">
        <v>10530</v>
      </c>
      <c r="P314" s="21" t="n">
        <v>515380</v>
      </c>
      <c r="Q314" s="21" t="n">
        <v>515380</v>
      </c>
      <c r="R314" s="21">
        <f>IF(Q314="","",Q314*(1+in_GrowthRate)^(YEARFRAC(DATE(2025,6,30),in_AgeToDate)*IF(in_AgeToDate&lt;DATE(2025,6,30),-1,1)+1))</f>
        <v/>
      </c>
      <c r="S314" s="38" t="n">
        <v>0.5863247440351441</v>
      </c>
      <c r="T314" s="43">
        <f>HYPERLINK("https://projects.propublica.org/nonprofits/organizations/742245072/202601319349304565/full","view filing")</f>
        <v/>
      </c>
    </row>
    <row r="315">
      <c r="A315" t="inlineStr">
        <is>
          <t>Texas A&amp;M Foundation</t>
        </is>
      </c>
      <c r="B315" s="20" t="inlineStr">
        <is>
          <t>TX</t>
        </is>
      </c>
      <c r="C315" s="42" t="n">
        <v>3.43</v>
      </c>
      <c r="D315" t="inlineStr">
        <is>
          <t>Foundation</t>
        </is>
      </c>
      <c r="E315" s="20" t="n">
        <v>2024</v>
      </c>
      <c r="F315" s="20" t="inlineStr"/>
      <c r="G315" t="inlineStr">
        <is>
          <t>Andrew Hill</t>
        </is>
      </c>
      <c r="H315" t="inlineStr">
        <is>
          <t>ASST DIRECTOR OF INVESTMENTS</t>
        </is>
      </c>
      <c r="I315" t="inlineStr">
        <is>
          <t>Director of Investments</t>
        </is>
      </c>
      <c r="J315" s="21" t="n">
        <v>193726</v>
      </c>
      <c r="K315" s="21" t="n">
        <v>86688</v>
      </c>
      <c r="L315" s="21" t="n">
        <v>280414</v>
      </c>
      <c r="M315" s="21" t="n">
        <v>810</v>
      </c>
      <c r="N315" s="21" t="n">
        <v>32753</v>
      </c>
      <c r="O315" s="21" t="n">
        <v>10194</v>
      </c>
      <c r="P315" s="21" t="n">
        <v>324171</v>
      </c>
      <c r="Q315" s="21" t="n">
        <v>324171</v>
      </c>
      <c r="R315" s="21">
        <f>IF(Q315="","",Q315*(1+in_GrowthRate)^(YEARFRAC(DATE(2024,6,30),in_AgeToDate)*IF(in_AgeToDate&lt;DATE(2024,6,30),-1,1)+1))</f>
        <v/>
      </c>
      <c r="S315" s="38" t="n">
        <v>0.4474773649381085</v>
      </c>
      <c r="T315" s="43">
        <f>HYPERLINK("https://projects.propublica.org/nonprofits/organizations/742245072/202521219349302817/full","view filing")</f>
        <v/>
      </c>
    </row>
    <row r="316">
      <c r="A316" t="inlineStr">
        <is>
          <t>Texas A&amp;M Foundation</t>
        </is>
      </c>
      <c r="B316" s="20" t="inlineStr">
        <is>
          <t>TX</t>
        </is>
      </c>
      <c r="C316" s="42" t="n">
        <v>3.43</v>
      </c>
      <c r="D316" t="inlineStr">
        <is>
          <t>Foundation</t>
        </is>
      </c>
      <c r="E316" s="20" t="n">
        <v>2024</v>
      </c>
      <c r="F316" s="20" t="inlineStr"/>
      <c r="G316" t="inlineStr">
        <is>
          <t>Blake Mcdonald</t>
        </is>
      </c>
      <c r="H316" t="inlineStr">
        <is>
          <t>ASST DIRECTOR OF INVESTMENTS</t>
        </is>
      </c>
      <c r="I316" t="inlineStr">
        <is>
          <t>Director of Investments</t>
        </is>
      </c>
      <c r="J316" s="21" t="n">
        <v>177465</v>
      </c>
      <c r="K316" s="21" t="n">
        <v>85313</v>
      </c>
      <c r="L316" s="21" t="n">
        <v>262778</v>
      </c>
      <c r="M316" s="21" t="n">
        <v>432</v>
      </c>
      <c r="N316" s="21" t="n">
        <v>30713</v>
      </c>
      <c r="O316" s="21" t="n">
        <v>10209</v>
      </c>
      <c r="P316" s="21" t="n">
        <v>304132</v>
      </c>
      <c r="Q316" s="21" t="n">
        <v>304132</v>
      </c>
      <c r="R316" s="21">
        <f>IF(Q316="","",Q316*(1+in_GrowthRate)^(YEARFRAC(DATE(2024,6,30),in_AgeToDate)*IF(in_AgeToDate&lt;DATE(2024,6,30),-1,1)+1))</f>
        <v/>
      </c>
      <c r="S316" s="38" t="n">
        <v>0.4807314118276843</v>
      </c>
      <c r="T316" s="43">
        <f>HYPERLINK("https://projects.propublica.org/nonprofits/organizations/742245072/202521219349302817/full","view filing")</f>
        <v/>
      </c>
    </row>
    <row r="317">
      <c r="A317" t="inlineStr">
        <is>
          <t>Texas A&amp;M Foundation</t>
        </is>
      </c>
      <c r="B317" s="20" t="inlineStr">
        <is>
          <t>TX</t>
        </is>
      </c>
      <c r="C317" s="42" t="n">
        <v>3.43</v>
      </c>
      <c r="D317" t="inlineStr">
        <is>
          <t>Foundation</t>
        </is>
      </c>
      <c r="E317" s="20" t="n">
        <v>2024</v>
      </c>
      <c r="F317" s="20" t="inlineStr"/>
      <c r="G317" t="inlineStr">
        <is>
          <t>Ross Willmann</t>
        </is>
      </c>
      <c r="H317" t="inlineStr">
        <is>
          <t>INVESTMENT DIRECTOR</t>
        </is>
      </c>
      <c r="I317" t="inlineStr">
        <is>
          <t>Director of Investments</t>
        </is>
      </c>
      <c r="J317" s="21" t="n">
        <v>268095</v>
      </c>
      <c r="K317" s="21" t="n">
        <v>153038</v>
      </c>
      <c r="L317" s="21" t="n">
        <v>421133</v>
      </c>
      <c r="M317" s="21" t="n">
        <v>7251</v>
      </c>
      <c r="N317" s="21" t="n">
        <v>45900</v>
      </c>
      <c r="O317" s="21" t="n">
        <v>10194</v>
      </c>
      <c r="P317" s="21" t="n">
        <v>484478</v>
      </c>
      <c r="Q317" s="21" t="n">
        <v>484478</v>
      </c>
      <c r="R317" s="21">
        <f>IF(Q317="","",Q317*(1+in_GrowthRate)^(YEARFRAC(DATE(2024,6,30),in_AgeToDate)*IF(in_AgeToDate&lt;DATE(2024,6,30),-1,1)+1))</f>
        <v/>
      </c>
      <c r="S317" s="38" t="n">
        <v>0.5708349652175535</v>
      </c>
      <c r="T317" s="43">
        <f>HYPERLINK("https://projects.propublica.org/nonprofits/organizations/742245072/202521219349302817/full","view filing")</f>
        <v/>
      </c>
    </row>
    <row r="318">
      <c r="A318" t="inlineStr">
        <is>
          <t>Texas A&amp;M Foundation</t>
        </is>
      </c>
      <c r="B318" s="20" t="inlineStr">
        <is>
          <t>TX</t>
        </is>
      </c>
      <c r="C318" s="42" t="n">
        <v>3.43</v>
      </c>
      <c r="D318" t="inlineStr">
        <is>
          <t>Foundation</t>
        </is>
      </c>
      <c r="E318" s="20" t="n">
        <v>2023</v>
      </c>
      <c r="F318" s="20" t="inlineStr"/>
      <c r="G318" t="inlineStr">
        <is>
          <t>Ross Willmann</t>
        </is>
      </c>
      <c r="H318" t="inlineStr">
        <is>
          <t>INVESTMENT DIRECTOR</t>
        </is>
      </c>
      <c r="I318" t="inlineStr">
        <is>
          <t>Director of Investments</t>
        </is>
      </c>
      <c r="J318" s="21" t="n">
        <v>237153</v>
      </c>
      <c r="K318" s="21" t="n">
        <v>142175</v>
      </c>
      <c r="L318" s="21" t="n">
        <v>379328</v>
      </c>
      <c r="M318" s="21" t="n">
        <v>6936</v>
      </c>
      <c r="N318" s="21" t="n">
        <v>40860</v>
      </c>
      <c r="O318" s="21" t="n">
        <v>10388</v>
      </c>
      <c r="P318" s="21" t="n">
        <v>437512</v>
      </c>
      <c r="Q318" s="21" t="n">
        <v>437512</v>
      </c>
      <c r="R318" s="21">
        <f>IF(Q318="","",Q318*(1+in_GrowthRate)^(YEARFRAC(DATE(2023,6,30),in_AgeToDate)*IF(in_AgeToDate&lt;DATE(2023,6,30),-1,1)+1))</f>
        <v/>
      </c>
      <c r="S318" s="38" t="n">
        <v>0.5995074909446644</v>
      </c>
      <c r="T318" s="43">
        <f>HYPERLINK("https://projects.propublica.org/nonprofits/organizations/742245072/202431219349302578/full","view filing")</f>
        <v/>
      </c>
    </row>
    <row r="319">
      <c r="A319" t="inlineStr">
        <is>
          <t>Texas A&amp;M Foundation</t>
        </is>
      </c>
      <c r="B319" s="20" t="inlineStr">
        <is>
          <t>TX</t>
        </is>
      </c>
      <c r="C319" s="42" t="n">
        <v>3.43</v>
      </c>
      <c r="D319" t="inlineStr">
        <is>
          <t>Foundation</t>
        </is>
      </c>
      <c r="E319" s="20" t="n">
        <v>2022</v>
      </c>
      <c r="F319" s="20" t="inlineStr"/>
      <c r="G319" t="inlineStr">
        <is>
          <t>Ross Willmann</t>
        </is>
      </c>
      <c r="H319" t="inlineStr">
        <is>
          <t>INVESTMENT DIRECTOR</t>
        </is>
      </c>
      <c r="I319" t="inlineStr">
        <is>
          <t>Director of Investments</t>
        </is>
      </c>
      <c r="J319" s="21" t="n">
        <v>219481</v>
      </c>
      <c r="K319" s="21" t="n">
        <v>42349</v>
      </c>
      <c r="L319" s="21" t="n">
        <v>261830</v>
      </c>
      <c r="M319" s="21" t="n">
        <v>4691</v>
      </c>
      <c r="N319" s="21" t="n">
        <v>37855</v>
      </c>
      <c r="O319" s="21" t="n">
        <v>10510</v>
      </c>
      <c r="P319" s="21" t="n">
        <v>314886</v>
      </c>
      <c r="Q319" s="21" t="n">
        <v>314886</v>
      </c>
      <c r="R319" s="21">
        <f>IF(Q319="","",Q319*(1+in_GrowthRate)^(YEARFRAC(DATE(2022,6,30),in_AgeToDate)*IF(in_AgeToDate&lt;DATE(2022,6,30),-1,1)+1))</f>
        <v/>
      </c>
      <c r="S319" s="38" t="n">
        <v>0.1929506426524392</v>
      </c>
      <c r="T319" s="43">
        <f>HYPERLINK("https://projects.propublica.org/nonprofits/organizations/742245072/202301299349302895/full","view filing")</f>
        <v/>
      </c>
    </row>
    <row r="320">
      <c r="A320" t="inlineStr">
        <is>
          <t>Texas A&amp;M Foundation</t>
        </is>
      </c>
      <c r="B320" s="20" t="inlineStr">
        <is>
          <t>TX</t>
        </is>
      </c>
      <c r="C320" s="42" t="n">
        <v>3.43</v>
      </c>
      <c r="D320" t="inlineStr">
        <is>
          <t>Foundation</t>
        </is>
      </c>
      <c r="E320" s="20" t="n">
        <v>2022</v>
      </c>
      <c r="F320" s="20" t="inlineStr"/>
      <c r="G320" t="inlineStr">
        <is>
          <t>Roy Harvey Ii</t>
        </is>
      </c>
      <c r="H320" t="inlineStr">
        <is>
          <t>INVESTMENT DIRECTOR</t>
        </is>
      </c>
      <c r="I320" t="inlineStr">
        <is>
          <t>Director of Investments</t>
        </is>
      </c>
      <c r="J320" s="21" t="n">
        <v>230136</v>
      </c>
      <c r="K320" s="21" t="n">
        <v>77355</v>
      </c>
      <c r="L320" s="21" t="n">
        <v>307491</v>
      </c>
      <c r="M320" s="21" t="n">
        <v>3101</v>
      </c>
      <c r="N320" s="21" t="n">
        <v>41048</v>
      </c>
      <c r="O320" s="21" t="n">
        <v>22709</v>
      </c>
      <c r="P320" s="21" t="n">
        <v>374349</v>
      </c>
      <c r="Q320" s="21" t="n">
        <v>374349</v>
      </c>
      <c r="R320" s="21">
        <f>IF(Q320="","",Q320*(1+in_GrowthRate)^(YEARFRAC(DATE(2022,6,30),in_AgeToDate)*IF(in_AgeToDate&lt;DATE(2022,6,30),-1,1)+1))</f>
        <v/>
      </c>
      <c r="S320" s="38" t="n">
        <v>0.3361273334028574</v>
      </c>
      <c r="T320" s="43">
        <f>HYPERLINK("https://projects.propublica.org/nonprofits/organizations/742245072/202301299349302895/full","view filing")</f>
        <v/>
      </c>
    </row>
    <row r="321">
      <c r="A321" t="inlineStr">
        <is>
          <t>Texas Scottish Rite Hospital For Children</t>
        </is>
      </c>
      <c r="B321" s="20" t="inlineStr">
        <is>
          <t>TX</t>
        </is>
      </c>
      <c r="C321" s="42" t="n">
        <v>4.31</v>
      </c>
      <c r="D321" t="inlineStr">
        <is>
          <t>Healthcare</t>
        </is>
      </c>
      <c r="E321" s="20" t="n">
        <v>2024</v>
      </c>
      <c r="F321" s="20" t="inlineStr"/>
      <c r="G321" t="inlineStr">
        <is>
          <t>Kris L Keever-Smith</t>
        </is>
      </c>
      <c r="H321" t="inlineStr">
        <is>
          <t>VP INVESTMENTS</t>
        </is>
      </c>
      <c r="I321" t="inlineStr">
        <is>
          <t>Director of Investments</t>
        </is>
      </c>
      <c r="J321" s="21" t="n">
        <v>328000</v>
      </c>
      <c r="K321" s="21" t="n"/>
      <c r="L321" s="21" t="n">
        <v>328000</v>
      </c>
      <c r="M321" s="21" t="n">
        <v>49249</v>
      </c>
      <c r="N321" s="21" t="n">
        <v>134882</v>
      </c>
      <c r="O321" s="21" t="n">
        <v>1696</v>
      </c>
      <c r="P321" s="21" t="n">
        <v>513827</v>
      </c>
      <c r="Q321" s="21" t="n">
        <v>513827</v>
      </c>
      <c r="R321" s="21">
        <f>IF(Q321="","",Q321*(1+in_GrowthRate)^(YEARFRAC(DATE(2024,9,30),in_AgeToDate)*IF(in_AgeToDate&lt;DATE(2024,9,30),-1,1)+1))</f>
        <v/>
      </c>
      <c r="S321" s="38" t="n">
        <v>0</v>
      </c>
      <c r="T321" s="43">
        <f>HYPERLINK("https://projects.propublica.org/nonprofits/organizations/750818178/202542279349301519/full","view filing")</f>
        <v/>
      </c>
    </row>
    <row r="322">
      <c r="A322" t="inlineStr">
        <is>
          <t>Texas Scottish Rite Hospital For Children</t>
        </is>
      </c>
      <c r="B322" s="20" t="inlineStr">
        <is>
          <t>TX</t>
        </is>
      </c>
      <c r="C322" s="42" t="n">
        <v>4.31</v>
      </c>
      <c r="D322" t="inlineStr">
        <is>
          <t>Healthcare</t>
        </is>
      </c>
      <c r="E322" s="20" t="n">
        <v>2023</v>
      </c>
      <c r="F322" s="20" t="inlineStr"/>
      <c r="G322" t="inlineStr">
        <is>
          <t>Kris L Keever-Smith</t>
        </is>
      </c>
      <c r="H322" t="inlineStr">
        <is>
          <t>VP INVESTMENTS</t>
        </is>
      </c>
      <c r="I322" t="inlineStr">
        <is>
          <t>Director of Investments</t>
        </is>
      </c>
      <c r="J322" s="21" t="n">
        <v>314002</v>
      </c>
      <c r="K322" s="21" t="n"/>
      <c r="L322" s="21" t="n">
        <v>314002</v>
      </c>
      <c r="M322" s="21" t="n">
        <v>25570</v>
      </c>
      <c r="N322" s="21" t="n">
        <v>229933</v>
      </c>
      <c r="O322" s="21" t="n">
        <v>1656</v>
      </c>
      <c r="P322" s="21" t="n">
        <v>571161</v>
      </c>
      <c r="Q322" s="21" t="n">
        <v>571161</v>
      </c>
      <c r="R322" s="21">
        <f>IF(Q322="","",Q322*(1+in_GrowthRate)^(YEARFRAC(DATE(2023,9,30),in_AgeToDate)*IF(in_AgeToDate&lt;DATE(2023,9,30),-1,1)+1))</f>
        <v/>
      </c>
      <c r="S322" s="38" t="n">
        <v>0</v>
      </c>
      <c r="T322" s="43">
        <f>HYPERLINK("https://projects.propublica.org/nonprofits/organizations/750818178/202402289349303555/full","view filing")</f>
        <v/>
      </c>
    </row>
    <row r="323">
      <c r="A323" t="inlineStr">
        <is>
          <t>Texas Scottish Rite Hospital For Children</t>
        </is>
      </c>
      <c r="B323" s="20" t="inlineStr">
        <is>
          <t>TX</t>
        </is>
      </c>
      <c r="C323" s="42" t="n">
        <v>4.31</v>
      </c>
      <c r="D323" t="inlineStr">
        <is>
          <t>Healthcare</t>
        </is>
      </c>
      <c r="E323" s="20" t="n">
        <v>2022</v>
      </c>
      <c r="F323" s="20" t="inlineStr"/>
      <c r="G323" t="inlineStr">
        <is>
          <t>Kristina L Keever-Smith</t>
        </is>
      </c>
      <c r="H323" t="inlineStr">
        <is>
          <t>VP, INVESTMENTS</t>
        </is>
      </c>
      <c r="I323" t="inlineStr">
        <is>
          <t>Director of Investments</t>
        </is>
      </c>
      <c r="J323" s="21" t="n">
        <v>295664</v>
      </c>
      <c r="K323" s="21" t="n"/>
      <c r="L323" s="21" t="n">
        <v>295664</v>
      </c>
      <c r="M323" s="21" t="n">
        <v>24199</v>
      </c>
      <c r="N323" s="21" t="n">
        <v>194558</v>
      </c>
      <c r="O323" s="21" t="n">
        <v>1611</v>
      </c>
      <c r="P323" s="21" t="n">
        <v>516032</v>
      </c>
      <c r="Q323" s="21" t="n">
        <v>516032</v>
      </c>
      <c r="R323" s="21">
        <f>IF(Q323="","",Q323*(1+in_GrowthRate)^(YEARFRAC(DATE(2022,9,30),in_AgeToDate)*IF(in_AgeToDate&lt;DATE(2022,9,30),-1,1)+1))</f>
        <v/>
      </c>
      <c r="S323" s="38" t="n">
        <v>0</v>
      </c>
      <c r="T323" s="43">
        <f>HYPERLINK("https://projects.propublica.org/nonprofits/organizations/750818178/202302269349303260/full","view filing")</f>
        <v/>
      </c>
    </row>
    <row r="324">
      <c r="A324" t="inlineStr">
        <is>
          <t>The Annenberg Foundation</t>
        </is>
      </c>
      <c r="B324" s="20" t="inlineStr">
        <is>
          <t>PA</t>
        </is>
      </c>
      <c r="C324" s="42" t="n">
        <v>1.34</v>
      </c>
      <c r="D324" t="inlineStr">
        <is>
          <t>Foundation</t>
        </is>
      </c>
      <c r="E324" s="20" t="n">
        <v>2024</v>
      </c>
      <c r="F324" s="20">
        <f>IF(AND(OR(in_Mode="All Funds",AND(C324&gt;=in_BandFloor,C324&lt;=in_BandCeiling,OR(in_Geography="National",COUNTIFS(lst_GeoPreset,in_Geography,lst_GeoState,B324)&gt;0,AND(in_Geography="Custom",ISNUMBER(SEARCH(B324,SUBSTITUTE(in_CustomStates," ",""))))),OR(AND(D324="Endowment",Inputs!$B$14="Y"),AND(D324="Foundation",Inputs!$B$15="Y"),AND(D324="Healthcare",Inputs!$B$16="Y"),AND(D324="Pension",Inputs!$B$17="Y"),AND(D324="OCIO",Inputs!$B$18="Y"),AND(D324="Other",Inputs!$B$19="Y")))),A324&lt;&gt;in_ClientOrg,NOT(AND(in_ExclHarvard="Y",ISNUMBER(SEARCH("Harvard",A324))))),"Y","")</f>
        <v/>
      </c>
      <c r="G324" t="inlineStr">
        <is>
          <t>Paul J Manganiello</t>
        </is>
      </c>
      <c r="H324" t="inlineStr">
        <is>
          <t>DIRECTOR OF INVEST/TREASURER</t>
        </is>
      </c>
      <c r="I324" t="inlineStr">
        <is>
          <t>Director of Investments</t>
        </is>
      </c>
      <c r="J324" s="21" t="n"/>
      <c r="K324" s="21" t="n"/>
      <c r="L324" s="21" t="n"/>
      <c r="M324" s="21" t="n"/>
      <c r="N324" s="21" t="n"/>
      <c r="O324" s="21" t="n">
        <v>144878</v>
      </c>
      <c r="P324" s="21" t="n">
        <v>491710</v>
      </c>
      <c r="Q324" s="21" t="n">
        <v>491710</v>
      </c>
      <c r="R324" s="21">
        <f>IF(Q324="","",Q324*(1+in_GrowthRate)^(YEARFRAC(DATE(2024,12,31),in_AgeToDate)*IF(in_AgeToDate&lt;DATE(2024,12,31),-1,1)+1))</f>
        <v/>
      </c>
      <c r="S324" s="38" t="n"/>
      <c r="T324" s="43">
        <f>HYPERLINK("https://projects.propublica.org/nonprofits/organizations/236257083/202543219349108909/full","view filing")</f>
        <v/>
      </c>
    </row>
    <row r="325">
      <c r="A325" t="inlineStr">
        <is>
          <t>The Annenberg Foundation</t>
        </is>
      </c>
      <c r="B325" s="20" t="inlineStr">
        <is>
          <t>PA</t>
        </is>
      </c>
      <c r="C325" s="42" t="n">
        <v>1.34</v>
      </c>
      <c r="D325" t="inlineStr">
        <is>
          <t>Foundation</t>
        </is>
      </c>
      <c r="E325" s="20" t="n">
        <v>2023</v>
      </c>
      <c r="F325" s="20" t="inlineStr"/>
      <c r="G325" t="inlineStr">
        <is>
          <t>Paul J Manganiello</t>
        </is>
      </c>
      <c r="H325" t="inlineStr">
        <is>
          <t>DIRECTOR OF INVEST/TREASURER</t>
        </is>
      </c>
      <c r="I325" t="inlineStr">
        <is>
          <t>Director of Investments</t>
        </is>
      </c>
      <c r="J325" s="21" t="n"/>
      <c r="K325" s="21" t="n"/>
      <c r="L325" s="21" t="n"/>
      <c r="M325" s="21" t="n"/>
      <c r="N325" s="21" t="n"/>
      <c r="O325" s="21" t="n">
        <v>139858</v>
      </c>
      <c r="P325" s="21" t="n">
        <v>473313</v>
      </c>
      <c r="Q325" s="21" t="n">
        <v>473313</v>
      </c>
      <c r="R325" s="21">
        <f>IF(Q325="","",Q325*(1+in_GrowthRate)^(YEARFRAC(DATE(2023,12,31),in_AgeToDate)*IF(in_AgeToDate&lt;DATE(2023,12,31),-1,1)+1))</f>
        <v/>
      </c>
      <c r="S325" s="38" t="n"/>
      <c r="T325" s="43">
        <f>HYPERLINK("https://projects.propublica.org/nonprofits/organizations/236257083/202443199349100629/full","view filing")</f>
        <v/>
      </c>
    </row>
    <row r="326">
      <c r="A326" t="inlineStr">
        <is>
          <t>The Annenberg Foundation</t>
        </is>
      </c>
      <c r="B326" s="20" t="inlineStr">
        <is>
          <t>PA</t>
        </is>
      </c>
      <c r="C326" s="42" t="n">
        <v>1.34</v>
      </c>
      <c r="D326" t="inlineStr">
        <is>
          <t>Foundation</t>
        </is>
      </c>
      <c r="E326" s="20" t="n">
        <v>2022</v>
      </c>
      <c r="F326" s="20" t="inlineStr"/>
      <c r="G326" t="inlineStr">
        <is>
          <t>Paul J Manganiello</t>
        </is>
      </c>
      <c r="H326" t="inlineStr">
        <is>
          <t>DIRECTOR OF INVEST/TREASURER</t>
        </is>
      </c>
      <c r="I326" t="inlineStr">
        <is>
          <t>Director of Investments</t>
        </is>
      </c>
      <c r="J326" s="21" t="n"/>
      <c r="K326" s="21" t="n"/>
      <c r="L326" s="21" t="n"/>
      <c r="M326" s="21" t="n"/>
      <c r="N326" s="21" t="n"/>
      <c r="O326" s="21" t="n">
        <v>131786</v>
      </c>
      <c r="P326" s="21" t="n">
        <v>454998</v>
      </c>
      <c r="Q326" s="21" t="n">
        <v>454998</v>
      </c>
      <c r="R326" s="21">
        <f>IF(Q326="","",Q326*(1+in_GrowthRate)^(YEARFRAC(DATE(2022,12,31),in_AgeToDate)*IF(in_AgeToDate&lt;DATE(2022,12,31),-1,1)+1))</f>
        <v/>
      </c>
      <c r="S326" s="38" t="n"/>
      <c r="T326" s="43">
        <f>HYPERLINK("https://projects.propublica.org/nonprofits/organizations/236257083/202333199349108268/full","view filing")</f>
        <v/>
      </c>
    </row>
    <row r="327">
      <c r="A327" t="inlineStr">
        <is>
          <t>The Chicago Community Trust</t>
        </is>
      </c>
      <c r="B327" s="20" t="inlineStr">
        <is>
          <t>IL</t>
        </is>
      </c>
      <c r="C327" s="42" t="n">
        <v>6.48</v>
      </c>
      <c r="D327" t="inlineStr">
        <is>
          <t>Foundation</t>
        </is>
      </c>
      <c r="E327" s="20" t="n">
        <v>2025</v>
      </c>
      <c r="F327" s="20">
        <f>IF(AND(OR(in_Mode="All Funds",AND(C327&gt;=in_BandFloor,C327&lt;=in_BandCeiling,OR(in_Geography="National",COUNTIFS(lst_GeoPreset,in_Geography,lst_GeoState,B327)&gt;0,AND(in_Geography="Custom",ISNUMBER(SEARCH(B327,SUBSTITUTE(in_CustomStates," ",""))))),OR(AND(D327="Endowment",Inputs!$B$14="Y"),AND(D327="Foundation",Inputs!$B$15="Y"),AND(D327="Healthcare",Inputs!$B$16="Y"),AND(D327="Pension",Inputs!$B$17="Y"),AND(D327="OCIO",Inputs!$B$18="Y"),AND(D327="Other",Inputs!$B$19="Y")))),A327&lt;&gt;in_ClientOrg,NOT(AND(in_ExclHarvard="Y",ISNUMBER(SEARCH("Harvard",A327))))),"Y","")</f>
        <v/>
      </c>
      <c r="G327" t="inlineStr">
        <is>
          <t>Laura Kernaghan</t>
        </is>
      </c>
      <c r="H327" t="inlineStr">
        <is>
          <t>Sr. Director of Investments</t>
        </is>
      </c>
      <c r="I327" t="inlineStr">
        <is>
          <t>Director of Investments</t>
        </is>
      </c>
      <c r="J327" s="21" t="n">
        <v>161960</v>
      </c>
      <c r="K327" s="21" t="n"/>
      <c r="L327" s="21" t="n">
        <v>161960</v>
      </c>
      <c r="M327" s="21" t="n">
        <v>300</v>
      </c>
      <c r="N327" s="21" t="n">
        <v>13616</v>
      </c>
      <c r="O327" s="21" t="n"/>
      <c r="P327" s="21" t="n">
        <v>175876</v>
      </c>
      <c r="Q327" s="21" t="n">
        <v>175876</v>
      </c>
      <c r="R327" s="21">
        <f>IF(Q327="","",Q327*(1+in_GrowthRate)^(YEARFRAC(DATE(2025,9,30),in_AgeToDate)*IF(in_AgeToDate&lt;DATE(2025,9,30),-1,1)+1))</f>
        <v/>
      </c>
      <c r="S327" s="38" t="n">
        <v>0</v>
      </c>
      <c r="T327" s="43">
        <f>HYPERLINK("https://projects.propublica.org/nonprofits/organizations/362167000/202632239349302058/full","view filing")</f>
        <v/>
      </c>
    </row>
    <row r="328">
      <c r="A328" t="inlineStr">
        <is>
          <t>The Grace And Mercy Foundation Inc</t>
        </is>
      </c>
      <c r="B328" s="20" t="inlineStr">
        <is>
          <t>NY</t>
        </is>
      </c>
      <c r="C328" s="42" t="n">
        <v>0.59</v>
      </c>
      <c r="D328" t="inlineStr">
        <is>
          <t>Foundation</t>
        </is>
      </c>
      <c r="E328" s="20" t="n">
        <v>2024</v>
      </c>
      <c r="F328" s="20">
        <f>IF(AND(OR(in_Mode="All Funds",AND(C328&gt;=in_BandFloor,C328&lt;=in_BandCeiling,OR(in_Geography="National",COUNTIFS(lst_GeoPreset,in_Geography,lst_GeoState,B328)&gt;0,AND(in_Geography="Custom",ISNUMBER(SEARCH(B328,SUBSTITUTE(in_CustomStates," ",""))))),OR(AND(D328="Endowment",Inputs!$B$14="Y"),AND(D328="Foundation",Inputs!$B$15="Y"),AND(D328="Healthcare",Inputs!$B$16="Y"),AND(D328="Pension",Inputs!$B$17="Y"),AND(D328="OCIO",Inputs!$B$18="Y"),AND(D328="Other",Inputs!$B$19="Y")))),A328&lt;&gt;in_ClientOrg,NOT(AND(in_ExclHarvard="Y",ISNUMBER(SEARCH("Harvard",A328))))),"Y","")</f>
        <v/>
      </c>
      <c r="G328" t="inlineStr">
        <is>
          <t>Brandon Berger</t>
        </is>
      </c>
      <c r="H328" t="inlineStr">
        <is>
          <t>INVESTMENT OFFICER</t>
        </is>
      </c>
      <c r="I328" t="inlineStr">
        <is>
          <t>Investment Officer</t>
        </is>
      </c>
      <c r="J328" s="21" t="n"/>
      <c r="K328" s="21" t="n"/>
      <c r="L328" s="21" t="n"/>
      <c r="M328" s="21" t="n"/>
      <c r="N328" s="21" t="n"/>
      <c r="O328" s="21" t="n"/>
      <c r="P328" s="21" t="n">
        <v>949956</v>
      </c>
      <c r="Q328" s="21" t="n">
        <v>949956</v>
      </c>
      <c r="R328" s="21">
        <f>IF(Q328="","",Q328*(1+in_GrowthRate)^(YEARFRAC(DATE(2024,12,31),in_AgeToDate)*IF(in_AgeToDate&lt;DATE(2024,12,31),-1,1)+1))</f>
        <v/>
      </c>
      <c r="S328" s="38" t="n"/>
      <c r="T328" s="43">
        <f>HYPERLINK("https://projects.propublica.org/nonprofits/organizations/208050779/202533219349103318/full","view filing")</f>
        <v/>
      </c>
    </row>
    <row r="329">
      <c r="A329" t="inlineStr">
        <is>
          <t>The Grace And Mercy Foundation Inc</t>
        </is>
      </c>
      <c r="B329" s="20" t="inlineStr">
        <is>
          <t>NY</t>
        </is>
      </c>
      <c r="C329" s="42" t="n">
        <v>0.59</v>
      </c>
      <c r="D329" t="inlineStr">
        <is>
          <t>Foundation</t>
        </is>
      </c>
      <c r="E329" s="20" t="n">
        <v>2024</v>
      </c>
      <c r="F329" s="20">
        <f>IF(AND(OR(in_Mode="All Funds",AND(C329&gt;=in_BandFloor,C329&lt;=in_BandCeiling,OR(in_Geography="National",COUNTIFS(lst_GeoPreset,in_Geography,lst_GeoState,B329)&gt;0,AND(in_Geography="Custom",ISNUMBER(SEARCH(B329,SUBSTITUTE(in_CustomStates," ",""))))),OR(AND(D329="Endowment",Inputs!$B$14="Y"),AND(D329="Foundation",Inputs!$B$15="Y"),AND(D329="Healthcare",Inputs!$B$16="Y"),AND(D329="Pension",Inputs!$B$17="Y"),AND(D329="OCIO",Inputs!$B$18="Y"),AND(D329="Other",Inputs!$B$19="Y")))),A329&lt;&gt;in_ClientOrg,NOT(AND(in_ExclHarvard="Y",ISNUMBER(SEARCH("Harvard",A329))))),"Y","")</f>
        <v/>
      </c>
      <c r="G329" t="inlineStr">
        <is>
          <t>Daiki Taniguchi</t>
        </is>
      </c>
      <c r="H329" t="inlineStr">
        <is>
          <t>INVESTMENT OFFICER &amp;</t>
        </is>
      </c>
      <c r="I329" t="inlineStr">
        <is>
          <t>Investment Officer</t>
        </is>
      </c>
      <c r="J329" s="21" t="n"/>
      <c r="K329" s="21" t="n"/>
      <c r="L329" s="21" t="n"/>
      <c r="M329" s="21" t="n"/>
      <c r="N329" s="21" t="n"/>
      <c r="O329" s="21" t="n"/>
      <c r="P329" s="21" t="n">
        <v>716135</v>
      </c>
      <c r="Q329" s="21" t="n">
        <v>716135</v>
      </c>
      <c r="R329" s="21">
        <f>IF(Q329="","",Q329*(1+in_GrowthRate)^(YEARFRAC(DATE(2024,12,31),in_AgeToDate)*IF(in_AgeToDate&lt;DATE(2024,12,31),-1,1)+1))</f>
        <v/>
      </c>
      <c r="S329" s="38" t="n"/>
      <c r="T329" s="43">
        <f>HYPERLINK("https://projects.propublica.org/nonprofits/organizations/208050779/202533219349103318/full","view filing")</f>
        <v/>
      </c>
    </row>
    <row r="330">
      <c r="A330" t="inlineStr">
        <is>
          <t>The Grace And Mercy Foundation Inc</t>
        </is>
      </c>
      <c r="B330" s="20" t="inlineStr">
        <is>
          <t>NY</t>
        </is>
      </c>
      <c r="C330" s="42" t="n">
        <v>0.59</v>
      </c>
      <c r="D330" t="inlineStr">
        <is>
          <t>Foundation</t>
        </is>
      </c>
      <c r="E330" s="20" t="n">
        <v>2024</v>
      </c>
      <c r="F330" s="20">
        <f>IF(AND(OR(in_Mode="All Funds",AND(C330&gt;=in_BandFloor,C330&lt;=in_BandCeiling,OR(in_Geography="National",COUNTIFS(lst_GeoPreset,in_Geography,lst_GeoState,B330)&gt;0,AND(in_Geography="Custom",ISNUMBER(SEARCH(B330,SUBSTITUTE(in_CustomStates," ",""))))),OR(AND(D330="Endowment",Inputs!$B$14="Y"),AND(D330="Foundation",Inputs!$B$15="Y"),AND(D330="Healthcare",Inputs!$B$16="Y"),AND(D330="Pension",Inputs!$B$17="Y"),AND(D330="OCIO",Inputs!$B$18="Y"),AND(D330="Other",Inputs!$B$19="Y")))),A330&lt;&gt;in_ClientOrg,NOT(AND(in_ExclHarvard="Y",ISNUMBER(SEARCH("Harvard",A330))))),"Y","")</f>
        <v/>
      </c>
      <c r="G330" t="inlineStr">
        <is>
          <t>Dhani Jones</t>
        </is>
      </c>
      <c r="H330" t="inlineStr">
        <is>
          <t>INVESTMENT OFFICER</t>
        </is>
      </c>
      <c r="I330" t="inlineStr">
        <is>
          <t>Investment Officer</t>
        </is>
      </c>
      <c r="J330" s="21" t="n"/>
      <c r="K330" s="21" t="n"/>
      <c r="L330" s="21" t="n"/>
      <c r="M330" s="21" t="n"/>
      <c r="N330" s="21" t="n"/>
      <c r="O330" s="21" t="n"/>
      <c r="P330" s="21" t="n">
        <v>771456</v>
      </c>
      <c r="Q330" s="21" t="n">
        <v>771456</v>
      </c>
      <c r="R330" s="21">
        <f>IF(Q330="","",Q330*(1+in_GrowthRate)^(YEARFRAC(DATE(2024,12,31),in_AgeToDate)*IF(in_AgeToDate&lt;DATE(2024,12,31),-1,1)+1))</f>
        <v/>
      </c>
      <c r="S330" s="38" t="n"/>
      <c r="T330" s="43">
        <f>HYPERLINK("https://projects.propublica.org/nonprofits/organizations/208050779/202533219349103318/full","view filing")</f>
        <v/>
      </c>
    </row>
    <row r="331">
      <c r="A331" t="inlineStr">
        <is>
          <t>The Grace And Mercy Foundation Inc</t>
        </is>
      </c>
      <c r="B331" s="20" t="inlineStr">
        <is>
          <t>NY</t>
        </is>
      </c>
      <c r="C331" s="42" t="n">
        <v>0.59</v>
      </c>
      <c r="D331" t="inlineStr">
        <is>
          <t>Foundation</t>
        </is>
      </c>
      <c r="E331" s="20" t="n">
        <v>2024</v>
      </c>
      <c r="F331" s="20">
        <f>IF(AND(OR(in_Mode="All Funds",AND(C331&gt;=in_BandFloor,C331&lt;=in_BandCeiling,OR(in_Geography="National",COUNTIFS(lst_GeoPreset,in_Geography,lst_GeoState,B331)&gt;0,AND(in_Geography="Custom",ISNUMBER(SEARCH(B331,SUBSTITUTE(in_CustomStates," ",""))))),OR(AND(D331="Endowment",Inputs!$B$14="Y"),AND(D331="Foundation",Inputs!$B$15="Y"),AND(D331="Healthcare",Inputs!$B$16="Y"),AND(D331="Pension",Inputs!$B$17="Y"),AND(D331="OCIO",Inputs!$B$18="Y"),AND(D331="Other",Inputs!$B$19="Y")))),A331&lt;&gt;in_ClientOrg,NOT(AND(in_ExclHarvard="Y",ISNUMBER(SEARCH("Harvard",A331))))),"Y","")</f>
        <v/>
      </c>
      <c r="G331" t="inlineStr">
        <is>
          <t>Hyunwoo Nam</t>
        </is>
      </c>
      <c r="H331" t="inlineStr">
        <is>
          <t>INVESTMENT OFFICER</t>
        </is>
      </c>
      <c r="I331" t="inlineStr">
        <is>
          <t>Investment Officer</t>
        </is>
      </c>
      <c r="J331" s="21" t="n"/>
      <c r="K331" s="21" t="n"/>
      <c r="L331" s="21" t="n"/>
      <c r="M331" s="21" t="n"/>
      <c r="N331" s="21" t="n"/>
      <c r="O331" s="21" t="n"/>
      <c r="P331" s="21" t="n">
        <v>1157000</v>
      </c>
      <c r="Q331" s="21" t="n">
        <v>1157000</v>
      </c>
      <c r="R331" s="21">
        <f>IF(Q331="","",Q331*(1+in_GrowthRate)^(YEARFRAC(DATE(2024,12,31),in_AgeToDate)*IF(in_AgeToDate&lt;DATE(2024,12,31),-1,1)+1))</f>
        <v/>
      </c>
      <c r="S331" s="38" t="n"/>
      <c r="T331" s="43">
        <f>HYPERLINK("https://projects.propublica.org/nonprofits/organizations/208050779/202533219349103318/full","view filing")</f>
        <v/>
      </c>
    </row>
    <row r="332">
      <c r="A332" t="inlineStr">
        <is>
          <t>The Grace And Mercy Foundation Inc</t>
        </is>
      </c>
      <c r="B332" s="20" t="inlineStr">
        <is>
          <t>NY</t>
        </is>
      </c>
      <c r="C332" s="42" t="n">
        <v>0.59</v>
      </c>
      <c r="D332" t="inlineStr">
        <is>
          <t>Foundation</t>
        </is>
      </c>
      <c r="E332" s="20" t="n">
        <v>2024</v>
      </c>
      <c r="F332" s="20">
        <f>IF(AND(OR(in_Mode="All Funds",AND(C332&gt;=in_BandFloor,C332&lt;=in_BandCeiling,OR(in_Geography="National",COUNTIFS(lst_GeoPreset,in_Geography,lst_GeoState,B332)&gt;0,AND(in_Geography="Custom",ISNUMBER(SEARCH(B332,SUBSTITUTE(in_CustomStates," ",""))))),OR(AND(D332="Endowment",Inputs!$B$14="Y"),AND(D332="Foundation",Inputs!$B$15="Y"),AND(D332="Healthcare",Inputs!$B$16="Y"),AND(D332="Pension",Inputs!$B$17="Y"),AND(D332="OCIO",Inputs!$B$18="Y"),AND(D332="Other",Inputs!$B$19="Y")))),A332&lt;&gt;in_ClientOrg,NOT(AND(in_ExclHarvard="Y",ISNUMBER(SEARCH("Harvard",A332))))),"Y","")</f>
        <v/>
      </c>
      <c r="G332" t="inlineStr">
        <is>
          <t>Su Lee</t>
        </is>
      </c>
      <c r="H332" t="inlineStr">
        <is>
          <t>INVESTMENT OFFICER</t>
        </is>
      </c>
      <c r="I332" t="inlineStr">
        <is>
          <t>Investment Officer</t>
        </is>
      </c>
      <c r="J332" s="21" t="n"/>
      <c r="K332" s="21" t="n"/>
      <c r="L332" s="21" t="n"/>
      <c r="M332" s="21" t="n"/>
      <c r="N332" s="21" t="n"/>
      <c r="O332" s="21" t="n"/>
      <c r="P332" s="21" t="n">
        <v>790209</v>
      </c>
      <c r="Q332" s="21" t="n">
        <v>790209</v>
      </c>
      <c r="R332" s="21">
        <f>IF(Q332="","",Q332*(1+in_GrowthRate)^(YEARFRAC(DATE(2024,12,31),in_AgeToDate)*IF(in_AgeToDate&lt;DATE(2024,12,31),-1,1)+1))</f>
        <v/>
      </c>
      <c r="S332" s="38" t="n"/>
      <c r="T332" s="43">
        <f>HYPERLINK("https://projects.propublica.org/nonprofits/organizations/208050779/202533219349103318/full","view filing")</f>
        <v/>
      </c>
    </row>
    <row r="333">
      <c r="A333" t="inlineStr">
        <is>
          <t>The Grace And Mercy Foundation Inc</t>
        </is>
      </c>
      <c r="B333" s="20" t="inlineStr">
        <is>
          <t>NY</t>
        </is>
      </c>
      <c r="C333" s="42" t="n">
        <v>0.59</v>
      </c>
      <c r="D333" t="inlineStr">
        <is>
          <t>Foundation</t>
        </is>
      </c>
      <c r="E333" s="20" t="n">
        <v>2023</v>
      </c>
      <c r="F333" s="20" t="inlineStr"/>
      <c r="G333" t="inlineStr">
        <is>
          <t>Brandon Berger</t>
        </is>
      </c>
      <c r="H333" t="inlineStr">
        <is>
          <t>INVESTMENT OFFICER</t>
        </is>
      </c>
      <c r="I333" t="inlineStr">
        <is>
          <t>Investment Officer</t>
        </is>
      </c>
      <c r="J333" s="21" t="n"/>
      <c r="K333" s="21" t="n"/>
      <c r="L333" s="21" t="n"/>
      <c r="M333" s="21" t="n"/>
      <c r="N333" s="21" t="n"/>
      <c r="O333" s="21" t="n"/>
      <c r="P333" s="21" t="n">
        <v>1000621</v>
      </c>
      <c r="Q333" s="21" t="n">
        <v>1000621</v>
      </c>
      <c r="R333" s="21">
        <f>IF(Q333="","",Q333*(1+in_GrowthRate)^(YEARFRAC(DATE(2023,12,31),in_AgeToDate)*IF(in_AgeToDate&lt;DATE(2023,12,31),-1,1)+1))</f>
        <v/>
      </c>
      <c r="S333" s="38" t="n"/>
      <c r="T333" s="43">
        <f>HYPERLINK("https://projects.propublica.org/nonprofits/organizations/208050779/202423209349108592/full","view filing")</f>
        <v/>
      </c>
    </row>
    <row r="334">
      <c r="A334" t="inlineStr">
        <is>
          <t>The Grace And Mercy Foundation Inc</t>
        </is>
      </c>
      <c r="B334" s="20" t="inlineStr">
        <is>
          <t>NY</t>
        </is>
      </c>
      <c r="C334" s="42" t="n">
        <v>0.59</v>
      </c>
      <c r="D334" t="inlineStr">
        <is>
          <t>Foundation</t>
        </is>
      </c>
      <c r="E334" s="20" t="n">
        <v>2023</v>
      </c>
      <c r="F334" s="20" t="inlineStr"/>
      <c r="G334" t="inlineStr">
        <is>
          <t>Daiki Taniguchi</t>
        </is>
      </c>
      <c r="H334" t="inlineStr">
        <is>
          <t>INVESTMENT OFFICER &amp;</t>
        </is>
      </c>
      <c r="I334" t="inlineStr">
        <is>
          <t>Investment Officer</t>
        </is>
      </c>
      <c r="J334" s="21" t="n"/>
      <c r="K334" s="21" t="n"/>
      <c r="L334" s="21" t="n"/>
      <c r="M334" s="21" t="n"/>
      <c r="N334" s="21" t="n"/>
      <c r="O334" s="21" t="n"/>
      <c r="P334" s="21" t="n">
        <v>724538</v>
      </c>
      <c r="Q334" s="21" t="n">
        <v>724538</v>
      </c>
      <c r="R334" s="21">
        <f>IF(Q334="","",Q334*(1+in_GrowthRate)^(YEARFRAC(DATE(2023,12,31),in_AgeToDate)*IF(in_AgeToDate&lt;DATE(2023,12,31),-1,1)+1))</f>
        <v/>
      </c>
      <c r="S334" s="38" t="n"/>
      <c r="T334" s="43">
        <f>HYPERLINK("https://projects.propublica.org/nonprofits/organizations/208050779/202423209349108592/full","view filing")</f>
        <v/>
      </c>
    </row>
    <row r="335">
      <c r="A335" t="inlineStr">
        <is>
          <t>The Grace And Mercy Foundation Inc</t>
        </is>
      </c>
      <c r="B335" s="20" t="inlineStr">
        <is>
          <t>NY</t>
        </is>
      </c>
      <c r="C335" s="42" t="n">
        <v>0.59</v>
      </c>
      <c r="D335" t="inlineStr">
        <is>
          <t>Foundation</t>
        </is>
      </c>
      <c r="E335" s="20" t="n">
        <v>2023</v>
      </c>
      <c r="F335" s="20" t="inlineStr"/>
      <c r="G335" t="inlineStr">
        <is>
          <t>Dhani Jones</t>
        </is>
      </c>
      <c r="H335" t="inlineStr">
        <is>
          <t>INVESTMENT OFFICER</t>
        </is>
      </c>
      <c r="I335" t="inlineStr">
        <is>
          <t>Investment Officer</t>
        </is>
      </c>
      <c r="J335" s="21" t="n"/>
      <c r="K335" s="21" t="n"/>
      <c r="L335" s="21" t="n"/>
      <c r="M335" s="21" t="n"/>
      <c r="N335" s="21" t="n"/>
      <c r="O335" s="21" t="n"/>
      <c r="P335" s="21" t="n">
        <v>809769</v>
      </c>
      <c r="Q335" s="21" t="n">
        <v>809769</v>
      </c>
      <c r="R335" s="21">
        <f>IF(Q335="","",Q335*(1+in_GrowthRate)^(YEARFRAC(DATE(2023,12,31),in_AgeToDate)*IF(in_AgeToDate&lt;DATE(2023,12,31),-1,1)+1))</f>
        <v/>
      </c>
      <c r="S335" s="38" t="n"/>
      <c r="T335" s="43">
        <f>HYPERLINK("https://projects.propublica.org/nonprofits/organizations/208050779/202423209349108592/full","view filing")</f>
        <v/>
      </c>
    </row>
    <row r="336">
      <c r="A336" t="inlineStr">
        <is>
          <t>The Grace And Mercy Foundation Inc</t>
        </is>
      </c>
      <c r="B336" s="20" t="inlineStr">
        <is>
          <t>NY</t>
        </is>
      </c>
      <c r="C336" s="42" t="n">
        <v>0.59</v>
      </c>
      <c r="D336" t="inlineStr">
        <is>
          <t>Foundation</t>
        </is>
      </c>
      <c r="E336" s="20" t="n">
        <v>2023</v>
      </c>
      <c r="F336" s="20" t="inlineStr"/>
      <c r="G336" t="inlineStr">
        <is>
          <t>Hyunwoo Nam</t>
        </is>
      </c>
      <c r="H336" t="inlineStr">
        <is>
          <t>INVESTMENT OFFICER</t>
        </is>
      </c>
      <c r="I336" t="inlineStr">
        <is>
          <t>Investment Officer</t>
        </is>
      </c>
      <c r="J336" s="21" t="n"/>
      <c r="K336" s="21" t="n"/>
      <c r="L336" s="21" t="n"/>
      <c r="M336" s="21" t="n"/>
      <c r="N336" s="21" t="n"/>
      <c r="O336" s="21" t="n"/>
      <c r="P336" s="21" t="n">
        <v>1204231</v>
      </c>
      <c r="Q336" s="21" t="n">
        <v>1204231</v>
      </c>
      <c r="R336" s="21">
        <f>IF(Q336="","",Q336*(1+in_GrowthRate)^(YEARFRAC(DATE(2023,12,31),in_AgeToDate)*IF(in_AgeToDate&lt;DATE(2023,12,31),-1,1)+1))</f>
        <v/>
      </c>
      <c r="S336" s="38" t="n"/>
      <c r="T336" s="43">
        <f>HYPERLINK("https://projects.propublica.org/nonprofits/organizations/208050779/202423209349108592/full","view filing")</f>
        <v/>
      </c>
    </row>
    <row r="337">
      <c r="A337" t="inlineStr">
        <is>
          <t>The Grace And Mercy Foundation Inc</t>
        </is>
      </c>
      <c r="B337" s="20" t="inlineStr">
        <is>
          <t>NY</t>
        </is>
      </c>
      <c r="C337" s="42" t="n">
        <v>0.59</v>
      </c>
      <c r="D337" t="inlineStr">
        <is>
          <t>Foundation</t>
        </is>
      </c>
      <c r="E337" s="20" t="n">
        <v>2023</v>
      </c>
      <c r="F337" s="20" t="inlineStr"/>
      <c r="G337" t="inlineStr">
        <is>
          <t>Su Lee</t>
        </is>
      </c>
      <c r="H337" t="inlineStr">
        <is>
          <t>INVESTMENT OFFICER</t>
        </is>
      </c>
      <c r="I337" t="inlineStr">
        <is>
          <t>Investment Officer</t>
        </is>
      </c>
      <c r="J337" s="21" t="n"/>
      <c r="K337" s="21" t="n"/>
      <c r="L337" s="21" t="n"/>
      <c r="M337" s="21" t="n"/>
      <c r="N337" s="21" t="n"/>
      <c r="O337" s="21" t="n"/>
      <c r="P337" s="21" t="n">
        <v>810365</v>
      </c>
      <c r="Q337" s="21" t="n">
        <v>810365</v>
      </c>
      <c r="R337" s="21">
        <f>IF(Q337="","",Q337*(1+in_GrowthRate)^(YEARFRAC(DATE(2023,12,31),in_AgeToDate)*IF(in_AgeToDate&lt;DATE(2023,12,31),-1,1)+1))</f>
        <v/>
      </c>
      <c r="S337" s="38" t="n"/>
      <c r="T337" s="43">
        <f>HYPERLINK("https://projects.propublica.org/nonprofits/organizations/208050779/202423209349108592/full","view filing")</f>
        <v/>
      </c>
    </row>
    <row r="338">
      <c r="A338" t="inlineStr">
        <is>
          <t>The Grace And Mercy Foundation Inc</t>
        </is>
      </c>
      <c r="B338" s="20" t="inlineStr">
        <is>
          <t>NY</t>
        </is>
      </c>
      <c r="C338" s="42" t="n">
        <v>0.59</v>
      </c>
      <c r="D338" t="inlineStr">
        <is>
          <t>Foundation</t>
        </is>
      </c>
      <c r="E338" s="20" t="n">
        <v>2022</v>
      </c>
      <c r="F338" s="20" t="inlineStr"/>
      <c r="G338" t="inlineStr">
        <is>
          <t>Brandon Berger</t>
        </is>
      </c>
      <c r="H338" t="inlineStr">
        <is>
          <t>INVESTMENT OFFICER</t>
        </is>
      </c>
      <c r="I338" t="inlineStr">
        <is>
          <t>Investment Officer</t>
        </is>
      </c>
      <c r="J338" s="21" t="n"/>
      <c r="K338" s="21" t="n"/>
      <c r="L338" s="21" t="n"/>
      <c r="M338" s="21" t="n"/>
      <c r="N338" s="21" t="n"/>
      <c r="O338" s="21" t="n"/>
      <c r="P338" s="21" t="n">
        <v>537750</v>
      </c>
      <c r="Q338" s="21" t="n">
        <v>537750</v>
      </c>
      <c r="R338" s="21">
        <f>IF(Q338="","",Q338*(1+in_GrowthRate)^(YEARFRAC(DATE(2022,12,31),in_AgeToDate)*IF(in_AgeToDate&lt;DATE(2022,12,31),-1,1)+1))</f>
        <v/>
      </c>
      <c r="S338" s="38" t="n"/>
      <c r="T338" s="43">
        <f>HYPERLINK("https://projects.propublica.org/nonprofits/organizations/208050779/202333199349109618/full","view filing")</f>
        <v/>
      </c>
    </row>
    <row r="339">
      <c r="A339" t="inlineStr">
        <is>
          <t>The Grace And Mercy Foundation Inc</t>
        </is>
      </c>
      <c r="B339" s="20" t="inlineStr">
        <is>
          <t>NY</t>
        </is>
      </c>
      <c r="C339" s="42" t="n">
        <v>0.59</v>
      </c>
      <c r="D339" t="inlineStr">
        <is>
          <t>Foundation</t>
        </is>
      </c>
      <c r="E339" s="20" t="n">
        <v>2022</v>
      </c>
      <c r="F339" s="20" t="inlineStr"/>
      <c r="G339" t="inlineStr">
        <is>
          <t>Daiki Taniguchi</t>
        </is>
      </c>
      <c r="H339" t="inlineStr">
        <is>
          <t>INVESTMENT OFFICER A</t>
        </is>
      </c>
      <c r="I339" t="inlineStr">
        <is>
          <t>Investment Officer</t>
        </is>
      </c>
      <c r="J339" s="21" t="n"/>
      <c r="K339" s="21" t="n"/>
      <c r="L339" s="21" t="n"/>
      <c r="M339" s="21" t="n"/>
      <c r="N339" s="21" t="n"/>
      <c r="O339" s="21" t="n"/>
      <c r="P339" s="21" t="n">
        <v>539712</v>
      </c>
      <c r="Q339" s="21" t="n">
        <v>539712</v>
      </c>
      <c r="R339" s="21">
        <f>IF(Q339="","",Q339*(1+in_GrowthRate)^(YEARFRAC(DATE(2022,12,31),in_AgeToDate)*IF(in_AgeToDate&lt;DATE(2022,12,31),-1,1)+1))</f>
        <v/>
      </c>
      <c r="S339" s="38" t="n"/>
      <c r="T339" s="43">
        <f>HYPERLINK("https://projects.propublica.org/nonprofits/organizations/208050779/202333199349109618/full","view filing")</f>
        <v/>
      </c>
    </row>
    <row r="340">
      <c r="A340" t="inlineStr">
        <is>
          <t>The Grace And Mercy Foundation Inc</t>
        </is>
      </c>
      <c r="B340" s="20" t="inlineStr">
        <is>
          <t>NY</t>
        </is>
      </c>
      <c r="C340" s="42" t="n">
        <v>0.59</v>
      </c>
      <c r="D340" t="inlineStr">
        <is>
          <t>Foundation</t>
        </is>
      </c>
      <c r="E340" s="20" t="n">
        <v>2022</v>
      </c>
      <c r="F340" s="20" t="inlineStr"/>
      <c r="G340" t="inlineStr">
        <is>
          <t>Hyunwoo Nam</t>
        </is>
      </c>
      <c r="H340" t="inlineStr">
        <is>
          <t>INVESTMENT OFFICER</t>
        </is>
      </c>
      <c r="I340" t="inlineStr">
        <is>
          <t>Investment Officer</t>
        </is>
      </c>
      <c r="J340" s="21" t="n"/>
      <c r="K340" s="21" t="n"/>
      <c r="L340" s="21" t="n"/>
      <c r="M340" s="21" t="n"/>
      <c r="N340" s="21" t="n"/>
      <c r="O340" s="21" t="n"/>
      <c r="P340" s="21" t="n">
        <v>798750</v>
      </c>
      <c r="Q340" s="21" t="n">
        <v>798750</v>
      </c>
      <c r="R340" s="21">
        <f>IF(Q340="","",Q340*(1+in_GrowthRate)^(YEARFRAC(DATE(2022,12,31),in_AgeToDate)*IF(in_AgeToDate&lt;DATE(2022,12,31),-1,1)+1))</f>
        <v/>
      </c>
      <c r="S340" s="38" t="n"/>
      <c r="T340" s="43">
        <f>HYPERLINK("https://projects.propublica.org/nonprofits/organizations/208050779/202333199349109618/full","view filing")</f>
        <v/>
      </c>
    </row>
    <row r="341">
      <c r="A341" t="inlineStr">
        <is>
          <t>The Grace And Mercy Foundation Inc</t>
        </is>
      </c>
      <c r="B341" s="20" t="inlineStr">
        <is>
          <t>NY</t>
        </is>
      </c>
      <c r="C341" s="42" t="n">
        <v>0.59</v>
      </c>
      <c r="D341" t="inlineStr">
        <is>
          <t>Foundation</t>
        </is>
      </c>
      <c r="E341" s="20" t="n">
        <v>2022</v>
      </c>
      <c r="F341" s="20" t="inlineStr"/>
      <c r="G341" t="inlineStr">
        <is>
          <t>Su Lee</t>
        </is>
      </c>
      <c r="H341" t="inlineStr">
        <is>
          <t>INVESTMENT OFFICER</t>
        </is>
      </c>
      <c r="I341" t="inlineStr">
        <is>
          <t>Investment Officer</t>
        </is>
      </c>
      <c r="J341" s="21" t="n"/>
      <c r="K341" s="21" t="n"/>
      <c r="L341" s="21" t="n"/>
      <c r="M341" s="21" t="n"/>
      <c r="N341" s="21" t="n"/>
      <c r="O341" s="21" t="n"/>
      <c r="P341" s="21" t="n">
        <v>663073</v>
      </c>
      <c r="Q341" s="21" t="n">
        <v>663073</v>
      </c>
      <c r="R341" s="21">
        <f>IF(Q341="","",Q341*(1+in_GrowthRate)^(YEARFRAC(DATE(2022,12,31),in_AgeToDate)*IF(in_AgeToDate&lt;DATE(2022,12,31),-1,1)+1))</f>
        <v/>
      </c>
      <c r="S341" s="38" t="n"/>
      <c r="T341" s="43">
        <f>HYPERLINK("https://projects.propublica.org/nonprofits/organizations/208050779/202333199349109618/full","view filing")</f>
        <v/>
      </c>
    </row>
    <row r="342">
      <c r="A342" t="inlineStr">
        <is>
          <t>The Metropolitan Museum Of Art</t>
        </is>
      </c>
      <c r="B342" s="20" t="inlineStr">
        <is>
          <t>NY</t>
        </is>
      </c>
      <c r="C342" s="42" t="n">
        <v>5.63</v>
      </c>
      <c r="D342" t="inlineStr">
        <is>
          <t>Other</t>
        </is>
      </c>
      <c r="E342" s="20" t="n">
        <v>2025</v>
      </c>
      <c r="F342" s="20">
        <f>IF(AND(OR(in_Mode="All Funds",AND(C342&gt;=in_BandFloor,C342&lt;=in_BandCeiling,OR(in_Geography="National",COUNTIFS(lst_GeoPreset,in_Geography,lst_GeoState,B342)&gt;0,AND(in_Geography="Custom",ISNUMBER(SEARCH(B342,SUBSTITUTE(in_CustomStates," ",""))))),OR(AND(D342="Endowment",Inputs!$B$14="Y"),AND(D342="Foundation",Inputs!$B$15="Y"),AND(D342="Healthcare",Inputs!$B$16="Y"),AND(D342="Pension",Inputs!$B$17="Y"),AND(D342="OCIO",Inputs!$B$18="Y"),AND(D342="Other",Inputs!$B$19="Y")))),A342&lt;&gt;in_ClientOrg,NOT(AND(in_ExclHarvard="Y",ISNUMBER(SEARCH("Harvard",A342))))),"Y","")</f>
        <v/>
      </c>
      <c r="G342" t="inlineStr">
        <is>
          <t>Kenly Voght</t>
        </is>
      </c>
      <c r="H342" t="inlineStr">
        <is>
          <t>SENIOR INVESTMENT OFFICER</t>
        </is>
      </c>
      <c r="I342" t="inlineStr">
        <is>
          <t>Senior Investment Officer</t>
        </is>
      </c>
      <c r="J342" s="21" t="n">
        <v>488216</v>
      </c>
      <c r="K342" s="21" t="n">
        <v>600000</v>
      </c>
      <c r="L342" s="21" t="n">
        <v>1088216</v>
      </c>
      <c r="M342" s="21" t="n">
        <v>881</v>
      </c>
      <c r="N342" s="21" t="n">
        <v>37950</v>
      </c>
      <c r="O342" s="21" t="n">
        <v>28681</v>
      </c>
      <c r="P342" s="21" t="n">
        <v>1155728</v>
      </c>
      <c r="Q342" s="21" t="n">
        <v>1155728</v>
      </c>
      <c r="R342" s="21">
        <f>IF(Q342="","",Q342*(1+in_GrowthRate)^(YEARFRAC(DATE(2025,6,30),in_AgeToDate)*IF(in_AgeToDate&lt;DATE(2025,6,30),-1,1)+1))</f>
        <v/>
      </c>
      <c r="S342" s="38" t="n">
        <v>1.228964228947843</v>
      </c>
      <c r="T342" s="43">
        <f>HYPERLINK("https://projects.propublica.org/nonprofits/organizations/131624086/202600449349301510/full","view filing")</f>
        <v/>
      </c>
    </row>
    <row r="343">
      <c r="A343" t="inlineStr">
        <is>
          <t>The Metropolitan Museum Of Art</t>
        </is>
      </c>
      <c r="B343" s="20" t="inlineStr">
        <is>
          <t>NY</t>
        </is>
      </c>
      <c r="C343" s="42" t="n">
        <v>5.63</v>
      </c>
      <c r="D343" t="inlineStr">
        <is>
          <t>Other</t>
        </is>
      </c>
      <c r="E343" s="20" t="n">
        <v>2025</v>
      </c>
      <c r="F343" s="20">
        <f>IF(AND(OR(in_Mode="All Funds",AND(C343&gt;=in_BandFloor,C343&lt;=in_BandCeiling,OR(in_Geography="National",COUNTIFS(lst_GeoPreset,in_Geography,lst_GeoState,B343)&gt;0,AND(in_Geography="Custom",ISNUMBER(SEARCH(B343,SUBSTITUTE(in_CustomStates," ",""))))),OR(AND(D343="Endowment",Inputs!$B$14="Y"),AND(D343="Foundation",Inputs!$B$15="Y"),AND(D343="Healthcare",Inputs!$B$16="Y"),AND(D343="Pension",Inputs!$B$17="Y"),AND(D343="OCIO",Inputs!$B$18="Y"),AND(D343="Other",Inputs!$B$19="Y")))),A343&lt;&gt;in_ClientOrg,NOT(AND(in_ExclHarvard="Y",ISNUMBER(SEARCH("Harvard",A343))))),"Y","")</f>
        <v/>
      </c>
      <c r="G343" t="inlineStr">
        <is>
          <t>Lawrence Choi</t>
        </is>
      </c>
      <c r="H343" t="inlineStr">
        <is>
          <t>SENIOR INVESTMENT OFFICER</t>
        </is>
      </c>
      <c r="I343" t="inlineStr">
        <is>
          <t>Senior Investment Officer</t>
        </is>
      </c>
      <c r="J343" s="21" t="n">
        <v>496476</v>
      </c>
      <c r="K343" s="21" t="n">
        <v>417706</v>
      </c>
      <c r="L343" s="21" t="n">
        <v>914182</v>
      </c>
      <c r="M343" s="21" t="n">
        <v>1026</v>
      </c>
      <c r="N343" s="21" t="n">
        <v>289903</v>
      </c>
      <c r="O343" s="21" t="n">
        <v>29297</v>
      </c>
      <c r="P343" s="21" t="n">
        <v>1234408</v>
      </c>
      <c r="Q343" s="21" t="n">
        <v>1068902</v>
      </c>
      <c r="R343" s="21">
        <f>IF(Q343="","",Q343*(1+in_GrowthRate)^(YEARFRAC(DATE(2025,6,30),in_AgeToDate)*IF(in_AgeToDate&lt;DATE(2025,6,30),-1,1)+1))</f>
        <v/>
      </c>
      <c r="S343" s="38" t="n">
        <v>0.8413417768431908</v>
      </c>
      <c r="T343" s="43">
        <f>HYPERLINK("https://projects.propublica.org/nonprofits/organizations/131624086/202600449349301510/full","view filing")</f>
        <v/>
      </c>
    </row>
    <row r="344">
      <c r="A344" t="inlineStr">
        <is>
          <t>The Metropolitan Museum Of Art</t>
        </is>
      </c>
      <c r="B344" s="20" t="inlineStr">
        <is>
          <t>NY</t>
        </is>
      </c>
      <c r="C344" s="42" t="n">
        <v>5.63</v>
      </c>
      <c r="D344" t="inlineStr">
        <is>
          <t>Other</t>
        </is>
      </c>
      <c r="E344" s="20" t="n">
        <v>2024</v>
      </c>
      <c r="F344" s="20" t="inlineStr"/>
      <c r="G344" t="inlineStr">
        <is>
          <t>Lawrence Choi</t>
        </is>
      </c>
      <c r="H344" t="inlineStr">
        <is>
          <t>Senior Investment Officer</t>
        </is>
      </c>
      <c r="I344" t="inlineStr">
        <is>
          <t>Senior Investment Officer</t>
        </is>
      </c>
      <c r="J344" s="21" t="n">
        <v>476739</v>
      </c>
      <c r="K344" s="21" t="n">
        <v>304016</v>
      </c>
      <c r="L344" s="21" t="n">
        <v>780755</v>
      </c>
      <c r="M344" s="21" t="n">
        <v>891</v>
      </c>
      <c r="N344" s="21" t="n">
        <v>339515</v>
      </c>
      <c r="O344" s="21" t="n">
        <v>25626</v>
      </c>
      <c r="P344" s="21" t="n">
        <v>1146787</v>
      </c>
      <c r="Q344" s="21" t="n">
        <v>1146787</v>
      </c>
      <c r="R344" s="21">
        <f>IF(Q344="","",Q344*(1+in_GrowthRate)^(YEARFRAC(DATE(2024,6,30),in_AgeToDate)*IF(in_AgeToDate&lt;DATE(2024,6,30),-1,1)+1))</f>
        <v/>
      </c>
      <c r="S344" s="38" t="n">
        <v>0.63769903448218</v>
      </c>
      <c r="T344" s="43">
        <f>HYPERLINK("https://projects.propublica.org/nonprofits/organizations/131624086/202510499349301586/full","view filing")</f>
        <v/>
      </c>
    </row>
    <row r="345">
      <c r="A345" t="inlineStr">
        <is>
          <t>The Metropolitan Museum Of Art</t>
        </is>
      </c>
      <c r="B345" s="20" t="inlineStr">
        <is>
          <t>NY</t>
        </is>
      </c>
      <c r="C345" s="42" t="n">
        <v>5.63</v>
      </c>
      <c r="D345" t="inlineStr">
        <is>
          <t>Other</t>
        </is>
      </c>
      <c r="E345" s="20" t="n">
        <v>2023</v>
      </c>
      <c r="F345" s="20" t="inlineStr"/>
      <c r="G345" t="inlineStr">
        <is>
          <t>Lawrence Choi</t>
        </is>
      </c>
      <c r="H345" t="inlineStr">
        <is>
          <t>Snr Investment Offic From 7/22</t>
        </is>
      </c>
      <c r="I345" t="inlineStr">
        <is>
          <t>Senior Investment Officer</t>
        </is>
      </c>
      <c r="J345" s="21" t="n">
        <v>197607</v>
      </c>
      <c r="K345" s="21" t="n">
        <v>405000</v>
      </c>
      <c r="L345" s="21" t="n">
        <v>602607</v>
      </c>
      <c r="M345" s="21" t="n">
        <v>181</v>
      </c>
      <c r="N345" s="21" t="n">
        <v>24400</v>
      </c>
      <c r="O345" s="21" t="n">
        <v>9383</v>
      </c>
      <c r="P345" s="21" t="n">
        <v>636571</v>
      </c>
      <c r="Q345" s="21" t="n">
        <v>636571</v>
      </c>
      <c r="R345" s="21">
        <f>IF(Q345="","",Q345*(1+in_GrowthRate)^(YEARFRAC(DATE(2023,6,30),in_AgeToDate)*IF(in_AgeToDate&lt;DATE(2023,6,30),-1,1)+1))</f>
        <v/>
      </c>
      <c r="S345" s="38" t="n">
        <v>2.049522537157085</v>
      </c>
      <c r="T345" s="43">
        <f>HYPERLINK("https://projects.propublica.org/nonprofits/organizations/131624086/202410469349300531/full","view filing")</f>
        <v/>
      </c>
    </row>
    <row r="346">
      <c r="A346" t="inlineStr">
        <is>
          <t>The New York Community Trust</t>
        </is>
      </c>
      <c r="B346" s="20" t="inlineStr">
        <is>
          <t>NY</t>
        </is>
      </c>
      <c r="C346" s="42" t="n">
        <v>3.49</v>
      </c>
      <c r="D346" t="inlineStr">
        <is>
          <t>Foundation</t>
        </is>
      </c>
      <c r="E346" s="20" t="n">
        <v>2023</v>
      </c>
      <c r="F346" s="20" t="inlineStr"/>
      <c r="G346" t="inlineStr">
        <is>
          <t>Eileen Casey</t>
        </is>
      </c>
      <c r="H346" t="inlineStr">
        <is>
          <t>DIRECTOR OF INVESTMENT REPORTING</t>
        </is>
      </c>
      <c r="I346" t="inlineStr">
        <is>
          <t>Director of Investments</t>
        </is>
      </c>
      <c r="J346" s="21" t="n">
        <v>157971</v>
      </c>
      <c r="K346" s="21" t="n">
        <v>200</v>
      </c>
      <c r="L346" s="21" t="n">
        <v>158171</v>
      </c>
      <c r="M346" s="21" t="n">
        <v>3421</v>
      </c>
      <c r="N346" s="21" t="n">
        <v>45228</v>
      </c>
      <c r="O346" s="21" t="n">
        <v>19973</v>
      </c>
      <c r="P346" s="21" t="n">
        <v>226793</v>
      </c>
      <c r="Q346" s="21" t="n">
        <v>226793</v>
      </c>
      <c r="R346" s="21">
        <f>IF(Q346="","",Q346*(1+in_GrowthRate)^(YEARFRAC(DATE(2023,12,31),in_AgeToDate)*IF(in_AgeToDate&lt;DATE(2023,12,31),-1,1)+1))</f>
        <v/>
      </c>
      <c r="S346" s="38" t="n">
        <v>0.001266055162023409</v>
      </c>
      <c r="T346" s="43">
        <f>HYPERLINK("https://projects.propublica.org/nonprofits/organizations/133062214/202443179349309079/full","view filing")</f>
        <v/>
      </c>
    </row>
    <row r="347">
      <c r="A347" t="inlineStr">
        <is>
          <t>The New York Public Library Astor Lenox And Tilden Foundations</t>
        </is>
      </c>
      <c r="B347" s="20" t="inlineStr">
        <is>
          <t>NY</t>
        </is>
      </c>
      <c r="C347" s="42" t="n">
        <v>2.01</v>
      </c>
      <c r="D347" t="inlineStr">
        <is>
          <t>Other</t>
        </is>
      </c>
      <c r="E347" s="20" t="n">
        <v>2025</v>
      </c>
      <c r="F347" s="20">
        <f>IF(AND(OR(in_Mode="All Funds",AND(C347&gt;=in_BandFloor,C347&lt;=in_BandCeiling,OR(in_Geography="National",COUNTIFS(lst_GeoPreset,in_Geography,lst_GeoState,B347)&gt;0,AND(in_Geography="Custom",ISNUMBER(SEARCH(B347,SUBSTITUTE(in_CustomStates," ",""))))),OR(AND(D347="Endowment",Inputs!$B$14="Y"),AND(D347="Foundation",Inputs!$B$15="Y"),AND(D347="Healthcare",Inputs!$B$16="Y"),AND(D347="Pension",Inputs!$B$17="Y"),AND(D347="OCIO",Inputs!$B$18="Y"),AND(D347="Other",Inputs!$B$19="Y")))),A347&lt;&gt;in_ClientOrg,NOT(AND(in_ExclHarvard="Y",ISNUMBER(SEARCH("Harvard",A347))))),"Y","")</f>
        <v/>
      </c>
      <c r="G347" t="inlineStr">
        <is>
          <t>Doris Zhao</t>
        </is>
      </c>
      <c r="H347" t="inlineStr">
        <is>
          <t>DIRECTOR, INVESTMENTS</t>
        </is>
      </c>
      <c r="I347" t="inlineStr">
        <is>
          <t>Director of Investments</t>
        </is>
      </c>
      <c r="J347" s="21" t="n">
        <v>275094</v>
      </c>
      <c r="K347" s="21" t="n">
        <v>279265</v>
      </c>
      <c r="L347" s="21" t="n">
        <v>554359</v>
      </c>
      <c r="M347" s="21" t="n">
        <v>23097</v>
      </c>
      <c r="N347" s="21" t="n">
        <v>24207</v>
      </c>
      <c r="O347" s="21" t="n">
        <v>17702</v>
      </c>
      <c r="P347" s="21" t="n">
        <v>619365</v>
      </c>
      <c r="Q347" s="21" t="n">
        <v>619365</v>
      </c>
      <c r="R347" s="21">
        <f>IF(Q347="","",Q347*(1+in_GrowthRate)^(YEARFRAC(DATE(2025,6,30),in_AgeToDate)*IF(in_AgeToDate&lt;DATE(2025,6,30),-1,1)+1))</f>
        <v/>
      </c>
      <c r="S347" s="38" t="n">
        <v>1.01516209004922</v>
      </c>
      <c r="T347" s="43">
        <f>HYPERLINK("https://projects.propublica.org/nonprofits/organizations/131887440/202611339349309571/full","view filing")</f>
        <v/>
      </c>
    </row>
    <row r="348">
      <c r="A348" t="inlineStr">
        <is>
          <t>The New York Public Library Astor Lenox And Tilden Foundations</t>
        </is>
      </c>
      <c r="B348" s="20" t="inlineStr">
        <is>
          <t>NY</t>
        </is>
      </c>
      <c r="C348" s="42" t="n">
        <v>2.01</v>
      </c>
      <c r="D348" t="inlineStr">
        <is>
          <t>Other</t>
        </is>
      </c>
      <c r="E348" s="20" t="n">
        <v>2025</v>
      </c>
      <c r="F348" s="20">
        <f>IF(AND(OR(in_Mode="All Funds",AND(C348&gt;=in_BandFloor,C348&lt;=in_BandCeiling,OR(in_Geography="National",COUNTIFS(lst_GeoPreset,in_Geography,lst_GeoState,B348)&gt;0,AND(in_Geography="Custom",ISNUMBER(SEARCH(B348,SUBSTITUTE(in_CustomStates," ",""))))),OR(AND(D348="Endowment",Inputs!$B$14="Y"),AND(D348="Foundation",Inputs!$B$15="Y"),AND(D348="Healthcare",Inputs!$B$16="Y"),AND(D348="Pension",Inputs!$B$17="Y"),AND(D348="OCIO",Inputs!$B$18="Y"),AND(D348="Other",Inputs!$B$19="Y")))),A348&lt;&gt;in_ClientOrg,NOT(AND(in_ExclHarvard="Y",ISNUMBER(SEARCH("Harvard",A348))))),"Y","")</f>
        <v/>
      </c>
      <c r="G348" t="inlineStr">
        <is>
          <t>Peter Rummel</t>
        </is>
      </c>
      <c r="H348" t="inlineStr">
        <is>
          <t>DIRECTOR, INVESTMENTS</t>
        </is>
      </c>
      <c r="I348" t="inlineStr">
        <is>
          <t>Director of Investments</t>
        </is>
      </c>
      <c r="J348" s="21" t="n">
        <v>293077</v>
      </c>
      <c r="K348" s="21" t="n">
        <v>280870</v>
      </c>
      <c r="L348" s="21" t="n">
        <v>573947</v>
      </c>
      <c r="M348" s="21" t="n">
        <v>10617</v>
      </c>
      <c r="N348" s="21" t="n">
        <v>24207</v>
      </c>
      <c r="O348" s="21" t="n">
        <v>662</v>
      </c>
      <c r="P348" s="21" t="n">
        <v>609433</v>
      </c>
      <c r="Q348" s="21" t="n">
        <v>609433</v>
      </c>
      <c r="R348" s="21">
        <f>IF(Q348="","",Q348*(1+in_GrowthRate)^(YEARFRAC(DATE(2025,6,30),in_AgeToDate)*IF(in_AgeToDate&lt;DATE(2025,6,30),-1,1)+1))</f>
        <v/>
      </c>
      <c r="S348" s="38" t="n">
        <v>0.9583488298297035</v>
      </c>
      <c r="T348" s="43">
        <f>HYPERLINK("https://projects.propublica.org/nonprofits/organizations/131887440/202611339349309571/full","view filing")</f>
        <v/>
      </c>
    </row>
    <row r="349">
      <c r="A349" t="inlineStr">
        <is>
          <t>The New York Public Library Astor Lenox And Tilden Foundations</t>
        </is>
      </c>
      <c r="B349" s="20" t="inlineStr">
        <is>
          <t>NY</t>
        </is>
      </c>
      <c r="C349" s="42" t="n">
        <v>2.01</v>
      </c>
      <c r="D349" t="inlineStr">
        <is>
          <t>Other</t>
        </is>
      </c>
      <c r="E349" s="20" t="n">
        <v>2024</v>
      </c>
      <c r="F349" s="20" t="inlineStr"/>
      <c r="G349" t="inlineStr">
        <is>
          <t>Doris Zhao</t>
        </is>
      </c>
      <c r="H349" t="inlineStr">
        <is>
          <t>DIRECTOR, INVESTMENTS</t>
        </is>
      </c>
      <c r="I349" t="inlineStr">
        <is>
          <t>Director of Investments</t>
        </is>
      </c>
      <c r="J349" s="21" t="n">
        <v>234876</v>
      </c>
      <c r="K349" s="21" t="n">
        <v>156330</v>
      </c>
      <c r="L349" s="21" t="n">
        <v>391206</v>
      </c>
      <c r="M349" s="21" t="n">
        <v>67</v>
      </c>
      <c r="N349" s="21" t="n">
        <v>19091</v>
      </c>
      <c r="O349" s="21" t="n">
        <v>15724</v>
      </c>
      <c r="P349" s="21" t="n">
        <v>426088</v>
      </c>
      <c r="Q349" s="21" t="n">
        <v>426088</v>
      </c>
      <c r="R349" s="21">
        <f>IF(Q349="","",Q349*(1+in_GrowthRate)^(YEARFRAC(DATE(2024,6,30),in_AgeToDate)*IF(in_AgeToDate&lt;DATE(2024,6,30),-1,1)+1))</f>
        <v/>
      </c>
      <c r="S349" s="38" t="n">
        <v>0.66558524498033</v>
      </c>
      <c r="T349" s="43">
        <f>HYPERLINK("https://projects.propublica.org/nonprofits/organizations/131887440/202521339349310157/full","view filing")</f>
        <v/>
      </c>
    </row>
    <row r="350">
      <c r="A350" t="inlineStr">
        <is>
          <t>The New York Public Library Astor Lenox And Tilden Foundations</t>
        </is>
      </c>
      <c r="B350" s="20" t="inlineStr">
        <is>
          <t>NY</t>
        </is>
      </c>
      <c r="C350" s="42" t="n">
        <v>2.01</v>
      </c>
      <c r="D350" t="inlineStr">
        <is>
          <t>Other</t>
        </is>
      </c>
      <c r="E350" s="20" t="n">
        <v>2024</v>
      </c>
      <c r="F350" s="20" t="inlineStr"/>
      <c r="G350" t="inlineStr">
        <is>
          <t>Peter Rummel</t>
        </is>
      </c>
      <c r="H350" t="inlineStr">
        <is>
          <t>DIRECTOR, INVESTMENTS</t>
        </is>
      </c>
      <c r="I350" t="inlineStr">
        <is>
          <t>Director of Investments</t>
        </is>
      </c>
      <c r="J350" s="21" t="n">
        <v>263536</v>
      </c>
      <c r="K350" s="21" t="n">
        <v>198083</v>
      </c>
      <c r="L350" s="21" t="n">
        <v>461619</v>
      </c>
      <c r="M350" s="21" t="n">
        <v>1089</v>
      </c>
      <c r="N350" s="21" t="n">
        <v>21083</v>
      </c>
      <c r="O350" s="21" t="n">
        <v>587</v>
      </c>
      <c r="P350" s="21" t="n">
        <v>484378</v>
      </c>
      <c r="Q350" s="21" t="n">
        <v>484378</v>
      </c>
      <c r="R350" s="21">
        <f>IF(Q350="","",Q350*(1+in_GrowthRate)^(YEARFRAC(DATE(2024,6,30),in_AgeToDate)*IF(in_AgeToDate&lt;DATE(2024,6,30),-1,1)+1))</f>
        <v/>
      </c>
      <c r="S350" s="38" t="n">
        <v>0.751635450185174</v>
      </c>
      <c r="T350" s="43">
        <f>HYPERLINK("https://projects.propublica.org/nonprofits/organizations/131887440/202521339349310157/full","view filing")</f>
        <v/>
      </c>
    </row>
    <row r="351">
      <c r="A351" t="inlineStr">
        <is>
          <t>The New York Public Library Astor Lenox And Tilden Foundations</t>
        </is>
      </c>
      <c r="B351" s="20" t="inlineStr">
        <is>
          <t>NY</t>
        </is>
      </c>
      <c r="C351" s="42" t="n">
        <v>2.01</v>
      </c>
      <c r="D351" t="inlineStr">
        <is>
          <t>Other</t>
        </is>
      </c>
      <c r="E351" s="20" t="n">
        <v>2023</v>
      </c>
      <c r="F351" s="20" t="inlineStr"/>
      <c r="G351" t="inlineStr">
        <is>
          <t>Doris Zhao</t>
        </is>
      </c>
      <c r="H351" t="inlineStr">
        <is>
          <t>DIRECTOR, INVESTMENTS</t>
        </is>
      </c>
      <c r="I351" t="inlineStr">
        <is>
          <t>Director of Investments</t>
        </is>
      </c>
      <c r="J351" s="21" t="n">
        <v>203480</v>
      </c>
      <c r="K351" s="21" t="n">
        <v>163508</v>
      </c>
      <c r="L351" s="21" t="n">
        <v>366988</v>
      </c>
      <c r="M351" s="21" t="n">
        <v>52</v>
      </c>
      <c r="N351" s="21" t="n">
        <v>16600</v>
      </c>
      <c r="O351" s="21" t="n">
        <v>14173</v>
      </c>
      <c r="P351" s="21" t="n">
        <v>397813</v>
      </c>
      <c r="Q351" s="21" t="n">
        <v>397813</v>
      </c>
      <c r="R351" s="21">
        <f>IF(Q351="","",Q351*(1+in_GrowthRate)^(YEARFRAC(DATE(2023,6,30),in_AgeToDate)*IF(in_AgeToDate&lt;DATE(2023,6,30),-1,1)+1))</f>
        <v/>
      </c>
      <c r="S351" s="38" t="n">
        <v>0.8035580892471005</v>
      </c>
      <c r="T351" s="43">
        <f>HYPERLINK("https://projects.propublica.org/nonprofits/organizations/131887440/202431359349308113/full","view filing")</f>
        <v/>
      </c>
    </row>
    <row r="352">
      <c r="A352" t="inlineStr">
        <is>
          <t>The New York Public Library Astor Lenox And Tilden Foundations</t>
        </is>
      </c>
      <c r="B352" s="20" t="inlineStr">
        <is>
          <t>NY</t>
        </is>
      </c>
      <c r="C352" s="42" t="n">
        <v>2.01</v>
      </c>
      <c r="D352" t="inlineStr">
        <is>
          <t>Other</t>
        </is>
      </c>
      <c r="E352" s="20" t="n">
        <v>2023</v>
      </c>
      <c r="F352" s="20" t="inlineStr"/>
      <c r="G352" t="inlineStr">
        <is>
          <t>Peter Rummel</t>
        </is>
      </c>
      <c r="H352" t="inlineStr">
        <is>
          <t>DIRECTOR, INVESTMENTS</t>
        </is>
      </c>
      <c r="I352" t="inlineStr">
        <is>
          <t>Director of Investments</t>
        </is>
      </c>
      <c r="J352" s="21" t="n">
        <v>252813</v>
      </c>
      <c r="K352" s="21" t="n">
        <v>207581</v>
      </c>
      <c r="L352" s="21" t="n">
        <v>460394</v>
      </c>
      <c r="M352" s="21" t="n">
        <v>1073</v>
      </c>
      <c r="N352" s="21" t="n">
        <v>20225</v>
      </c>
      <c r="O352" s="21" t="n">
        <v>564</v>
      </c>
      <c r="P352" s="21" t="n">
        <v>482256</v>
      </c>
      <c r="Q352" s="21" t="n">
        <v>482256</v>
      </c>
      <c r="R352" s="21">
        <f>IF(Q352="","",Q352*(1+in_GrowthRate)^(YEARFRAC(DATE(2023,6,30),in_AgeToDate)*IF(in_AgeToDate&lt;DATE(2023,6,30),-1,1)+1))</f>
        <v/>
      </c>
      <c r="S352" s="38" t="n">
        <v>0.8210851498933994</v>
      </c>
      <c r="T352" s="43">
        <f>HYPERLINK("https://projects.propublica.org/nonprofits/organizations/131887440/202431359349308113/full","view filing")</f>
        <v/>
      </c>
    </row>
    <row r="353">
      <c r="A353" t="inlineStr">
        <is>
          <t>The New York Public Library Astor Lenox And Tilden Foundations</t>
        </is>
      </c>
      <c r="B353" s="20" t="inlineStr">
        <is>
          <t>NY</t>
        </is>
      </c>
      <c r="C353" s="42" t="n">
        <v>2.01</v>
      </c>
      <c r="D353" t="inlineStr">
        <is>
          <t>Other</t>
        </is>
      </c>
      <c r="E353" s="20" t="n">
        <v>2022</v>
      </c>
      <c r="F353" s="20" t="inlineStr"/>
      <c r="G353" t="inlineStr">
        <is>
          <t>Doris Zhao</t>
        </is>
      </c>
      <c r="H353" t="inlineStr">
        <is>
          <t>DIRECTOR, INVESTMENTS</t>
        </is>
      </c>
      <c r="I353" t="inlineStr">
        <is>
          <t>Director of Investments</t>
        </is>
      </c>
      <c r="J353" s="21" t="n">
        <v>165312</v>
      </c>
      <c r="K353" s="21" t="n">
        <v>98000</v>
      </c>
      <c r="L353" s="21" t="n">
        <v>263312</v>
      </c>
      <c r="M353" s="21" t="n">
        <v>30</v>
      </c>
      <c r="N353" s="21" t="n">
        <v>13440</v>
      </c>
      <c r="O353" s="21" t="n">
        <v>26487</v>
      </c>
      <c r="P353" s="21" t="n">
        <v>303269</v>
      </c>
      <c r="Q353" s="21" t="n">
        <v>303269</v>
      </c>
      <c r="R353" s="21">
        <f>IF(Q353="","",Q353*(1+in_GrowthRate)^(YEARFRAC(DATE(2022,6,30),in_AgeToDate)*IF(in_AgeToDate&lt;DATE(2022,6,30),-1,1)+1))</f>
        <v/>
      </c>
      <c r="S353" s="38" t="n">
        <v>0.5928184281842819</v>
      </c>
      <c r="T353" s="43">
        <f>HYPERLINK("https://projects.propublica.org/nonprofits/organizations/131887440/202311319349302326/full","view filing")</f>
        <v/>
      </c>
    </row>
    <row r="354">
      <c r="A354" t="inlineStr">
        <is>
          <t>The New York Public Library Astor Lenox And Tilden Foundations</t>
        </is>
      </c>
      <c r="B354" s="20" t="inlineStr">
        <is>
          <t>NY</t>
        </is>
      </c>
      <c r="C354" s="42" t="n">
        <v>2.01</v>
      </c>
      <c r="D354" t="inlineStr">
        <is>
          <t>Other</t>
        </is>
      </c>
      <c r="E354" s="20" t="n">
        <v>2022</v>
      </c>
      <c r="F354" s="20" t="inlineStr"/>
      <c r="G354" t="inlineStr">
        <is>
          <t>Peter Rummel</t>
        </is>
      </c>
      <c r="H354" t="inlineStr">
        <is>
          <t>DIRECTOR, INVESTMENTS</t>
        </is>
      </c>
      <c r="I354" t="inlineStr">
        <is>
          <t>Director of Investments</t>
        </is>
      </c>
      <c r="J354" s="21" t="n">
        <v>250000</v>
      </c>
      <c r="K354" s="21" t="n">
        <v>198000</v>
      </c>
      <c r="L354" s="21" t="n">
        <v>448000</v>
      </c>
      <c r="M354" s="21" t="n">
        <v>1072</v>
      </c>
      <c r="N354" s="21" t="n">
        <v>20000</v>
      </c>
      <c r="O354" s="21" t="n">
        <v>20558</v>
      </c>
      <c r="P354" s="21" t="n">
        <v>489630</v>
      </c>
      <c r="Q354" s="21" t="n">
        <v>489630</v>
      </c>
      <c r="R354" s="21">
        <f>IF(Q354="","",Q354*(1+in_GrowthRate)^(YEARFRAC(DATE(2022,6,30),in_AgeToDate)*IF(in_AgeToDate&lt;DATE(2022,6,30),-1,1)+1))</f>
        <v/>
      </c>
      <c r="S354" s="38" t="n">
        <v>0.792</v>
      </c>
      <c r="T354" s="43">
        <f>HYPERLINK("https://projects.propublica.org/nonprofits/organizations/131887440/202311319349302326/full","view filing")</f>
        <v/>
      </c>
    </row>
    <row r="355">
      <c r="A355" t="inlineStr">
        <is>
          <t>The Trustees Of Grinnell College</t>
        </is>
      </c>
      <c r="B355" s="20" t="inlineStr">
        <is>
          <t>IA</t>
        </is>
      </c>
      <c r="C355" s="42" t="n">
        <v>2.85</v>
      </c>
      <c r="D355" t="inlineStr">
        <is>
          <t>Endowment</t>
        </is>
      </c>
      <c r="E355" s="20" t="n">
        <v>2025</v>
      </c>
      <c r="F355" s="20">
        <f>IF(AND(OR(in_Mode="All Funds",AND(C355&gt;=in_BandFloor,C355&lt;=in_BandCeiling,OR(in_Geography="National",COUNTIFS(lst_GeoPreset,in_Geography,lst_GeoState,B355)&gt;0,AND(in_Geography="Custom",ISNUMBER(SEARCH(B355,SUBSTITUTE(in_CustomStates," ",""))))),OR(AND(D355="Endowment",Inputs!$B$14="Y"),AND(D355="Foundation",Inputs!$B$15="Y"),AND(D355="Healthcare",Inputs!$B$16="Y"),AND(D355="Pension",Inputs!$B$17="Y"),AND(D355="OCIO",Inputs!$B$18="Y"),AND(D355="Other",Inputs!$B$19="Y")))),A355&lt;&gt;in_ClientOrg,NOT(AND(in_ExclHarvard="Y",ISNUMBER(SEARCH("Harvard",A355))))),"Y","")</f>
        <v/>
      </c>
      <c r="G355" t="inlineStr">
        <is>
          <t>Robert Welch</t>
        </is>
      </c>
      <c r="H355" t="inlineStr">
        <is>
          <t>DIRECTOR OF INVESTMENTS</t>
        </is>
      </c>
      <c r="I355" t="inlineStr">
        <is>
          <t>Director of Investments</t>
        </is>
      </c>
      <c r="J355" s="21" t="n">
        <v>253437</v>
      </c>
      <c r="K355" s="21" t="n">
        <v>50000</v>
      </c>
      <c r="L355" s="21" t="n">
        <v>303437</v>
      </c>
      <c r="M355" s="21" t="n">
        <v>351</v>
      </c>
      <c r="N355" s="21" t="n">
        <v>30344</v>
      </c>
      <c r="O355" s="21" t="n">
        <v>2151</v>
      </c>
      <c r="P355" s="21" t="n">
        <v>336283</v>
      </c>
      <c r="Q355" s="21" t="n">
        <v>336283</v>
      </c>
      <c r="R355" s="21">
        <f>IF(Q355="","",Q355*(1+in_GrowthRate)^(YEARFRAC(DATE(2025,6,30),in_AgeToDate)*IF(in_AgeToDate&lt;DATE(2025,6,30),-1,1)+1))</f>
        <v/>
      </c>
      <c r="S355" s="38" t="n">
        <v>0.1972876888536401</v>
      </c>
      <c r="T355" s="43">
        <f>HYPERLINK("https://projects.propublica.org/nonprofits/organizations/420680387/202631269349301868/full","view filing")</f>
        <v/>
      </c>
    </row>
    <row r="356">
      <c r="A356" t="inlineStr">
        <is>
          <t>The Trustees Of Grinnell College</t>
        </is>
      </c>
      <c r="B356" s="20" t="inlineStr">
        <is>
          <t>IA</t>
        </is>
      </c>
      <c r="C356" s="42" t="n">
        <v>2.85</v>
      </c>
      <c r="D356" t="inlineStr">
        <is>
          <t>Endowment</t>
        </is>
      </c>
      <c r="E356" s="20" t="n">
        <v>2024</v>
      </c>
      <c r="F356" s="20" t="inlineStr"/>
      <c r="G356" t="inlineStr">
        <is>
          <t>Robert Welch</t>
        </is>
      </c>
      <c r="H356" t="inlineStr">
        <is>
          <t>DIRECTOR OF INVESTMENTS</t>
        </is>
      </c>
      <c r="I356" t="inlineStr">
        <is>
          <t>Director of Investments</t>
        </is>
      </c>
      <c r="J356" s="21" t="n">
        <v>213875</v>
      </c>
      <c r="K356" s="21" t="n">
        <v>40704</v>
      </c>
      <c r="L356" s="21" t="n">
        <v>254579</v>
      </c>
      <c r="M356" s="21" t="n">
        <v>311</v>
      </c>
      <c r="N356" s="21" t="n">
        <v>25460</v>
      </c>
      <c r="O356" s="21" t="n">
        <v>2450</v>
      </c>
      <c r="P356" s="21" t="n">
        <v>282800</v>
      </c>
      <c r="Q356" s="21" t="n">
        <v>282800</v>
      </c>
      <c r="R356" s="21">
        <f>IF(Q356="","",Q356*(1+in_GrowthRate)^(YEARFRAC(DATE(2024,6,30),in_AgeToDate)*IF(in_AgeToDate&lt;DATE(2024,6,30),-1,1)+1))</f>
        <v/>
      </c>
      <c r="S356" s="38" t="n">
        <v>0.1903167738164816</v>
      </c>
      <c r="T356" s="43">
        <f>HYPERLINK("https://projects.propublica.org/nonprofits/organizations/420680387/202511289349300406/full","view filing")</f>
        <v/>
      </c>
    </row>
    <row r="357">
      <c r="A357" t="inlineStr">
        <is>
          <t>The Trustees Of Grinnell College</t>
        </is>
      </c>
      <c r="B357" s="20" t="inlineStr">
        <is>
          <t>IA</t>
        </is>
      </c>
      <c r="C357" s="42" t="n">
        <v>2.85</v>
      </c>
      <c r="D357" t="inlineStr">
        <is>
          <t>Endowment</t>
        </is>
      </c>
      <c r="E357" s="20" t="n">
        <v>2023</v>
      </c>
      <c r="F357" s="20" t="inlineStr"/>
      <c r="G357" t="inlineStr">
        <is>
          <t>Paige L Carlson</t>
        </is>
      </c>
      <c r="H357" t="inlineStr">
        <is>
          <t>ASSOCIATE DIRECTOR OF INVESTMENTS</t>
        </is>
      </c>
      <c r="I357" t="inlineStr">
        <is>
          <t>Director of Investments</t>
        </is>
      </c>
      <c r="J357" s="21" t="n">
        <v>247286</v>
      </c>
      <c r="K357" s="21" t="n"/>
      <c r="L357" s="21" t="n">
        <v>247286</v>
      </c>
      <c r="M357" s="21" t="n">
        <v>14136</v>
      </c>
      <c r="N357" s="21" t="n">
        <v>26795</v>
      </c>
      <c r="O357" s="21" t="n">
        <v>26399</v>
      </c>
      <c r="P357" s="21" t="n">
        <v>314616</v>
      </c>
      <c r="Q357" s="21" t="n">
        <v>314616</v>
      </c>
      <c r="R357" s="21">
        <f>IF(Q357="","",Q357*(1+in_GrowthRate)^(YEARFRAC(DATE(2023,6,30),in_AgeToDate)*IF(in_AgeToDate&lt;DATE(2023,6,30),-1,1)+1))</f>
        <v/>
      </c>
      <c r="S357" s="38" t="n">
        <v>0</v>
      </c>
      <c r="T357" s="43">
        <f>HYPERLINK("https://projects.propublica.org/nonprofits/organizations/420680387/202441309349301774/full","view filing")</f>
        <v/>
      </c>
    </row>
    <row r="358">
      <c r="A358" t="inlineStr">
        <is>
          <t>The Trustees Of Grinnell College</t>
        </is>
      </c>
      <c r="B358" s="20" t="inlineStr">
        <is>
          <t>IA</t>
        </is>
      </c>
      <c r="C358" s="42" t="n">
        <v>2.85</v>
      </c>
      <c r="D358" t="inlineStr">
        <is>
          <t>Endowment</t>
        </is>
      </c>
      <c r="E358" s="20" t="n">
        <v>2022</v>
      </c>
      <c r="F358" s="20" t="inlineStr"/>
      <c r="G358" t="inlineStr">
        <is>
          <t>Paige L Carlson</t>
        </is>
      </c>
      <c r="H358" t="inlineStr">
        <is>
          <t>ASSOCIATE DIRECTOR OF INVESTMENTS</t>
        </is>
      </c>
      <c r="I358" t="inlineStr">
        <is>
          <t>Director of Investments</t>
        </is>
      </c>
      <c r="J358" s="21" t="n">
        <v>243904</v>
      </c>
      <c r="K358" s="21" t="n">
        <v>171751</v>
      </c>
      <c r="L358" s="21" t="n">
        <v>415655</v>
      </c>
      <c r="M358" s="21" t="n">
        <v>410</v>
      </c>
      <c r="N358" s="21" t="n">
        <v>29000</v>
      </c>
      <c r="O358" s="21" t="n">
        <v>26848</v>
      </c>
      <c r="P358" s="21" t="n">
        <v>471913</v>
      </c>
      <c r="Q358" s="21" t="n">
        <v>471913</v>
      </c>
      <c r="R358" s="21">
        <f>IF(Q358="","",Q358*(1+in_GrowthRate)^(YEARFRAC(DATE(2022,6,30),in_AgeToDate)*IF(in_AgeToDate&lt;DATE(2022,6,30),-1,1)+1))</f>
        <v/>
      </c>
      <c r="S358" s="38" t="n">
        <v>0.704174593282603</v>
      </c>
      <c r="T358" s="43">
        <f>HYPERLINK("https://projects.propublica.org/nonprofits/organizations/420680387/202311329349303386/full","view filing")</f>
        <v/>
      </c>
    </row>
    <row r="359">
      <c r="A359" t="inlineStr">
        <is>
          <t>The University Of Texas Texas A M Investment Management Company</t>
        </is>
      </c>
      <c r="B359" s="20" t="inlineStr">
        <is>
          <t>TX</t>
        </is>
      </c>
      <c r="C359" s="42" t="n">
        <v>67.84</v>
      </c>
      <c r="D359" t="inlineStr">
        <is>
          <t>Endowment</t>
        </is>
      </c>
      <c r="E359" s="20" t="n">
        <v>2025</v>
      </c>
      <c r="F359" s="20">
        <f>IF(AND(OR(in_Mode="All Funds",AND(C359&gt;=in_BandFloor,C359&lt;=in_BandCeiling,OR(in_Geography="National",COUNTIFS(lst_GeoPreset,in_Geography,lst_GeoState,B359)&gt;0,AND(in_Geography="Custom",ISNUMBER(SEARCH(B359,SUBSTITUTE(in_CustomStates," ",""))))),OR(AND(D359="Endowment",Inputs!$B$14="Y"),AND(D359="Foundation",Inputs!$B$15="Y"),AND(D359="Healthcare",Inputs!$B$16="Y"),AND(D359="Pension",Inputs!$B$17="Y"),AND(D359="OCIO",Inputs!$B$18="Y"),AND(D359="Other",Inputs!$B$19="Y")))),A359&lt;&gt;in_ClientOrg,NOT(AND(in_ExclHarvard="Y",ISNUMBER(SEARCH("Harvard",A359))))),"Y","")</f>
        <v/>
      </c>
      <c r="G359" t="inlineStr">
        <is>
          <t>Edward Morris</t>
        </is>
      </c>
      <c r="H359" t="inlineStr">
        <is>
          <t>SENIOR DIRECTOR-INVESTMENTS</t>
        </is>
      </c>
      <c r="I359" t="inlineStr">
        <is>
          <t>Director of Investments</t>
        </is>
      </c>
      <c r="J359" s="21" t="n">
        <v>274822</v>
      </c>
      <c r="K359" s="21" t="n">
        <v>235704</v>
      </c>
      <c r="L359" s="21" t="n">
        <v>510526</v>
      </c>
      <c r="M359" s="21" t="n">
        <v>4487</v>
      </c>
      <c r="N359" s="21" t="n">
        <v>451553</v>
      </c>
      <c r="O359" s="21" t="n">
        <v>29308</v>
      </c>
      <c r="P359" s="21" t="n">
        <v>995874</v>
      </c>
      <c r="Q359" s="21" t="n">
        <v>830050</v>
      </c>
      <c r="R359" s="21">
        <f>IF(Q359="","",Q359*(1+in_GrowthRate)^(YEARFRAC(DATE(2025,8,31),in_AgeToDate)*IF(in_AgeToDate&lt;DATE(2025,8,31),-1,1)+1))</f>
        <v/>
      </c>
      <c r="S359" s="38" t="n">
        <v>0.8576605948577625</v>
      </c>
      <c r="T359" s="43">
        <f>HYPERLINK("https://projects.propublica.org/nonprofits/organizations/742765082/202641829349300024/full","view filing")</f>
        <v/>
      </c>
    </row>
    <row r="360">
      <c r="A360" t="inlineStr">
        <is>
          <t>The University Of Texas Texas A M Investment Management Company</t>
        </is>
      </c>
      <c r="B360" s="20" t="inlineStr">
        <is>
          <t>TX</t>
        </is>
      </c>
      <c r="C360" s="42" t="n">
        <v>67.84</v>
      </c>
      <c r="D360" t="inlineStr">
        <is>
          <t>Endowment</t>
        </is>
      </c>
      <c r="E360" s="20" t="n">
        <v>2025</v>
      </c>
      <c r="F360" s="20">
        <f>IF(AND(OR(in_Mode="All Funds",AND(C360&gt;=in_BandFloor,C360&lt;=in_BandCeiling,OR(in_Geography="National",COUNTIFS(lst_GeoPreset,in_Geography,lst_GeoState,B360)&gt;0,AND(in_Geography="Custom",ISNUMBER(SEARCH(B360,SUBSTITUTE(in_CustomStates," ",""))))),OR(AND(D360="Endowment",Inputs!$B$14="Y"),AND(D360="Foundation",Inputs!$B$15="Y"),AND(D360="Healthcare",Inputs!$B$16="Y"),AND(D360="Pension",Inputs!$B$17="Y"),AND(D360="OCIO",Inputs!$B$18="Y"),AND(D360="Other",Inputs!$B$19="Y")))),A360&lt;&gt;in_ClientOrg,NOT(AND(in_ExclHarvard="Y",ISNUMBER(SEARCH("Harvard",A360))))),"Y","")</f>
        <v/>
      </c>
      <c r="G360" t="inlineStr">
        <is>
          <t>Harland Doak</t>
        </is>
      </c>
      <c r="H360" t="inlineStr">
        <is>
          <t>SENIOR DIRECTOR - INVESTMENTS</t>
        </is>
      </c>
      <c r="I360" t="inlineStr">
        <is>
          <t>Director of Investments</t>
        </is>
      </c>
      <c r="J360" s="21" t="n">
        <v>329626</v>
      </c>
      <c r="K360" s="21" t="n">
        <v>201471</v>
      </c>
      <c r="L360" s="21" t="n">
        <v>531097</v>
      </c>
      <c r="M360" s="21" t="n">
        <v>1844</v>
      </c>
      <c r="N360" s="21" t="n">
        <v>393116</v>
      </c>
      <c r="O360" s="21" t="n">
        <v>24430</v>
      </c>
      <c r="P360" s="21" t="n">
        <v>950487</v>
      </c>
      <c r="Q360" s="21" t="n">
        <v>950487</v>
      </c>
      <c r="R360" s="21">
        <f>IF(Q360="","",Q360*(1+in_GrowthRate)^(YEARFRAC(DATE(2025,8,31),in_AgeToDate)*IF(in_AgeToDate&lt;DATE(2025,8,31),-1,1)+1))</f>
        <v/>
      </c>
      <c r="S360" s="38" t="n">
        <v>0.6112108874906712</v>
      </c>
      <c r="T360" s="43">
        <f>HYPERLINK("https://projects.propublica.org/nonprofits/organizations/742765082/202641829349300024/full","view filing")</f>
        <v/>
      </c>
    </row>
    <row r="361">
      <c r="A361" t="inlineStr">
        <is>
          <t>The University Of Texas Texas A M Investment Management Company</t>
        </is>
      </c>
      <c r="B361" s="20" t="inlineStr">
        <is>
          <t>TX</t>
        </is>
      </c>
      <c r="C361" s="42" t="n">
        <v>67.84</v>
      </c>
      <c r="D361" t="inlineStr">
        <is>
          <t>Endowment</t>
        </is>
      </c>
      <c r="E361" s="20" t="n">
        <v>2025</v>
      </c>
      <c r="F361" s="20">
        <f>IF(AND(OR(in_Mode="All Funds",AND(C361&gt;=in_BandFloor,C361&lt;=in_BandCeiling,OR(in_Geography="National",COUNTIFS(lst_GeoPreset,in_Geography,lst_GeoState,B361)&gt;0,AND(in_Geography="Custom",ISNUMBER(SEARCH(B361,SUBSTITUTE(in_CustomStates," ",""))))),OR(AND(D361="Endowment",Inputs!$B$14="Y"),AND(D361="Foundation",Inputs!$B$15="Y"),AND(D361="Healthcare",Inputs!$B$16="Y"),AND(D361="Pension",Inputs!$B$17="Y"),AND(D361="OCIO",Inputs!$B$18="Y"),AND(D361="Other",Inputs!$B$19="Y")))),A361&lt;&gt;in_ClientOrg,NOT(AND(in_ExclHarvard="Y",ISNUMBER(SEARCH("Harvard",A361))))),"Y","")</f>
        <v/>
      </c>
      <c r="G361" t="inlineStr">
        <is>
          <t>Kenneth Standley</t>
        </is>
      </c>
      <c r="H361" t="inlineStr">
        <is>
          <t>SENIOR DIRECTOR - INVESTMENTS</t>
        </is>
      </c>
      <c r="I361" t="inlineStr">
        <is>
          <t>Director of Investments</t>
        </is>
      </c>
      <c r="J361" s="21" t="n">
        <v>278491</v>
      </c>
      <c r="K361" s="21" t="n">
        <v>298270</v>
      </c>
      <c r="L361" s="21" t="n">
        <v>576761</v>
      </c>
      <c r="M361" s="21" t="n">
        <v>2512</v>
      </c>
      <c r="N361" s="21" t="n">
        <v>416648</v>
      </c>
      <c r="O361" s="21" t="n">
        <v>30576</v>
      </c>
      <c r="P361" s="21" t="n">
        <v>1026497</v>
      </c>
      <c r="Q361" s="21" t="n">
        <v>741356</v>
      </c>
      <c r="R361" s="21">
        <f>IF(Q361="","",Q361*(1+in_GrowthRate)^(YEARFRAC(DATE(2025,8,31),in_AgeToDate)*IF(in_AgeToDate&lt;DATE(2025,8,31),-1,1)+1))</f>
        <v/>
      </c>
      <c r="S361" s="38" t="n">
        <v>1.071022043800338</v>
      </c>
      <c r="T361" s="43">
        <f>HYPERLINK("https://projects.propublica.org/nonprofits/organizations/742765082/202641829349300024/full","view filing")</f>
        <v/>
      </c>
    </row>
    <row r="362">
      <c r="A362" t="inlineStr">
        <is>
          <t>The University Of Texas Texas A M Investment Management Company</t>
        </is>
      </c>
      <c r="B362" s="20" t="inlineStr">
        <is>
          <t>TX</t>
        </is>
      </c>
      <c r="C362" s="42" t="n">
        <v>67.84</v>
      </c>
      <c r="D362" t="inlineStr">
        <is>
          <t>Endowment</t>
        </is>
      </c>
      <c r="E362" s="20" t="n">
        <v>2025</v>
      </c>
      <c r="F362" s="20">
        <f>IF(AND(OR(in_Mode="All Funds",AND(C362&gt;=in_BandFloor,C362&lt;=in_BandCeiling,OR(in_Geography="National",COUNTIFS(lst_GeoPreset,in_Geography,lst_GeoState,B362)&gt;0,AND(in_Geography="Custom",ISNUMBER(SEARCH(B362,SUBSTITUTE(in_CustomStates," ",""))))),OR(AND(D362="Endowment",Inputs!$B$14="Y"),AND(D362="Foundation",Inputs!$B$15="Y"),AND(D362="Healthcare",Inputs!$B$16="Y"),AND(D362="Pension",Inputs!$B$17="Y"),AND(D362="OCIO",Inputs!$B$18="Y"),AND(D362="Other",Inputs!$B$19="Y")))),A362&lt;&gt;in_ClientOrg,NOT(AND(in_ExclHarvard="Y",ISNUMBER(SEARCH("Harvard",A362))))),"Y","")</f>
        <v/>
      </c>
      <c r="G362" t="inlineStr">
        <is>
          <t>Kyle Burhop</t>
        </is>
      </c>
      <c r="H362" t="inlineStr">
        <is>
          <t>SENIOR DIRECTOR - INVESTMENTS</t>
        </is>
      </c>
      <c r="I362" t="inlineStr">
        <is>
          <t>Director of Investments</t>
        </is>
      </c>
      <c r="J362" s="21" t="n">
        <v>260333</v>
      </c>
      <c r="K362" s="21" t="n">
        <v>267374</v>
      </c>
      <c r="L362" s="21" t="n">
        <v>527707</v>
      </c>
      <c r="M362" s="21" t="n">
        <v>1845</v>
      </c>
      <c r="N362" s="21" t="n">
        <v>423538</v>
      </c>
      <c r="O362" s="21" t="n">
        <v>9957</v>
      </c>
      <c r="P362" s="21" t="n">
        <v>963047</v>
      </c>
      <c r="Q362" s="21" t="n">
        <v>792066</v>
      </c>
      <c r="R362" s="21">
        <f>IF(Q362="","",Q362*(1+in_GrowthRate)^(YEARFRAC(DATE(2025,8,31),in_AgeToDate)*IF(in_AgeToDate&lt;DATE(2025,8,31),-1,1)+1))</f>
        <v/>
      </c>
      <c r="S362" s="38" t="n">
        <v>1.027046129380447</v>
      </c>
      <c r="T362" s="43">
        <f>HYPERLINK("https://projects.propublica.org/nonprofits/organizations/742765082/202641829349300024/full","view filing")</f>
        <v/>
      </c>
    </row>
    <row r="363">
      <c r="A363" t="inlineStr">
        <is>
          <t>The University Of Texas Texas A M Investment Management Company</t>
        </is>
      </c>
      <c r="B363" s="20" t="inlineStr">
        <is>
          <t>TX</t>
        </is>
      </c>
      <c r="C363" s="42" t="n">
        <v>67.84</v>
      </c>
      <c r="D363" t="inlineStr">
        <is>
          <t>Endowment</t>
        </is>
      </c>
      <c r="E363" s="20" t="n">
        <v>2025</v>
      </c>
      <c r="F363" s="20">
        <f>IF(AND(OR(in_Mode="All Funds",AND(C363&gt;=in_BandFloor,C363&lt;=in_BandCeiling,OR(in_Geography="National",COUNTIFS(lst_GeoPreset,in_Geography,lst_GeoState,B363)&gt;0,AND(in_Geography="Custom",ISNUMBER(SEARCH(B363,SUBSTITUTE(in_CustomStates," ",""))))),OR(AND(D363="Endowment",Inputs!$B$14="Y"),AND(D363="Foundation",Inputs!$B$15="Y"),AND(D363="Healthcare",Inputs!$B$16="Y"),AND(D363="Pension",Inputs!$B$17="Y"),AND(D363="OCIO",Inputs!$B$18="Y"),AND(D363="Other",Inputs!$B$19="Y")))),A363&lt;&gt;in_ClientOrg,NOT(AND(in_ExclHarvard="Y",ISNUMBER(SEARCH("Harvard",A363))))),"Y","")</f>
        <v/>
      </c>
      <c r="G363" t="inlineStr">
        <is>
          <t>Timothy Jones</t>
        </is>
      </c>
      <c r="H363" t="inlineStr">
        <is>
          <t>SENIOR DIRECTOR - RISK MANAGMENT</t>
        </is>
      </c>
      <c r="I363" t="inlineStr">
        <is>
          <t>Director of Investments</t>
        </is>
      </c>
      <c r="J363" s="21" t="n">
        <v>280380</v>
      </c>
      <c r="K363" s="21" t="n">
        <v>268583</v>
      </c>
      <c r="L363" s="21" t="n">
        <v>548963</v>
      </c>
      <c r="M363" s="21" t="n">
        <v>2495</v>
      </c>
      <c r="N363" s="21" t="n">
        <v>424548</v>
      </c>
      <c r="O363" s="21" t="n">
        <v>29385</v>
      </c>
      <c r="P363" s="21" t="n">
        <v>1005391</v>
      </c>
      <c r="Q363" s="21" t="n">
        <v>816302</v>
      </c>
      <c r="R363" s="21">
        <f>IF(Q363="","",Q363*(1+in_GrowthRate)^(YEARFRAC(DATE(2025,8,31),in_AgeToDate)*IF(in_AgeToDate&lt;DATE(2025,8,31),-1,1)+1))</f>
        <v/>
      </c>
      <c r="S363" s="38" t="n">
        <v>0.9579249589842357</v>
      </c>
      <c r="T363" s="43">
        <f>HYPERLINK("https://projects.propublica.org/nonprofits/organizations/742765082/202641829349300024/full","view filing")</f>
        <v/>
      </c>
    </row>
    <row r="364">
      <c r="A364" t="inlineStr">
        <is>
          <t>The University Of Texas Texas A M Investment Management Company</t>
        </is>
      </c>
      <c r="B364" s="20" t="inlineStr">
        <is>
          <t>TX</t>
        </is>
      </c>
      <c r="C364" s="42" t="n">
        <v>67.84</v>
      </c>
      <c r="D364" t="inlineStr">
        <is>
          <t>Endowment</t>
        </is>
      </c>
      <c r="E364" s="20" t="n">
        <v>2024</v>
      </c>
      <c r="F364" s="20" t="inlineStr"/>
      <c r="G364" t="inlineStr">
        <is>
          <t>Brad Mccarter</t>
        </is>
      </c>
      <c r="H364" t="inlineStr">
        <is>
          <t>SENIOR DIRECTOR - INVESTMENTS</t>
        </is>
      </c>
      <c r="I364" t="inlineStr">
        <is>
          <t>Director of Investments</t>
        </is>
      </c>
      <c r="J364" s="21" t="n">
        <v>269798</v>
      </c>
      <c r="K364" s="21" t="n">
        <v>426250</v>
      </c>
      <c r="L364" s="21" t="n">
        <v>696048</v>
      </c>
      <c r="M364" s="21" t="n">
        <v>2591</v>
      </c>
      <c r="N364" s="21" t="n">
        <v>206225</v>
      </c>
      <c r="O364" s="21" t="n">
        <v>30180</v>
      </c>
      <c r="P364" s="21" t="n">
        <v>935044</v>
      </c>
      <c r="Q364" s="21" t="n">
        <v>935044</v>
      </c>
      <c r="R364" s="21">
        <f>IF(Q364="","",Q364*(1+in_GrowthRate)^(YEARFRAC(DATE(2024,8,31),in_AgeToDate)*IF(in_AgeToDate&lt;DATE(2024,8,31),-1,1)+1))</f>
        <v/>
      </c>
      <c r="S364" s="38" t="n">
        <v>1.579885692258653</v>
      </c>
      <c r="T364" s="43">
        <f>HYPERLINK("https://projects.propublica.org/nonprofits/organizations/742765082/202541899349300034/full","view filing")</f>
        <v/>
      </c>
    </row>
    <row r="365">
      <c r="A365" t="inlineStr">
        <is>
          <t>The University Of Texas Texas A M Investment Management Company</t>
        </is>
      </c>
      <c r="B365" s="20" t="inlineStr">
        <is>
          <t>TX</t>
        </is>
      </c>
      <c r="C365" s="42" t="n">
        <v>67.84</v>
      </c>
      <c r="D365" t="inlineStr">
        <is>
          <t>Endowment</t>
        </is>
      </c>
      <c r="E365" s="20" t="n">
        <v>2024</v>
      </c>
      <c r="F365" s="20" t="inlineStr"/>
      <c r="G365" t="inlineStr">
        <is>
          <t>Edward Morris</t>
        </is>
      </c>
      <c r="H365" t="inlineStr">
        <is>
          <t>SENIOR DIRECTOR-INVESTMENTS</t>
        </is>
      </c>
      <c r="I365" t="inlineStr">
        <is>
          <t>Director of Investments</t>
        </is>
      </c>
      <c r="J365" s="21" t="n">
        <v>257323</v>
      </c>
      <c r="K365" s="21" t="n">
        <v>493521</v>
      </c>
      <c r="L365" s="21" t="n">
        <v>750844</v>
      </c>
      <c r="M365" s="21" t="n">
        <v>2256</v>
      </c>
      <c r="N365" s="21" t="n">
        <v>213392</v>
      </c>
      <c r="O365" s="21" t="n">
        <v>29039</v>
      </c>
      <c r="P365" s="21" t="n">
        <v>995531</v>
      </c>
      <c r="Q365" s="21" t="n">
        <v>562028</v>
      </c>
      <c r="R365" s="21">
        <f>IF(Q365="","",Q365*(1+in_GrowthRate)^(YEARFRAC(DATE(2024,8,31),in_AgeToDate)*IF(in_AgeToDate&lt;DATE(2024,8,31),-1,1)+1))</f>
        <v/>
      </c>
      <c r="S365" s="38" t="n">
        <v>1.917904734516541</v>
      </c>
      <c r="T365" s="43">
        <f>HYPERLINK("https://projects.propublica.org/nonprofits/organizations/742765082/202541899349300034/full","view filing")</f>
        <v/>
      </c>
    </row>
    <row r="366">
      <c r="A366" t="inlineStr">
        <is>
          <t>The University Of Texas Texas A M Investment Management Company</t>
        </is>
      </c>
      <c r="B366" s="20" t="inlineStr">
        <is>
          <t>TX</t>
        </is>
      </c>
      <c r="C366" s="42" t="n">
        <v>67.84</v>
      </c>
      <c r="D366" t="inlineStr">
        <is>
          <t>Endowment</t>
        </is>
      </c>
      <c r="E366" s="20" t="n">
        <v>2024</v>
      </c>
      <c r="F366" s="20" t="inlineStr"/>
      <c r="G366" t="inlineStr">
        <is>
          <t>Kenneth Standley</t>
        </is>
      </c>
      <c r="H366" t="inlineStr">
        <is>
          <t>SENIOR DIRECTOR - INVESTMENTS</t>
        </is>
      </c>
      <c r="I366" t="inlineStr">
        <is>
          <t>Director of Investments</t>
        </is>
      </c>
      <c r="J366" s="21" t="n">
        <v>264899</v>
      </c>
      <c r="K366" s="21" t="n">
        <v>609183</v>
      </c>
      <c r="L366" s="21" t="n">
        <v>874082</v>
      </c>
      <c r="M366" s="21" t="n">
        <v>2256</v>
      </c>
      <c r="N366" s="21" t="n">
        <v>270210</v>
      </c>
      <c r="O366" s="21" t="n">
        <v>30180</v>
      </c>
      <c r="P366" s="21" t="n">
        <v>1176728</v>
      </c>
      <c r="Q366" s="21" t="n">
        <v>578082</v>
      </c>
      <c r="R366" s="21">
        <f>IF(Q366="","",Q366*(1+in_GrowthRate)^(YEARFRAC(DATE(2024,8,31),in_AgeToDate)*IF(in_AgeToDate&lt;DATE(2024,8,31),-1,1)+1))</f>
        <v/>
      </c>
      <c r="S366" s="38" t="n">
        <v>2.299680255493603</v>
      </c>
      <c r="T366" s="43">
        <f>HYPERLINK("https://projects.propublica.org/nonprofits/organizations/742765082/202541899349300034/full","view filing")</f>
        <v/>
      </c>
    </row>
    <row r="367">
      <c r="A367" t="inlineStr">
        <is>
          <t>The University Of Texas Texas A M Investment Management Company</t>
        </is>
      </c>
      <c r="B367" s="20" t="inlineStr">
        <is>
          <t>TX</t>
        </is>
      </c>
      <c r="C367" s="42" t="n">
        <v>67.84</v>
      </c>
      <c r="D367" t="inlineStr">
        <is>
          <t>Endowment</t>
        </is>
      </c>
      <c r="E367" s="20" t="n">
        <v>2024</v>
      </c>
      <c r="F367" s="20" t="inlineStr"/>
      <c r="G367" t="inlineStr">
        <is>
          <t>Kyle Burhop</t>
        </is>
      </c>
      <c r="H367" t="inlineStr">
        <is>
          <t>SENIOR DIRECTOR - INVESTMENTS</t>
        </is>
      </c>
      <c r="I367" t="inlineStr">
        <is>
          <t>Director of Investments</t>
        </is>
      </c>
      <c r="J367" s="21" t="n">
        <v>244333</v>
      </c>
      <c r="K367" s="21" t="n">
        <v>485103</v>
      </c>
      <c r="L367" s="21" t="n">
        <v>729436</v>
      </c>
      <c r="M367" s="21" t="n">
        <v>2356</v>
      </c>
      <c r="N367" s="21" t="n">
        <v>265027</v>
      </c>
      <c r="O367" s="21" t="n">
        <v>10053</v>
      </c>
      <c r="P367" s="21" t="n">
        <v>1006872</v>
      </c>
      <c r="Q367" s="21" t="n">
        <v>1006872</v>
      </c>
      <c r="R367" s="21">
        <f>IF(Q367="","",Q367*(1+in_GrowthRate)^(YEARFRAC(DATE(2024,8,31),in_AgeToDate)*IF(in_AgeToDate&lt;DATE(2024,8,31),-1,1)+1))</f>
        <v/>
      </c>
      <c r="S367" s="38" t="n">
        <v>1.985417442588598</v>
      </c>
      <c r="T367" s="43">
        <f>HYPERLINK("https://projects.propublica.org/nonprofits/organizations/742765082/202541899349300034/full","view filing")</f>
        <v/>
      </c>
    </row>
    <row r="368">
      <c r="A368" t="inlineStr">
        <is>
          <t>The University Of Texas Texas A M Investment Management Company</t>
        </is>
      </c>
      <c r="B368" s="20" t="inlineStr">
        <is>
          <t>TX</t>
        </is>
      </c>
      <c r="C368" s="42" t="n">
        <v>67.84</v>
      </c>
      <c r="D368" t="inlineStr">
        <is>
          <t>Endowment</t>
        </is>
      </c>
      <c r="E368" s="20" t="n">
        <v>2024</v>
      </c>
      <c r="F368" s="20" t="inlineStr"/>
      <c r="G368" t="inlineStr">
        <is>
          <t>Timothy Jones</t>
        </is>
      </c>
      <c r="H368" t="inlineStr">
        <is>
          <t>SENIOR DIRECTOR - RISK MANAGMENT</t>
        </is>
      </c>
      <c r="I368" t="inlineStr">
        <is>
          <t>Director of Investments</t>
        </is>
      </c>
      <c r="J368" s="21" t="n">
        <v>267146</v>
      </c>
      <c r="K368" s="21" t="n">
        <v>559698</v>
      </c>
      <c r="L368" s="21" t="n">
        <v>826844</v>
      </c>
      <c r="M368" s="21" t="n">
        <v>2026</v>
      </c>
      <c r="N368" s="21" t="n">
        <v>238702</v>
      </c>
      <c r="O368" s="21" t="n">
        <v>28948</v>
      </c>
      <c r="P368" s="21" t="n">
        <v>1096520</v>
      </c>
      <c r="Q368" s="21" t="n">
        <v>597906</v>
      </c>
      <c r="R368" s="21">
        <f>IF(Q368="","",Q368*(1+in_GrowthRate)^(YEARFRAC(DATE(2024,8,31),in_AgeToDate)*IF(in_AgeToDate&lt;DATE(2024,8,31),-1,1)+1))</f>
        <v/>
      </c>
      <c r="S368" s="38" t="n">
        <v>2.095101554954968</v>
      </c>
      <c r="T368" s="43">
        <f>HYPERLINK("https://projects.propublica.org/nonprofits/organizations/742765082/202541899349300034/full","view filing")</f>
        <v/>
      </c>
    </row>
    <row r="369">
      <c r="A369" t="inlineStr">
        <is>
          <t>The University Of Texas Texas A M Investment Management Company</t>
        </is>
      </c>
      <c r="B369" s="20" t="inlineStr">
        <is>
          <t>TX</t>
        </is>
      </c>
      <c r="C369" s="42" t="n">
        <v>67.84</v>
      </c>
      <c r="D369" t="inlineStr">
        <is>
          <t>Endowment</t>
        </is>
      </c>
      <c r="E369" s="20" t="n">
        <v>2023</v>
      </c>
      <c r="F369" s="20" t="inlineStr"/>
      <c r="G369" t="inlineStr">
        <is>
          <t>Edward Morris</t>
        </is>
      </c>
      <c r="H369" t="inlineStr">
        <is>
          <t>SENIOR DIRECTOR-INVESTMENTS</t>
        </is>
      </c>
      <c r="I369" t="inlineStr">
        <is>
          <t>Director of Investments</t>
        </is>
      </c>
      <c r="J369" s="21" t="n">
        <v>245886</v>
      </c>
      <c r="K369" s="21" t="n">
        <v>93732</v>
      </c>
      <c r="L369" s="21" t="n">
        <v>339618</v>
      </c>
      <c r="M369" s="21" t="n">
        <v>2039</v>
      </c>
      <c r="N369" s="21" t="n">
        <v>260280</v>
      </c>
      <c r="O369" s="21" t="n">
        <v>28913</v>
      </c>
      <c r="P369" s="21" t="n">
        <v>630850</v>
      </c>
      <c r="Q369" s="21" t="n">
        <v>630850</v>
      </c>
      <c r="R369" s="21">
        <f>IF(Q369="","",Q369*(1+in_GrowthRate)^(YEARFRAC(DATE(2023,8,31),in_AgeToDate)*IF(in_AgeToDate&lt;DATE(2023,8,31),-1,1)+1))</f>
        <v/>
      </c>
      <c r="S369" s="38" t="n">
        <v>0.381201044386423</v>
      </c>
      <c r="T369" s="43">
        <f>HYPERLINK("https://projects.propublica.org/nonprofits/organizations/742765082/202421919349300237/full","view filing")</f>
        <v/>
      </c>
    </row>
    <row r="370">
      <c r="A370" t="inlineStr">
        <is>
          <t>The University Of Texas Texas A M Investment Management Company</t>
        </is>
      </c>
      <c r="B370" s="20" t="inlineStr">
        <is>
          <t>TX</t>
        </is>
      </c>
      <c r="C370" s="42" t="n">
        <v>67.84</v>
      </c>
      <c r="D370" t="inlineStr">
        <is>
          <t>Endowment</t>
        </is>
      </c>
      <c r="E370" s="20" t="n">
        <v>2023</v>
      </c>
      <c r="F370" s="20" t="inlineStr"/>
      <c r="G370" t="inlineStr">
        <is>
          <t>Harland Doak</t>
        </is>
      </c>
      <c r="H370" t="inlineStr">
        <is>
          <t>SENIOR DIRECTOR</t>
        </is>
      </c>
      <c r="I370" t="inlineStr">
        <is>
          <t>Director of Investments</t>
        </is>
      </c>
      <c r="J370" s="21" t="n">
        <v>302310</v>
      </c>
      <c r="K370" s="21" t="n">
        <v>456930</v>
      </c>
      <c r="L370" s="21" t="n">
        <v>759240</v>
      </c>
      <c r="M370" s="21" t="n">
        <v>2038</v>
      </c>
      <c r="N370" s="21" t="n">
        <v>398391</v>
      </c>
      <c r="O370" s="21" t="n">
        <v>26162</v>
      </c>
      <c r="P370" s="21" t="n">
        <v>1185831</v>
      </c>
      <c r="Q370" s="21" t="n">
        <v>728901</v>
      </c>
      <c r="R370" s="21">
        <f>IF(Q370="","",Q370*(1+in_GrowthRate)^(YEARFRAC(DATE(2023,8,31),in_AgeToDate)*IF(in_AgeToDate&lt;DATE(2023,8,31),-1,1)+1))</f>
        <v/>
      </c>
      <c r="S370" s="38" t="n">
        <v>1.511461744566835</v>
      </c>
      <c r="T370" s="43">
        <f>HYPERLINK("https://projects.propublica.org/nonprofits/organizations/742765082/202421919349300237/full","view filing")</f>
        <v/>
      </c>
    </row>
    <row r="371">
      <c r="A371" t="inlineStr">
        <is>
          <t>The University Of Texas Texas A M Investment Management Company</t>
        </is>
      </c>
      <c r="B371" s="20" t="inlineStr">
        <is>
          <t>TX</t>
        </is>
      </c>
      <c r="C371" s="42" t="n">
        <v>67.84</v>
      </c>
      <c r="D371" t="inlineStr">
        <is>
          <t>Endowment</t>
        </is>
      </c>
      <c r="E371" s="20" t="n">
        <v>2023</v>
      </c>
      <c r="F371" s="20" t="inlineStr"/>
      <c r="G371" t="inlineStr">
        <is>
          <t>Kenneth Standley</t>
        </is>
      </c>
      <c r="H371" t="inlineStr">
        <is>
          <t>SENIOR DIRECTOR</t>
        </is>
      </c>
      <c r="I371" t="inlineStr">
        <is>
          <t>Director of Investments</t>
        </is>
      </c>
      <c r="J371" s="21" t="n">
        <v>233827</v>
      </c>
      <c r="K371" s="21" t="n">
        <v>110337</v>
      </c>
      <c r="L371" s="21" t="n">
        <v>344164</v>
      </c>
      <c r="M371" s="21" t="n">
        <v>2039</v>
      </c>
      <c r="N371" s="21" t="n">
        <v>343937</v>
      </c>
      <c r="O371" s="21" t="n">
        <v>30036</v>
      </c>
      <c r="P371" s="21" t="n">
        <v>720176</v>
      </c>
      <c r="Q371" s="21" t="n">
        <v>611001</v>
      </c>
      <c r="R371" s="21">
        <f>IF(Q371="","",Q371*(1+in_GrowthRate)^(YEARFRAC(DATE(2023,8,31),in_AgeToDate)*IF(in_AgeToDate&lt;DATE(2023,8,31),-1,1)+1))</f>
        <v/>
      </c>
      <c r="S371" s="38" t="n">
        <v>0.4718745055104843</v>
      </c>
      <c r="T371" s="43">
        <f>HYPERLINK("https://projects.propublica.org/nonprofits/organizations/742765082/202421919349300237/full","view filing")</f>
        <v/>
      </c>
    </row>
    <row r="372">
      <c r="A372" t="inlineStr">
        <is>
          <t>The University Of Texas Texas A M Investment Management Company</t>
        </is>
      </c>
      <c r="B372" s="20" t="inlineStr">
        <is>
          <t>TX</t>
        </is>
      </c>
      <c r="C372" s="42" t="n">
        <v>67.84</v>
      </c>
      <c r="D372" t="inlineStr">
        <is>
          <t>Endowment</t>
        </is>
      </c>
      <c r="E372" s="20" t="n">
        <v>2023</v>
      </c>
      <c r="F372" s="20" t="inlineStr"/>
      <c r="G372" t="inlineStr">
        <is>
          <t>Timothy Jones</t>
        </is>
      </c>
      <c r="H372" t="inlineStr">
        <is>
          <t>SENIOR DIRECTOR-RISK MANAGMENT</t>
        </is>
      </c>
      <c r="I372" t="inlineStr">
        <is>
          <t>Director of Investments</t>
        </is>
      </c>
      <c r="J372" s="21" t="n">
        <v>256135</v>
      </c>
      <c r="K372" s="21" t="n">
        <v>88781</v>
      </c>
      <c r="L372" s="21" t="n">
        <v>344916</v>
      </c>
      <c r="M372" s="21" t="n">
        <v>2521</v>
      </c>
      <c r="N372" s="21" t="n">
        <v>303151</v>
      </c>
      <c r="O372" s="21" t="n">
        <v>28831</v>
      </c>
      <c r="P372" s="21" t="n">
        <v>679419</v>
      </c>
      <c r="Q372" s="21" t="n">
        <v>679419</v>
      </c>
      <c r="R372" s="21">
        <f>IF(Q372="","",Q372*(1+in_GrowthRate)^(YEARFRAC(DATE(2023,8,31),in_AgeToDate)*IF(in_AgeToDate&lt;DATE(2023,8,31),-1,1)+1))</f>
        <v/>
      </c>
      <c r="S372" s="38" t="n">
        <v>0.3466179944170066</v>
      </c>
      <c r="T372" s="43">
        <f>HYPERLINK("https://projects.propublica.org/nonprofits/organizations/742765082/202421919349300237/full","view filing")</f>
        <v/>
      </c>
    </row>
    <row r="373">
      <c r="A373" t="inlineStr">
        <is>
          <t>The University Of Texas Texas A M Investment Management Company</t>
        </is>
      </c>
      <c r="B373" s="20" t="inlineStr">
        <is>
          <t>TX</t>
        </is>
      </c>
      <c r="C373" s="42" t="n">
        <v>67.84</v>
      </c>
      <c r="D373" t="inlineStr">
        <is>
          <t>Endowment</t>
        </is>
      </c>
      <c r="E373" s="20" t="n">
        <v>2022</v>
      </c>
      <c r="F373" s="20" t="inlineStr"/>
      <c r="G373" t="inlineStr">
        <is>
          <t>Anthony Caruso</t>
        </is>
      </c>
      <c r="H373" t="inlineStr">
        <is>
          <t>SENIOR DIRECTOR</t>
        </is>
      </c>
      <c r="I373" t="inlineStr">
        <is>
          <t>Director of Investments</t>
        </is>
      </c>
      <c r="J373" s="21" t="n">
        <v>249505</v>
      </c>
      <c r="K373" s="21" t="n">
        <v>358970</v>
      </c>
      <c r="L373" s="21" t="n">
        <v>608475</v>
      </c>
      <c r="M373" s="21" t="n">
        <v>2110</v>
      </c>
      <c r="N373" s="21" t="n">
        <v>474014</v>
      </c>
      <c r="O373" s="21" t="n">
        <v>27587</v>
      </c>
      <c r="P373" s="21" t="n">
        <v>1112186</v>
      </c>
      <c r="Q373" s="21" t="n">
        <v>1112186</v>
      </c>
      <c r="R373" s="21">
        <f>IF(Q373="","",Q373*(1+in_GrowthRate)^(YEARFRAC(DATE(2022,8,31),in_AgeToDate)*IF(in_AgeToDate&lt;DATE(2022,8,31),-1,1)+1))</f>
        <v/>
      </c>
      <c r="S373" s="38" t="n">
        <v>1.438728682791928</v>
      </c>
      <c r="T373" s="43">
        <f>HYPERLINK("https://projects.propublica.org/nonprofits/organizations/742765082/202331879349300948/full","view filing")</f>
        <v/>
      </c>
    </row>
    <row r="374">
      <c r="A374" t="inlineStr">
        <is>
          <t>The University Of Texas Texas A M Investment Management Company</t>
        </is>
      </c>
      <c r="B374" s="20" t="inlineStr">
        <is>
          <t>TX</t>
        </is>
      </c>
      <c r="C374" s="42" t="n">
        <v>67.84</v>
      </c>
      <c r="D374" t="inlineStr">
        <is>
          <t>Endowment</t>
        </is>
      </c>
      <c r="E374" s="20" t="n">
        <v>2022</v>
      </c>
      <c r="F374" s="20" t="inlineStr"/>
      <c r="G374" t="inlineStr">
        <is>
          <t>Harland Doak</t>
        </is>
      </c>
      <c r="H374" t="inlineStr">
        <is>
          <t>SENIOR DIRECTOR</t>
        </is>
      </c>
      <c r="I374" t="inlineStr">
        <is>
          <t>Director of Investments</t>
        </is>
      </c>
      <c r="J374" s="21" t="n">
        <v>284637</v>
      </c>
      <c r="K374" s="21" t="n">
        <v>446087</v>
      </c>
      <c r="L374" s="21" t="n">
        <v>730724</v>
      </c>
      <c r="M374" s="21" t="n">
        <v>2338</v>
      </c>
      <c r="N374" s="21" t="n">
        <v>481580</v>
      </c>
      <c r="O374" s="21" t="n">
        <v>29870</v>
      </c>
      <c r="P374" s="21" t="n">
        <v>1244512</v>
      </c>
      <c r="Q374" s="21" t="n">
        <v>798425</v>
      </c>
      <c r="R374" s="21">
        <f>IF(Q374="","",Q374*(1+in_GrowthRate)^(YEARFRAC(DATE(2022,8,31),in_AgeToDate)*IF(in_AgeToDate&lt;DATE(2022,8,31),-1,1)+1))</f>
        <v/>
      </c>
      <c r="S374" s="38" t="n">
        <v>1.567213679177338</v>
      </c>
      <c r="T374" s="43">
        <f>HYPERLINK("https://projects.propublica.org/nonprofits/organizations/742765082/202331879349300948/full","view filing")</f>
        <v/>
      </c>
    </row>
    <row r="375">
      <c r="A375" t="inlineStr">
        <is>
          <t>The University Of Texas Texas A M Investment Management Company</t>
        </is>
      </c>
      <c r="B375" s="20" t="inlineStr">
        <is>
          <t>TX</t>
        </is>
      </c>
      <c r="C375" s="42" t="n">
        <v>67.84</v>
      </c>
      <c r="D375" t="inlineStr">
        <is>
          <t>Endowment</t>
        </is>
      </c>
      <c r="E375" s="20" t="n">
        <v>2022</v>
      </c>
      <c r="F375" s="20" t="inlineStr"/>
      <c r="G375" t="inlineStr">
        <is>
          <t>Kenneth Standley</t>
        </is>
      </c>
      <c r="H375" t="inlineStr">
        <is>
          <t>SENIOR DIRECTOR</t>
        </is>
      </c>
      <c r="I375" t="inlineStr">
        <is>
          <t>Director of Investments</t>
        </is>
      </c>
      <c r="J375" s="21" t="n">
        <v>244970</v>
      </c>
      <c r="K375" s="21" t="n">
        <v>375873</v>
      </c>
      <c r="L375" s="21" t="n">
        <v>620843</v>
      </c>
      <c r="M375" s="21" t="n">
        <v>2410</v>
      </c>
      <c r="N375" s="21" t="n">
        <v>412238</v>
      </c>
      <c r="O375" s="21" t="n">
        <v>28870</v>
      </c>
      <c r="P375" s="21" t="n">
        <v>1064361</v>
      </c>
      <c r="Q375" s="21" t="n">
        <v>1064361</v>
      </c>
      <c r="R375" s="21">
        <f>IF(Q375="","",Q375*(1+in_GrowthRate)^(YEARFRAC(DATE(2022,8,31),in_AgeToDate)*IF(in_AgeToDate&lt;DATE(2022,8,31),-1,1)+1))</f>
        <v/>
      </c>
      <c r="S375" s="38" t="n">
        <v>1.534363391435686</v>
      </c>
      <c r="T375" s="43">
        <f>HYPERLINK("https://projects.propublica.org/nonprofits/organizations/742765082/202331879349300948/full","view filing")</f>
        <v/>
      </c>
    </row>
    <row r="376">
      <c r="A376" t="inlineStr">
        <is>
          <t>The University Of Texas Texas A M Investment Management Company</t>
        </is>
      </c>
      <c r="B376" s="20" t="inlineStr">
        <is>
          <t>TX</t>
        </is>
      </c>
      <c r="C376" s="42" t="n">
        <v>67.84</v>
      </c>
      <c r="D376" t="inlineStr">
        <is>
          <t>Endowment</t>
        </is>
      </c>
      <c r="E376" s="20" t="n">
        <v>2022</v>
      </c>
      <c r="F376" s="20" t="inlineStr"/>
      <c r="G376" t="inlineStr">
        <is>
          <t>Mukund Joshi</t>
        </is>
      </c>
      <c r="H376" t="inlineStr">
        <is>
          <t>SENIOR DIRECTOR</t>
        </is>
      </c>
      <c r="I376" t="inlineStr">
        <is>
          <t>Director of Investments</t>
        </is>
      </c>
      <c r="J376" s="21" t="n">
        <v>264373</v>
      </c>
      <c r="K376" s="21" t="n">
        <v>436506</v>
      </c>
      <c r="L376" s="21" t="n">
        <v>700879</v>
      </c>
      <c r="M376" s="21" t="n">
        <v>2110</v>
      </c>
      <c r="N376" s="21" t="n">
        <v>387324</v>
      </c>
      <c r="O376" s="21" t="n">
        <v>27800</v>
      </c>
      <c r="P376" s="21" t="n">
        <v>1118113</v>
      </c>
      <c r="Q376" s="21" t="n">
        <v>791802</v>
      </c>
      <c r="R376" s="21">
        <f>IF(Q376="","",Q376*(1+in_GrowthRate)^(YEARFRAC(DATE(2022,8,31),in_AgeToDate)*IF(in_AgeToDate&lt;DATE(2022,8,31),-1,1)+1))</f>
        <v/>
      </c>
      <c r="S376" s="38" t="n">
        <v>1.651099015406263</v>
      </c>
      <c r="T376" s="43">
        <f>HYPERLINK("https://projects.propublica.org/nonprofits/organizations/742765082/202331879349300948/full","view filing")</f>
        <v/>
      </c>
    </row>
    <row r="377">
      <c r="A377" t="inlineStr">
        <is>
          <t>The University Of Texas Texas A M Investment Management Company</t>
        </is>
      </c>
      <c r="B377" s="20" t="inlineStr">
        <is>
          <t>TX</t>
        </is>
      </c>
      <c r="C377" s="42" t="n">
        <v>67.84</v>
      </c>
      <c r="D377" t="inlineStr">
        <is>
          <t>Endowment</t>
        </is>
      </c>
      <c r="E377" s="20" t="n">
        <v>2022</v>
      </c>
      <c r="F377" s="20" t="inlineStr"/>
      <c r="G377" t="inlineStr">
        <is>
          <t>William Mirshak</t>
        </is>
      </c>
      <c r="H377" t="inlineStr">
        <is>
          <t>SENIOR DIRECTOR</t>
        </is>
      </c>
      <c r="I377" t="inlineStr">
        <is>
          <t>Director of Investments</t>
        </is>
      </c>
      <c r="J377" s="21" t="n">
        <v>215421</v>
      </c>
      <c r="K377" s="21" t="n">
        <v>362798</v>
      </c>
      <c r="L377" s="21" t="n">
        <v>578219</v>
      </c>
      <c r="M377" s="21" t="n">
        <v>2069</v>
      </c>
      <c r="N377" s="21" t="n">
        <v>19793</v>
      </c>
      <c r="O377" s="21" t="n">
        <v>26057</v>
      </c>
      <c r="P377" s="21" t="n">
        <v>626138</v>
      </c>
      <c r="Q377" s="21" t="n">
        <v>626138</v>
      </c>
      <c r="R377" s="21">
        <f>IF(Q377="","",Q377*(1+in_GrowthRate)^(YEARFRAC(DATE(2022,8,31),in_AgeToDate)*IF(in_AgeToDate&lt;DATE(2022,8,31),-1,1)+1))</f>
        <v/>
      </c>
      <c r="S377" s="38" t="n">
        <v>1.684134787230586</v>
      </c>
      <c r="T377" s="43">
        <f>HYPERLINK("https://projects.propublica.org/nonprofits/organizations/742765082/202331879349300948/full","view filing")</f>
        <v/>
      </c>
    </row>
    <row r="378">
      <c r="A378" t="inlineStr">
        <is>
          <t>Trinity University</t>
        </is>
      </c>
      <c r="B378" s="20" t="inlineStr">
        <is>
          <t>TX</t>
        </is>
      </c>
      <c r="C378" s="42" t="n">
        <v>1.94</v>
      </c>
      <c r="D378" t="inlineStr">
        <is>
          <t>Endowment</t>
        </is>
      </c>
      <c r="E378" s="20" t="n">
        <v>2025</v>
      </c>
      <c r="F378" s="20">
        <f>IF(AND(OR(in_Mode="All Funds",AND(C378&gt;=in_BandFloor,C378&lt;=in_BandCeiling,OR(in_Geography="National",COUNTIFS(lst_GeoPreset,in_Geography,lst_GeoState,B378)&gt;0,AND(in_Geography="Custom",ISNUMBER(SEARCH(B378,SUBSTITUTE(in_CustomStates," ",""))))),OR(AND(D378="Endowment",Inputs!$B$14="Y"),AND(D378="Foundation",Inputs!$B$15="Y"),AND(D378="Healthcare",Inputs!$B$16="Y"),AND(D378="Pension",Inputs!$B$17="Y"),AND(D378="OCIO",Inputs!$B$18="Y"),AND(D378="Other",Inputs!$B$19="Y")))),A378&lt;&gt;in_ClientOrg,NOT(AND(in_ExclHarvard="Y",ISNUMBER(SEARCH("Harvard",A378))))),"Y","")</f>
        <v/>
      </c>
      <c r="G378" t="inlineStr">
        <is>
          <t>Alison Hermann</t>
        </is>
      </c>
      <c r="H378" t="inlineStr">
        <is>
          <t>Investment Director-Marketables</t>
        </is>
      </c>
      <c r="I378" t="inlineStr">
        <is>
          <t>Director of Investments</t>
        </is>
      </c>
      <c r="J378" s="21" t="n">
        <v>217085</v>
      </c>
      <c r="K378" s="21" t="n">
        <v>60000</v>
      </c>
      <c r="L378" s="21" t="n">
        <v>277085</v>
      </c>
      <c r="M378" s="21" t="n">
        <v>302</v>
      </c>
      <c r="N378" s="21" t="n">
        <v>21709</v>
      </c>
      <c r="O378" s="21" t="n">
        <v>600</v>
      </c>
      <c r="P378" s="21" t="n">
        <v>299696</v>
      </c>
      <c r="Q378" s="21" t="n">
        <v>299696</v>
      </c>
      <c r="R378" s="21">
        <f>IF(Q378="","",Q378*(1+in_GrowthRate)^(YEARFRAC(DATE(2025,5,31),in_AgeToDate)*IF(in_AgeToDate&lt;DATE(2025,5,31),-1,1)+1))</f>
        <v/>
      </c>
      <c r="S378" s="38" t="n">
        <v>0.2763894327106894</v>
      </c>
      <c r="T378" s="43">
        <f>HYPERLINK("https://projects.propublica.org/nonprofits/organizations/741109633/202601049349300000/full","view filing")</f>
        <v/>
      </c>
    </row>
    <row r="379">
      <c r="A379" t="inlineStr">
        <is>
          <t>Trinity University</t>
        </is>
      </c>
      <c r="B379" s="20" t="inlineStr">
        <is>
          <t>TX</t>
        </is>
      </c>
      <c r="C379" s="42" t="n">
        <v>1.94</v>
      </c>
      <c r="D379" t="inlineStr">
        <is>
          <t>Endowment</t>
        </is>
      </c>
      <c r="E379" s="20" t="n">
        <v>2024</v>
      </c>
      <c r="F379" s="20" t="inlineStr"/>
      <c r="G379" t="inlineStr">
        <is>
          <t>Alison Hermann</t>
        </is>
      </c>
      <c r="H379" t="inlineStr">
        <is>
          <t>Investment Manager</t>
        </is>
      </c>
      <c r="I379" t="inlineStr">
        <is>
          <t>Investment Manager</t>
        </is>
      </c>
      <c r="J379" s="21" t="n">
        <v>185132</v>
      </c>
      <c r="K379" s="21" t="n">
        <v>80000</v>
      </c>
      <c r="L379" s="21" t="n">
        <v>265132</v>
      </c>
      <c r="M379" s="21" t="n">
        <v>239</v>
      </c>
      <c r="N379" s="21" t="n">
        <v>18513</v>
      </c>
      <c r="O379" s="21" t="n">
        <v>500</v>
      </c>
      <c r="P379" s="21" t="n">
        <v>284384</v>
      </c>
      <c r="Q379" s="21" t="n">
        <v>284384</v>
      </c>
      <c r="R379" s="21">
        <f>IF(Q379="","",Q379*(1+in_GrowthRate)^(YEARFRAC(DATE(2024,5,31),in_AgeToDate)*IF(in_AgeToDate&lt;DATE(2024,5,31),-1,1)+1))</f>
        <v/>
      </c>
      <c r="S379" s="38" t="n">
        <v>0.4321241060432556</v>
      </c>
      <c r="T379" s="43">
        <f>HYPERLINK("https://projects.propublica.org/nonprofits/organizations/741109633/202540989349302104/full","view filing")</f>
        <v/>
      </c>
    </row>
    <row r="380">
      <c r="A380" t="inlineStr">
        <is>
          <t>Trustees Of Amherst College</t>
        </is>
      </c>
      <c r="B380" s="20" t="inlineStr">
        <is>
          <t>MA</t>
        </is>
      </c>
      <c r="C380" s="42" t="n">
        <v>3.9</v>
      </c>
      <c r="D380" t="inlineStr">
        <is>
          <t>Endowment</t>
        </is>
      </c>
      <c r="E380" s="20" t="n">
        <v>2025</v>
      </c>
      <c r="F380" s="20">
        <f>IF(AND(OR(in_Mode="All Funds",AND(C380&gt;=in_BandFloor,C380&lt;=in_BandCeiling,OR(in_Geography="National",COUNTIFS(lst_GeoPreset,in_Geography,lst_GeoState,B380)&gt;0,AND(in_Geography="Custom",ISNUMBER(SEARCH(B380,SUBSTITUTE(in_CustomStates," ",""))))),OR(AND(D380="Endowment",Inputs!$B$14="Y"),AND(D380="Foundation",Inputs!$B$15="Y"),AND(D380="Healthcare",Inputs!$B$16="Y"),AND(D380="Pension",Inputs!$B$17="Y"),AND(D380="OCIO",Inputs!$B$18="Y"),AND(D380="Other",Inputs!$B$19="Y")))),A380&lt;&gt;in_ClientOrg,NOT(AND(in_ExclHarvard="Y",ISNUMBER(SEARCH("Harvard",A380))))),"Y","")</f>
        <v/>
      </c>
      <c r="G380" t="inlineStr">
        <is>
          <t>Shane Levy</t>
        </is>
      </c>
      <c r="H380" t="inlineStr">
        <is>
          <t>INVESTMENT OFFICER</t>
        </is>
      </c>
      <c r="I380" t="inlineStr">
        <is>
          <t>Investment Officer</t>
        </is>
      </c>
      <c r="J380" s="21" t="n">
        <v>228310</v>
      </c>
      <c r="K380" s="21" t="n">
        <v>175000</v>
      </c>
      <c r="L380" s="21" t="n">
        <v>403310</v>
      </c>
      <c r="M380" s="21" t="n">
        <v>283</v>
      </c>
      <c r="N380" s="21" t="n">
        <v>19085</v>
      </c>
      <c r="O380" s="21" t="n">
        <v>11952</v>
      </c>
      <c r="P380" s="21" t="n">
        <v>434630</v>
      </c>
      <c r="Q380" s="21" t="n">
        <v>434630</v>
      </c>
      <c r="R380" s="21">
        <f>IF(Q380="","",Q380*(1+in_GrowthRate)^(YEARFRAC(DATE(2025,6,30),in_AgeToDate)*IF(in_AgeToDate&lt;DATE(2025,6,30),-1,1)+1))</f>
        <v/>
      </c>
      <c r="S380" s="38" t="n">
        <v>0.7665016863037099</v>
      </c>
      <c r="T380" s="43">
        <f>HYPERLINK("https://projects.propublica.org/nonprofits/organizations/42103542/202631329349302793/full","view filing")</f>
        <v/>
      </c>
    </row>
    <row r="381">
      <c r="A381" t="inlineStr">
        <is>
          <t>Trustees Of Amherst College</t>
        </is>
      </c>
      <c r="B381" s="20" t="inlineStr">
        <is>
          <t>MA</t>
        </is>
      </c>
      <c r="C381" s="42" t="n">
        <v>3.9</v>
      </c>
      <c r="D381" t="inlineStr">
        <is>
          <t>Endowment</t>
        </is>
      </c>
      <c r="E381" s="20" t="n">
        <v>2024</v>
      </c>
      <c r="F381" s="20" t="inlineStr"/>
      <c r="G381" t="inlineStr">
        <is>
          <t>Shane Levy</t>
        </is>
      </c>
      <c r="H381" t="inlineStr">
        <is>
          <t>INVESTMENT OFFICER</t>
        </is>
      </c>
      <c r="I381" t="inlineStr">
        <is>
          <t>Investment Officer</t>
        </is>
      </c>
      <c r="J381" s="21" t="n">
        <v>213251</v>
      </c>
      <c r="K381" s="21" t="n">
        <v>163000</v>
      </c>
      <c r="L381" s="21" t="n">
        <v>376251</v>
      </c>
      <c r="M381" s="21" t="n">
        <v>381</v>
      </c>
      <c r="N381" s="21" t="n">
        <v>19027</v>
      </c>
      <c r="O381" s="21" t="n">
        <v>11176</v>
      </c>
      <c r="P381" s="21" t="n">
        <v>406835</v>
      </c>
      <c r="Q381" s="21" t="n">
        <v>406835</v>
      </c>
      <c r="R381" s="21">
        <f>IF(Q381="","",Q381*(1+in_GrowthRate)^(YEARFRAC(DATE(2024,6,30),in_AgeToDate)*IF(in_AgeToDate&lt;DATE(2024,6,30),-1,1)+1))</f>
        <v/>
      </c>
      <c r="S381" s="38" t="n">
        <v>0.7643574942204256</v>
      </c>
      <c r="T381" s="43">
        <f>HYPERLINK("https://projects.propublica.org/nonprofits/organizations/42103542/202521359349303002/full","view filing")</f>
        <v/>
      </c>
    </row>
    <row r="382">
      <c r="A382" t="inlineStr">
        <is>
          <t>Trustees Of Amherst College</t>
        </is>
      </c>
      <c r="B382" s="20" t="inlineStr">
        <is>
          <t>MA</t>
        </is>
      </c>
      <c r="C382" s="42" t="n">
        <v>3.9</v>
      </c>
      <c r="D382" t="inlineStr">
        <is>
          <t>Endowment</t>
        </is>
      </c>
      <c r="E382" s="20" t="n">
        <v>2023</v>
      </c>
      <c r="F382" s="20" t="inlineStr"/>
      <c r="G382" t="inlineStr">
        <is>
          <t>Shane Levy</t>
        </is>
      </c>
      <c r="H382" t="inlineStr">
        <is>
          <t>INVESTMENT OFFICER</t>
        </is>
      </c>
      <c r="I382" t="inlineStr">
        <is>
          <t>Investment Officer</t>
        </is>
      </c>
      <c r="J382" s="21" t="n">
        <v>213306</v>
      </c>
      <c r="K382" s="21" t="n">
        <v>131760</v>
      </c>
      <c r="L382" s="21" t="n">
        <v>345066</v>
      </c>
      <c r="M382" s="21" t="n">
        <v>619</v>
      </c>
      <c r="N382" s="21" t="n">
        <v>24577</v>
      </c>
      <c r="O382" s="21" t="n">
        <v>10687</v>
      </c>
      <c r="P382" s="21" t="n">
        <v>380949</v>
      </c>
      <c r="Q382" s="21" t="n">
        <v>380949</v>
      </c>
      <c r="R382" s="21">
        <f>IF(Q382="","",Q382*(1+in_GrowthRate)^(YEARFRAC(DATE(2023,6,30),in_AgeToDate)*IF(in_AgeToDate&lt;DATE(2023,6,30),-1,1)+1))</f>
        <v/>
      </c>
      <c r="S382" s="38" t="n">
        <v>0.6177041433433659</v>
      </c>
      <c r="T382" s="43">
        <f>HYPERLINK("https://projects.propublica.org/nonprofits/organizations/42103542/202401369349308800/full","view filing")</f>
        <v/>
      </c>
    </row>
    <row r="383">
      <c r="A383" t="inlineStr">
        <is>
          <t>Trustees Of Hamilton College</t>
        </is>
      </c>
      <c r="B383" s="20" t="inlineStr">
        <is>
          <t>NY</t>
        </is>
      </c>
      <c r="C383" s="42" t="n">
        <v>1.5</v>
      </c>
      <c r="D383" t="inlineStr">
        <is>
          <t>Endowment</t>
        </is>
      </c>
      <c r="E383" s="20" t="n">
        <v>2025</v>
      </c>
      <c r="F383" s="20">
        <f>IF(AND(OR(in_Mode="All Funds",AND(C383&gt;=in_BandFloor,C383&lt;=in_BandCeiling,OR(in_Geography="National",COUNTIFS(lst_GeoPreset,in_Geography,lst_GeoState,B383)&gt;0,AND(in_Geography="Custom",ISNUMBER(SEARCH(B383,SUBSTITUTE(in_CustomStates," ",""))))),OR(AND(D383="Endowment",Inputs!$B$14="Y"),AND(D383="Foundation",Inputs!$B$15="Y"),AND(D383="Healthcare",Inputs!$B$16="Y"),AND(D383="Pension",Inputs!$B$17="Y"),AND(D383="OCIO",Inputs!$B$18="Y"),AND(D383="Other",Inputs!$B$19="Y")))),A383&lt;&gt;in_ClientOrg,NOT(AND(in_ExclHarvard="Y",ISNUMBER(SEARCH("Harvard",A383))))),"Y","")</f>
        <v/>
      </c>
      <c r="G383" t="inlineStr">
        <is>
          <t>Spencer Polaske</t>
        </is>
      </c>
      <c r="H383" t="inlineStr">
        <is>
          <t>Director of Investments</t>
        </is>
      </c>
      <c r="I383" t="inlineStr">
        <is>
          <t>Director of Investments</t>
        </is>
      </c>
      <c r="J383" s="21" t="n">
        <v>247666</v>
      </c>
      <c r="K383" s="21" t="n">
        <v>100000</v>
      </c>
      <c r="L383" s="21" t="n">
        <v>347666</v>
      </c>
      <c r="M383" s="21" t="n">
        <v>223</v>
      </c>
      <c r="N383" s="21" t="n">
        <v>34500</v>
      </c>
      <c r="O383" s="21" t="n">
        <v>17190</v>
      </c>
      <c r="P383" s="21" t="n">
        <v>399579</v>
      </c>
      <c r="Q383" s="21" t="n">
        <v>399579</v>
      </c>
      <c r="R383" s="21">
        <f>IF(Q383="","",Q383*(1+in_GrowthRate)^(YEARFRAC(DATE(2025,6,30),in_AgeToDate)*IF(in_AgeToDate&lt;DATE(2025,6,30),-1,1)+1))</f>
        <v/>
      </c>
      <c r="S383" s="38" t="n">
        <v>0.4037695929194964</v>
      </c>
      <c r="T383" s="43">
        <f>HYPERLINK("https://projects.propublica.org/nonprofits/organizations/150532200/202641339349306889/full","view filing")</f>
        <v/>
      </c>
    </row>
    <row r="384">
      <c r="A384" t="inlineStr">
        <is>
          <t>Trustees Of Hamilton College</t>
        </is>
      </c>
      <c r="B384" s="20" t="inlineStr">
        <is>
          <t>NY</t>
        </is>
      </c>
      <c r="C384" s="42" t="n">
        <v>1.5</v>
      </c>
      <c r="D384" t="inlineStr">
        <is>
          <t>Endowment</t>
        </is>
      </c>
      <c r="E384" s="20" t="n">
        <v>2024</v>
      </c>
      <c r="F384" s="20" t="inlineStr"/>
      <c r="G384" t="inlineStr">
        <is>
          <t>Spencer Polaske</t>
        </is>
      </c>
      <c r="H384" t="inlineStr">
        <is>
          <t>Director of Investments</t>
        </is>
      </c>
      <c r="I384" t="inlineStr">
        <is>
          <t>Director of Investments</t>
        </is>
      </c>
      <c r="J384" s="21" t="n">
        <v>254835</v>
      </c>
      <c r="K384" s="21" t="n">
        <v>100000</v>
      </c>
      <c r="L384" s="21" t="n">
        <v>354835</v>
      </c>
      <c r="M384" s="21" t="n">
        <v>204</v>
      </c>
      <c r="N384" s="21" t="n">
        <v>33000</v>
      </c>
      <c r="O384" s="21" t="n">
        <v>18786</v>
      </c>
      <c r="P384" s="21" t="n">
        <v>406825</v>
      </c>
      <c r="Q384" s="21" t="n">
        <v>406825</v>
      </c>
      <c r="R384" s="21">
        <f>IF(Q384="","",Q384*(1+in_GrowthRate)^(YEARFRAC(DATE(2024,6,30),in_AgeToDate)*IF(in_AgeToDate&lt;DATE(2024,6,30),-1,1)+1))</f>
        <v/>
      </c>
      <c r="S384" s="38" t="n">
        <v>0.392410775599898</v>
      </c>
      <c r="T384" s="43">
        <f>HYPERLINK("https://projects.propublica.org/nonprofits/organizations/150532200/202521359349308707/full","view filing")</f>
        <v/>
      </c>
    </row>
    <row r="385">
      <c r="A385" t="inlineStr">
        <is>
          <t>Trustees Of Hamilton College</t>
        </is>
      </c>
      <c r="B385" s="20" t="inlineStr">
        <is>
          <t>NY</t>
        </is>
      </c>
      <c r="C385" s="42" t="n">
        <v>1.5</v>
      </c>
      <c r="D385" t="inlineStr">
        <is>
          <t>Endowment</t>
        </is>
      </c>
      <c r="E385" s="20" t="n">
        <v>2023</v>
      </c>
      <c r="F385" s="20" t="inlineStr"/>
      <c r="G385" t="inlineStr">
        <is>
          <t>Alexander B Doucette</t>
        </is>
      </c>
      <c r="H385" t="inlineStr">
        <is>
          <t>Director of Investments</t>
        </is>
      </c>
      <c r="I385" t="inlineStr">
        <is>
          <t>Director of Investments</t>
        </is>
      </c>
      <c r="J385" s="21" t="n">
        <v>296528</v>
      </c>
      <c r="K385" s="21" t="n">
        <v>225000</v>
      </c>
      <c r="L385" s="21" t="n">
        <v>521528</v>
      </c>
      <c r="M385" s="21" t="n">
        <v>223</v>
      </c>
      <c r="N385" s="21" t="n">
        <v>30500</v>
      </c>
      <c r="O385" s="21" t="n">
        <v>23347</v>
      </c>
      <c r="P385" s="21" t="n">
        <v>575598</v>
      </c>
      <c r="Q385" s="21" t="n">
        <v>575598</v>
      </c>
      <c r="R385" s="21">
        <f>IF(Q385="","",Q385*(1+in_GrowthRate)^(YEARFRAC(DATE(2023,6,30),in_AgeToDate)*IF(in_AgeToDate&lt;DATE(2023,6,30),-1,1)+1))</f>
        <v/>
      </c>
      <c r="S385" s="38" t="n">
        <v>0.7587816327631792</v>
      </c>
      <c r="T385" s="43">
        <f>HYPERLINK("https://projects.propublica.org/nonprofits/organizations/150532200/202441369349304059/full","view filing")</f>
        <v/>
      </c>
    </row>
    <row r="386">
      <c r="A386" t="inlineStr">
        <is>
          <t>Trustees Of Hamilton College</t>
        </is>
      </c>
      <c r="B386" s="20" t="inlineStr">
        <is>
          <t>NY</t>
        </is>
      </c>
      <c r="C386" s="42" t="n">
        <v>1.5</v>
      </c>
      <c r="D386" t="inlineStr">
        <is>
          <t>Endowment</t>
        </is>
      </c>
      <c r="E386" s="20" t="n">
        <v>2023</v>
      </c>
      <c r="F386" s="20" t="inlineStr"/>
      <c r="G386" t="inlineStr">
        <is>
          <t>Sara T Orr</t>
        </is>
      </c>
      <c r="H386" t="inlineStr">
        <is>
          <t>Director of Investments</t>
        </is>
      </c>
      <c r="I386" t="inlineStr">
        <is>
          <t>Director of Investments</t>
        </is>
      </c>
      <c r="J386" s="21" t="n">
        <v>213338</v>
      </c>
      <c r="K386" s="21" t="n">
        <v>250000</v>
      </c>
      <c r="L386" s="21" t="n">
        <v>463338</v>
      </c>
      <c r="M386" s="21" t="n">
        <v>707</v>
      </c>
      <c r="N386" s="21" t="n">
        <v>30500</v>
      </c>
      <c r="O386" s="21" t="n">
        <v>2962</v>
      </c>
      <c r="P386" s="21" t="n">
        <v>497507</v>
      </c>
      <c r="Q386" s="21" t="n">
        <v>497507</v>
      </c>
      <c r="R386" s="21">
        <f>IF(Q386="","",Q386*(1+in_GrowthRate)^(YEARFRAC(DATE(2023,6,30),in_AgeToDate)*IF(in_AgeToDate&lt;DATE(2023,6,30),-1,1)+1))</f>
        <v/>
      </c>
      <c r="S386" s="38" t="n">
        <v>1.171849365795123</v>
      </c>
      <c r="T386" s="43">
        <f>HYPERLINK("https://projects.propublica.org/nonprofits/organizations/150532200/202441369349304059/full","view filing")</f>
        <v/>
      </c>
    </row>
    <row r="387">
      <c r="A387" t="inlineStr">
        <is>
          <t>Trustees Of Hamilton College</t>
        </is>
      </c>
      <c r="B387" s="20" t="inlineStr">
        <is>
          <t>NY</t>
        </is>
      </c>
      <c r="C387" s="42" t="n">
        <v>1.5</v>
      </c>
      <c r="D387" t="inlineStr">
        <is>
          <t>Endowment</t>
        </is>
      </c>
      <c r="E387" s="20" t="n">
        <v>2023</v>
      </c>
      <c r="F387" s="20" t="inlineStr"/>
      <c r="G387" t="inlineStr">
        <is>
          <t>Spencer Polaske</t>
        </is>
      </c>
      <c r="H387" t="inlineStr">
        <is>
          <t>Director of Investments</t>
        </is>
      </c>
      <c r="I387" t="inlineStr">
        <is>
          <t>Director of Investments</t>
        </is>
      </c>
      <c r="J387" s="21" t="n">
        <v>237061</v>
      </c>
      <c r="K387" s="21" t="n"/>
      <c r="L387" s="21" t="n">
        <v>237061</v>
      </c>
      <c r="M387" s="21" t="n">
        <v>115</v>
      </c>
      <c r="N387" s="21" t="n">
        <v>24417</v>
      </c>
      <c r="O387" s="21" t="n">
        <v>16930</v>
      </c>
      <c r="P387" s="21" t="n">
        <v>278523</v>
      </c>
      <c r="Q387" s="21" t="n">
        <v>278523</v>
      </c>
      <c r="R387" s="21">
        <f>IF(Q387="","",Q387*(1+in_GrowthRate)^(YEARFRAC(DATE(2023,6,30),in_AgeToDate)*IF(in_AgeToDate&lt;DATE(2023,6,30),-1,1)+1))</f>
        <v/>
      </c>
      <c r="S387" s="38" t="n">
        <v>0</v>
      </c>
      <c r="T387" s="43">
        <f>HYPERLINK("https://projects.propublica.org/nonprofits/organizations/150532200/202441369349304059/full","view filing")</f>
        <v/>
      </c>
    </row>
    <row r="388">
      <c r="A388" t="inlineStr">
        <is>
          <t>Trustees Of Hamilton College</t>
        </is>
      </c>
      <c r="B388" s="20" t="inlineStr">
        <is>
          <t>NY</t>
        </is>
      </c>
      <c r="C388" s="42" t="n">
        <v>1.5</v>
      </c>
      <c r="D388" t="inlineStr">
        <is>
          <t>Endowment</t>
        </is>
      </c>
      <c r="E388" s="20" t="n">
        <v>2022</v>
      </c>
      <c r="F388" s="20" t="inlineStr"/>
      <c r="G388" t="inlineStr">
        <is>
          <t>Alexander Doucette</t>
        </is>
      </c>
      <c r="H388" t="inlineStr">
        <is>
          <t>Director of Investments</t>
        </is>
      </c>
      <c r="I388" t="inlineStr">
        <is>
          <t>Director of Investments</t>
        </is>
      </c>
      <c r="J388" s="21" t="n">
        <v>229954</v>
      </c>
      <c r="K388" s="21" t="n">
        <v>150000</v>
      </c>
      <c r="L388" s="21" t="n">
        <v>379954</v>
      </c>
      <c r="M388" s="21" t="n">
        <v>180</v>
      </c>
      <c r="N388" s="21" t="n">
        <v>29000</v>
      </c>
      <c r="O388" s="21" t="n">
        <v>21437</v>
      </c>
      <c r="P388" s="21" t="n">
        <v>430571</v>
      </c>
      <c r="Q388" s="21" t="n">
        <v>430571</v>
      </c>
      <c r="R388" s="21">
        <f>IF(Q388="","",Q388*(1+in_GrowthRate)^(YEARFRAC(DATE(2022,6,30),in_AgeToDate)*IF(in_AgeToDate&lt;DATE(2022,6,30),-1,1)+1))</f>
        <v/>
      </c>
      <c r="S388" s="38" t="n">
        <v>0.6523043739182619</v>
      </c>
      <c r="T388" s="43">
        <f>HYPERLINK("https://projects.propublica.org/nonprofits/organizations/150532200/202301319349305870/full","view filing")</f>
        <v/>
      </c>
    </row>
    <row r="389">
      <c r="A389" t="inlineStr">
        <is>
          <t>Trustees Of Hamilton College</t>
        </is>
      </c>
      <c r="B389" s="20" t="inlineStr">
        <is>
          <t>NY</t>
        </is>
      </c>
      <c r="C389" s="42" t="n">
        <v>1.5</v>
      </c>
      <c r="D389" t="inlineStr">
        <is>
          <t>Endowment</t>
        </is>
      </c>
      <c r="E389" s="20" t="n">
        <v>2022</v>
      </c>
      <c r="F389" s="20" t="inlineStr"/>
      <c r="G389" t="inlineStr">
        <is>
          <t>Sara Orr</t>
        </is>
      </c>
      <c r="H389" t="inlineStr">
        <is>
          <t>Director of Investments</t>
        </is>
      </c>
      <c r="I389" t="inlineStr">
        <is>
          <t>Director of Investments</t>
        </is>
      </c>
      <c r="J389" s="21" t="n">
        <v>249250</v>
      </c>
      <c r="K389" s="21" t="n">
        <v>200000</v>
      </c>
      <c r="L389" s="21" t="n">
        <v>449250</v>
      </c>
      <c r="M389" s="21" t="n">
        <v>216</v>
      </c>
      <c r="N389" s="21" t="n">
        <v>29000</v>
      </c>
      <c r="O389" s="21" t="n">
        <v>4770</v>
      </c>
      <c r="P389" s="21" t="n">
        <v>483236</v>
      </c>
      <c r="Q389" s="21" t="n">
        <v>483236</v>
      </c>
      <c r="R389" s="21">
        <f>IF(Q389="","",Q389*(1+in_GrowthRate)^(YEARFRAC(DATE(2022,6,30),in_AgeToDate)*IF(in_AgeToDate&lt;DATE(2022,6,30),-1,1)+1))</f>
        <v/>
      </c>
      <c r="S389" s="38" t="n">
        <v>0.802407221664995</v>
      </c>
      <c r="T389" s="43">
        <f>HYPERLINK("https://projects.propublica.org/nonprofits/organizations/150532200/202301319349305870/full","view filing")</f>
        <v/>
      </c>
    </row>
    <row r="390">
      <c r="A390" t="inlineStr">
        <is>
          <t>Trustees Of Mount Holyoke College</t>
        </is>
      </c>
      <c r="B390" s="20" t="inlineStr">
        <is>
          <t>MA</t>
        </is>
      </c>
      <c r="C390" s="42" t="n">
        <v>1.18</v>
      </c>
      <c r="D390" t="inlineStr">
        <is>
          <t>Endowment</t>
        </is>
      </c>
      <c r="E390" s="20" t="n">
        <v>2025</v>
      </c>
      <c r="F390" s="20">
        <f>IF(AND(OR(in_Mode="All Funds",AND(C390&gt;=in_BandFloor,C390&lt;=in_BandCeiling,OR(in_Geography="National",COUNTIFS(lst_GeoPreset,in_Geography,lst_GeoState,B390)&gt;0,AND(in_Geography="Custom",ISNUMBER(SEARCH(B390,SUBSTITUTE(in_CustomStates," ",""))))),OR(AND(D390="Endowment",Inputs!$B$14="Y"),AND(D390="Foundation",Inputs!$B$15="Y"),AND(D390="Healthcare",Inputs!$B$16="Y"),AND(D390="Pension",Inputs!$B$17="Y"),AND(D390="OCIO",Inputs!$B$18="Y"),AND(D390="Other",Inputs!$B$19="Y")))),A390&lt;&gt;in_ClientOrg,NOT(AND(in_ExclHarvard="Y",ISNUMBER(SEARCH("Harvard",A390))))),"Y","")</f>
        <v/>
      </c>
      <c r="G390" t="inlineStr">
        <is>
          <t>Natalie Herter</t>
        </is>
      </c>
      <c r="H390" t="inlineStr">
        <is>
          <t>DIRECTOR, INVESTMENT OFFICE</t>
        </is>
      </c>
      <c r="I390" t="inlineStr">
        <is>
          <t>Director of Investments</t>
        </is>
      </c>
      <c r="J390" s="21" t="n">
        <v>307712</v>
      </c>
      <c r="K390" s="21" t="n">
        <v>66313</v>
      </c>
      <c r="L390" s="21" t="n">
        <v>374025</v>
      </c>
      <c r="M390" s="21" t="n"/>
      <c r="N390" s="21" t="n">
        <v>22743</v>
      </c>
      <c r="O390" s="21" t="n">
        <v>296</v>
      </c>
      <c r="P390" s="21" t="n">
        <v>397064</v>
      </c>
      <c r="Q390" s="21" t="n">
        <v>397064</v>
      </c>
      <c r="R390" s="21">
        <f>IF(Q390="","",Q390*(1+in_GrowthRate)^(YEARFRAC(DATE(2025,6,30),in_AgeToDate)*IF(in_AgeToDate&lt;DATE(2025,6,30),-1,1)+1))</f>
        <v/>
      </c>
      <c r="S390" s="38" t="n">
        <v>0.2155034577787022</v>
      </c>
      <c r="T390" s="43">
        <f>HYPERLINK("https://projects.propublica.org/nonprofits/organizations/42103578/202611359349306066/full","view filing")</f>
        <v/>
      </c>
    </row>
    <row r="391">
      <c r="A391" t="inlineStr">
        <is>
          <t>Trustees Of Mount Holyoke College</t>
        </is>
      </c>
      <c r="B391" s="20" t="inlineStr">
        <is>
          <t>MA</t>
        </is>
      </c>
      <c r="C391" s="42" t="n">
        <v>1.18</v>
      </c>
      <c r="D391" t="inlineStr">
        <is>
          <t>Endowment</t>
        </is>
      </c>
      <c r="E391" s="20" t="n">
        <v>2024</v>
      </c>
      <c r="F391" s="20" t="inlineStr"/>
      <c r="G391" t="inlineStr">
        <is>
          <t>Natalie Herter</t>
        </is>
      </c>
      <c r="H391" t="inlineStr">
        <is>
          <t>DIRECTOR, INVESTMENT OFFICE</t>
        </is>
      </c>
      <c r="I391" t="inlineStr">
        <is>
          <t>Director of Investments</t>
        </is>
      </c>
      <c r="J391" s="21" t="n">
        <v>203815</v>
      </c>
      <c r="K391" s="21" t="n"/>
      <c r="L391" s="21" t="n">
        <v>203815</v>
      </c>
      <c r="M391" s="21" t="n"/>
      <c r="N391" s="21" t="n"/>
      <c r="O391" s="21" t="n">
        <v>242</v>
      </c>
      <c r="P391" s="21" t="n">
        <v>204057</v>
      </c>
      <c r="Q391" s="21" t="n">
        <v>204057</v>
      </c>
      <c r="R391" s="21">
        <f>IF(Q391="","",Q391*(1+in_GrowthRate)^(YEARFRAC(DATE(2024,6,30),in_AgeToDate)*IF(in_AgeToDate&lt;DATE(2024,6,30),-1,1)+1))</f>
        <v/>
      </c>
      <c r="S391" s="38" t="n">
        <v>0</v>
      </c>
      <c r="T391" s="43">
        <f>HYPERLINK("https://projects.propublica.org/nonprofits/organizations/42103578/202541339349306969/full","view filing")</f>
        <v/>
      </c>
    </row>
    <row r="392">
      <c r="A392" t="inlineStr">
        <is>
          <t>Trustees Of Mount Holyoke College</t>
        </is>
      </c>
      <c r="B392" s="20" t="inlineStr">
        <is>
          <t>MA</t>
        </is>
      </c>
      <c r="C392" s="42" t="n">
        <v>1.18</v>
      </c>
      <c r="D392" t="inlineStr">
        <is>
          <t>Endowment</t>
        </is>
      </c>
      <c r="E392" s="20" t="n">
        <v>2024</v>
      </c>
      <c r="F392" s="20" t="inlineStr"/>
      <c r="G392" t="inlineStr">
        <is>
          <t>Thomas Cote</t>
        </is>
      </c>
      <c r="H392" t="inlineStr">
        <is>
          <t>DIRECTOR, INVESTMENT OFFICE</t>
        </is>
      </c>
      <c r="I392" t="inlineStr">
        <is>
          <t>Director of Investments</t>
        </is>
      </c>
      <c r="J392" s="21" t="n">
        <v>230000</v>
      </c>
      <c r="K392" s="21" t="n">
        <v>127125</v>
      </c>
      <c r="L392" s="21" t="n">
        <v>357125</v>
      </c>
      <c r="M392" s="21" t="n"/>
      <c r="N392" s="21" t="n">
        <v>38046</v>
      </c>
      <c r="O392" s="21" t="n">
        <v>26352</v>
      </c>
      <c r="P392" s="21" t="n">
        <v>421523</v>
      </c>
      <c r="Q392" s="21" t="n">
        <v>421523</v>
      </c>
      <c r="R392" s="21">
        <f>IF(Q392="","",Q392*(1+in_GrowthRate)^(YEARFRAC(DATE(2024,6,30),in_AgeToDate)*IF(in_AgeToDate&lt;DATE(2024,6,30),-1,1)+1))</f>
        <v/>
      </c>
      <c r="S392" s="38" t="n">
        <v>0.5527173913043478</v>
      </c>
      <c r="T392" s="43">
        <f>HYPERLINK("https://projects.propublica.org/nonprofits/organizations/42103578/202541339349306969/full","view filing")</f>
        <v/>
      </c>
    </row>
    <row r="393">
      <c r="A393" t="inlineStr">
        <is>
          <t>Trustees Of Mount Holyoke College</t>
        </is>
      </c>
      <c r="B393" s="20" t="inlineStr">
        <is>
          <t>MA</t>
        </is>
      </c>
      <c r="C393" s="42" t="n">
        <v>1.18</v>
      </c>
      <c r="D393" t="inlineStr">
        <is>
          <t>Endowment</t>
        </is>
      </c>
      <c r="E393" s="20" t="n">
        <v>2023</v>
      </c>
      <c r="F393" s="20" t="inlineStr"/>
      <c r="G393" t="inlineStr">
        <is>
          <t>Thomas Cote</t>
        </is>
      </c>
      <c r="H393" t="inlineStr">
        <is>
          <t>ASSOCIATE DIRECTOR OF INVESTMENTS</t>
        </is>
      </c>
      <c r="I393" t="inlineStr">
        <is>
          <t>Director of Investments</t>
        </is>
      </c>
      <c r="J393" s="21" t="n">
        <v>202699</v>
      </c>
      <c r="K393" s="21" t="n"/>
      <c r="L393" s="21" t="n">
        <v>202699</v>
      </c>
      <c r="M393" s="21" t="n">
        <v>1000</v>
      </c>
      <c r="N393" s="21" t="n">
        <v>21893</v>
      </c>
      <c r="O393" s="21" t="n">
        <v>23632</v>
      </c>
      <c r="P393" s="21" t="n">
        <v>249224</v>
      </c>
      <c r="Q393" s="21" t="n">
        <v>249224</v>
      </c>
      <c r="R393" s="21">
        <f>IF(Q393="","",Q393*(1+in_GrowthRate)^(YEARFRAC(DATE(2023,6,30),in_AgeToDate)*IF(in_AgeToDate&lt;DATE(2023,6,30),-1,1)+1))</f>
        <v/>
      </c>
      <c r="S393" s="38" t="n">
        <v>0</v>
      </c>
      <c r="T393" s="43">
        <f>HYPERLINK("https://projects.propublica.org/nonprofits/organizations/42103578/202441369349302149/full","view filing")</f>
        <v/>
      </c>
    </row>
    <row r="394">
      <c r="A394" t="inlineStr">
        <is>
          <t>Trustees Of Mount Holyoke College</t>
        </is>
      </c>
      <c r="B394" s="20" t="inlineStr">
        <is>
          <t>MA</t>
        </is>
      </c>
      <c r="C394" s="42" t="n">
        <v>1.18</v>
      </c>
      <c r="D394" t="inlineStr">
        <is>
          <t>Endowment</t>
        </is>
      </c>
      <c r="E394" s="20" t="n">
        <v>2022</v>
      </c>
      <c r="F394" s="20" t="inlineStr"/>
      <c r="G394" t="inlineStr">
        <is>
          <t>Thomas Cote</t>
        </is>
      </c>
      <c r="H394" t="inlineStr">
        <is>
          <t>ASSOCIATE DIRECTOR OF INVESTMENTS</t>
        </is>
      </c>
      <c r="I394" t="inlineStr">
        <is>
          <t>Director of Investments</t>
        </is>
      </c>
      <c r="J394" s="21" t="n">
        <v>163073</v>
      </c>
      <c r="K394" s="21" t="n">
        <v>27750</v>
      </c>
      <c r="L394" s="21" t="n">
        <v>190823</v>
      </c>
      <c r="M394" s="21" t="n">
        <v>1000</v>
      </c>
      <c r="N394" s="21" t="n">
        <v>6256</v>
      </c>
      <c r="O394" s="21" t="n">
        <v>21224</v>
      </c>
      <c r="P394" s="21" t="n">
        <v>219303</v>
      </c>
      <c r="Q394" s="21" t="n">
        <v>219303</v>
      </c>
      <c r="R394" s="21">
        <f>IF(Q394="","",Q394*(1+in_GrowthRate)^(YEARFRAC(DATE(2022,6,30),in_AgeToDate)*IF(in_AgeToDate&lt;DATE(2022,6,30),-1,1)+1))</f>
        <v/>
      </c>
      <c r="S394" s="38" t="n">
        <v>0.1701691880323536</v>
      </c>
      <c r="T394" s="43">
        <f>HYPERLINK("https://projects.propublica.org/nonprofits/organizations/42103578/202331329349308003/full","view filing")</f>
        <v/>
      </c>
    </row>
    <row r="395">
      <c r="A395" t="inlineStr">
        <is>
          <t>Trustees Of Phillips Academy</t>
        </is>
      </c>
      <c r="B395" s="20" t="inlineStr">
        <is>
          <t>MA</t>
        </is>
      </c>
      <c r="C395" s="42" t="n">
        <v>1.51</v>
      </c>
      <c r="D395" t="inlineStr">
        <is>
          <t>Endowment</t>
        </is>
      </c>
      <c r="E395" s="20" t="n">
        <v>2025</v>
      </c>
      <c r="F395" s="20">
        <f>IF(AND(OR(in_Mode="All Funds",AND(C395&gt;=in_BandFloor,C395&lt;=in_BandCeiling,OR(in_Geography="National",COUNTIFS(lst_GeoPreset,in_Geography,lst_GeoState,B395)&gt;0,AND(in_Geography="Custom",ISNUMBER(SEARCH(B395,SUBSTITUTE(in_CustomStates," ",""))))),OR(AND(D395="Endowment",Inputs!$B$14="Y"),AND(D395="Foundation",Inputs!$B$15="Y"),AND(D395="Healthcare",Inputs!$B$16="Y"),AND(D395="Pension",Inputs!$B$17="Y"),AND(D395="OCIO",Inputs!$B$18="Y"),AND(D395="Other",Inputs!$B$19="Y")))),A395&lt;&gt;in_ClientOrg,NOT(AND(in_ExclHarvard="Y",ISNUMBER(SEARCH("Harvard",A395))))),"Y","")</f>
        <v/>
      </c>
      <c r="G395" t="inlineStr">
        <is>
          <t>Andrew Jaffoni</t>
        </is>
      </c>
      <c r="H395" t="inlineStr">
        <is>
          <t>ASSOC DIRECTOR OF INVESTMENTS</t>
        </is>
      </c>
      <c r="I395" t="inlineStr">
        <is>
          <t>Director of Investments</t>
        </is>
      </c>
      <c r="J395" s="21" t="n">
        <v>272395</v>
      </c>
      <c r="K395" s="21" t="n">
        <v>110000</v>
      </c>
      <c r="L395" s="21" t="n">
        <v>382395</v>
      </c>
      <c r="M395" s="21" t="n"/>
      <c r="N395" s="21" t="n">
        <v>30692</v>
      </c>
      <c r="O395" s="21" t="n">
        <v>14999</v>
      </c>
      <c r="P395" s="21" t="n">
        <v>428086</v>
      </c>
      <c r="Q395" s="21" t="n">
        <v>428086</v>
      </c>
      <c r="R395" s="21">
        <f>IF(Q395="","",Q395*(1+in_GrowthRate)^(YEARFRAC(DATE(2025,6,30),in_AgeToDate)*IF(in_AgeToDate&lt;DATE(2025,6,30),-1,1)+1))</f>
        <v/>
      </c>
      <c r="S395" s="38" t="n">
        <v>0.4038253271902935</v>
      </c>
      <c r="T395" s="43">
        <f>HYPERLINK("https://projects.propublica.org/nonprofits/organizations/42103579/202641329349305314/full","view filing")</f>
        <v/>
      </c>
    </row>
    <row r="396">
      <c r="A396" t="inlineStr">
        <is>
          <t>Trustees Of Phillips Academy</t>
        </is>
      </c>
      <c r="B396" s="20" t="inlineStr">
        <is>
          <t>MA</t>
        </is>
      </c>
      <c r="C396" s="42" t="n">
        <v>1.51</v>
      </c>
      <c r="D396" t="inlineStr">
        <is>
          <t>Endowment</t>
        </is>
      </c>
      <c r="E396" s="20" t="n">
        <v>2025</v>
      </c>
      <c r="F396" s="20">
        <f>IF(AND(OR(in_Mode="All Funds",AND(C396&gt;=in_BandFloor,C396&lt;=in_BandCeiling,OR(in_Geography="National",COUNTIFS(lst_GeoPreset,in_Geography,lst_GeoState,B396)&gt;0,AND(in_Geography="Custom",ISNUMBER(SEARCH(B396,SUBSTITUTE(in_CustomStates," ",""))))),OR(AND(D396="Endowment",Inputs!$B$14="Y"),AND(D396="Foundation",Inputs!$B$15="Y"),AND(D396="Healthcare",Inputs!$B$16="Y"),AND(D396="Pension",Inputs!$B$17="Y"),AND(D396="OCIO",Inputs!$B$18="Y"),AND(D396="Other",Inputs!$B$19="Y")))),A396&lt;&gt;in_ClientOrg,NOT(AND(in_ExclHarvard="Y",ISNUMBER(SEARCH("Harvard",A396))))),"Y","")</f>
        <v/>
      </c>
      <c r="G396" t="inlineStr">
        <is>
          <t>Christian A Reusche</t>
        </is>
      </c>
      <c r="H396" t="inlineStr">
        <is>
          <t>ASSOC DIRECTOR OF INVESTMENTS</t>
        </is>
      </c>
      <c r="I396" t="inlineStr">
        <is>
          <t>Director of Investments</t>
        </is>
      </c>
      <c r="J396" s="21" t="n">
        <v>284800</v>
      </c>
      <c r="K396" s="21" t="n">
        <v>150000</v>
      </c>
      <c r="L396" s="21" t="n">
        <v>434800</v>
      </c>
      <c r="M396" s="21" t="n"/>
      <c r="N396" s="21" t="n">
        <v>38550</v>
      </c>
      <c r="O396" s="21" t="n">
        <v>15094</v>
      </c>
      <c r="P396" s="21" t="n">
        <v>488444</v>
      </c>
      <c r="Q396" s="21" t="n">
        <v>488444</v>
      </c>
      <c r="R396" s="21">
        <f>IF(Q396="","",Q396*(1+in_GrowthRate)^(YEARFRAC(DATE(2025,6,30),in_AgeToDate)*IF(in_AgeToDate&lt;DATE(2025,6,30),-1,1)+1))</f>
        <v/>
      </c>
      <c r="S396" s="38" t="n">
        <v>0.526685393258427</v>
      </c>
      <c r="T396" s="43">
        <f>HYPERLINK("https://projects.propublica.org/nonprofits/organizations/42103579/202641329349305314/full","view filing")</f>
        <v/>
      </c>
    </row>
    <row r="397">
      <c r="A397" t="inlineStr">
        <is>
          <t>Trustees Of Phillips Academy</t>
        </is>
      </c>
      <c r="B397" s="20" t="inlineStr">
        <is>
          <t>MA</t>
        </is>
      </c>
      <c r="C397" s="42" t="n">
        <v>1.51</v>
      </c>
      <c r="D397" t="inlineStr">
        <is>
          <t>Endowment</t>
        </is>
      </c>
      <c r="E397" s="20" t="n">
        <v>2025</v>
      </c>
      <c r="F397" s="20">
        <f>IF(AND(OR(in_Mode="All Funds",AND(C397&gt;=in_BandFloor,C397&lt;=in_BandCeiling,OR(in_Geography="National",COUNTIFS(lst_GeoPreset,in_Geography,lst_GeoState,B397)&gt;0,AND(in_Geography="Custom",ISNUMBER(SEARCH(B397,SUBSTITUTE(in_CustomStates," ",""))))),OR(AND(D397="Endowment",Inputs!$B$14="Y"),AND(D397="Foundation",Inputs!$B$15="Y"),AND(D397="Healthcare",Inputs!$B$16="Y"),AND(D397="Pension",Inputs!$B$17="Y"),AND(D397="OCIO",Inputs!$B$18="Y"),AND(D397="Other",Inputs!$B$19="Y")))),A397&lt;&gt;in_ClientOrg,NOT(AND(in_ExclHarvard="Y",ISNUMBER(SEARCH("Harvard",A397))))),"Y","")</f>
        <v/>
      </c>
      <c r="G397" t="inlineStr">
        <is>
          <t>Xue Yang</t>
        </is>
      </c>
      <c r="H397" t="inlineStr">
        <is>
          <t>ASSOC DIRECTOR OF INVESTMENTS</t>
        </is>
      </c>
      <c r="I397" t="inlineStr">
        <is>
          <t>Director of Investments</t>
        </is>
      </c>
      <c r="J397" s="21" t="n">
        <v>312353</v>
      </c>
      <c r="K397" s="21" t="n">
        <v>60000</v>
      </c>
      <c r="L397" s="21" t="n">
        <v>372353</v>
      </c>
      <c r="M397" s="21" t="n"/>
      <c r="N397" s="21" t="n">
        <v>39792</v>
      </c>
      <c r="O397" s="21" t="n">
        <v>15538</v>
      </c>
      <c r="P397" s="21" t="n">
        <v>427683</v>
      </c>
      <c r="Q397" s="21" t="n">
        <v>427683</v>
      </c>
      <c r="R397" s="21">
        <f>IF(Q397="","",Q397*(1+in_GrowthRate)^(YEARFRAC(DATE(2025,6,30),in_AgeToDate)*IF(in_AgeToDate&lt;DATE(2025,6,30),-1,1)+1))</f>
        <v/>
      </c>
      <c r="S397" s="38" t="n">
        <v>0.1920903593050171</v>
      </c>
      <c r="T397" s="43">
        <f>HYPERLINK("https://projects.propublica.org/nonprofits/organizations/42103579/202641329349305314/full","view filing")</f>
        <v/>
      </c>
    </row>
    <row r="398">
      <c r="A398" t="inlineStr">
        <is>
          <t>Trustees Of Phillips Academy</t>
        </is>
      </c>
      <c r="B398" s="20" t="inlineStr">
        <is>
          <t>MA</t>
        </is>
      </c>
      <c r="C398" s="42" t="n">
        <v>1.51</v>
      </c>
      <c r="D398" t="inlineStr">
        <is>
          <t>Endowment</t>
        </is>
      </c>
      <c r="E398" s="20" t="n">
        <v>2024</v>
      </c>
      <c r="F398" s="20" t="inlineStr"/>
      <c r="G398" t="inlineStr">
        <is>
          <t>Andrew Jaffoni</t>
        </is>
      </c>
      <c r="H398" t="inlineStr">
        <is>
          <t>ASSOC DIRECTOR OF INVESTMENTS</t>
        </is>
      </c>
      <c r="I398" t="inlineStr">
        <is>
          <t>Director of Investments</t>
        </is>
      </c>
      <c r="J398" s="21" t="n">
        <v>239976</v>
      </c>
      <c r="K398" s="21" t="n">
        <v>115000</v>
      </c>
      <c r="L398" s="21" t="n">
        <v>354976</v>
      </c>
      <c r="M398" s="21" t="n"/>
      <c r="N398" s="21" t="n">
        <v>38094</v>
      </c>
      <c r="O398" s="21" t="n">
        <v>14917</v>
      </c>
      <c r="P398" s="21" t="n">
        <v>407987</v>
      </c>
      <c r="Q398" s="21" t="n">
        <v>407987</v>
      </c>
      <c r="R398" s="21">
        <f>IF(Q398="","",Q398*(1+in_GrowthRate)^(YEARFRAC(DATE(2024,6,30),in_AgeToDate)*IF(in_AgeToDate&lt;DATE(2024,6,30),-1,1)+1))</f>
        <v/>
      </c>
      <c r="S398" s="38" t="n">
        <v>0.4792145881254792</v>
      </c>
      <c r="T398" s="43">
        <f>HYPERLINK("https://projects.propublica.org/nonprofits/organizations/42103579/202521299349300637/full","view filing")</f>
        <v/>
      </c>
    </row>
    <row r="399">
      <c r="A399" t="inlineStr">
        <is>
          <t>Trustees Of Phillips Academy</t>
        </is>
      </c>
      <c r="B399" s="20" t="inlineStr">
        <is>
          <t>MA</t>
        </is>
      </c>
      <c r="C399" s="42" t="n">
        <v>1.51</v>
      </c>
      <c r="D399" t="inlineStr">
        <is>
          <t>Endowment</t>
        </is>
      </c>
      <c r="E399" s="20" t="n">
        <v>2024</v>
      </c>
      <c r="F399" s="20" t="inlineStr"/>
      <c r="G399" t="inlineStr">
        <is>
          <t>Christian A Reusche</t>
        </is>
      </c>
      <c r="H399" t="inlineStr">
        <is>
          <t>ASSOC DIRECTOR OF INVESTMENTS</t>
        </is>
      </c>
      <c r="I399" t="inlineStr">
        <is>
          <t>Director of Investments</t>
        </is>
      </c>
      <c r="J399" s="21" t="n">
        <v>211283</v>
      </c>
      <c r="K399" s="21" t="n">
        <v>172000</v>
      </c>
      <c r="L399" s="21" t="n">
        <v>383283</v>
      </c>
      <c r="M399" s="21" t="n"/>
      <c r="N399" s="21" t="n">
        <v>38094</v>
      </c>
      <c r="O399" s="21" t="n">
        <v>15097</v>
      </c>
      <c r="P399" s="21" t="n">
        <v>436474</v>
      </c>
      <c r="Q399" s="21" t="n">
        <v>436474</v>
      </c>
      <c r="R399" s="21">
        <f>IF(Q399="","",Q399*(1+in_GrowthRate)^(YEARFRAC(DATE(2024,6,30),in_AgeToDate)*IF(in_AgeToDate&lt;DATE(2024,6,30),-1,1)+1))</f>
        <v/>
      </c>
      <c r="S399" s="38" t="n">
        <v>0.8140740144734787</v>
      </c>
      <c r="T399" s="43">
        <f>HYPERLINK("https://projects.propublica.org/nonprofits/organizations/42103579/202521299349300637/full","view filing")</f>
        <v/>
      </c>
    </row>
    <row r="400">
      <c r="A400" t="inlineStr">
        <is>
          <t>Trustees Of Phillips Academy</t>
        </is>
      </c>
      <c r="B400" s="20" t="inlineStr">
        <is>
          <t>MA</t>
        </is>
      </c>
      <c r="C400" s="42" t="n">
        <v>1.51</v>
      </c>
      <c r="D400" t="inlineStr">
        <is>
          <t>Endowment</t>
        </is>
      </c>
      <c r="E400" s="20" t="n">
        <v>2024</v>
      </c>
      <c r="F400" s="20" t="inlineStr"/>
      <c r="G400" t="inlineStr">
        <is>
          <t>Xue Yang</t>
        </is>
      </c>
      <c r="H400" t="inlineStr">
        <is>
          <t>ASSOC DIRECTOR OF INVESTMENTS</t>
        </is>
      </c>
      <c r="I400" t="inlineStr">
        <is>
          <t>Director of Investments</t>
        </is>
      </c>
      <c r="J400" s="21" t="n">
        <v>302836</v>
      </c>
      <c r="K400" s="21" t="n">
        <v>55000</v>
      </c>
      <c r="L400" s="21" t="n">
        <v>357836</v>
      </c>
      <c r="M400" s="21" t="n"/>
      <c r="N400" s="21" t="n">
        <v>38094</v>
      </c>
      <c r="O400" s="21" t="n">
        <v>13981</v>
      </c>
      <c r="P400" s="21" t="n">
        <v>409911</v>
      </c>
      <c r="Q400" s="21" t="n">
        <v>409911</v>
      </c>
      <c r="R400" s="21">
        <f>IF(Q400="","",Q400*(1+in_GrowthRate)^(YEARFRAC(DATE(2024,6,30),in_AgeToDate)*IF(in_AgeToDate&lt;DATE(2024,6,30),-1,1)+1))</f>
        <v/>
      </c>
      <c r="S400" s="38" t="n">
        <v>0.1816164524693233</v>
      </c>
      <c r="T400" s="43">
        <f>HYPERLINK("https://projects.propublica.org/nonprofits/organizations/42103579/202521299349300637/full","view filing")</f>
        <v/>
      </c>
    </row>
    <row r="401">
      <c r="A401" t="inlineStr">
        <is>
          <t>Trustees Of Phillips Academy</t>
        </is>
      </c>
      <c r="B401" s="20" t="inlineStr">
        <is>
          <t>MA</t>
        </is>
      </c>
      <c r="C401" s="42" t="n">
        <v>1.51</v>
      </c>
      <c r="D401" t="inlineStr">
        <is>
          <t>Endowment</t>
        </is>
      </c>
      <c r="E401" s="20" t="n">
        <v>2023</v>
      </c>
      <c r="F401" s="20" t="inlineStr"/>
      <c r="G401" t="inlineStr">
        <is>
          <t>Andrew Jaffoni</t>
        </is>
      </c>
      <c r="H401" t="inlineStr">
        <is>
          <t>ASSOC DIRECTOR OF INVESTMENTS</t>
        </is>
      </c>
      <c r="I401" t="inlineStr">
        <is>
          <t>Director of Investments</t>
        </is>
      </c>
      <c r="J401" s="21" t="n">
        <v>215153</v>
      </c>
      <c r="K401" s="21" t="n">
        <v>97000</v>
      </c>
      <c r="L401" s="21" t="n">
        <v>312153</v>
      </c>
      <c r="M401" s="21" t="n"/>
      <c r="N401" s="21" t="n">
        <v>27875</v>
      </c>
      <c r="O401" s="21" t="n">
        <v>14219</v>
      </c>
      <c r="P401" s="21" t="n">
        <v>354247</v>
      </c>
      <c r="Q401" s="21" t="n">
        <v>354247</v>
      </c>
      <c r="R401" s="21">
        <f>IF(Q401="","",Q401*(1+in_GrowthRate)^(YEARFRAC(DATE(2023,6,30),in_AgeToDate)*IF(in_AgeToDate&lt;DATE(2023,6,30),-1,1)+1))</f>
        <v/>
      </c>
      <c r="S401" s="38" t="n">
        <v>0.4508419589780296</v>
      </c>
      <c r="T401" s="43">
        <f>HYPERLINK("https://projects.propublica.org/nonprofits/organizations/42103579/202421319349302902/full","view filing")</f>
        <v/>
      </c>
    </row>
    <row r="402">
      <c r="A402" t="inlineStr">
        <is>
          <t>Trustees Of Phillips Academy</t>
        </is>
      </c>
      <c r="B402" s="20" t="inlineStr">
        <is>
          <t>MA</t>
        </is>
      </c>
      <c r="C402" s="42" t="n">
        <v>1.51</v>
      </c>
      <c r="D402" t="inlineStr">
        <is>
          <t>Endowment</t>
        </is>
      </c>
      <c r="E402" s="20" t="n">
        <v>2023</v>
      </c>
      <c r="F402" s="20" t="inlineStr"/>
      <c r="G402" t="inlineStr">
        <is>
          <t>Christian A Reusche</t>
        </is>
      </c>
      <c r="H402" t="inlineStr">
        <is>
          <t>ASSOC DIRECTOR OF INVESTMENTS</t>
        </is>
      </c>
      <c r="I402" t="inlineStr">
        <is>
          <t>Director of Investments</t>
        </is>
      </c>
      <c r="J402" s="21" t="n">
        <v>161717</v>
      </c>
      <c r="K402" s="21" t="n">
        <v>145400</v>
      </c>
      <c r="L402" s="21" t="n">
        <v>307117</v>
      </c>
      <c r="M402" s="21" t="n"/>
      <c r="N402" s="21" t="n">
        <v>31490</v>
      </c>
      <c r="O402" s="21" t="n">
        <v>14000</v>
      </c>
      <c r="P402" s="21" t="n">
        <v>352607</v>
      </c>
      <c r="Q402" s="21" t="n">
        <v>352607</v>
      </c>
      <c r="R402" s="21">
        <f>IF(Q402="","",Q402*(1+in_GrowthRate)^(YEARFRAC(DATE(2023,6,30),in_AgeToDate)*IF(in_AgeToDate&lt;DATE(2023,6,30),-1,1)+1))</f>
        <v/>
      </c>
      <c r="S402" s="38" t="n">
        <v>0.8991015168473321</v>
      </c>
      <c r="T402" s="43">
        <f>HYPERLINK("https://projects.propublica.org/nonprofits/organizations/42103579/202421319349302902/full","view filing")</f>
        <v/>
      </c>
    </row>
    <row r="403">
      <c r="A403" t="inlineStr">
        <is>
          <t>Trustees Of The Smith College</t>
        </is>
      </c>
      <c r="B403" s="20" t="inlineStr">
        <is>
          <t>MA</t>
        </is>
      </c>
      <c r="C403" s="42" t="n">
        <v>2.71</v>
      </c>
      <c r="D403" t="inlineStr">
        <is>
          <t>Endowment</t>
        </is>
      </c>
      <c r="E403" s="20" t="n">
        <v>2025</v>
      </c>
      <c r="F403" s="20">
        <f>IF(AND(OR(in_Mode="All Funds",AND(C403&gt;=in_BandFloor,C403&lt;=in_BandCeiling,OR(in_Geography="National",COUNTIFS(lst_GeoPreset,in_Geography,lst_GeoState,B403)&gt;0,AND(in_Geography="Custom",ISNUMBER(SEARCH(B403,SUBSTITUTE(in_CustomStates," ",""))))),OR(AND(D403="Endowment",Inputs!$B$14="Y"),AND(D403="Foundation",Inputs!$B$15="Y"),AND(D403="Healthcare",Inputs!$B$16="Y"),AND(D403="Pension",Inputs!$B$17="Y"),AND(D403="OCIO",Inputs!$B$18="Y"),AND(D403="Other",Inputs!$B$19="Y")))),A403&lt;&gt;in_ClientOrg,NOT(AND(in_ExclHarvard="Y",ISNUMBER(SEARCH("Harvard",A403))))),"Y","")</f>
        <v/>
      </c>
      <c r="G403" t="inlineStr">
        <is>
          <t>Caroline Thomas</t>
        </is>
      </c>
      <c r="H403" t="inlineStr">
        <is>
          <t>DIRECTOR OF INVESTMENTS</t>
        </is>
      </c>
      <c r="I403" t="inlineStr">
        <is>
          <t>Director of Investments</t>
        </is>
      </c>
      <c r="J403" s="21" t="n">
        <v>318625</v>
      </c>
      <c r="K403" s="21" t="n">
        <v>292500</v>
      </c>
      <c r="L403" s="21" t="n">
        <v>611125</v>
      </c>
      <c r="M403" s="21" t="n">
        <v>7016</v>
      </c>
      <c r="N403" s="21" t="n">
        <v>42500</v>
      </c>
      <c r="O403" s="21" t="n">
        <v>17687</v>
      </c>
      <c r="P403" s="21" t="n">
        <v>678328</v>
      </c>
      <c r="Q403" s="21" t="n">
        <v>678328</v>
      </c>
      <c r="R403" s="21">
        <f>IF(Q403="","",Q403*(1+in_GrowthRate)^(YEARFRAC(DATE(2025,6,30),in_AgeToDate)*IF(in_AgeToDate&lt;DATE(2025,6,30),-1,1)+1))</f>
        <v/>
      </c>
      <c r="S403" s="38" t="n">
        <v>0.9180070615927814</v>
      </c>
      <c r="T403" s="43">
        <f>HYPERLINK("https://projects.propublica.org/nonprofits/organizations/41843040/202641359349306484/full","view filing")</f>
        <v/>
      </c>
    </row>
    <row r="404">
      <c r="A404" t="inlineStr">
        <is>
          <t>Trustees Of The Smith College</t>
        </is>
      </c>
      <c r="B404" s="20" t="inlineStr">
        <is>
          <t>MA</t>
        </is>
      </c>
      <c r="C404" s="42" t="n">
        <v>2.71</v>
      </c>
      <c r="D404" t="inlineStr">
        <is>
          <t>Endowment</t>
        </is>
      </c>
      <c r="E404" s="20" t="n">
        <v>2025</v>
      </c>
      <c r="F404" s="20">
        <f>IF(AND(OR(in_Mode="All Funds",AND(C404&gt;=in_BandFloor,C404&lt;=in_BandCeiling,OR(in_Geography="National",COUNTIFS(lst_GeoPreset,in_Geography,lst_GeoState,B404)&gt;0,AND(in_Geography="Custom",ISNUMBER(SEARCH(B404,SUBSTITUTE(in_CustomStates," ",""))))),OR(AND(D404="Endowment",Inputs!$B$14="Y"),AND(D404="Foundation",Inputs!$B$15="Y"),AND(D404="Healthcare",Inputs!$B$16="Y"),AND(D404="Pension",Inputs!$B$17="Y"),AND(D404="OCIO",Inputs!$B$18="Y"),AND(D404="Other",Inputs!$B$19="Y")))),A404&lt;&gt;in_ClientOrg,NOT(AND(in_ExclHarvard="Y",ISNUMBER(SEARCH("Harvard",A404))))),"Y","")</f>
        <v/>
      </c>
      <c r="G404" t="inlineStr">
        <is>
          <t>Corey Walker</t>
        </is>
      </c>
      <c r="H404" t="inlineStr">
        <is>
          <t>DIRECTOR OF INVESTMENTS</t>
        </is>
      </c>
      <c r="I404" t="inlineStr">
        <is>
          <t>Director of Investments</t>
        </is>
      </c>
      <c r="J404" s="21" t="n">
        <v>248673</v>
      </c>
      <c r="K404" s="21" t="n">
        <v>292500</v>
      </c>
      <c r="L404" s="21" t="n">
        <v>541173</v>
      </c>
      <c r="M404" s="21" t="n">
        <v>51100</v>
      </c>
      <c r="N404" s="21" t="n">
        <v>42500</v>
      </c>
      <c r="O404" s="21" t="n">
        <v>24345</v>
      </c>
      <c r="P404" s="21" t="n">
        <v>659118</v>
      </c>
      <c r="Q404" s="21" t="n">
        <v>659118</v>
      </c>
      <c r="R404" s="21">
        <f>IF(Q404="","",Q404*(1+in_GrowthRate)^(YEARFRAC(DATE(2025,6,30),in_AgeToDate)*IF(in_AgeToDate&lt;DATE(2025,6,30),-1,1)+1))</f>
        <v/>
      </c>
      <c r="S404" s="38" t="n">
        <v>1.176243500500658</v>
      </c>
      <c r="T404" s="43">
        <f>HYPERLINK("https://projects.propublica.org/nonprofits/organizations/41843040/202641359349306484/full","view filing")</f>
        <v/>
      </c>
    </row>
    <row r="405">
      <c r="A405" t="inlineStr">
        <is>
          <t>Trustees Of The Smith College</t>
        </is>
      </c>
      <c r="B405" s="20" t="inlineStr">
        <is>
          <t>MA</t>
        </is>
      </c>
      <c r="C405" s="42" t="n">
        <v>2.71</v>
      </c>
      <c r="D405" t="inlineStr">
        <is>
          <t>Endowment</t>
        </is>
      </c>
      <c r="E405" s="20" t="n">
        <v>2024</v>
      </c>
      <c r="F405" s="20" t="inlineStr"/>
      <c r="G405" t="inlineStr">
        <is>
          <t>Caroline Thomas</t>
        </is>
      </c>
      <c r="H405" t="inlineStr">
        <is>
          <t>DIRECTOR OF INVESTMENTS</t>
        </is>
      </c>
      <c r="I405" t="inlineStr">
        <is>
          <t>Director of Investments</t>
        </is>
      </c>
      <c r="J405" s="21" t="n">
        <v>301817</v>
      </c>
      <c r="K405" s="21" t="n">
        <v>275000</v>
      </c>
      <c r="L405" s="21" t="n">
        <v>576817</v>
      </c>
      <c r="M405" s="21" t="n">
        <v>11667</v>
      </c>
      <c r="N405" s="21" t="n">
        <v>40617</v>
      </c>
      <c r="O405" s="21" t="n">
        <v>16326</v>
      </c>
      <c r="P405" s="21" t="n">
        <v>645427</v>
      </c>
      <c r="Q405" s="21" t="n">
        <v>645427</v>
      </c>
      <c r="R405" s="21">
        <f>IF(Q405="","",Q405*(1+in_GrowthRate)^(YEARFRAC(DATE(2024,6,30),in_AgeToDate)*IF(in_AgeToDate&lt;DATE(2024,6,30),-1,1)+1))</f>
        <v/>
      </c>
      <c r="S405" s="38" t="n">
        <v>0.9111481460620177</v>
      </c>
      <c r="T405" s="43">
        <f>HYPERLINK("https://projects.propublica.org/nonprofits/organizations/41843040/202541349349305654/full","view filing")</f>
        <v/>
      </c>
    </row>
    <row r="406">
      <c r="A406" t="inlineStr">
        <is>
          <t>Trustees Of The Smith College</t>
        </is>
      </c>
      <c r="B406" s="20" t="inlineStr">
        <is>
          <t>MA</t>
        </is>
      </c>
      <c r="C406" s="42" t="n">
        <v>2.71</v>
      </c>
      <c r="D406" t="inlineStr">
        <is>
          <t>Endowment</t>
        </is>
      </c>
      <c r="E406" s="20" t="n">
        <v>2024</v>
      </c>
      <c r="F406" s="20" t="inlineStr"/>
      <c r="G406" t="inlineStr">
        <is>
          <t>Corey Walker</t>
        </is>
      </c>
      <c r="H406" t="inlineStr">
        <is>
          <t>DIRECTOR OF INVESTMENTS</t>
        </is>
      </c>
      <c r="I406" t="inlineStr">
        <is>
          <t>Director of Investments</t>
        </is>
      </c>
      <c r="J406" s="21" t="n">
        <v>265365</v>
      </c>
      <c r="K406" s="21" t="n">
        <v>245616</v>
      </c>
      <c r="L406" s="21" t="n">
        <v>510981</v>
      </c>
      <c r="M406" s="21" t="n">
        <v>41222</v>
      </c>
      <c r="N406" s="21" t="n">
        <v>11855</v>
      </c>
      <c r="O406" s="21" t="n">
        <v>23376</v>
      </c>
      <c r="P406" s="21" t="n">
        <v>587434</v>
      </c>
      <c r="Q406" s="21" t="n">
        <v>587434</v>
      </c>
      <c r="R406" s="21">
        <f>IF(Q406="","",Q406*(1+in_GrowthRate)^(YEARFRAC(DATE(2024,6,30),in_AgeToDate)*IF(in_AgeToDate&lt;DATE(2024,6,30),-1,1)+1))</f>
        <v/>
      </c>
      <c r="S406" s="38" t="n">
        <v>0.925577977502685</v>
      </c>
      <c r="T406" s="43">
        <f>HYPERLINK("https://projects.propublica.org/nonprofits/organizations/41843040/202541349349305654/full","view filing")</f>
        <v/>
      </c>
    </row>
    <row r="407">
      <c r="A407" t="inlineStr">
        <is>
          <t>Trustees Of The Smith College</t>
        </is>
      </c>
      <c r="B407" s="20" t="inlineStr">
        <is>
          <t>MA</t>
        </is>
      </c>
      <c r="C407" s="42" t="n">
        <v>2.71</v>
      </c>
      <c r="D407" t="inlineStr">
        <is>
          <t>Endowment</t>
        </is>
      </c>
      <c r="E407" s="20" t="n">
        <v>2023</v>
      </c>
      <c r="F407" s="20" t="inlineStr"/>
      <c r="G407" t="inlineStr">
        <is>
          <t>Caroline Thomas</t>
        </is>
      </c>
      <c r="H407" t="inlineStr">
        <is>
          <t>DIRECTOR OF INVESTMENTS</t>
        </is>
      </c>
      <c r="I407" t="inlineStr">
        <is>
          <t>Director of Investments</t>
        </is>
      </c>
      <c r="J407" s="21" t="n">
        <v>235154</v>
      </c>
      <c r="K407" s="21" t="n">
        <v>1480</v>
      </c>
      <c r="L407" s="21" t="n">
        <v>236634</v>
      </c>
      <c r="M407" s="21" t="n">
        <v>89590</v>
      </c>
      <c r="N407" s="21" t="n"/>
      <c r="O407" s="21" t="n">
        <v>10221</v>
      </c>
      <c r="P407" s="21" t="n">
        <v>336445</v>
      </c>
      <c r="Q407" s="21" t="n">
        <v>336445</v>
      </c>
      <c r="R407" s="21">
        <f>IF(Q407="","",Q407*(1+in_GrowthRate)^(YEARFRAC(DATE(2023,6,30),in_AgeToDate)*IF(in_AgeToDate&lt;DATE(2023,6,30),-1,1)+1))</f>
        <v/>
      </c>
      <c r="S407" s="38" t="n">
        <v>0.006293747926890463</v>
      </c>
      <c r="T407" s="43">
        <f>HYPERLINK("https://projects.propublica.org/nonprofits/organizations/41843040/202441369349306089/full","view filing")</f>
        <v/>
      </c>
    </row>
    <row r="408">
      <c r="A408" t="inlineStr">
        <is>
          <t>Trustees Of Tufts College</t>
        </is>
      </c>
      <c r="B408" s="20" t="inlineStr">
        <is>
          <t>MA</t>
        </is>
      </c>
      <c r="C408" s="42" t="n">
        <v>2.71</v>
      </c>
      <c r="D408" t="inlineStr">
        <is>
          <t>Endowment</t>
        </is>
      </c>
      <c r="E408" s="20" t="n">
        <v>2022</v>
      </c>
      <c r="F408" s="20" t="inlineStr"/>
      <c r="G408" t="inlineStr">
        <is>
          <t>Paul Mace</t>
        </is>
      </c>
      <c r="H408" t="inlineStr">
        <is>
          <t>Director of Investments</t>
        </is>
      </c>
      <c r="I408" t="inlineStr">
        <is>
          <t>Director of Investments</t>
        </is>
      </c>
      <c r="J408" s="21" t="n">
        <v>306748</v>
      </c>
      <c r="K408" s="21" t="n">
        <v>123752</v>
      </c>
      <c r="L408" s="21" t="n">
        <v>430500</v>
      </c>
      <c r="M408" s="21" t="n">
        <v>699</v>
      </c>
      <c r="N408" s="21" t="n">
        <v>110013</v>
      </c>
      <c r="O408" s="21" t="n">
        <v>5359</v>
      </c>
      <c r="P408" s="21" t="n">
        <v>546571</v>
      </c>
      <c r="Q408" s="21" t="n">
        <v>546571</v>
      </c>
      <c r="R408" s="21">
        <f>IF(Q408="","",Q408*(1+in_GrowthRate)^(YEARFRAC(DATE(2022,6,30),in_AgeToDate)*IF(in_AgeToDate&lt;DATE(2022,6,30),-1,1)+1))</f>
        <v/>
      </c>
      <c r="S408" s="38" t="n">
        <v>0.4034321332168425</v>
      </c>
      <c r="T408" s="43">
        <f>HYPERLINK("https://projects.propublica.org/nonprofits/organizations/42103634/202331319349302683/full","view filing")</f>
        <v/>
      </c>
    </row>
    <row r="409">
      <c r="A409" t="inlineStr">
        <is>
          <t>Trustees Of Tufts College</t>
        </is>
      </c>
      <c r="B409" s="20" t="inlineStr">
        <is>
          <t>MA</t>
        </is>
      </c>
      <c r="C409" s="42" t="n">
        <v>2.71</v>
      </c>
      <c r="D409" t="inlineStr">
        <is>
          <t>Endowment</t>
        </is>
      </c>
      <c r="E409" s="20" t="n">
        <v>2022</v>
      </c>
      <c r="F409" s="20" t="inlineStr"/>
      <c r="G409" t="inlineStr">
        <is>
          <t>Tryfan D Evans</t>
        </is>
      </c>
      <c r="H409" t="inlineStr">
        <is>
          <t>DIRECTOR OF INVESTMENTS</t>
        </is>
      </c>
      <c r="I409" t="inlineStr">
        <is>
          <t>Director of Investments</t>
        </is>
      </c>
      <c r="J409" s="21" t="n">
        <v>303229</v>
      </c>
      <c r="K409" s="21" t="n">
        <v>184692</v>
      </c>
      <c r="L409" s="21" t="n">
        <v>487921</v>
      </c>
      <c r="M409" s="21" t="n">
        <v>676</v>
      </c>
      <c r="N409" s="21" t="n">
        <v>131910</v>
      </c>
      <c r="O409" s="21" t="n">
        <v>577</v>
      </c>
      <c r="P409" s="21" t="n">
        <v>621084</v>
      </c>
      <c r="Q409" s="21" t="n">
        <v>569742</v>
      </c>
      <c r="R409" s="21">
        <f>IF(Q409="","",Q409*(1+in_GrowthRate)^(YEARFRAC(DATE(2022,6,30),in_AgeToDate)*IF(in_AgeToDate&lt;DATE(2022,6,30),-1,1)+1))</f>
        <v/>
      </c>
      <c r="S409" s="38" t="n">
        <v>0.6090842234746676</v>
      </c>
      <c r="T409" s="43">
        <f>HYPERLINK("https://projects.propublica.org/nonprofits/organizations/42103634/202331319349302683/full","view filing")</f>
        <v/>
      </c>
    </row>
    <row r="410">
      <c r="A410" t="inlineStr">
        <is>
          <t>Uaw Retiree Medical Benefits Tr</t>
        </is>
      </c>
      <c r="B410" s="20" t="inlineStr">
        <is>
          <t>MI</t>
        </is>
      </c>
      <c r="C410" s="42" t="n">
        <v>61.42</v>
      </c>
      <c r="D410" t="inlineStr">
        <is>
          <t>Pension</t>
        </is>
      </c>
      <c r="E410" s="20" t="n">
        <v>2024</v>
      </c>
      <c r="F410" s="20">
        <f>IF(AND(OR(in_Mode="All Funds",AND(C410&gt;=in_BandFloor,C410&lt;=in_BandCeiling,OR(in_Geography="National",COUNTIFS(lst_GeoPreset,in_Geography,lst_GeoState,B410)&gt;0,AND(in_Geography="Custom",ISNUMBER(SEARCH(B410,SUBSTITUTE(in_CustomStates," ",""))))),OR(AND(D410="Endowment",Inputs!$B$14="Y"),AND(D410="Foundation",Inputs!$B$15="Y"),AND(D410="Healthcare",Inputs!$B$16="Y"),AND(D410="Pension",Inputs!$B$17="Y"),AND(D410="OCIO",Inputs!$B$18="Y"),AND(D410="Other",Inputs!$B$19="Y")))),A410&lt;&gt;in_ClientOrg,NOT(AND(in_ExclHarvard="Y",ISNUMBER(SEARCH("Harvard",A410))))),"Y","")</f>
        <v/>
      </c>
      <c r="G410" t="inlineStr">
        <is>
          <t>Brian Baumhover</t>
        </is>
      </c>
      <c r="H410" t="inlineStr">
        <is>
          <t>DIRECTOR-REAL ASSETS</t>
        </is>
      </c>
      <c r="I410" t="inlineStr">
        <is>
          <t>Investment Manager</t>
        </is>
      </c>
      <c r="J410" s="21" t="n">
        <v>302295</v>
      </c>
      <c r="K410" s="21" t="n">
        <v>221248</v>
      </c>
      <c r="L410" s="21" t="n">
        <v>523543</v>
      </c>
      <c r="M410" s="21" t="n">
        <v>1516</v>
      </c>
      <c r="N410" s="21" t="n">
        <v>30000</v>
      </c>
      <c r="O410" s="21" t="n">
        <v>28947</v>
      </c>
      <c r="P410" s="21" t="n">
        <v>584006</v>
      </c>
      <c r="Q410" s="21" t="n">
        <v>584006</v>
      </c>
      <c r="R410" s="21">
        <f>IF(Q410="","",Q410*(1+in_GrowthRate)^(YEARFRAC(DATE(2024,12,31),in_AgeToDate)*IF(in_AgeToDate&lt;DATE(2024,12,31),-1,1)+1))</f>
        <v/>
      </c>
      <c r="S410" s="38" t="n">
        <v>0.7318943416199408</v>
      </c>
      <c r="T410" s="43">
        <f>HYPERLINK("https://projects.propublica.org/nonprofits/organizations/900424876/202503189349310215/full","view filing")</f>
        <v/>
      </c>
    </row>
    <row r="411">
      <c r="A411" t="inlineStr">
        <is>
          <t>Uaw Retiree Medical Benefits Tr</t>
        </is>
      </c>
      <c r="B411" s="20" t="inlineStr">
        <is>
          <t>MI</t>
        </is>
      </c>
      <c r="C411" s="42" t="n">
        <v>61.42</v>
      </c>
      <c r="D411" t="inlineStr">
        <is>
          <t>Pension</t>
        </is>
      </c>
      <c r="E411" s="20" t="n">
        <v>2023</v>
      </c>
      <c r="F411" s="20" t="inlineStr"/>
      <c r="G411" t="inlineStr">
        <is>
          <t>Brian Baumhover</t>
        </is>
      </c>
      <c r="H411" t="inlineStr">
        <is>
          <t>DIRECTOR-REAL ASSETS</t>
        </is>
      </c>
      <c r="I411" t="inlineStr">
        <is>
          <t>Investment Manager</t>
        </is>
      </c>
      <c r="J411" s="21" t="n">
        <v>284166</v>
      </c>
      <c r="K411" s="21" t="n">
        <v>240763</v>
      </c>
      <c r="L411" s="21" t="n">
        <v>524929</v>
      </c>
      <c r="M411" s="21" t="n">
        <v>1447</v>
      </c>
      <c r="N411" s="21" t="n">
        <v>30000</v>
      </c>
      <c r="O411" s="21" t="n">
        <v>27385</v>
      </c>
      <c r="P411" s="21" t="n">
        <v>583761</v>
      </c>
      <c r="Q411" s="21" t="n">
        <v>583761</v>
      </c>
      <c r="R411" s="21">
        <f>IF(Q411="","",Q411*(1+in_GrowthRate)^(YEARFRAC(DATE(2023,12,31),in_AgeToDate)*IF(in_AgeToDate&lt;DATE(2023,12,31),-1,1)+1))</f>
        <v/>
      </c>
      <c r="S411" s="38" t="n">
        <v>0.8472618117579162</v>
      </c>
      <c r="T411" s="43">
        <f>HYPERLINK("https://projects.propublica.org/nonprofits/organizations/900424876/202403199349306100/full","view filing")</f>
        <v/>
      </c>
    </row>
    <row r="412">
      <c r="A412" t="inlineStr">
        <is>
          <t>Uaw Retiree Medical Benefits Tr</t>
        </is>
      </c>
      <c r="B412" s="20" t="inlineStr">
        <is>
          <t>MI</t>
        </is>
      </c>
      <c r="C412" s="42" t="n">
        <v>61.42</v>
      </c>
      <c r="D412" t="inlineStr">
        <is>
          <t>Pension</t>
        </is>
      </c>
      <c r="E412" s="20" t="n">
        <v>2022</v>
      </c>
      <c r="F412" s="20" t="inlineStr"/>
      <c r="G412" t="inlineStr">
        <is>
          <t>Brian Baumhover</t>
        </is>
      </c>
      <c r="H412" t="inlineStr">
        <is>
          <t>DIRECTOR-REAL ASSETS</t>
        </is>
      </c>
      <c r="I412" t="inlineStr">
        <is>
          <t>Investment Manager</t>
        </is>
      </c>
      <c r="J412" s="21" t="n">
        <v>272051</v>
      </c>
      <c r="K412" s="21" t="n">
        <v>234746</v>
      </c>
      <c r="L412" s="21" t="n">
        <v>506797</v>
      </c>
      <c r="M412" s="21" t="n">
        <v>900</v>
      </c>
      <c r="N412" s="21" t="n">
        <v>20500</v>
      </c>
      <c r="O412" s="21" t="n">
        <v>23710</v>
      </c>
      <c r="P412" s="21" t="n">
        <v>551907</v>
      </c>
      <c r="Q412" s="21" t="n">
        <v>352114</v>
      </c>
      <c r="R412" s="21">
        <f>IF(Q412="","",Q412*(1+in_GrowthRate)^(YEARFRAC(DATE(2022,12,31),in_AgeToDate)*IF(in_AgeToDate&lt;DATE(2022,12,31),-1,1)+1))</f>
        <v/>
      </c>
      <c r="S412" s="38" t="n">
        <v>0.8628749756479484</v>
      </c>
      <c r="T412" s="43">
        <f>HYPERLINK("https://projects.propublica.org/nonprofits/organizations/900424876/202303189349312525/full","view filing")</f>
        <v/>
      </c>
    </row>
    <row r="413">
      <c r="A413" t="inlineStr">
        <is>
          <t>Uc Berkeley Management Company</t>
        </is>
      </c>
      <c r="B413" s="20" t="inlineStr">
        <is>
          <t>CA</t>
        </is>
      </c>
      <c r="C413" s="42" t="n">
        <v>3.39</v>
      </c>
      <c r="D413" t="inlineStr">
        <is>
          <t>Endowment</t>
        </is>
      </c>
      <c r="E413" s="20" t="n">
        <v>2023</v>
      </c>
      <c r="F413" s="20" t="inlineStr"/>
      <c r="G413" t="inlineStr">
        <is>
          <t>David Bahr</t>
        </is>
      </c>
      <c r="H413" t="inlineStr">
        <is>
          <t>INVESTMENT OFFICER</t>
        </is>
      </c>
      <c r="I413" t="inlineStr">
        <is>
          <t>Investment Officer</t>
        </is>
      </c>
      <c r="J413" s="21" t="n">
        <v>302121</v>
      </c>
      <c r="K413" s="21" t="n">
        <v>187898</v>
      </c>
      <c r="L413" s="21" t="n">
        <v>490019</v>
      </c>
      <c r="M413" s="21" t="n">
        <v>3697</v>
      </c>
      <c r="N413" s="21" t="n">
        <v>39650</v>
      </c>
      <c r="O413" s="21" t="n">
        <v>18294</v>
      </c>
      <c r="P413" s="21" t="n">
        <v>551660</v>
      </c>
      <c r="Q413" s="21" t="n">
        <v>551660</v>
      </c>
      <c r="R413" s="21">
        <f>IF(Q413="","",Q413*(1+in_GrowthRate)^(YEARFRAC(DATE(2023,6,30),in_AgeToDate)*IF(in_AgeToDate&lt;DATE(2023,6,30),-1,1)+1))</f>
        <v/>
      </c>
      <c r="S413" s="38" t="n">
        <v>0.6219296242234071</v>
      </c>
      <c r="T413" s="43">
        <f>HYPERLINK("https://projects.propublica.org/nonprofits/organizations/270652636/202401349349302270/full","view filing")</f>
        <v/>
      </c>
    </row>
    <row r="414">
      <c r="A414" t="inlineStr">
        <is>
          <t>Uc Berkeley Management Company</t>
        </is>
      </c>
      <c r="B414" s="20" t="inlineStr">
        <is>
          <t>CA</t>
        </is>
      </c>
      <c r="C414" s="42" t="n">
        <v>3.39</v>
      </c>
      <c r="D414" t="inlineStr">
        <is>
          <t>Endowment</t>
        </is>
      </c>
      <c r="E414" s="20" t="n">
        <v>2023</v>
      </c>
      <c r="F414" s="20" t="inlineStr"/>
      <c r="G414" t="inlineStr">
        <is>
          <t>Melody Ing</t>
        </is>
      </c>
      <c r="H414" t="inlineStr">
        <is>
          <t>INVESTMENT OFFICER</t>
        </is>
      </c>
      <c r="I414" t="inlineStr">
        <is>
          <t>Investment Officer</t>
        </is>
      </c>
      <c r="J414" s="21" t="n">
        <v>339038</v>
      </c>
      <c r="K414" s="21" t="n">
        <v>241882</v>
      </c>
      <c r="L414" s="21" t="n">
        <v>580920</v>
      </c>
      <c r="M414" s="21" t="n">
        <v>4003</v>
      </c>
      <c r="N414" s="21" t="n">
        <v>39650</v>
      </c>
      <c r="O414" s="21" t="n">
        <v>12348</v>
      </c>
      <c r="P414" s="21" t="n">
        <v>636921</v>
      </c>
      <c r="Q414" s="21" t="n">
        <v>636921</v>
      </c>
      <c r="R414" s="21">
        <f>IF(Q414="","",Q414*(1+in_GrowthRate)^(YEARFRAC(DATE(2023,6,30),in_AgeToDate)*IF(in_AgeToDate&lt;DATE(2023,6,30),-1,1)+1))</f>
        <v/>
      </c>
      <c r="S414" s="38" t="n">
        <v>0.7134362519835534</v>
      </c>
      <c r="T414" s="43">
        <f>HYPERLINK("https://projects.propublica.org/nonprofits/organizations/270652636/202401349349302270/full","view filing")</f>
        <v/>
      </c>
    </row>
    <row r="415">
      <c r="A415" t="inlineStr">
        <is>
          <t>Uc Berkeley Management Company</t>
        </is>
      </c>
      <c r="B415" s="20" t="inlineStr">
        <is>
          <t>CA</t>
        </is>
      </c>
      <c r="C415" s="42" t="n">
        <v>3.39</v>
      </c>
      <c r="D415" t="inlineStr">
        <is>
          <t>Endowment</t>
        </is>
      </c>
      <c r="E415" s="20" t="n">
        <v>2023</v>
      </c>
      <c r="F415" s="20" t="inlineStr"/>
      <c r="G415" t="inlineStr">
        <is>
          <t>Steven Algert</t>
        </is>
      </c>
      <c r="H415" t="inlineStr">
        <is>
          <t>INVESTMENT OFFICER</t>
        </is>
      </c>
      <c r="I415" t="inlineStr">
        <is>
          <t>Investment Officer</t>
        </is>
      </c>
      <c r="J415" s="21" t="n">
        <v>324833</v>
      </c>
      <c r="K415" s="21" t="n">
        <v>185130</v>
      </c>
      <c r="L415" s="21" t="n">
        <v>509963</v>
      </c>
      <c r="M415" s="21" t="n">
        <v>3365</v>
      </c>
      <c r="N415" s="21" t="n">
        <v>39650</v>
      </c>
      <c r="O415" s="21" t="n">
        <v>45192</v>
      </c>
      <c r="P415" s="21" t="n">
        <v>598170</v>
      </c>
      <c r="Q415" s="21" t="n">
        <v>598170</v>
      </c>
      <c r="R415" s="21">
        <f>IF(Q415="","",Q415*(1+in_GrowthRate)^(YEARFRAC(DATE(2023,6,30),in_AgeToDate)*IF(in_AgeToDate&lt;DATE(2023,6,30),-1,1)+1))</f>
        <v/>
      </c>
      <c r="S415" s="38" t="n">
        <v>0.5699236222920701</v>
      </c>
      <c r="T415" s="43">
        <f>HYPERLINK("https://projects.propublica.org/nonprofits/organizations/270652636/202401349349302270/full","view filing")</f>
        <v/>
      </c>
    </row>
    <row r="416">
      <c r="A416" t="inlineStr">
        <is>
          <t>Uc Berkeley Management Company</t>
        </is>
      </c>
      <c r="B416" s="20" t="inlineStr">
        <is>
          <t>CA</t>
        </is>
      </c>
      <c r="C416" s="42" t="n">
        <v>3.39</v>
      </c>
      <c r="D416" t="inlineStr">
        <is>
          <t>Endowment</t>
        </is>
      </c>
      <c r="E416" s="20" t="n">
        <v>2022</v>
      </c>
      <c r="F416" s="20" t="inlineStr"/>
      <c r="G416" t="inlineStr">
        <is>
          <t>David Bahr</t>
        </is>
      </c>
      <c r="H416" t="inlineStr">
        <is>
          <t>INVESTMENT OFFICER</t>
        </is>
      </c>
      <c r="I416" t="inlineStr">
        <is>
          <t>Investment Officer</t>
        </is>
      </c>
      <c r="J416" s="21" t="n">
        <v>249167</v>
      </c>
      <c r="K416" s="21" t="n">
        <v>269510</v>
      </c>
      <c r="L416" s="21" t="n">
        <v>518677</v>
      </c>
      <c r="M416" s="21" t="n">
        <v>3598</v>
      </c>
      <c r="N416" s="21" t="n">
        <v>35220</v>
      </c>
      <c r="O416" s="21" t="n">
        <v>15837</v>
      </c>
      <c r="P416" s="21" t="n">
        <v>573332</v>
      </c>
      <c r="Q416" s="21" t="n">
        <v>573332</v>
      </c>
      <c r="R416" s="21">
        <f>IF(Q416="","",Q416*(1+in_GrowthRate)^(YEARFRAC(DATE(2022,6,30),in_AgeToDate)*IF(in_AgeToDate&lt;DATE(2022,6,30),-1,1)+1))</f>
        <v/>
      </c>
      <c r="S416" s="38" t="n">
        <v>1.081644037934397</v>
      </c>
      <c r="T416" s="43">
        <f>HYPERLINK("https://projects.propublica.org/nonprofits/organizations/270652636/202321319349305012/full","view filing")</f>
        <v/>
      </c>
    </row>
    <row r="417">
      <c r="A417" t="inlineStr">
        <is>
          <t>Uc Berkeley Management Company</t>
        </is>
      </c>
      <c r="B417" s="20" t="inlineStr">
        <is>
          <t>CA</t>
        </is>
      </c>
      <c r="C417" s="42" t="n">
        <v>3.39</v>
      </c>
      <c r="D417" t="inlineStr">
        <is>
          <t>Endowment</t>
        </is>
      </c>
      <c r="E417" s="20" t="n">
        <v>2022</v>
      </c>
      <c r="F417" s="20" t="inlineStr"/>
      <c r="G417" t="inlineStr">
        <is>
          <t>Melody Ing</t>
        </is>
      </c>
      <c r="H417" t="inlineStr">
        <is>
          <t>INVESTMENT OFFICER</t>
        </is>
      </c>
      <c r="I417" t="inlineStr">
        <is>
          <t>Investment Officer</t>
        </is>
      </c>
      <c r="J417" s="21" t="n">
        <v>326909</v>
      </c>
      <c r="K417" s="21" t="n">
        <v>331000</v>
      </c>
      <c r="L417" s="21" t="n">
        <v>657909</v>
      </c>
      <c r="M417" s="21" t="n">
        <v>3865</v>
      </c>
      <c r="N417" s="21" t="n">
        <v>37700</v>
      </c>
      <c r="O417" s="21" t="n">
        <v>14259</v>
      </c>
      <c r="P417" s="21" t="n">
        <v>713733</v>
      </c>
      <c r="Q417" s="21" t="n">
        <v>713733</v>
      </c>
      <c r="R417" s="21">
        <f>IF(Q417="","",Q417*(1+in_GrowthRate)^(YEARFRAC(DATE(2022,6,30),in_AgeToDate)*IF(in_AgeToDate&lt;DATE(2022,6,30),-1,1)+1))</f>
        <v/>
      </c>
      <c r="S417" s="38" t="n">
        <v>1.012514185904946</v>
      </c>
      <c r="T417" s="43">
        <f>HYPERLINK("https://projects.propublica.org/nonprofits/organizations/270652636/202321319349305012/full","view filing")</f>
        <v/>
      </c>
    </row>
    <row r="418">
      <c r="A418" t="inlineStr">
        <is>
          <t>Uc Berkeley Management Company</t>
        </is>
      </c>
      <c r="B418" s="20" t="inlineStr">
        <is>
          <t>CA</t>
        </is>
      </c>
      <c r="C418" s="42" t="n">
        <v>3.39</v>
      </c>
      <c r="D418" t="inlineStr">
        <is>
          <t>Endowment</t>
        </is>
      </c>
      <c r="E418" s="20" t="n">
        <v>2022</v>
      </c>
      <c r="F418" s="20" t="inlineStr"/>
      <c r="G418" t="inlineStr">
        <is>
          <t>Steven Algert</t>
        </is>
      </c>
      <c r="H418" t="inlineStr">
        <is>
          <t>INVESTMENT OFFICER</t>
        </is>
      </c>
      <c r="I418" t="inlineStr">
        <is>
          <t>Investment Officer</t>
        </is>
      </c>
      <c r="J418" s="21" t="n">
        <v>281071</v>
      </c>
      <c r="K418" s="21" t="n">
        <v>89258</v>
      </c>
      <c r="L418" s="21" t="n">
        <v>370329</v>
      </c>
      <c r="M418" s="21" t="n">
        <v>5203</v>
      </c>
      <c r="N418" s="21" t="n">
        <v>37255</v>
      </c>
      <c r="O418" s="21" t="n">
        <v>35998</v>
      </c>
      <c r="P418" s="21" t="n">
        <v>448785</v>
      </c>
      <c r="Q418" s="21" t="n">
        <v>448785</v>
      </c>
      <c r="R418" s="21">
        <f>IF(Q418="","",Q418*(1+in_GrowthRate)^(YEARFRAC(DATE(2022,6,30),in_AgeToDate)*IF(in_AgeToDate&lt;DATE(2022,6,30),-1,1)+1))</f>
        <v/>
      </c>
      <c r="S418" s="38" t="n">
        <v>0.3175638895510387</v>
      </c>
      <c r="T418" s="43">
        <f>HYPERLINK("https://projects.propublica.org/nonprofits/organizations/270652636/202321319349305012/full","view filing")</f>
        <v/>
      </c>
    </row>
    <row r="419">
      <c r="A419" t="inlineStr">
        <is>
          <t>Ucsf Foundation Investment Company</t>
        </is>
      </c>
      <c r="B419" s="20" t="inlineStr">
        <is>
          <t>CA</t>
        </is>
      </c>
      <c r="C419" s="42" t="n">
        <v>2.95</v>
      </c>
      <c r="D419" t="inlineStr">
        <is>
          <t>Endowment</t>
        </is>
      </c>
      <c r="E419" s="20" t="n">
        <v>2025</v>
      </c>
      <c r="F419" s="20">
        <f>IF(AND(OR(in_Mode="All Funds",AND(C419&gt;=in_BandFloor,C419&lt;=in_BandCeiling,OR(in_Geography="National",COUNTIFS(lst_GeoPreset,in_Geography,lst_GeoState,B419)&gt;0,AND(in_Geography="Custom",ISNUMBER(SEARCH(B419,SUBSTITUTE(in_CustomStates," ",""))))),OR(AND(D419="Endowment",Inputs!$B$14="Y"),AND(D419="Foundation",Inputs!$B$15="Y"),AND(D419="Healthcare",Inputs!$B$16="Y"),AND(D419="Pension",Inputs!$B$17="Y"),AND(D419="OCIO",Inputs!$B$18="Y"),AND(D419="Other",Inputs!$B$19="Y")))),A419&lt;&gt;in_ClientOrg,NOT(AND(in_ExclHarvard="Y",ISNUMBER(SEARCH("Harvard",A419))))),"Y","")</f>
        <v/>
      </c>
      <c r="G419" t="inlineStr">
        <is>
          <t>Joseph Calger</t>
        </is>
      </c>
      <c r="H419" t="inlineStr">
        <is>
          <t>VICE PRESIDENT</t>
        </is>
      </c>
      <c r="I419" t="inlineStr">
        <is>
          <t>Investment Officer</t>
        </is>
      </c>
      <c r="J419" s="21" t="n"/>
      <c r="K419" s="21" t="n"/>
      <c r="L419" s="21" t="n"/>
      <c r="M419" s="21" t="n"/>
      <c r="N419" s="21" t="n"/>
      <c r="O419" s="21" t="n"/>
      <c r="P419" s="21" t="n">
        <v>302052</v>
      </c>
      <c r="Q419" s="21" t="n">
        <v>302052</v>
      </c>
      <c r="R419" s="21">
        <f>IF(Q419="","",Q419*(1+in_GrowthRate)^(YEARFRAC(DATE(2025,6,30),in_AgeToDate)*IF(in_AgeToDate&lt;DATE(2025,6,30),-1,1)+1))</f>
        <v/>
      </c>
      <c r="S419" s="38" t="n"/>
      <c r="T419" s="43">
        <f>HYPERLINK("https://projects.propublica.org/nonprofits/organizations/473599471/202631259349303618/full","view filing")</f>
        <v/>
      </c>
    </row>
    <row r="420">
      <c r="A420" t="inlineStr">
        <is>
          <t>Ucsf Foundation Investment Company</t>
        </is>
      </c>
      <c r="B420" s="20" t="inlineStr">
        <is>
          <t>CA</t>
        </is>
      </c>
      <c r="C420" s="42" t="n">
        <v>2.95</v>
      </c>
      <c r="D420" t="inlineStr">
        <is>
          <t>Endowment</t>
        </is>
      </c>
      <c r="E420" s="20" t="n">
        <v>2024</v>
      </c>
      <c r="F420" s="20" t="inlineStr"/>
      <c r="G420" t="inlineStr">
        <is>
          <t>Joseph Calger</t>
        </is>
      </c>
      <c r="H420" t="inlineStr">
        <is>
          <t>VICE PRESIDENT</t>
        </is>
      </c>
      <c r="I420" t="inlineStr">
        <is>
          <t>Investment Officer</t>
        </is>
      </c>
      <c r="J420" s="21" t="n"/>
      <c r="K420" s="21" t="n"/>
      <c r="L420" s="21" t="n"/>
      <c r="M420" s="21" t="n"/>
      <c r="N420" s="21" t="n"/>
      <c r="O420" s="21" t="n"/>
      <c r="P420" s="21" t="n">
        <v>289283</v>
      </c>
      <c r="Q420" s="21" t="n">
        <v>289283</v>
      </c>
      <c r="R420" s="21">
        <f>IF(Q420="","",Q420*(1+in_GrowthRate)^(YEARFRAC(DATE(2024,6,30),in_AgeToDate)*IF(in_AgeToDate&lt;DATE(2024,6,30),-1,1)+1))</f>
        <v/>
      </c>
      <c r="S420" s="38" t="n"/>
      <c r="T420" s="43">
        <f>HYPERLINK("https://projects.propublica.org/nonprofits/organizations/473599471/202531329349306253/full","view filing")</f>
        <v/>
      </c>
    </row>
    <row r="421">
      <c r="A421" t="inlineStr">
        <is>
          <t>Ucsf Foundation Investment Company</t>
        </is>
      </c>
      <c r="B421" s="20" t="inlineStr">
        <is>
          <t>CA</t>
        </is>
      </c>
      <c r="C421" s="42" t="n">
        <v>2.95</v>
      </c>
      <c r="D421" t="inlineStr">
        <is>
          <t>Endowment</t>
        </is>
      </c>
      <c r="E421" s="20" t="n">
        <v>2023</v>
      </c>
      <c r="F421" s="20" t="inlineStr"/>
      <c r="G421" t="inlineStr">
        <is>
          <t>Joseph Calger</t>
        </is>
      </c>
      <c r="H421" t="inlineStr">
        <is>
          <t>VICE PRESIDENT</t>
        </is>
      </c>
      <c r="I421" t="inlineStr">
        <is>
          <t>Investment Officer</t>
        </is>
      </c>
      <c r="J421" s="21" t="n"/>
      <c r="K421" s="21" t="n"/>
      <c r="L421" s="21" t="n"/>
      <c r="M421" s="21" t="n"/>
      <c r="N421" s="21" t="n"/>
      <c r="O421" s="21" t="n"/>
      <c r="P421" s="21" t="n">
        <v>276764</v>
      </c>
      <c r="Q421" s="21" t="n">
        <v>276764</v>
      </c>
      <c r="R421" s="21">
        <f>IF(Q421="","",Q421*(1+in_GrowthRate)^(YEARFRAC(DATE(2023,6,30),in_AgeToDate)*IF(in_AgeToDate&lt;DATE(2023,6,30),-1,1)+1))</f>
        <v/>
      </c>
      <c r="S421" s="38" t="n"/>
      <c r="T421" s="43">
        <f>HYPERLINK("https://projects.propublica.org/nonprofits/organizations/473599471/202411359349313316/full","view filing")</f>
        <v/>
      </c>
    </row>
    <row r="422">
      <c r="A422" t="inlineStr">
        <is>
          <t>Ucsf Foundation Investment Company</t>
        </is>
      </c>
      <c r="B422" s="20" t="inlineStr">
        <is>
          <t>CA</t>
        </is>
      </c>
      <c r="C422" s="42" t="n">
        <v>2.95</v>
      </c>
      <c r="D422" t="inlineStr">
        <is>
          <t>Endowment</t>
        </is>
      </c>
      <c r="E422" s="20" t="n">
        <v>2022</v>
      </c>
      <c r="F422" s="20" t="inlineStr"/>
      <c r="G422" t="inlineStr">
        <is>
          <t>Jennifer Arnett</t>
        </is>
      </c>
      <c r="H422" t="inlineStr">
        <is>
          <t>VICE PRESIDENT</t>
        </is>
      </c>
      <c r="I422" t="inlineStr">
        <is>
          <t>Investment Officer</t>
        </is>
      </c>
      <c r="J422" s="21" t="n"/>
      <c r="K422" s="21" t="n"/>
      <c r="L422" s="21" t="n"/>
      <c r="M422" s="21" t="n"/>
      <c r="N422" s="21" t="n"/>
      <c r="O422" s="21" t="n"/>
      <c r="P422" s="21" t="n">
        <v>528642</v>
      </c>
      <c r="Q422" s="21" t="n">
        <v>528642</v>
      </c>
      <c r="R422" s="21">
        <f>IF(Q422="","",Q422*(1+in_GrowthRate)^(YEARFRAC(DATE(2022,6,30),in_AgeToDate)*IF(in_AgeToDate&lt;DATE(2022,6,30),-1,1)+1))</f>
        <v/>
      </c>
      <c r="S422" s="38" t="n"/>
      <c r="T422" s="43">
        <f>HYPERLINK("https://projects.propublica.org/nonprofits/organizations/473599471/202331249349301898/full","view filing")</f>
        <v/>
      </c>
    </row>
    <row r="423">
      <c r="A423" t="inlineStr">
        <is>
          <t>Ucsf Foundation Investment Company</t>
        </is>
      </c>
      <c r="B423" s="20" t="inlineStr">
        <is>
          <t>CA</t>
        </is>
      </c>
      <c r="C423" s="42" t="n">
        <v>2.95</v>
      </c>
      <c r="D423" t="inlineStr">
        <is>
          <t>Endowment</t>
        </is>
      </c>
      <c r="E423" s="20" t="n">
        <v>2022</v>
      </c>
      <c r="F423" s="20" t="inlineStr"/>
      <c r="G423" t="inlineStr">
        <is>
          <t>Joseph Calger</t>
        </is>
      </c>
      <c r="H423" t="inlineStr">
        <is>
          <t>VICE PRESIDENT</t>
        </is>
      </c>
      <c r="I423" t="inlineStr">
        <is>
          <t>Investment Officer</t>
        </is>
      </c>
      <c r="J423" s="21" t="n"/>
      <c r="K423" s="21" t="n"/>
      <c r="L423" s="21" t="n"/>
      <c r="M423" s="21" t="n"/>
      <c r="N423" s="21" t="n"/>
      <c r="O423" s="21" t="n"/>
      <c r="P423" s="21" t="n">
        <v>265937</v>
      </c>
      <c r="Q423" s="21" t="n">
        <v>265937</v>
      </c>
      <c r="R423" s="21">
        <f>IF(Q423="","",Q423*(1+in_GrowthRate)^(YEARFRAC(DATE(2022,6,30),in_AgeToDate)*IF(in_AgeToDate&lt;DATE(2022,6,30),-1,1)+1))</f>
        <v/>
      </c>
      <c r="S423" s="38" t="n"/>
      <c r="T423" s="43">
        <f>HYPERLINK("https://projects.propublica.org/nonprofits/organizations/473599471/202331249349301898/full","view filing")</f>
        <v/>
      </c>
    </row>
    <row r="424">
      <c r="A424" t="inlineStr">
        <is>
          <t>Unc Management Company Inc</t>
        </is>
      </c>
      <c r="B424" s="20" t="inlineStr">
        <is>
          <t>NC</t>
        </is>
      </c>
      <c r="C424" s="42" t="n">
        <v>6.22</v>
      </c>
      <c r="D424" t="inlineStr">
        <is>
          <t>Endowment</t>
        </is>
      </c>
      <c r="E424" s="20" t="n">
        <v>2025</v>
      </c>
      <c r="F424" s="20">
        <f>IF(AND(OR(in_Mode="All Funds",AND(C424&gt;=in_BandFloor,C424&lt;=in_BandCeiling,OR(in_Geography="National",COUNTIFS(lst_GeoPreset,in_Geography,lst_GeoState,B424)&gt;0,AND(in_Geography="Custom",ISNUMBER(SEARCH(B424,SUBSTITUTE(in_CustomStates," ",""))))),OR(AND(D424="Endowment",Inputs!$B$14="Y"),AND(D424="Foundation",Inputs!$B$15="Y"),AND(D424="Healthcare",Inputs!$B$16="Y"),AND(D424="Pension",Inputs!$B$17="Y"),AND(D424="OCIO",Inputs!$B$18="Y"),AND(D424="Other",Inputs!$B$19="Y")))),A424&lt;&gt;in_ClientOrg,NOT(AND(in_ExclHarvard="Y",ISNUMBER(SEARCH("Harvard",A424))))),"Y","")</f>
        <v/>
      </c>
      <c r="G424" t="inlineStr">
        <is>
          <t>Joshua Shapiro</t>
        </is>
      </c>
      <c r="H424" t="inlineStr">
        <is>
          <t>VP - INV STRATEGY &amp; RISK MANAGEMENT</t>
        </is>
      </c>
      <c r="I424" t="inlineStr">
        <is>
          <t>Investment Officer</t>
        </is>
      </c>
      <c r="J424" s="21" t="n">
        <v>489814</v>
      </c>
      <c r="K424" s="21" t="n">
        <v>1555876</v>
      </c>
      <c r="L424" s="21" t="n">
        <v>2045690</v>
      </c>
      <c r="M424" s="21" t="n">
        <v>5659</v>
      </c>
      <c r="N424" s="21" t="n">
        <v>55200</v>
      </c>
      <c r="O424" s="21" t="n">
        <v>46534</v>
      </c>
      <c r="P424" s="21" t="n">
        <v>2153083</v>
      </c>
      <c r="Q424" s="21" t="n">
        <v>1796020</v>
      </c>
      <c r="R424" s="21">
        <f>IF(Q424="","",Q424*(1+in_GrowthRate)^(YEARFRAC(DATE(2025,6,30),in_AgeToDate)*IF(in_AgeToDate&lt;DATE(2025,6,30),-1,1)+1))</f>
        <v/>
      </c>
      <c r="S424" s="38" t="n">
        <v>3.176462902244526</v>
      </c>
      <c r="T424" s="43">
        <f>HYPERLINK("https://projects.propublica.org/nonprofits/organizations/364516257/202611329349304711/full","view filing")</f>
        <v/>
      </c>
    </row>
    <row r="425">
      <c r="A425" t="inlineStr">
        <is>
          <t>Unc Management Company Inc</t>
        </is>
      </c>
      <c r="B425" s="20" t="inlineStr">
        <is>
          <t>NC</t>
        </is>
      </c>
      <c r="C425" s="42" t="n">
        <v>6.22</v>
      </c>
      <c r="D425" t="inlineStr">
        <is>
          <t>Endowment</t>
        </is>
      </c>
      <c r="E425" s="20" t="n">
        <v>2024</v>
      </c>
      <c r="F425" s="20" t="inlineStr"/>
      <c r="G425" t="inlineStr">
        <is>
          <t>Joshua Shapiro</t>
        </is>
      </c>
      <c r="H425" t="inlineStr">
        <is>
          <t>VP - INV STRATEGY &amp; RISK M</t>
        </is>
      </c>
      <c r="I425" t="inlineStr">
        <is>
          <t>Investment Officer</t>
        </is>
      </c>
      <c r="J425" s="21" t="n">
        <v>465390</v>
      </c>
      <c r="K425" s="21" t="n">
        <v>701033</v>
      </c>
      <c r="L425" s="21" t="n">
        <v>1166423</v>
      </c>
      <c r="M425" s="21" t="n">
        <v>3354</v>
      </c>
      <c r="N425" s="21" t="n">
        <v>410658</v>
      </c>
      <c r="O425" s="21" t="n">
        <v>43476</v>
      </c>
      <c r="P425" s="21" t="n">
        <v>1623911</v>
      </c>
      <c r="Q425" s="21" t="n">
        <v>1282929</v>
      </c>
      <c r="R425" s="21">
        <f>IF(Q425="","",Q425*(1+in_GrowthRate)^(YEARFRAC(DATE(2024,6,30),in_AgeToDate)*IF(in_AgeToDate&lt;DATE(2024,6,30),-1,1)+1))</f>
        <v/>
      </c>
      <c r="S425" s="38" t="n">
        <v>1.506334472163132</v>
      </c>
      <c r="T425" s="43">
        <f>HYPERLINK("https://projects.propublica.org/nonprofits/organizations/364516257/202531199349301443/full","view filing")</f>
        <v/>
      </c>
    </row>
    <row r="426">
      <c r="A426" t="inlineStr">
        <is>
          <t>Unc Management Company Inc</t>
        </is>
      </c>
      <c r="B426" s="20" t="inlineStr">
        <is>
          <t>NC</t>
        </is>
      </c>
      <c r="C426" s="42" t="n">
        <v>6.22</v>
      </c>
      <c r="D426" t="inlineStr">
        <is>
          <t>Endowment</t>
        </is>
      </c>
      <c r="E426" s="20" t="n">
        <v>2024</v>
      </c>
      <c r="F426" s="20" t="inlineStr"/>
      <c r="G426" t="inlineStr">
        <is>
          <t>Kevin Tunick</t>
        </is>
      </c>
      <c r="H426" t="inlineStr">
        <is>
          <t>VP - PRIVATE INVESTMENTS</t>
        </is>
      </c>
      <c r="I426" t="inlineStr">
        <is>
          <t>Investment Manager</t>
        </is>
      </c>
      <c r="J426" s="21" t="n">
        <v>96070</v>
      </c>
      <c r="K426" s="21" t="n">
        <v>978155</v>
      </c>
      <c r="L426" s="21" t="n">
        <v>1074225</v>
      </c>
      <c r="M426" s="21" t="n">
        <v>826</v>
      </c>
      <c r="N426" s="21" t="n">
        <v>15445</v>
      </c>
      <c r="O426" s="21" t="n">
        <v>2575</v>
      </c>
      <c r="P426" s="21" t="n">
        <v>1093071</v>
      </c>
      <c r="Q426" s="21" t="n">
        <v>722709</v>
      </c>
      <c r="R426" s="21">
        <f>IF(Q426="","",Q426*(1+in_GrowthRate)^(YEARFRAC(DATE(2024,6,30),in_AgeToDate)*IF(in_AgeToDate&lt;DATE(2024,6,30),-1,1)+1))</f>
        <v/>
      </c>
      <c r="S426" s="38" t="n">
        <v>10.1816904340585</v>
      </c>
      <c r="T426" s="43">
        <f>HYPERLINK("https://projects.propublica.org/nonprofits/organizations/364516257/202531199349301443/full","view filing")</f>
        <v/>
      </c>
    </row>
    <row r="427">
      <c r="A427" t="inlineStr">
        <is>
          <t>Unc Management Company Inc</t>
        </is>
      </c>
      <c r="B427" s="20" t="inlineStr">
        <is>
          <t>NC</t>
        </is>
      </c>
      <c r="C427" s="42" t="n">
        <v>6.22</v>
      </c>
      <c r="D427" t="inlineStr">
        <is>
          <t>Endowment</t>
        </is>
      </c>
      <c r="E427" s="20" t="n">
        <v>2023</v>
      </c>
      <c r="F427" s="20" t="inlineStr"/>
      <c r="G427" t="inlineStr">
        <is>
          <t>Edward Hetherington</t>
        </is>
      </c>
      <c r="H427" t="inlineStr">
        <is>
          <t>VP - PUBLIC INVESTMENTS</t>
        </is>
      </c>
      <c r="I427" t="inlineStr">
        <is>
          <t>Investment Officer</t>
        </is>
      </c>
      <c r="J427" s="21" t="n">
        <v>440352</v>
      </c>
      <c r="K427" s="21" t="n">
        <v>693001</v>
      </c>
      <c r="L427" s="21" t="n">
        <v>1133353</v>
      </c>
      <c r="M427" s="21" t="n">
        <v>780</v>
      </c>
      <c r="N427" s="21" t="n">
        <v>406650</v>
      </c>
      <c r="O427" s="21" t="n">
        <v>42483</v>
      </c>
      <c r="P427" s="21" t="n">
        <v>1583266</v>
      </c>
      <c r="Q427" s="21" t="n">
        <v>1258577</v>
      </c>
      <c r="R427" s="21">
        <f>IF(Q427="","",Q427*(1+in_GrowthRate)^(YEARFRAC(DATE(2023,6,30),in_AgeToDate)*IF(in_AgeToDate&lt;DATE(2023,6,30),-1,1)+1))</f>
        <v/>
      </c>
      <c r="S427" s="38" t="n">
        <v>1.573743278104789</v>
      </c>
      <c r="T427" s="43">
        <f>HYPERLINK("https://projects.propublica.org/nonprofits/organizations/364516257/202431319349304158/full","view filing")</f>
        <v/>
      </c>
    </row>
    <row r="428">
      <c r="A428" t="inlineStr">
        <is>
          <t>Unc Management Company Inc</t>
        </is>
      </c>
      <c r="B428" s="20" t="inlineStr">
        <is>
          <t>NC</t>
        </is>
      </c>
      <c r="C428" s="42" t="n">
        <v>6.22</v>
      </c>
      <c r="D428" t="inlineStr">
        <is>
          <t>Endowment</t>
        </is>
      </c>
      <c r="E428" s="20" t="n">
        <v>2023</v>
      </c>
      <c r="F428" s="20" t="inlineStr"/>
      <c r="G428" t="inlineStr">
        <is>
          <t>Joshua Shapiro</t>
        </is>
      </c>
      <c r="H428" t="inlineStr">
        <is>
          <t>VP - INV STRATEGY &amp; RISK M</t>
        </is>
      </c>
      <c r="I428" t="inlineStr">
        <is>
          <t>Investment Officer</t>
        </is>
      </c>
      <c r="J428" s="21" t="n">
        <v>439044</v>
      </c>
      <c r="K428" s="21" t="n">
        <v>704542</v>
      </c>
      <c r="L428" s="21" t="n">
        <v>1143586</v>
      </c>
      <c r="M428" s="21" t="n">
        <v>3354</v>
      </c>
      <c r="N428" s="21" t="n">
        <v>409786</v>
      </c>
      <c r="O428" s="21" t="n">
        <v>41577</v>
      </c>
      <c r="P428" s="21" t="n">
        <v>1598303</v>
      </c>
      <c r="Q428" s="21" t="n">
        <v>1262556</v>
      </c>
      <c r="R428" s="21">
        <f>IF(Q428="","",Q428*(1+in_GrowthRate)^(YEARFRAC(DATE(2023,6,30),in_AgeToDate)*IF(in_AgeToDate&lt;DATE(2023,6,30),-1,1)+1))</f>
        <v/>
      </c>
      <c r="S428" s="38" t="n">
        <v>1.60471843368774</v>
      </c>
      <c r="T428" s="43">
        <f>HYPERLINK("https://projects.propublica.org/nonprofits/organizations/364516257/202431319349304158/full","view filing")</f>
        <v/>
      </c>
    </row>
    <row r="429">
      <c r="A429" t="inlineStr">
        <is>
          <t>Unc Management Company Inc</t>
        </is>
      </c>
      <c r="B429" s="20" t="inlineStr">
        <is>
          <t>NC</t>
        </is>
      </c>
      <c r="C429" s="42" t="n">
        <v>6.22</v>
      </c>
      <c r="D429" t="inlineStr">
        <is>
          <t>Endowment</t>
        </is>
      </c>
      <c r="E429" s="20" t="n">
        <v>2023</v>
      </c>
      <c r="F429" s="20" t="inlineStr"/>
      <c r="G429" t="inlineStr">
        <is>
          <t>Kevin Tunick</t>
        </is>
      </c>
      <c r="H429" t="inlineStr">
        <is>
          <t>VP - PRIVATE INVESTMENTS</t>
        </is>
      </c>
      <c r="I429" t="inlineStr">
        <is>
          <t>Investment Manager</t>
        </is>
      </c>
      <c r="J429" s="21" t="n">
        <v>468850</v>
      </c>
      <c r="K429" s="21" t="n">
        <v>753308</v>
      </c>
      <c r="L429" s="21" t="n">
        <v>1222158</v>
      </c>
      <c r="M429" s="21" t="n">
        <v>9906</v>
      </c>
      <c r="N429" s="21" t="n">
        <v>438285</v>
      </c>
      <c r="O429" s="21" t="n">
        <v>29643</v>
      </c>
      <c r="P429" s="21" t="n">
        <v>1699992</v>
      </c>
      <c r="Q429" s="21" t="n">
        <v>1344207</v>
      </c>
      <c r="R429" s="21">
        <f>IF(Q429="","",Q429*(1+in_GrowthRate)^(YEARFRAC(DATE(2023,6,30),in_AgeToDate)*IF(in_AgeToDate&lt;DATE(2023,6,30),-1,1)+1))</f>
        <v/>
      </c>
      <c r="S429" s="38" t="n">
        <v>1.606714300949131</v>
      </c>
      <c r="T429" s="43">
        <f>HYPERLINK("https://projects.propublica.org/nonprofits/organizations/364516257/202431319349304158/full","view filing")</f>
        <v/>
      </c>
    </row>
    <row r="430">
      <c r="A430" t="inlineStr">
        <is>
          <t>Unc Management Company Inc</t>
        </is>
      </c>
      <c r="B430" s="20" t="inlineStr">
        <is>
          <t>NC</t>
        </is>
      </c>
      <c r="C430" s="42" t="n">
        <v>6.22</v>
      </c>
      <c r="D430" t="inlineStr">
        <is>
          <t>Endowment</t>
        </is>
      </c>
      <c r="E430" s="20" t="n">
        <v>2022</v>
      </c>
      <c r="F430" s="20" t="inlineStr"/>
      <c r="G430" t="inlineStr">
        <is>
          <t>Angela Moss</t>
        </is>
      </c>
      <c r="H430" t="inlineStr">
        <is>
          <t>SENIOR DIRECTOR - INVESTMENTS</t>
        </is>
      </c>
      <c r="I430" t="inlineStr">
        <is>
          <t>Director of Investments</t>
        </is>
      </c>
      <c r="J430" s="21" t="n">
        <v>293115</v>
      </c>
      <c r="K430" s="21" t="n">
        <v>443811</v>
      </c>
      <c r="L430" s="21" t="n">
        <v>736926</v>
      </c>
      <c r="M430" s="21" t="n">
        <v>1170</v>
      </c>
      <c r="N430" s="21" t="n">
        <v>279573</v>
      </c>
      <c r="O430" s="21" t="n">
        <v>39947</v>
      </c>
      <c r="P430" s="21" t="n">
        <v>1057616</v>
      </c>
      <c r="Q430" s="21" t="n">
        <v>887950</v>
      </c>
      <c r="R430" s="21">
        <f>IF(Q430="","",Q430*(1+in_GrowthRate)^(YEARFRAC(DATE(2022,6,30),in_AgeToDate)*IF(in_AgeToDate&lt;DATE(2022,6,30),-1,1)+1))</f>
        <v/>
      </c>
      <c r="S430" s="38" t="n">
        <v>1.514119031779336</v>
      </c>
      <c r="T430" s="43">
        <f>HYPERLINK("https://projects.propublica.org/nonprofits/organizations/364516257/202320669349301047/full","view filing")</f>
        <v/>
      </c>
    </row>
    <row r="431">
      <c r="A431" t="inlineStr">
        <is>
          <t>Unc Management Company Inc</t>
        </is>
      </c>
      <c r="B431" s="20" t="inlineStr">
        <is>
          <t>NC</t>
        </is>
      </c>
      <c r="C431" s="42" t="n">
        <v>6.22</v>
      </c>
      <c r="D431" t="inlineStr">
        <is>
          <t>Endowment</t>
        </is>
      </c>
      <c r="E431" s="20" t="n">
        <v>2022</v>
      </c>
      <c r="F431" s="20" t="inlineStr"/>
      <c r="G431" t="inlineStr">
        <is>
          <t>Chris Bartholomew</t>
        </is>
      </c>
      <c r="H431" t="inlineStr">
        <is>
          <t>SENIOR DIRECTOR - INVESTMENTS</t>
        </is>
      </c>
      <c r="I431" t="inlineStr">
        <is>
          <t>Director of Investments</t>
        </is>
      </c>
      <c r="J431" s="21" t="n">
        <v>291233</v>
      </c>
      <c r="K431" s="21" t="n">
        <v>445833</v>
      </c>
      <c r="L431" s="21" t="n">
        <v>737066</v>
      </c>
      <c r="M431" s="21" t="n">
        <v>702</v>
      </c>
      <c r="N431" s="21" t="n">
        <v>284666</v>
      </c>
      <c r="O431" s="21" t="n">
        <v>40983</v>
      </c>
      <c r="P431" s="21" t="n">
        <v>1063417</v>
      </c>
      <c r="Q431" s="21" t="n">
        <v>897118</v>
      </c>
      <c r="R431" s="21">
        <f>IF(Q431="","",Q431*(1+in_GrowthRate)^(YEARFRAC(DATE(2022,6,30),in_AgeToDate)*IF(in_AgeToDate&lt;DATE(2022,6,30),-1,1)+1))</f>
        <v/>
      </c>
      <c r="S431" s="38" t="n">
        <v>1.530846435671782</v>
      </c>
      <c r="T431" s="43">
        <f>HYPERLINK("https://projects.propublica.org/nonprofits/organizations/364516257/202320669349301047/full","view filing")</f>
        <v/>
      </c>
    </row>
    <row r="432">
      <c r="A432" t="inlineStr">
        <is>
          <t>Unc Management Company Inc</t>
        </is>
      </c>
      <c r="B432" s="20" t="inlineStr">
        <is>
          <t>NC</t>
        </is>
      </c>
      <c r="C432" s="42" t="n">
        <v>6.22</v>
      </c>
      <c r="D432" t="inlineStr">
        <is>
          <t>Endowment</t>
        </is>
      </c>
      <c r="E432" s="20" t="n">
        <v>2022</v>
      </c>
      <c r="F432" s="20" t="inlineStr"/>
      <c r="G432" t="inlineStr">
        <is>
          <t>Chris Rudolph</t>
        </is>
      </c>
      <c r="H432" t="inlineStr">
        <is>
          <t>SENIOR DIRECTOR - INVESTMENTS</t>
        </is>
      </c>
      <c r="I432" t="inlineStr">
        <is>
          <t>Director of Investments</t>
        </is>
      </c>
      <c r="J432" s="21" t="n">
        <v>293115</v>
      </c>
      <c r="K432" s="21" t="n">
        <v>440782</v>
      </c>
      <c r="L432" s="21" t="n">
        <v>733897</v>
      </c>
      <c r="M432" s="21" t="n">
        <v>1170</v>
      </c>
      <c r="N432" s="21" t="n">
        <v>279111</v>
      </c>
      <c r="O432" s="21" t="n">
        <v>39947</v>
      </c>
      <c r="P432" s="21" t="n">
        <v>1054125</v>
      </c>
      <c r="Q432" s="21" t="n">
        <v>886588</v>
      </c>
      <c r="R432" s="21">
        <f>IF(Q432="","",Q432*(1+in_GrowthRate)^(YEARFRAC(DATE(2022,6,30),in_AgeToDate)*IF(in_AgeToDate&lt;DATE(2022,6,30),-1,1)+1))</f>
        <v/>
      </c>
      <c r="S432" s="38" t="n">
        <v>1.503785203759616</v>
      </c>
      <c r="T432" s="43">
        <f>HYPERLINK("https://projects.propublica.org/nonprofits/organizations/364516257/202320669349301047/full","view filing")</f>
        <v/>
      </c>
    </row>
    <row r="433">
      <c r="A433" t="inlineStr">
        <is>
          <t>Unc Management Company Inc</t>
        </is>
      </c>
      <c r="B433" s="20" t="inlineStr">
        <is>
          <t>NC</t>
        </is>
      </c>
      <c r="C433" s="42" t="n">
        <v>6.22</v>
      </c>
      <c r="D433" t="inlineStr">
        <is>
          <t>Endowment</t>
        </is>
      </c>
      <c r="E433" s="20" t="n">
        <v>2022</v>
      </c>
      <c r="F433" s="20" t="inlineStr"/>
      <c r="G433" t="inlineStr">
        <is>
          <t>Edward Hetherington</t>
        </is>
      </c>
      <c r="H433" t="inlineStr">
        <is>
          <t>VP - PUBLIC INVESTMENTS</t>
        </is>
      </c>
      <c r="I433" t="inlineStr">
        <is>
          <t>Investment Officer</t>
        </is>
      </c>
      <c r="J433" s="21" t="n">
        <v>414285</v>
      </c>
      <c r="K433" s="21" t="n">
        <v>686509</v>
      </c>
      <c r="L433" s="21" t="n">
        <v>1100794</v>
      </c>
      <c r="M433" s="21" t="n">
        <v>780</v>
      </c>
      <c r="N433" s="21" t="n">
        <v>404024</v>
      </c>
      <c r="O433" s="21" t="n">
        <v>41445</v>
      </c>
      <c r="P433" s="21" t="n">
        <v>1547043</v>
      </c>
      <c r="Q433" s="21" t="n">
        <v>1282464</v>
      </c>
      <c r="R433" s="21">
        <f>IF(Q433="","",Q433*(1+in_GrowthRate)^(YEARFRAC(DATE(2022,6,30),in_AgeToDate)*IF(in_AgeToDate&lt;DATE(2022,6,30),-1,1)+1))</f>
        <v/>
      </c>
      <c r="S433" s="38" t="n">
        <v>1.657093546713012</v>
      </c>
      <c r="T433" s="43">
        <f>HYPERLINK("https://projects.propublica.org/nonprofits/organizations/364516257/202320669349301047/full","view filing")</f>
        <v/>
      </c>
    </row>
    <row r="434">
      <c r="A434" t="inlineStr">
        <is>
          <t>Unc Management Company Inc</t>
        </is>
      </c>
      <c r="B434" s="20" t="inlineStr">
        <is>
          <t>NC</t>
        </is>
      </c>
      <c r="C434" s="42" t="n">
        <v>6.22</v>
      </c>
      <c r="D434" t="inlineStr">
        <is>
          <t>Endowment</t>
        </is>
      </c>
      <c r="E434" s="20" t="n">
        <v>2022</v>
      </c>
      <c r="F434" s="20" t="inlineStr"/>
      <c r="G434" t="inlineStr">
        <is>
          <t>Joshua Shapiro</t>
        </is>
      </c>
      <c r="H434" t="inlineStr">
        <is>
          <t>VP - INV STRATEGY &amp; RISK MGMT</t>
        </is>
      </c>
      <c r="I434" t="inlineStr">
        <is>
          <t>Investment Officer</t>
        </is>
      </c>
      <c r="J434" s="21" t="n">
        <v>421060</v>
      </c>
      <c r="K434" s="21" t="n">
        <v>706787</v>
      </c>
      <c r="L434" s="21" t="n">
        <v>1127847</v>
      </c>
      <c r="M434" s="21" t="n">
        <v>3354</v>
      </c>
      <c r="N434" s="21" t="n">
        <v>413587</v>
      </c>
      <c r="O434" s="21" t="n">
        <v>41541</v>
      </c>
      <c r="P434" s="21" t="n">
        <v>1586329</v>
      </c>
      <c r="Q434" s="21" t="n">
        <v>1310284</v>
      </c>
      <c r="R434" s="21">
        <f>IF(Q434="","",Q434*(1+in_GrowthRate)^(YEARFRAC(DATE(2022,6,30),in_AgeToDate)*IF(in_AgeToDate&lt;DATE(2022,6,30),-1,1)+1))</f>
        <v/>
      </c>
      <c r="S434" s="38" t="n">
        <v>1.678589749679381</v>
      </c>
      <c r="T434" s="43">
        <f>HYPERLINK("https://projects.propublica.org/nonprofits/organizations/364516257/202320669349301047/full","view filing")</f>
        <v/>
      </c>
    </row>
    <row r="435">
      <c r="A435" t="inlineStr">
        <is>
          <t>Unc Management Company Inc</t>
        </is>
      </c>
      <c r="B435" s="20" t="inlineStr">
        <is>
          <t>NC</t>
        </is>
      </c>
      <c r="C435" s="42" t="n">
        <v>6.22</v>
      </c>
      <c r="D435" t="inlineStr">
        <is>
          <t>Endowment</t>
        </is>
      </c>
      <c r="E435" s="20" t="n">
        <v>2022</v>
      </c>
      <c r="F435" s="20" t="inlineStr"/>
      <c r="G435" t="inlineStr">
        <is>
          <t>Kevin Tunick</t>
        </is>
      </c>
      <c r="H435" t="inlineStr">
        <is>
          <t>VP - PRIVATE INVESTMENTS</t>
        </is>
      </c>
      <c r="I435" t="inlineStr">
        <is>
          <t>Investment Manager</t>
        </is>
      </c>
      <c r="J435" s="21" t="n">
        <v>450664</v>
      </c>
      <c r="K435" s="21" t="n">
        <v>758766</v>
      </c>
      <c r="L435" s="21" t="n">
        <v>1209430</v>
      </c>
      <c r="M435" s="21" t="n">
        <v>9906</v>
      </c>
      <c r="N435" s="21" t="n">
        <v>444755</v>
      </c>
      <c r="O435" s="21" t="n">
        <v>28585</v>
      </c>
      <c r="P435" s="21" t="n">
        <v>1692676</v>
      </c>
      <c r="Q435" s="21" t="n">
        <v>1400909</v>
      </c>
      <c r="R435" s="21">
        <f>IF(Q435="","",Q435*(1+in_GrowthRate)^(YEARFRAC(DATE(2022,6,30),in_AgeToDate)*IF(in_AgeToDate&lt;DATE(2022,6,30),-1,1)+1))</f>
        <v/>
      </c>
      <c r="S435" s="38" t="n">
        <v>1.683662329362896</v>
      </c>
      <c r="T435" s="43">
        <f>HYPERLINK("https://projects.propublica.org/nonprofits/organizations/364516257/202320669349301047/full","view filing")</f>
        <v/>
      </c>
    </row>
    <row r="436">
      <c r="A436" t="inlineStr">
        <is>
          <t>Unc Management Company Inc</t>
        </is>
      </c>
      <c r="B436" s="20" t="inlineStr">
        <is>
          <t>NC</t>
        </is>
      </c>
      <c r="C436" s="42" t="n">
        <v>6.22</v>
      </c>
      <c r="D436" t="inlineStr">
        <is>
          <t>Endowment</t>
        </is>
      </c>
      <c r="E436" s="20" t="n">
        <v>2022</v>
      </c>
      <c r="F436" s="20" t="inlineStr"/>
      <c r="G436" t="inlineStr">
        <is>
          <t>Matthew Lesesky</t>
        </is>
      </c>
      <c r="H436" t="inlineStr">
        <is>
          <t>SENIOR DIRECTOR - INVESTMENTS</t>
        </is>
      </c>
      <c r="I436" t="inlineStr">
        <is>
          <t>Director of Investments</t>
        </is>
      </c>
      <c r="J436" s="21" t="n">
        <v>292365</v>
      </c>
      <c r="K436" s="21" t="n">
        <v>442137</v>
      </c>
      <c r="L436" s="21" t="n">
        <v>734502</v>
      </c>
      <c r="M436" s="21" t="n">
        <v>1170</v>
      </c>
      <c r="N436" s="21" t="n">
        <v>282655</v>
      </c>
      <c r="O436" s="21" t="n">
        <v>40686</v>
      </c>
      <c r="P436" s="21" t="n">
        <v>1059013</v>
      </c>
      <c r="Q436" s="21" t="n">
        <v>893666</v>
      </c>
      <c r="R436" s="21">
        <f>IF(Q436="","",Q436*(1+in_GrowthRate)^(YEARFRAC(DATE(2022,6,30),in_AgeToDate)*IF(in_AgeToDate&lt;DATE(2022,6,30),-1,1)+1))</f>
        <v/>
      </c>
      <c r="S436" s="38" t="n">
        <v>1.512277461392437</v>
      </c>
      <c r="T436" s="43">
        <f>HYPERLINK("https://projects.propublica.org/nonprofits/organizations/364516257/202320669349301047/full","view filing")</f>
        <v/>
      </c>
    </row>
    <row r="437">
      <c r="A437" t="inlineStr">
        <is>
          <t>Unc Management Company Inc</t>
        </is>
      </c>
      <c r="B437" s="20" t="inlineStr">
        <is>
          <t>NC</t>
        </is>
      </c>
      <c r="C437" s="42" t="n">
        <v>6.22</v>
      </c>
      <c r="D437" t="inlineStr">
        <is>
          <t>Endowment</t>
        </is>
      </c>
      <c r="E437" s="20" t="n">
        <v>2022</v>
      </c>
      <c r="F437" s="20" t="inlineStr"/>
      <c r="G437" t="inlineStr">
        <is>
          <t>Rodgers Harshbarger</t>
        </is>
      </c>
      <c r="H437" t="inlineStr">
        <is>
          <t>SENIOR DIRECTOR - INVESTMENTS</t>
        </is>
      </c>
      <c r="I437" t="inlineStr">
        <is>
          <t>Director of Investments</t>
        </is>
      </c>
      <c r="J437" s="21" t="n">
        <v>302970</v>
      </c>
      <c r="K437" s="21" t="n">
        <v>460626</v>
      </c>
      <c r="L437" s="21" t="n">
        <v>763596</v>
      </c>
      <c r="M437" s="21" t="n">
        <v>780</v>
      </c>
      <c r="N437" s="21" t="n">
        <v>290098</v>
      </c>
      <c r="O437" s="21" t="n">
        <v>41140</v>
      </c>
      <c r="P437" s="21" t="n">
        <v>1095614</v>
      </c>
      <c r="Q437" s="21" t="n">
        <v>921493</v>
      </c>
      <c r="R437" s="21">
        <f>IF(Q437="","",Q437*(1+in_GrowthRate)^(YEARFRAC(DATE(2022,6,30),in_AgeToDate)*IF(in_AgeToDate&lt;DATE(2022,6,30),-1,1)+1))</f>
        <v/>
      </c>
      <c r="S437" s="38" t="n">
        <v>1.520368353302307</v>
      </c>
      <c r="T437" s="43">
        <f>HYPERLINK("https://projects.propublica.org/nonprofits/organizations/364516257/202320669349301047/full","view filing")</f>
        <v/>
      </c>
    </row>
    <row r="438">
      <c r="A438" t="inlineStr">
        <is>
          <t>United Jewish Appeal Federation Of Jewish Philanthropies Of Ny Inc</t>
        </is>
      </c>
      <c r="B438" s="20" t="inlineStr">
        <is>
          <t>NY</t>
        </is>
      </c>
      <c r="C438" s="42" t="n">
        <v>1.54</v>
      </c>
      <c r="D438" t="inlineStr">
        <is>
          <t>Foundation</t>
        </is>
      </c>
      <c r="E438" s="20" t="n">
        <v>2025</v>
      </c>
      <c r="F438" s="20">
        <f>IF(AND(OR(in_Mode="All Funds",AND(C438&gt;=in_BandFloor,C438&lt;=in_BandCeiling,OR(in_Geography="National",COUNTIFS(lst_GeoPreset,in_Geography,lst_GeoState,B438)&gt;0,AND(in_Geography="Custom",ISNUMBER(SEARCH(B438,SUBSTITUTE(in_CustomStates," ",""))))),OR(AND(D438="Endowment",Inputs!$B$14="Y"),AND(D438="Foundation",Inputs!$B$15="Y"),AND(D438="Healthcare",Inputs!$B$16="Y"),AND(D438="Pension",Inputs!$B$17="Y"),AND(D438="OCIO",Inputs!$B$18="Y"),AND(D438="Other",Inputs!$B$19="Y")))),A438&lt;&gt;in_ClientOrg,NOT(AND(in_ExclHarvard="Y",ISNUMBER(SEARCH("Harvard",A438))))),"Y","")</f>
        <v/>
      </c>
      <c r="G438" t="inlineStr">
        <is>
          <t>Elliot Hasdan</t>
        </is>
      </c>
      <c r="H438" t="inlineStr">
        <is>
          <t>DIRECTOR, INVESTMENTS</t>
        </is>
      </c>
      <c r="I438" t="inlineStr">
        <is>
          <t>Director of Investments</t>
        </is>
      </c>
      <c r="J438" s="21" t="n">
        <v>330664</v>
      </c>
      <c r="K438" s="21" t="n">
        <v>128074</v>
      </c>
      <c r="L438" s="21" t="n">
        <v>458738</v>
      </c>
      <c r="M438" s="21" t="n">
        <v>168</v>
      </c>
      <c r="N438" s="21" t="n">
        <v>10350</v>
      </c>
      <c r="O438" s="21" t="n">
        <v>58205</v>
      </c>
      <c r="P438" s="21" t="n">
        <v>527461</v>
      </c>
      <c r="Q438" s="21" t="n">
        <v>527461</v>
      </c>
      <c r="R438" s="21">
        <f>IF(Q438="","",Q438*(1+in_GrowthRate)^(YEARFRAC(DATE(2025,6,30),in_AgeToDate)*IF(in_AgeToDate&lt;DATE(2025,6,30),-1,1)+1))</f>
        <v/>
      </c>
      <c r="S438" s="38" t="n">
        <v>0.3873236880942588</v>
      </c>
      <c r="T438" s="43">
        <f>HYPERLINK("https://projects.propublica.org/nonprofits/organizations/510172429/202611349349307791/full","view filing")</f>
        <v/>
      </c>
    </row>
    <row r="439">
      <c r="A439" t="inlineStr">
        <is>
          <t>United Jewish Appeal Federation Of Jewish Philanthropies Of Ny Inc</t>
        </is>
      </c>
      <c r="B439" s="20" t="inlineStr">
        <is>
          <t>NY</t>
        </is>
      </c>
      <c r="C439" s="42" t="n">
        <v>1.54</v>
      </c>
      <c r="D439" t="inlineStr">
        <is>
          <t>Foundation</t>
        </is>
      </c>
      <c r="E439" s="20" t="n">
        <v>2025</v>
      </c>
      <c r="F439" s="20">
        <f>IF(AND(OR(in_Mode="All Funds",AND(C439&gt;=in_BandFloor,C439&lt;=in_BandCeiling,OR(in_Geography="National",COUNTIFS(lst_GeoPreset,in_Geography,lst_GeoState,B439)&gt;0,AND(in_Geography="Custom",ISNUMBER(SEARCH(B439,SUBSTITUTE(in_CustomStates," ",""))))),OR(AND(D439="Endowment",Inputs!$B$14="Y"),AND(D439="Foundation",Inputs!$B$15="Y"),AND(D439="Healthcare",Inputs!$B$16="Y"),AND(D439="Pension",Inputs!$B$17="Y"),AND(D439="OCIO",Inputs!$B$18="Y"),AND(D439="Other",Inputs!$B$19="Y")))),A439&lt;&gt;in_ClientOrg,NOT(AND(in_ExclHarvard="Y",ISNUMBER(SEARCH("Harvard",A439))))),"Y","")</f>
        <v/>
      </c>
      <c r="G439" t="inlineStr">
        <is>
          <t>Rica Silverman</t>
        </is>
      </c>
      <c r="H439" t="inlineStr">
        <is>
          <t>DIRECTOR, INVESTMENTS</t>
        </is>
      </c>
      <c r="I439" t="inlineStr">
        <is>
          <t>Director of Investments</t>
        </is>
      </c>
      <c r="J439" s="21" t="n">
        <v>308057</v>
      </c>
      <c r="K439" s="21" t="n">
        <v>101769</v>
      </c>
      <c r="L439" s="21" t="n">
        <v>409826</v>
      </c>
      <c r="M439" s="21" t="n">
        <v>138</v>
      </c>
      <c r="N439" s="21" t="n">
        <v>9541</v>
      </c>
      <c r="O439" s="21" t="n">
        <v>66613</v>
      </c>
      <c r="P439" s="21" t="n">
        <v>486118</v>
      </c>
      <c r="Q439" s="21" t="n">
        <v>486118</v>
      </c>
      <c r="R439" s="21">
        <f>IF(Q439="","",Q439*(1+in_GrowthRate)^(YEARFRAC(DATE(2025,6,30),in_AgeToDate)*IF(in_AgeToDate&lt;DATE(2025,6,30),-1,1)+1))</f>
        <v/>
      </c>
      <c r="S439" s="38" t="n">
        <v>0.3303576935437273</v>
      </c>
      <c r="T439" s="43">
        <f>HYPERLINK("https://projects.propublica.org/nonprofits/organizations/510172429/202611349349307791/full","view filing")</f>
        <v/>
      </c>
    </row>
    <row r="440">
      <c r="A440" t="inlineStr">
        <is>
          <t>United Jewish Appeal Federation Of Jewish Philanthropies Of Ny Inc</t>
        </is>
      </c>
      <c r="B440" s="20" t="inlineStr">
        <is>
          <t>NY</t>
        </is>
      </c>
      <c r="C440" s="42" t="n">
        <v>1.54</v>
      </c>
      <c r="D440" t="inlineStr">
        <is>
          <t>Foundation</t>
        </is>
      </c>
      <c r="E440" s="20" t="n">
        <v>2024</v>
      </c>
      <c r="F440" s="20" t="inlineStr"/>
      <c r="G440" t="inlineStr">
        <is>
          <t>Elliot Hasdan</t>
        </is>
      </c>
      <c r="H440" t="inlineStr">
        <is>
          <t>DIRECTOR, INVESTMENTS</t>
        </is>
      </c>
      <c r="I440" t="inlineStr">
        <is>
          <t>Director of Investments</t>
        </is>
      </c>
      <c r="J440" s="21" t="n">
        <v>305515</v>
      </c>
      <c r="K440" s="21" t="n">
        <v>152513</v>
      </c>
      <c r="L440" s="21" t="n">
        <v>458028</v>
      </c>
      <c r="M440" s="21" t="n">
        <v>162</v>
      </c>
      <c r="N440" s="21" t="n">
        <v>9900</v>
      </c>
      <c r="O440" s="21" t="n">
        <v>51512</v>
      </c>
      <c r="P440" s="21" t="n">
        <v>519602</v>
      </c>
      <c r="Q440" s="21" t="n">
        <v>519602</v>
      </c>
      <c r="R440" s="21">
        <f>IF(Q440="","",Q440*(1+in_GrowthRate)^(YEARFRAC(DATE(2024,6,30),in_AgeToDate)*IF(in_AgeToDate&lt;DATE(2024,6,30),-1,1)+1))</f>
        <v/>
      </c>
      <c r="S440" s="38" t="n">
        <v>0.4991997119617695</v>
      </c>
      <c r="T440" s="43">
        <f>HYPERLINK("https://projects.propublica.org/nonprofits/organizations/510172429/202511349349303781/full","view filing")</f>
        <v/>
      </c>
    </row>
    <row r="441">
      <c r="A441" t="inlineStr">
        <is>
          <t>United Jewish Appeal Federation Of Jewish Philanthropies Of Ny Inc</t>
        </is>
      </c>
      <c r="B441" s="20" t="inlineStr">
        <is>
          <t>NY</t>
        </is>
      </c>
      <c r="C441" s="42" t="n">
        <v>1.54</v>
      </c>
      <c r="D441" t="inlineStr">
        <is>
          <t>Foundation</t>
        </is>
      </c>
      <c r="E441" s="20" t="n">
        <v>2023</v>
      </c>
      <c r="F441" s="20" t="inlineStr"/>
      <c r="G441" t="inlineStr">
        <is>
          <t>Brittany Laroche</t>
        </is>
      </c>
      <c r="H441" t="inlineStr">
        <is>
          <t>DIRECTOR, INVESTMENTS</t>
        </is>
      </c>
      <c r="I441" t="inlineStr">
        <is>
          <t>Director of Investments</t>
        </is>
      </c>
      <c r="J441" s="21" t="n">
        <v>273696</v>
      </c>
      <c r="K441" s="21" t="n">
        <v>80885</v>
      </c>
      <c r="L441" s="21" t="n">
        <v>354581</v>
      </c>
      <c r="M441" s="21" t="n">
        <v>144</v>
      </c>
      <c r="N441" s="21" t="n">
        <v>7743</v>
      </c>
      <c r="O441" s="21" t="n">
        <v>1273</v>
      </c>
      <c r="P441" s="21" t="n">
        <v>363741</v>
      </c>
      <c r="Q441" s="21" t="n">
        <v>363741</v>
      </c>
      <c r="R441" s="21">
        <f>IF(Q441="","",Q441*(1+in_GrowthRate)^(YEARFRAC(DATE(2023,6,30),in_AgeToDate)*IF(in_AgeToDate&lt;DATE(2023,6,30),-1,1)+1))</f>
        <v/>
      </c>
      <c r="S441" s="38" t="n">
        <v>0.295528615690401</v>
      </c>
      <c r="T441" s="43">
        <f>HYPERLINK("https://projects.propublica.org/nonprofits/organizations/510172429/202411359349312096/full","view filing")</f>
        <v/>
      </c>
    </row>
    <row r="442">
      <c r="A442" t="inlineStr">
        <is>
          <t>United Jewish Appeal Federation Of Jewish Philanthropies Of Ny Inc</t>
        </is>
      </c>
      <c r="B442" s="20" t="inlineStr">
        <is>
          <t>NY</t>
        </is>
      </c>
      <c r="C442" s="42" t="n">
        <v>1.54</v>
      </c>
      <c r="D442" t="inlineStr">
        <is>
          <t>Foundation</t>
        </is>
      </c>
      <c r="E442" s="20" t="n">
        <v>2023</v>
      </c>
      <c r="F442" s="20" t="inlineStr"/>
      <c r="G442" t="inlineStr">
        <is>
          <t>Elliot Hasdan</t>
        </is>
      </c>
      <c r="H442" t="inlineStr">
        <is>
          <t>DIRECTOR, INVESTMENTS</t>
        </is>
      </c>
      <c r="I442" t="inlineStr">
        <is>
          <t>Director of Investments</t>
        </is>
      </c>
      <c r="J442" s="21" t="n">
        <v>286980</v>
      </c>
      <c r="K442" s="21" t="n">
        <v>106394</v>
      </c>
      <c r="L442" s="21" t="n">
        <v>393374</v>
      </c>
      <c r="M442" s="21" t="n">
        <v>162</v>
      </c>
      <c r="N442" s="21" t="n">
        <v>9150</v>
      </c>
      <c r="O442" s="21" t="n">
        <v>45676</v>
      </c>
      <c r="P442" s="21" t="n">
        <v>448362</v>
      </c>
      <c r="Q442" s="21" t="n">
        <v>448362</v>
      </c>
      <c r="R442" s="21">
        <f>IF(Q442="","",Q442*(1+in_GrowthRate)^(YEARFRAC(DATE(2023,6,30),in_AgeToDate)*IF(in_AgeToDate&lt;DATE(2023,6,30),-1,1)+1))</f>
        <v/>
      </c>
      <c r="S442" s="38" t="n">
        <v>0.3707366366994216</v>
      </c>
      <c r="T442" s="43">
        <f>HYPERLINK("https://projects.propublica.org/nonprofits/organizations/510172429/202411359349312096/full","view filing")</f>
        <v/>
      </c>
    </row>
    <row r="443">
      <c r="A443" t="inlineStr">
        <is>
          <t>United Jewish Appeal Federation Of Jewish Philanthropies Of Ny Inc</t>
        </is>
      </c>
      <c r="B443" s="20" t="inlineStr">
        <is>
          <t>NY</t>
        </is>
      </c>
      <c r="C443" s="42" t="n">
        <v>1.54</v>
      </c>
      <c r="D443" t="inlineStr">
        <is>
          <t>Foundation</t>
        </is>
      </c>
      <c r="E443" s="20" t="n">
        <v>2022</v>
      </c>
      <c r="F443" s="20" t="inlineStr"/>
      <c r="G443" t="inlineStr">
        <is>
          <t>Brittany Laroche</t>
        </is>
      </c>
      <c r="H443" t="inlineStr">
        <is>
          <t>DIRECTOR, INVESTMENTS</t>
        </is>
      </c>
      <c r="I443" t="inlineStr">
        <is>
          <t>Director of Investments</t>
        </is>
      </c>
      <c r="J443" s="21" t="n">
        <v>215055</v>
      </c>
      <c r="K443" s="21" t="n">
        <v>70533</v>
      </c>
      <c r="L443" s="21" t="n">
        <v>285588</v>
      </c>
      <c r="M443" s="21" t="n">
        <v>144</v>
      </c>
      <c r="N443" s="21" t="n">
        <v>9272</v>
      </c>
      <c r="O443" s="21" t="n">
        <v>1730</v>
      </c>
      <c r="P443" s="21" t="n">
        <v>296734</v>
      </c>
      <c r="Q443" s="21" t="n">
        <v>296734</v>
      </c>
      <c r="R443" s="21">
        <f>IF(Q443="","",Q443*(1+in_GrowthRate)^(YEARFRAC(DATE(2022,6,30),in_AgeToDate)*IF(in_AgeToDate&lt;DATE(2022,6,30),-1,1)+1))</f>
        <v/>
      </c>
      <c r="S443" s="38" t="n">
        <v>0.3279765641347562</v>
      </c>
      <c r="T443" s="43">
        <f>HYPERLINK("https://projects.propublica.org/nonprofits/organizations/510172429/202321359349306162/full","view filing")</f>
        <v/>
      </c>
    </row>
    <row r="444">
      <c r="A444" t="inlineStr">
        <is>
          <t>United Jewish Appeal Federation Of Jewish Philanthropies Of Ny Inc</t>
        </is>
      </c>
      <c r="B444" s="20" t="inlineStr">
        <is>
          <t>NY</t>
        </is>
      </c>
      <c r="C444" s="42" t="n">
        <v>1.54</v>
      </c>
      <c r="D444" t="inlineStr">
        <is>
          <t>Foundation</t>
        </is>
      </c>
      <c r="E444" s="20" t="n">
        <v>2022</v>
      </c>
      <c r="F444" s="20" t="inlineStr"/>
      <c r="G444" t="inlineStr">
        <is>
          <t>Elliot Hasdan</t>
        </is>
      </c>
      <c r="H444" t="inlineStr">
        <is>
          <t>DIRECTOR, INVESTMENTS</t>
        </is>
      </c>
      <c r="I444" t="inlineStr">
        <is>
          <t>Director of Investments</t>
        </is>
      </c>
      <c r="J444" s="21" t="n">
        <v>232747</v>
      </c>
      <c r="K444" s="21" t="n">
        <v>118395</v>
      </c>
      <c r="L444" s="21" t="n">
        <v>351142</v>
      </c>
      <c r="M444" s="21" t="n">
        <v>144</v>
      </c>
      <c r="N444" s="21" t="n">
        <v>8700</v>
      </c>
      <c r="O444" s="21" t="n">
        <v>42837</v>
      </c>
      <c r="P444" s="21" t="n">
        <v>402823</v>
      </c>
      <c r="Q444" s="21" t="n">
        <v>402823</v>
      </c>
      <c r="R444" s="21">
        <f>IF(Q444="","",Q444*(1+in_GrowthRate)^(YEARFRAC(DATE(2022,6,30),in_AgeToDate)*IF(in_AgeToDate&lt;DATE(2022,6,30),-1,1)+1))</f>
        <v/>
      </c>
      <c r="S444" s="38" t="n">
        <v>0.5086853965894297</v>
      </c>
      <c r="T444" s="43">
        <f>HYPERLINK("https://projects.propublica.org/nonprofits/organizations/510172429/202321359349306162/full","view filing")</f>
        <v/>
      </c>
    </row>
    <row r="445">
      <c r="A445" t="inlineStr">
        <is>
          <t>University Of Arkansas Foundation Inc</t>
        </is>
      </c>
      <c r="B445" s="20" t="inlineStr">
        <is>
          <t>AR</t>
        </is>
      </c>
      <c r="C445" s="42" t="n">
        <v>2.56</v>
      </c>
      <c r="D445" t="inlineStr">
        <is>
          <t>Endowment</t>
        </is>
      </c>
      <c r="E445" s="20" t="n">
        <v>2025</v>
      </c>
      <c r="F445" s="20">
        <f>IF(AND(OR(in_Mode="All Funds",AND(C445&gt;=in_BandFloor,C445&lt;=in_BandCeiling,OR(in_Geography="National",COUNTIFS(lst_GeoPreset,in_Geography,lst_GeoState,B445)&gt;0,AND(in_Geography="Custom",ISNUMBER(SEARCH(B445,SUBSTITUTE(in_CustomStates," ",""))))),OR(AND(D445="Endowment",Inputs!$B$14="Y"),AND(D445="Foundation",Inputs!$B$15="Y"),AND(D445="Healthcare",Inputs!$B$16="Y"),AND(D445="Pension",Inputs!$B$17="Y"),AND(D445="OCIO",Inputs!$B$18="Y"),AND(D445="Other",Inputs!$B$19="Y")))),A445&lt;&gt;in_ClientOrg,NOT(AND(in_ExclHarvard="Y",ISNUMBER(SEARCH("Harvard",A445))))),"Y","")</f>
        <v/>
      </c>
      <c r="G445" t="inlineStr">
        <is>
          <t>Ms Vickie Ferguson</t>
        </is>
      </c>
      <c r="H445" t="inlineStr">
        <is>
          <t>VICE PRESIDENT/DIR. OF INVESTMENTS</t>
        </is>
      </c>
      <c r="I445" t="inlineStr">
        <is>
          <t>Director of Investments</t>
        </is>
      </c>
      <c r="J445" s="21" t="n">
        <v>226202</v>
      </c>
      <c r="K445" s="21" t="n"/>
      <c r="L445" s="21" t="n">
        <v>226202</v>
      </c>
      <c r="M445" s="21" t="n"/>
      <c r="N445" s="21" t="n">
        <v>22645</v>
      </c>
      <c r="O445" s="21" t="n">
        <v>192</v>
      </c>
      <c r="P445" s="21" t="n">
        <v>249039</v>
      </c>
      <c r="Q445" s="21" t="n">
        <v>249039</v>
      </c>
      <c r="R445" s="21">
        <f>IF(Q445="","",Q445*(1+in_GrowthRate)^(YEARFRAC(DATE(2025,6,30),in_AgeToDate)*IF(in_AgeToDate&lt;DATE(2025,6,30),-1,1)+1))</f>
        <v/>
      </c>
      <c r="S445" s="38" t="n">
        <v>0</v>
      </c>
      <c r="T445" s="43">
        <f>HYPERLINK("https://projects.propublica.org/nonprofits/organizations/716056774/202601279349303980/full","view filing")</f>
        <v/>
      </c>
    </row>
    <row r="446">
      <c r="A446" t="inlineStr">
        <is>
          <t>University Of Arkansas Foundation Inc</t>
        </is>
      </c>
      <c r="B446" s="20" t="inlineStr">
        <is>
          <t>AR</t>
        </is>
      </c>
      <c r="C446" s="42" t="n">
        <v>2.56</v>
      </c>
      <c r="D446" t="inlineStr">
        <is>
          <t>Endowment</t>
        </is>
      </c>
      <c r="E446" s="20" t="n">
        <v>2024</v>
      </c>
      <c r="F446" s="20" t="inlineStr"/>
      <c r="G446" t="inlineStr">
        <is>
          <t>Ms Vickie Ferguson</t>
        </is>
      </c>
      <c r="H446" t="inlineStr">
        <is>
          <t>VICE PRESIDENT/DIR. OF INVESTMENTS</t>
        </is>
      </c>
      <c r="I446" t="inlineStr">
        <is>
          <t>Director of Investments</t>
        </is>
      </c>
      <c r="J446" s="21" t="n">
        <v>214469</v>
      </c>
      <c r="K446" s="21" t="n"/>
      <c r="L446" s="21" t="n">
        <v>214469</v>
      </c>
      <c r="M446" s="21" t="n"/>
      <c r="N446" s="21" t="n">
        <v>21592</v>
      </c>
      <c r="O446" s="21" t="n">
        <v>1392</v>
      </c>
      <c r="P446" s="21" t="n">
        <v>237453</v>
      </c>
      <c r="Q446" s="21" t="n">
        <v>237453</v>
      </c>
      <c r="R446" s="21">
        <f>IF(Q446="","",Q446*(1+in_GrowthRate)^(YEARFRAC(DATE(2024,6,30),in_AgeToDate)*IF(in_AgeToDate&lt;DATE(2024,6,30),-1,1)+1))</f>
        <v/>
      </c>
      <c r="S446" s="38" t="n">
        <v>0</v>
      </c>
      <c r="T446" s="43">
        <f>HYPERLINK("https://projects.propublica.org/nonprofits/organizations/716056774/202541289349300534/full","view filing")</f>
        <v/>
      </c>
    </row>
    <row r="447">
      <c r="A447" t="inlineStr">
        <is>
          <t>University Of Arkansas Foundation Inc</t>
        </is>
      </c>
      <c r="B447" s="20" t="inlineStr">
        <is>
          <t>AR</t>
        </is>
      </c>
      <c r="C447" s="42" t="n">
        <v>2.56</v>
      </c>
      <c r="D447" t="inlineStr">
        <is>
          <t>Endowment</t>
        </is>
      </c>
      <c r="E447" s="20" t="n">
        <v>2023</v>
      </c>
      <c r="F447" s="20" t="inlineStr"/>
      <c r="G447" t="inlineStr">
        <is>
          <t>Ms Vickie Ferguson</t>
        </is>
      </c>
      <c r="H447" t="inlineStr">
        <is>
          <t>VICE PRESIDENT/DIR. OF INVESTMENTS</t>
        </is>
      </c>
      <c r="I447" t="inlineStr">
        <is>
          <t>Director of Investments</t>
        </is>
      </c>
      <c r="J447" s="21" t="n">
        <v>201813</v>
      </c>
      <c r="K447" s="21" t="n"/>
      <c r="L447" s="21" t="n">
        <v>201813</v>
      </c>
      <c r="M447" s="21" t="n"/>
      <c r="N447" s="21" t="n">
        <v>20326</v>
      </c>
      <c r="O447" s="21" t="n">
        <v>1392</v>
      </c>
      <c r="P447" s="21" t="n">
        <v>223531</v>
      </c>
      <c r="Q447" s="21" t="n">
        <v>223531</v>
      </c>
      <c r="R447" s="21">
        <f>IF(Q447="","",Q447*(1+in_GrowthRate)^(YEARFRAC(DATE(2023,6,30),in_AgeToDate)*IF(in_AgeToDate&lt;DATE(2023,6,30),-1,1)+1))</f>
        <v/>
      </c>
      <c r="S447" s="38" t="n">
        <v>0</v>
      </c>
      <c r="T447" s="43">
        <f>HYPERLINK("https://projects.propublica.org/nonprofits/organizations/716056774/202401309349304325/full","view filing")</f>
        <v/>
      </c>
    </row>
    <row r="448">
      <c r="A448" t="inlineStr">
        <is>
          <t>University Of Arkansas Foundation Inc</t>
        </is>
      </c>
      <c r="B448" s="20" t="inlineStr">
        <is>
          <t>AR</t>
        </is>
      </c>
      <c r="C448" s="42" t="n">
        <v>2.56</v>
      </c>
      <c r="D448" t="inlineStr">
        <is>
          <t>Endowment</t>
        </is>
      </c>
      <c r="E448" s="20" t="n">
        <v>2022</v>
      </c>
      <c r="F448" s="20" t="inlineStr"/>
      <c r="G448" t="inlineStr">
        <is>
          <t>Ms Vickie Ferguson</t>
        </is>
      </c>
      <c r="H448" t="inlineStr">
        <is>
          <t>VICE PRESIDENT/DIR. OF INVESTMENTS</t>
        </is>
      </c>
      <c r="I448" t="inlineStr">
        <is>
          <t>Director of Investments</t>
        </is>
      </c>
      <c r="J448" s="21" t="n">
        <v>203418</v>
      </c>
      <c r="K448" s="21" t="n"/>
      <c r="L448" s="21" t="n">
        <v>203418</v>
      </c>
      <c r="M448" s="21" t="n"/>
      <c r="N448" s="21" t="n">
        <v>20368</v>
      </c>
      <c r="O448" s="21" t="n">
        <v>192</v>
      </c>
      <c r="P448" s="21" t="n">
        <v>223978</v>
      </c>
      <c r="Q448" s="21" t="n">
        <v>223978</v>
      </c>
      <c r="R448" s="21">
        <f>IF(Q448="","",Q448*(1+in_GrowthRate)^(YEARFRAC(DATE(2022,6,30),in_AgeToDate)*IF(in_AgeToDate&lt;DATE(2022,6,30),-1,1)+1))</f>
        <v/>
      </c>
      <c r="S448" s="38" t="n">
        <v>0</v>
      </c>
      <c r="T448" s="43">
        <f>HYPERLINK("https://projects.propublica.org/nonprofits/organizations/716056774/202331249349301633/full","view filing")</f>
        <v/>
      </c>
    </row>
    <row r="449">
      <c r="A449" t="inlineStr">
        <is>
          <t>University Of Florida Investment Corporation</t>
        </is>
      </c>
      <c r="B449" s="20" t="inlineStr">
        <is>
          <t>FL</t>
        </is>
      </c>
      <c r="C449" s="42" t="n">
        <v>2.45</v>
      </c>
      <c r="D449" t="inlineStr">
        <is>
          <t>Endowment</t>
        </is>
      </c>
      <c r="E449" s="20" t="n">
        <v>2025</v>
      </c>
      <c r="F449" s="20">
        <f>IF(AND(OR(in_Mode="All Funds",AND(C449&gt;=in_BandFloor,C449&lt;=in_BandCeiling,OR(in_Geography="National",COUNTIFS(lst_GeoPreset,in_Geography,lst_GeoState,B449)&gt;0,AND(in_Geography="Custom",ISNUMBER(SEARCH(B449,SUBSTITUTE(in_CustomStates," ",""))))),OR(AND(D449="Endowment",Inputs!$B$14="Y"),AND(D449="Foundation",Inputs!$B$15="Y"),AND(D449="Healthcare",Inputs!$B$16="Y"),AND(D449="Pension",Inputs!$B$17="Y"),AND(D449="OCIO",Inputs!$B$18="Y"),AND(D449="Other",Inputs!$B$19="Y")))),A449&lt;&gt;in_ClientOrg,NOT(AND(in_ExclHarvard="Y",ISNUMBER(SEARCH("Harvard",A449))))),"Y","")</f>
        <v/>
      </c>
      <c r="G449" t="inlineStr">
        <is>
          <t>Jeffrey Furst</t>
        </is>
      </c>
      <c r="H449" t="inlineStr">
        <is>
          <t>INVESTMENT DIRECTOR</t>
        </is>
      </c>
      <c r="I449" t="inlineStr">
        <is>
          <t>Director of Investments</t>
        </is>
      </c>
      <c r="J449" s="21" t="n">
        <v>264562</v>
      </c>
      <c r="K449" s="21" t="n">
        <v>170870</v>
      </c>
      <c r="L449" s="21" t="n">
        <v>435432</v>
      </c>
      <c r="M449" s="21" t="n">
        <v>768</v>
      </c>
      <c r="N449" s="21" t="n">
        <v>70593</v>
      </c>
      <c r="O449" s="21" t="n">
        <v>21963</v>
      </c>
      <c r="P449" s="21" t="n">
        <v>528756</v>
      </c>
      <c r="Q449" s="21" t="n">
        <v>528756</v>
      </c>
      <c r="R449" s="21">
        <f>IF(Q449="","",Q449*(1+in_GrowthRate)^(YEARFRAC(DATE(2025,6,30),in_AgeToDate)*IF(in_AgeToDate&lt;DATE(2025,6,30),-1,1)+1))</f>
        <v/>
      </c>
      <c r="S449" s="38" t="n">
        <v>0.6458599496526334</v>
      </c>
      <c r="T449" s="43">
        <f>HYPERLINK("https://projects.propublica.org/nonprofits/organizations/201226494/202610979349301311/full","view filing")</f>
        <v/>
      </c>
    </row>
    <row r="450">
      <c r="A450" t="inlineStr">
        <is>
          <t>University Of Florida Investment Corporation</t>
        </is>
      </c>
      <c r="B450" s="20" t="inlineStr">
        <is>
          <t>FL</t>
        </is>
      </c>
      <c r="C450" s="42" t="n">
        <v>2.45</v>
      </c>
      <c r="D450" t="inlineStr">
        <is>
          <t>Endowment</t>
        </is>
      </c>
      <c r="E450" s="20" t="n">
        <v>2025</v>
      </c>
      <c r="F450" s="20">
        <f>IF(AND(OR(in_Mode="All Funds",AND(C450&gt;=in_BandFloor,C450&lt;=in_BandCeiling,OR(in_Geography="National",COUNTIFS(lst_GeoPreset,in_Geography,lst_GeoState,B450)&gt;0,AND(in_Geography="Custom",ISNUMBER(SEARCH(B450,SUBSTITUTE(in_CustomStates," ",""))))),OR(AND(D450="Endowment",Inputs!$B$14="Y"),AND(D450="Foundation",Inputs!$B$15="Y"),AND(D450="Healthcare",Inputs!$B$16="Y"),AND(D450="Pension",Inputs!$B$17="Y"),AND(D450="OCIO",Inputs!$B$18="Y"),AND(D450="Other",Inputs!$B$19="Y")))),A450&lt;&gt;in_ClientOrg,NOT(AND(in_ExclHarvard="Y",ISNUMBER(SEARCH("Harvard",A450))))),"Y","")</f>
        <v/>
      </c>
      <c r="G450" t="inlineStr">
        <is>
          <t>William C Twible</t>
        </is>
      </c>
      <c r="H450" t="inlineStr">
        <is>
          <t>INVESTMENT DIRECTOR</t>
        </is>
      </c>
      <c r="I450" t="inlineStr">
        <is>
          <t>Director of Investments</t>
        </is>
      </c>
      <c r="J450" s="21" t="n">
        <v>267906</v>
      </c>
      <c r="K450" s="21" t="n">
        <v>170870</v>
      </c>
      <c r="L450" s="21" t="n">
        <v>438776</v>
      </c>
      <c r="M450" s="21" t="n">
        <v>618</v>
      </c>
      <c r="N450" s="21" t="n">
        <v>70593</v>
      </c>
      <c r="O450" s="21" t="n">
        <v>21963</v>
      </c>
      <c r="P450" s="21" t="n">
        <v>531950</v>
      </c>
      <c r="Q450" s="21" t="n">
        <v>531950</v>
      </c>
      <c r="R450" s="21">
        <f>IF(Q450="","",Q450*(1+in_GrowthRate)^(YEARFRAC(DATE(2025,6,30),in_AgeToDate)*IF(in_AgeToDate&lt;DATE(2025,6,30),-1,1)+1))</f>
        <v/>
      </c>
      <c r="S450" s="38" t="n">
        <v>0.6377983322508641</v>
      </c>
      <c r="T450" s="43">
        <f>HYPERLINK("https://projects.propublica.org/nonprofits/organizations/201226494/202610979349301311/full","view filing")</f>
        <v/>
      </c>
    </row>
    <row r="451">
      <c r="A451" t="inlineStr">
        <is>
          <t>University Of Florida Investment Corporation</t>
        </is>
      </c>
      <c r="B451" s="20" t="inlineStr">
        <is>
          <t>FL</t>
        </is>
      </c>
      <c r="C451" s="42" t="n">
        <v>2.45</v>
      </c>
      <c r="D451" t="inlineStr">
        <is>
          <t>Endowment</t>
        </is>
      </c>
      <c r="E451" s="20" t="n">
        <v>2024</v>
      </c>
      <c r="F451" s="20" t="inlineStr"/>
      <c r="G451" t="inlineStr">
        <is>
          <t>Jeffrey Furst</t>
        </is>
      </c>
      <c r="H451" t="inlineStr">
        <is>
          <t>INVESTMENT DIRECTOR</t>
        </is>
      </c>
      <c r="I451" t="inlineStr">
        <is>
          <t>Director of Investments</t>
        </is>
      </c>
      <c r="J451" s="21" t="n">
        <v>254270</v>
      </c>
      <c r="K451" s="21" t="n">
        <v>200418</v>
      </c>
      <c r="L451" s="21" t="n">
        <v>454688</v>
      </c>
      <c r="M451" s="21" t="n">
        <v>618</v>
      </c>
      <c r="N451" s="21" t="n">
        <v>85288</v>
      </c>
      <c r="O451" s="21" t="n">
        <v>21271</v>
      </c>
      <c r="P451" s="21" t="n">
        <v>561865</v>
      </c>
      <c r="Q451" s="21" t="n">
        <v>561865</v>
      </c>
      <c r="R451" s="21">
        <f>IF(Q451="","",Q451*(1+in_GrowthRate)^(YEARFRAC(DATE(2024,6,30),in_AgeToDate)*IF(in_AgeToDate&lt;DATE(2024,6,30),-1,1)+1))</f>
        <v/>
      </c>
      <c r="S451" s="38" t="n">
        <v>0.7882093837259606</v>
      </c>
      <c r="T451" s="43">
        <f>HYPERLINK("https://projects.propublica.org/nonprofits/organizations/201226494/202531269349300703/full","view filing")</f>
        <v/>
      </c>
    </row>
    <row r="452">
      <c r="A452" t="inlineStr">
        <is>
          <t>University Of Florida Investment Corporation</t>
        </is>
      </c>
      <c r="B452" s="20" t="inlineStr">
        <is>
          <t>FL</t>
        </is>
      </c>
      <c r="C452" s="42" t="n">
        <v>2.45</v>
      </c>
      <c r="D452" t="inlineStr">
        <is>
          <t>Endowment</t>
        </is>
      </c>
      <c r="E452" s="20" t="n">
        <v>2024</v>
      </c>
      <c r="F452" s="20" t="inlineStr"/>
      <c r="G452" t="inlineStr">
        <is>
          <t>William C Twible</t>
        </is>
      </c>
      <c r="H452" t="inlineStr">
        <is>
          <t>INVESTMENT DIRECTOR</t>
        </is>
      </c>
      <c r="I452" t="inlineStr">
        <is>
          <t>Director of Investments</t>
        </is>
      </c>
      <c r="J452" s="21" t="n">
        <v>259284</v>
      </c>
      <c r="K452" s="21" t="n">
        <v>196740</v>
      </c>
      <c r="L452" s="21" t="n">
        <v>456024</v>
      </c>
      <c r="M452" s="21" t="n">
        <v>618</v>
      </c>
      <c r="N452" s="21" t="n">
        <v>85288</v>
      </c>
      <c r="O452" s="21" t="n">
        <v>7413</v>
      </c>
      <c r="P452" s="21" t="n">
        <v>549343</v>
      </c>
      <c r="Q452" s="21" t="n">
        <v>549343</v>
      </c>
      <c r="R452" s="21">
        <f>IF(Q452="","",Q452*(1+in_GrowthRate)^(YEARFRAC(DATE(2024,6,30),in_AgeToDate)*IF(in_AgeToDate&lt;DATE(2024,6,30),-1,1)+1))</f>
        <v/>
      </c>
      <c r="S452" s="38" t="n">
        <v>0.7587818762438099</v>
      </c>
      <c r="T452" s="43">
        <f>HYPERLINK("https://projects.propublica.org/nonprofits/organizations/201226494/202531269349300703/full","view filing")</f>
        <v/>
      </c>
    </row>
    <row r="453">
      <c r="A453" t="inlineStr">
        <is>
          <t>University Of Florida Investment Corporation</t>
        </is>
      </c>
      <c r="B453" s="20" t="inlineStr">
        <is>
          <t>FL</t>
        </is>
      </c>
      <c r="C453" s="42" t="n">
        <v>2.45</v>
      </c>
      <c r="D453" t="inlineStr">
        <is>
          <t>Endowment</t>
        </is>
      </c>
      <c r="E453" s="20" t="n">
        <v>2023</v>
      </c>
      <c r="F453" s="20" t="inlineStr"/>
      <c r="G453" t="inlineStr">
        <is>
          <t>Jeffrey Furst</t>
        </is>
      </c>
      <c r="H453" t="inlineStr">
        <is>
          <t>INVESTMENT DIRECTOR</t>
        </is>
      </c>
      <c r="I453" t="inlineStr">
        <is>
          <t>Director of Investments</t>
        </is>
      </c>
      <c r="J453" s="21" t="n">
        <v>249679</v>
      </c>
      <c r="K453" s="21" t="n">
        <v>243249</v>
      </c>
      <c r="L453" s="21" t="n">
        <v>492928</v>
      </c>
      <c r="M453" s="21" t="n">
        <v>618</v>
      </c>
      <c r="N453" s="21" t="n">
        <v>95435</v>
      </c>
      <c r="O453" s="21" t="n">
        <v>19741</v>
      </c>
      <c r="P453" s="21" t="n">
        <v>608722</v>
      </c>
      <c r="Q453" s="21" t="n">
        <v>608722</v>
      </c>
      <c r="R453" s="21">
        <f>IF(Q453="","",Q453*(1+in_GrowthRate)^(YEARFRAC(DATE(2023,6,30),in_AgeToDate)*IF(in_AgeToDate&lt;DATE(2023,6,30),-1,1)+1))</f>
        <v/>
      </c>
      <c r="S453" s="38" t="n">
        <v>0.9742469330620517</v>
      </c>
      <c r="T453" s="43">
        <f>HYPERLINK("https://projects.propublica.org/nonprofits/organizations/201226494/202411289349300746/full","view filing")</f>
        <v/>
      </c>
    </row>
    <row r="454">
      <c r="A454" t="inlineStr">
        <is>
          <t>University Of Florida Investment Corporation</t>
        </is>
      </c>
      <c r="B454" s="20" t="inlineStr">
        <is>
          <t>FL</t>
        </is>
      </c>
      <c r="C454" s="42" t="n">
        <v>2.45</v>
      </c>
      <c r="D454" t="inlineStr">
        <is>
          <t>Endowment</t>
        </is>
      </c>
      <c r="E454" s="20" t="n">
        <v>2023</v>
      </c>
      <c r="F454" s="20" t="inlineStr"/>
      <c r="G454" t="inlineStr">
        <is>
          <t>William C Twible</t>
        </is>
      </c>
      <c r="H454" t="inlineStr">
        <is>
          <t>INVESTMENT DIRECTOR</t>
        </is>
      </c>
      <c r="I454" t="inlineStr">
        <is>
          <t>Director of Investments</t>
        </is>
      </c>
      <c r="J454" s="21" t="n">
        <v>254316</v>
      </c>
      <c r="K454" s="21" t="n">
        <v>243249</v>
      </c>
      <c r="L454" s="21" t="n">
        <v>497565</v>
      </c>
      <c r="M454" s="21" t="n">
        <v>618</v>
      </c>
      <c r="N454" s="21" t="n">
        <v>95435</v>
      </c>
      <c r="O454" s="21" t="n">
        <v>6901</v>
      </c>
      <c r="P454" s="21" t="n">
        <v>600519</v>
      </c>
      <c r="Q454" s="21" t="n">
        <v>600519</v>
      </c>
      <c r="R454" s="21">
        <f>IF(Q454="","",Q454*(1+in_GrowthRate)^(YEARFRAC(DATE(2023,6,30),in_AgeToDate)*IF(in_AgeToDate&lt;DATE(2023,6,30),-1,1)+1))</f>
        <v/>
      </c>
      <c r="S454" s="38" t="n">
        <v>0.9564832727787477</v>
      </c>
      <c r="T454" s="43">
        <f>HYPERLINK("https://projects.propublica.org/nonprofits/organizations/201226494/202411289349300746/full","view filing")</f>
        <v/>
      </c>
    </row>
    <row r="455">
      <c r="A455" t="inlineStr">
        <is>
          <t>University Of Florida Investment Corporation</t>
        </is>
      </c>
      <c r="B455" s="20" t="inlineStr">
        <is>
          <t>FL</t>
        </is>
      </c>
      <c r="C455" s="42" t="n">
        <v>2.45</v>
      </c>
      <c r="D455" t="inlineStr">
        <is>
          <t>Endowment</t>
        </is>
      </c>
      <c r="E455" s="20" t="n">
        <v>2022</v>
      </c>
      <c r="F455" s="20" t="inlineStr"/>
      <c r="G455" t="inlineStr">
        <is>
          <t>Jeffrey Furst</t>
        </is>
      </c>
      <c r="H455" t="inlineStr">
        <is>
          <t>INVESTMENT DIRECTOR</t>
        </is>
      </c>
      <c r="I455" t="inlineStr">
        <is>
          <t>Director of Investments</t>
        </is>
      </c>
      <c r="J455" s="21" t="n">
        <v>252655</v>
      </c>
      <c r="K455" s="21" t="n">
        <v>225015</v>
      </c>
      <c r="L455" s="21" t="n">
        <v>477670</v>
      </c>
      <c r="M455" s="21" t="n">
        <v>618</v>
      </c>
      <c r="N455" s="21" t="n">
        <v>91076</v>
      </c>
      <c r="O455" s="21" t="n">
        <v>18815</v>
      </c>
      <c r="P455" s="21" t="n">
        <v>588179</v>
      </c>
      <c r="Q455" s="21" t="n">
        <v>588179</v>
      </c>
      <c r="R455" s="21">
        <f>IF(Q455="","",Q455*(1+in_GrowthRate)^(YEARFRAC(DATE(2022,6,30),in_AgeToDate)*IF(in_AgeToDate&lt;DATE(2022,6,30),-1,1)+1))</f>
        <v/>
      </c>
      <c r="S455" s="38" t="n">
        <v>0.8906018087906433</v>
      </c>
      <c r="T455" s="43">
        <f>HYPERLINK("https://projects.propublica.org/nonprofits/organizations/201226494/202301259349301825/full","view filing")</f>
        <v/>
      </c>
    </row>
    <row r="456">
      <c r="A456" t="inlineStr">
        <is>
          <t>University Of Florida Investment Corporation</t>
        </is>
      </c>
      <c r="B456" s="20" t="inlineStr">
        <is>
          <t>FL</t>
        </is>
      </c>
      <c r="C456" s="42" t="n">
        <v>2.45</v>
      </c>
      <c r="D456" t="inlineStr">
        <is>
          <t>Endowment</t>
        </is>
      </c>
      <c r="E456" s="20" t="n">
        <v>2022</v>
      </c>
      <c r="F456" s="20" t="inlineStr"/>
      <c r="G456" t="inlineStr">
        <is>
          <t>William Twible</t>
        </is>
      </c>
      <c r="H456" t="inlineStr">
        <is>
          <t>INVESTMENT DIRECTOR</t>
        </is>
      </c>
      <c r="I456" t="inlineStr">
        <is>
          <t>Director of Investments</t>
        </is>
      </c>
      <c r="J456" s="21" t="n">
        <v>254388</v>
      </c>
      <c r="K456" s="21" t="n">
        <v>225015</v>
      </c>
      <c r="L456" s="21" t="n">
        <v>479403</v>
      </c>
      <c r="M456" s="21" t="n">
        <v>588</v>
      </c>
      <c r="N456" s="21" t="n">
        <v>91076</v>
      </c>
      <c r="O456" s="21" t="n">
        <v>6632</v>
      </c>
      <c r="P456" s="21" t="n">
        <v>577699</v>
      </c>
      <c r="Q456" s="21" t="n">
        <v>577699</v>
      </c>
      <c r="R456" s="21">
        <f>IF(Q456="","",Q456*(1+in_GrowthRate)^(YEARFRAC(DATE(2022,6,30),in_AgeToDate)*IF(in_AgeToDate&lt;DATE(2022,6,30),-1,1)+1))</f>
        <v/>
      </c>
      <c r="S456" s="38" t="n">
        <v>0.8845346478607482</v>
      </c>
      <c r="T456" s="43">
        <f>HYPERLINK("https://projects.propublica.org/nonprofits/organizations/201226494/202301259349301825/full","view filing")</f>
        <v/>
      </c>
    </row>
    <row r="457">
      <c r="A457" t="inlineStr">
        <is>
          <t>University Of Maryland Foundation Inc</t>
        </is>
      </c>
      <c r="B457" s="20" t="inlineStr">
        <is>
          <t>MD</t>
        </is>
      </c>
      <c r="C457" s="42" t="n">
        <v>2.46</v>
      </c>
      <c r="D457" t="inlineStr">
        <is>
          <t>Endowment</t>
        </is>
      </c>
      <c r="E457" s="20" t="n">
        <v>2025</v>
      </c>
      <c r="F457" s="20">
        <f>IF(AND(OR(in_Mode="All Funds",AND(C457&gt;=in_BandFloor,C457&lt;=in_BandCeiling,OR(in_Geography="National",COUNTIFS(lst_GeoPreset,in_Geography,lst_GeoState,B457)&gt;0,AND(in_Geography="Custom",ISNUMBER(SEARCH(B457,SUBSTITUTE(in_CustomStates," ",""))))),OR(AND(D457="Endowment",Inputs!$B$14="Y"),AND(D457="Foundation",Inputs!$B$15="Y"),AND(D457="Healthcare",Inputs!$B$16="Y"),AND(D457="Pension",Inputs!$B$17="Y"),AND(D457="OCIO",Inputs!$B$18="Y"),AND(D457="Other",Inputs!$B$19="Y")))),A457&lt;&gt;in_ClientOrg,NOT(AND(in_ExclHarvard="Y",ISNUMBER(SEARCH("Harvard",A457))))),"Y","")</f>
        <v/>
      </c>
      <c r="G457" t="inlineStr">
        <is>
          <t>Chris Ingram</t>
        </is>
      </c>
      <c r="H457" t="inlineStr">
        <is>
          <t>Senior Sustainability &amp; Public Markets Analyst</t>
        </is>
      </c>
      <c r="I457" t="inlineStr">
        <is>
          <t>Investment Manager</t>
        </is>
      </c>
      <c r="J457" s="21" t="n">
        <v>255673</v>
      </c>
      <c r="K457" s="21" t="n">
        <v>193125</v>
      </c>
      <c r="L457" s="21" t="n">
        <v>448798</v>
      </c>
      <c r="M457" s="21" t="n"/>
      <c r="N457" s="21" t="n">
        <v>25375</v>
      </c>
      <c r="O457" s="21" t="n">
        <v>18087</v>
      </c>
      <c r="P457" s="21" t="n">
        <v>492260</v>
      </c>
      <c r="Q457" s="21" t="n">
        <v>492260</v>
      </c>
      <c r="R457" s="21">
        <f>IF(Q457="","",Q457*(1+in_GrowthRate)^(YEARFRAC(DATE(2025,6,30),in_AgeToDate)*IF(in_AgeToDate&lt;DATE(2025,6,30),-1,1)+1))</f>
        <v/>
      </c>
      <c r="S457" s="38" t="n">
        <v>0.7553593848392283</v>
      </c>
      <c r="T457" s="43">
        <f>HYPERLINK("https://projects.propublica.org/nonprofits/organizations/521125663/202631349349308193/full","view filing")</f>
        <v/>
      </c>
    </row>
    <row r="458">
      <c r="A458" t="inlineStr">
        <is>
          <t>University Of Maryland Foundation Inc</t>
        </is>
      </c>
      <c r="B458" s="20" t="inlineStr">
        <is>
          <t>MD</t>
        </is>
      </c>
      <c r="C458" s="42" t="n">
        <v>2.46</v>
      </c>
      <c r="D458" t="inlineStr">
        <is>
          <t>Endowment</t>
        </is>
      </c>
      <c r="E458" s="20" t="n">
        <v>2025</v>
      </c>
      <c r="F458" s="20">
        <f>IF(AND(OR(in_Mode="All Funds",AND(C458&gt;=in_BandFloor,C458&lt;=in_BandCeiling,OR(in_Geography="National",COUNTIFS(lst_GeoPreset,in_Geography,lst_GeoState,B458)&gt;0,AND(in_Geography="Custom",ISNUMBER(SEARCH(B458,SUBSTITUTE(in_CustomStates," ",""))))),OR(AND(D458="Endowment",Inputs!$B$14="Y"),AND(D458="Foundation",Inputs!$B$15="Y"),AND(D458="Healthcare",Inputs!$B$16="Y"),AND(D458="Pension",Inputs!$B$17="Y"),AND(D458="OCIO",Inputs!$B$18="Y"),AND(D458="Other",Inputs!$B$19="Y")))),A458&lt;&gt;in_ClientOrg,NOT(AND(in_ExclHarvard="Y",ISNUMBER(SEARCH("Harvard",A458))))),"Y","")</f>
        <v/>
      </c>
      <c r="G458" t="inlineStr">
        <is>
          <t>Michal Pramik</t>
        </is>
      </c>
      <c r="H458" t="inlineStr">
        <is>
          <t>Director of Private Markets</t>
        </is>
      </c>
      <c r="I458" t="inlineStr">
        <is>
          <t>Investment Manager</t>
        </is>
      </c>
      <c r="J458" s="21" t="n">
        <v>256768</v>
      </c>
      <c r="K458" s="21" t="n">
        <v>100000</v>
      </c>
      <c r="L458" s="21" t="n">
        <v>356768</v>
      </c>
      <c r="M458" s="21" t="n"/>
      <c r="N458" s="21" t="n">
        <v>25375</v>
      </c>
      <c r="O458" s="21" t="n">
        <v>3025</v>
      </c>
      <c r="P458" s="21" t="n">
        <v>385168</v>
      </c>
      <c r="Q458" s="21" t="n">
        <v>385168</v>
      </c>
      <c r="R458" s="21">
        <f>IF(Q458="","",Q458*(1+in_GrowthRate)^(YEARFRAC(DATE(2025,6,30),in_AgeToDate)*IF(in_AgeToDate&lt;DATE(2025,6,30),-1,1)+1))</f>
        <v/>
      </c>
      <c r="S458" s="38" t="n">
        <v>0.389456630109671</v>
      </c>
      <c r="T458" s="43">
        <f>HYPERLINK("https://projects.propublica.org/nonprofits/organizations/521125663/202631349349308193/full","view filing")</f>
        <v/>
      </c>
    </row>
    <row r="459">
      <c r="A459" t="inlineStr">
        <is>
          <t>University Of Maryland Foundation Inc</t>
        </is>
      </c>
      <c r="B459" s="20" t="inlineStr">
        <is>
          <t>MD</t>
        </is>
      </c>
      <c r="C459" s="42" t="n">
        <v>2.46</v>
      </c>
      <c r="D459" t="inlineStr">
        <is>
          <t>Endowment</t>
        </is>
      </c>
      <c r="E459" s="20" t="n">
        <v>2024</v>
      </c>
      <c r="F459" s="20" t="inlineStr"/>
      <c r="G459" t="inlineStr">
        <is>
          <t>Chris Ingram</t>
        </is>
      </c>
      <c r="H459" t="inlineStr">
        <is>
          <t>Senior Sustainability &amp; Public Markets Analyst</t>
        </is>
      </c>
      <c r="I459" t="inlineStr">
        <is>
          <t>Investment Manager</t>
        </is>
      </c>
      <c r="J459" s="21" t="n">
        <v>243911</v>
      </c>
      <c r="K459" s="21" t="n">
        <v>187500</v>
      </c>
      <c r="L459" s="21" t="n">
        <v>431411</v>
      </c>
      <c r="M459" s="21" t="n"/>
      <c r="N459" s="21" t="n">
        <v>23925</v>
      </c>
      <c r="O459" s="21" t="n">
        <v>18106</v>
      </c>
      <c r="P459" s="21" t="n">
        <v>473442</v>
      </c>
      <c r="Q459" s="21" t="n">
        <v>473442</v>
      </c>
      <c r="R459" s="21">
        <f>IF(Q459="","",Q459*(1+in_GrowthRate)^(YEARFRAC(DATE(2024,6,30),in_AgeToDate)*IF(in_AgeToDate&lt;DATE(2024,6,30),-1,1)+1))</f>
        <v/>
      </c>
      <c r="S459" s="38" t="n">
        <v>0.7687230178220744</v>
      </c>
      <c r="T459" s="43">
        <f>HYPERLINK("https://projects.propublica.org/nonprofits/organizations/521125663/202531359349304708/full","view filing")</f>
        <v/>
      </c>
    </row>
    <row r="460">
      <c r="A460" t="inlineStr">
        <is>
          <t>University Of Maryland Foundation Inc</t>
        </is>
      </c>
      <c r="B460" s="20" t="inlineStr">
        <is>
          <t>MD</t>
        </is>
      </c>
      <c r="C460" s="42" t="n">
        <v>2.46</v>
      </c>
      <c r="D460" t="inlineStr">
        <is>
          <t>Endowment</t>
        </is>
      </c>
      <c r="E460" s="20" t="n">
        <v>2023</v>
      </c>
      <c r="F460" s="20" t="inlineStr"/>
      <c r="G460" t="inlineStr">
        <is>
          <t>Chris Ingram</t>
        </is>
      </c>
      <c r="H460" t="inlineStr">
        <is>
          <t>Senior Sustainability &amp; Public Markets Analyst</t>
        </is>
      </c>
      <c r="I460" t="inlineStr">
        <is>
          <t>Investment Manager</t>
        </is>
      </c>
      <c r="J460" s="21" t="n">
        <v>215736</v>
      </c>
      <c r="K460" s="21" t="n">
        <v>144500</v>
      </c>
      <c r="L460" s="21" t="n">
        <v>360236</v>
      </c>
      <c r="M460" s="21" t="n"/>
      <c r="N460" s="21" t="n">
        <v>22112</v>
      </c>
      <c r="O460" s="21" t="n">
        <v>20183</v>
      </c>
      <c r="P460" s="21" t="n">
        <v>402531</v>
      </c>
      <c r="Q460" s="21" t="n">
        <v>402531</v>
      </c>
      <c r="R460" s="21">
        <f>IF(Q460="","",Q460*(1+in_GrowthRate)^(YEARFRAC(DATE(2023,6,30),in_AgeToDate)*IF(in_AgeToDate&lt;DATE(2023,6,30),-1,1)+1))</f>
        <v/>
      </c>
      <c r="S460" s="38" t="n">
        <v>0.6698001260800237</v>
      </c>
      <c r="T460" s="43">
        <f>HYPERLINK("https://projects.propublica.org/nonprofits/organizations/521125663/202431369349301763/full","view filing")</f>
        <v/>
      </c>
    </row>
    <row r="461">
      <c r="A461" t="inlineStr">
        <is>
          <t>University Of Maryland Foundation Inc</t>
        </is>
      </c>
      <c r="B461" s="20" t="inlineStr">
        <is>
          <t>MD</t>
        </is>
      </c>
      <c r="C461" s="42" t="n">
        <v>2.46</v>
      </c>
      <c r="D461" t="inlineStr">
        <is>
          <t>Endowment</t>
        </is>
      </c>
      <c r="E461" s="20" t="n">
        <v>2022</v>
      </c>
      <c r="F461" s="20" t="inlineStr"/>
      <c r="G461" t="inlineStr">
        <is>
          <t>Chris Ingram</t>
        </is>
      </c>
      <c r="H461" t="inlineStr">
        <is>
          <t>Senior Sustainability &amp; Public Markets Analyst</t>
        </is>
      </c>
      <c r="I461" t="inlineStr">
        <is>
          <t>Investment Manager</t>
        </is>
      </c>
      <c r="J461" s="21" t="n">
        <v>191157</v>
      </c>
      <c r="K461" s="21" t="n">
        <v>129700</v>
      </c>
      <c r="L461" s="21" t="n">
        <v>320857</v>
      </c>
      <c r="M461" s="21" t="n"/>
      <c r="N461" s="21" t="n">
        <v>21025</v>
      </c>
      <c r="O461" s="21" t="n">
        <v>22910</v>
      </c>
      <c r="P461" s="21" t="n">
        <v>364792</v>
      </c>
      <c r="Q461" s="21" t="n">
        <v>364792</v>
      </c>
      <c r="R461" s="21">
        <f>IF(Q461="","",Q461*(1+in_GrowthRate)^(YEARFRAC(DATE(2022,6,30),in_AgeToDate)*IF(in_AgeToDate&lt;DATE(2022,6,30),-1,1)+1))</f>
        <v/>
      </c>
      <c r="S461" s="38" t="n">
        <v>0.6784998718331006</v>
      </c>
      <c r="T461" s="43">
        <f>HYPERLINK("https://projects.propublica.org/nonprofits/organizations/521125663/202331329349308033/full","view filing")</f>
        <v/>
      </c>
    </row>
    <row r="462">
      <c r="A462" t="inlineStr">
        <is>
          <t>University Of Maryland Foundation Inc</t>
        </is>
      </c>
      <c r="B462" s="20" t="inlineStr">
        <is>
          <t>MD</t>
        </is>
      </c>
      <c r="C462" s="42" t="n">
        <v>2.46</v>
      </c>
      <c r="D462" t="inlineStr">
        <is>
          <t>Endowment</t>
        </is>
      </c>
      <c r="E462" s="20" t="n">
        <v>2022</v>
      </c>
      <c r="F462" s="20" t="inlineStr"/>
      <c r="G462" t="inlineStr">
        <is>
          <t>Sharcus Steen</t>
        </is>
      </c>
      <c r="H462" t="inlineStr">
        <is>
          <t>Director of Investments</t>
        </is>
      </c>
      <c r="I462" t="inlineStr">
        <is>
          <t>Director of Investments</t>
        </is>
      </c>
      <c r="J462" s="21" t="n">
        <v>340945</v>
      </c>
      <c r="K462" s="21" t="n">
        <v>338838</v>
      </c>
      <c r="L462" s="21" t="n">
        <v>679783</v>
      </c>
      <c r="M462" s="21" t="n"/>
      <c r="N462" s="21" t="n">
        <v>21025</v>
      </c>
      <c r="O462" s="21" t="n">
        <v>20289</v>
      </c>
      <c r="P462" s="21" t="n">
        <v>721097</v>
      </c>
      <c r="Q462" s="21" t="n">
        <v>721097</v>
      </c>
      <c r="R462" s="21">
        <f>IF(Q462="","",Q462*(1+in_GrowthRate)^(YEARFRAC(DATE(2022,6,30),in_AgeToDate)*IF(in_AgeToDate&lt;DATE(2022,6,30),-1,1)+1))</f>
        <v/>
      </c>
      <c r="S462" s="38" t="n">
        <v>0.9938201176142779</v>
      </c>
      <c r="T462" s="43">
        <f>HYPERLINK("https://projects.propublica.org/nonprofits/organizations/521125663/202331329349308033/full","view filing")</f>
        <v/>
      </c>
    </row>
    <row r="463">
      <c r="A463" t="inlineStr">
        <is>
          <t>University Of Massachusetts Foundation Inc</t>
        </is>
      </c>
      <c r="B463" s="20" t="inlineStr">
        <is>
          <t>MA</t>
        </is>
      </c>
      <c r="C463" s="42" t="n">
        <v>1.8</v>
      </c>
      <c r="D463" t="inlineStr">
        <is>
          <t>Endowment</t>
        </is>
      </c>
      <c r="E463" s="20" t="n">
        <v>2024</v>
      </c>
      <c r="F463" s="20" t="inlineStr"/>
      <c r="G463" t="inlineStr">
        <is>
          <t>Hsungwen Chang</t>
        </is>
      </c>
      <c r="H463" t="inlineStr">
        <is>
          <t>DIRECTOR OF INVESTMENT</t>
        </is>
      </c>
      <c r="I463" t="inlineStr">
        <is>
          <t>Director of Investments</t>
        </is>
      </c>
      <c r="J463" s="21" t="n">
        <v>231204</v>
      </c>
      <c r="K463" s="21" t="n">
        <v>15625</v>
      </c>
      <c r="L463" s="21" t="n">
        <v>246829</v>
      </c>
      <c r="M463" s="21" t="n"/>
      <c r="N463" s="21" t="n">
        <v>40668</v>
      </c>
      <c r="O463" s="21" t="n">
        <v>31140</v>
      </c>
      <c r="P463" s="21" t="n">
        <v>318637</v>
      </c>
      <c r="Q463" s="21" t="n">
        <v>318637</v>
      </c>
      <c r="R463" s="21">
        <f>IF(Q463="","",Q463*(1+in_GrowthRate)^(YEARFRAC(DATE(2024,6,30),in_AgeToDate)*IF(in_AgeToDate&lt;DATE(2024,6,30),-1,1)+1))</f>
        <v/>
      </c>
      <c r="S463" s="38" t="n">
        <v>0.06758101070915729</v>
      </c>
      <c r="T463" s="43">
        <f>HYPERLINK("https://projects.propublica.org/nonprofits/organizations/46013152/202541359349312684/full","view filing")</f>
        <v/>
      </c>
    </row>
    <row r="464">
      <c r="A464" t="inlineStr">
        <is>
          <t>University Of Minnesota Foundation Investment Advisors</t>
        </is>
      </c>
      <c r="B464" s="20" t="inlineStr">
        <is>
          <t>MN</t>
        </is>
      </c>
      <c r="C464" s="42" t="n">
        <v>5.2</v>
      </c>
      <c r="D464" t="inlineStr">
        <is>
          <t>Endowment</t>
        </is>
      </c>
      <c r="E464" s="20" t="n">
        <v>2025</v>
      </c>
      <c r="F464" s="20">
        <f>IF(AND(OR(in_Mode="All Funds",AND(C464&gt;=in_BandFloor,C464&lt;=in_BandCeiling,OR(in_Geography="National",COUNTIFS(lst_GeoPreset,in_Geography,lst_GeoState,B464)&gt;0,AND(in_Geography="Custom",ISNUMBER(SEARCH(B464,SUBSTITUTE(in_CustomStates," ",""))))),OR(AND(D464="Endowment",Inputs!$B$14="Y"),AND(D464="Foundation",Inputs!$B$15="Y"),AND(D464="Healthcare",Inputs!$B$16="Y"),AND(D464="Pension",Inputs!$B$17="Y"),AND(D464="OCIO",Inputs!$B$18="Y"),AND(D464="Other",Inputs!$B$19="Y")))),A464&lt;&gt;in_ClientOrg,NOT(AND(in_ExclHarvard="Y",ISNUMBER(SEARCH("Harvard",A464))))),"Y","")</f>
        <v/>
      </c>
      <c r="G464" t="inlineStr">
        <is>
          <t>Daniel J Arlandson</t>
        </is>
      </c>
      <c r="H464" t="inlineStr">
        <is>
          <t>INVESTMENT DIRECTOR</t>
        </is>
      </c>
      <c r="I464" t="inlineStr">
        <is>
          <t>Director of Investments</t>
        </is>
      </c>
      <c r="J464" s="21" t="n">
        <v>392638</v>
      </c>
      <c r="K464" s="21" t="n">
        <v>288022</v>
      </c>
      <c r="L464" s="21" t="n">
        <v>680660</v>
      </c>
      <c r="M464" s="21" t="n">
        <v>120</v>
      </c>
      <c r="N464" s="21" t="n">
        <v>41400</v>
      </c>
      <c r="O464" s="21" t="n">
        <v>15541</v>
      </c>
      <c r="P464" s="21" t="n">
        <v>737721</v>
      </c>
      <c r="Q464" s="21" t="n">
        <v>737721</v>
      </c>
      <c r="R464" s="21">
        <f>IF(Q464="","",Q464*(1+in_GrowthRate)^(YEARFRAC(DATE(2025,6,30),in_AgeToDate)*IF(in_AgeToDate&lt;DATE(2025,6,30),-1,1)+1))</f>
        <v/>
      </c>
      <c r="S464" s="38" t="n">
        <v>0.7335561000208843</v>
      </c>
      <c r="T464" s="43">
        <f>HYPERLINK("https://projects.propublica.org/nonprofits/organizations/411931343/202610899349300721/full","view filing")</f>
        <v/>
      </c>
    </row>
    <row r="465">
      <c r="A465" t="inlineStr">
        <is>
          <t>University Of Minnesota Foundation Investment Advisors</t>
        </is>
      </c>
      <c r="B465" s="20" t="inlineStr">
        <is>
          <t>MN</t>
        </is>
      </c>
      <c r="C465" s="42" t="n">
        <v>5.2</v>
      </c>
      <c r="D465" t="inlineStr">
        <is>
          <t>Endowment</t>
        </is>
      </c>
      <c r="E465" s="20" t="n">
        <v>2025</v>
      </c>
      <c r="F465" s="20">
        <f>IF(AND(OR(in_Mode="All Funds",AND(C465&gt;=in_BandFloor,C465&lt;=in_BandCeiling,OR(in_Geography="National",COUNTIFS(lst_GeoPreset,in_Geography,lst_GeoState,B465)&gt;0,AND(in_Geography="Custom",ISNUMBER(SEARCH(B465,SUBSTITUTE(in_CustomStates," ",""))))),OR(AND(D465="Endowment",Inputs!$B$14="Y"),AND(D465="Foundation",Inputs!$B$15="Y"),AND(D465="Healthcare",Inputs!$B$16="Y"),AND(D465="Pension",Inputs!$B$17="Y"),AND(D465="OCIO",Inputs!$B$18="Y"),AND(D465="Other",Inputs!$B$19="Y")))),A465&lt;&gt;in_ClientOrg,NOT(AND(in_ExclHarvard="Y",ISNUMBER(SEARCH("Harvard",A465))))),"Y","")</f>
        <v/>
      </c>
      <c r="G465" t="inlineStr">
        <is>
          <t>Jeffrey M Rodgers</t>
        </is>
      </c>
      <c r="H465" t="inlineStr">
        <is>
          <t>INVESTMENT DIRECTOR</t>
        </is>
      </c>
      <c r="I465" t="inlineStr">
        <is>
          <t>Director of Investments</t>
        </is>
      </c>
      <c r="J465" s="21" t="n">
        <v>393800</v>
      </c>
      <c r="K465" s="21" t="n">
        <v>288022</v>
      </c>
      <c r="L465" s="21" t="n">
        <v>681822</v>
      </c>
      <c r="M465" s="21" t="n">
        <v>80</v>
      </c>
      <c r="N465" s="21" t="n">
        <v>41400</v>
      </c>
      <c r="O465" s="21" t="n">
        <v>30054</v>
      </c>
      <c r="P465" s="21" t="n">
        <v>753356</v>
      </c>
      <c r="Q465" s="21" t="n">
        <v>753356</v>
      </c>
      <c r="R465" s="21">
        <f>IF(Q465="","",Q465*(1+in_GrowthRate)^(YEARFRAC(DATE(2025,6,30),in_AgeToDate)*IF(in_AgeToDate&lt;DATE(2025,6,30),-1,1)+1))</f>
        <v/>
      </c>
      <c r="S465" s="38" t="n">
        <v>0.7313915693245302</v>
      </c>
      <c r="T465" s="43">
        <f>HYPERLINK("https://projects.propublica.org/nonprofits/organizations/411931343/202610899349300721/full","view filing")</f>
        <v/>
      </c>
    </row>
    <row r="466">
      <c r="A466" t="inlineStr">
        <is>
          <t>University Of Minnesota Foundation Investment Advisors</t>
        </is>
      </c>
      <c r="B466" s="20" t="inlineStr">
        <is>
          <t>MN</t>
        </is>
      </c>
      <c r="C466" s="42" t="n">
        <v>5.2</v>
      </c>
      <c r="D466" t="inlineStr">
        <is>
          <t>Endowment</t>
        </is>
      </c>
      <c r="E466" s="20" t="n">
        <v>2024</v>
      </c>
      <c r="F466" s="20" t="inlineStr"/>
      <c r="G466" t="inlineStr">
        <is>
          <t>Daniel J Arlandson</t>
        </is>
      </c>
      <c r="H466" t="inlineStr">
        <is>
          <t>INVESTMENT DIRECTOR</t>
        </is>
      </c>
      <c r="I466" t="inlineStr">
        <is>
          <t>Director of Investments</t>
        </is>
      </c>
      <c r="J466" s="21" t="n">
        <v>351109</v>
      </c>
      <c r="K466" s="21" t="n">
        <v>248836</v>
      </c>
      <c r="L466" s="21" t="n">
        <v>599945</v>
      </c>
      <c r="M466" s="21" t="n">
        <v>90</v>
      </c>
      <c r="N466" s="21" t="n">
        <v>39600</v>
      </c>
      <c r="O466" s="21" t="n">
        <v>3850</v>
      </c>
      <c r="P466" s="21" t="n">
        <v>643485</v>
      </c>
      <c r="Q466" s="21" t="n">
        <v>643485</v>
      </c>
      <c r="R466" s="21">
        <f>IF(Q466="","",Q466*(1+in_GrowthRate)^(YEARFRAC(DATE(2024,6,30),in_AgeToDate)*IF(in_AgeToDate&lt;DATE(2024,6,30),-1,1)+1))</f>
        <v/>
      </c>
      <c r="S466" s="38" t="n">
        <v>0.7087143878396737</v>
      </c>
      <c r="T466" s="43">
        <f>HYPERLINK("https://projects.propublica.org/nonprofits/organizations/411931343/202500879349301200/full","view filing")</f>
        <v/>
      </c>
    </row>
    <row r="467">
      <c r="A467" t="inlineStr">
        <is>
          <t>University Of Minnesota Foundation Investment Advisors</t>
        </is>
      </c>
      <c r="B467" s="20" t="inlineStr">
        <is>
          <t>MN</t>
        </is>
      </c>
      <c r="C467" s="42" t="n">
        <v>5.2</v>
      </c>
      <c r="D467" t="inlineStr">
        <is>
          <t>Endowment</t>
        </is>
      </c>
      <c r="E467" s="20" t="n">
        <v>2024</v>
      </c>
      <c r="F467" s="20" t="inlineStr"/>
      <c r="G467" t="inlineStr">
        <is>
          <t>Jeffrey M Rodgers</t>
        </is>
      </c>
      <c r="H467" t="inlineStr">
        <is>
          <t>INVESTMENT DIRECTOR</t>
        </is>
      </c>
      <c r="I467" t="inlineStr">
        <is>
          <t>Director of Investments</t>
        </is>
      </c>
      <c r="J467" s="21" t="n">
        <v>351967</v>
      </c>
      <c r="K467" s="21" t="n">
        <v>248836</v>
      </c>
      <c r="L467" s="21" t="n">
        <v>600803</v>
      </c>
      <c r="M467" s="21" t="n">
        <v>60</v>
      </c>
      <c r="N467" s="21" t="n">
        <v>39600</v>
      </c>
      <c r="O467" s="21" t="n">
        <v>7750</v>
      </c>
      <c r="P467" s="21" t="n">
        <v>648213</v>
      </c>
      <c r="Q467" s="21" t="n">
        <v>648213</v>
      </c>
      <c r="R467" s="21">
        <f>IF(Q467="","",Q467*(1+in_GrowthRate)^(YEARFRAC(DATE(2024,6,30),in_AgeToDate)*IF(in_AgeToDate&lt;DATE(2024,6,30),-1,1)+1))</f>
        <v/>
      </c>
      <c r="S467" s="38" t="n">
        <v>0.7069867345518188</v>
      </c>
      <c r="T467" s="43">
        <f>HYPERLINK("https://projects.propublica.org/nonprofits/organizations/411931343/202500879349301200/full","view filing")</f>
        <v/>
      </c>
    </row>
    <row r="468">
      <c r="A468" t="inlineStr">
        <is>
          <t>University Of Minnesota Foundation Investment Advisors</t>
        </is>
      </c>
      <c r="B468" s="20" t="inlineStr">
        <is>
          <t>MN</t>
        </is>
      </c>
      <c r="C468" s="42" t="n">
        <v>5.2</v>
      </c>
      <c r="D468" t="inlineStr">
        <is>
          <t>Endowment</t>
        </is>
      </c>
      <c r="E468" s="20" t="n">
        <v>2023</v>
      </c>
      <c r="F468" s="20" t="inlineStr"/>
      <c r="G468" t="inlineStr">
        <is>
          <t>Daniel J Arlandson</t>
        </is>
      </c>
      <c r="H468" t="inlineStr">
        <is>
          <t>INVESTMENT DIRECTOR</t>
        </is>
      </c>
      <c r="I468" t="inlineStr">
        <is>
          <t>Director of Investments</t>
        </is>
      </c>
      <c r="J468" s="21" t="n">
        <v>311937</v>
      </c>
      <c r="K468" s="21" t="n">
        <v>207571</v>
      </c>
      <c r="L468" s="21" t="n">
        <v>519508</v>
      </c>
      <c r="M468" s="21" t="n">
        <v>90</v>
      </c>
      <c r="N468" s="21" t="n">
        <v>36600</v>
      </c>
      <c r="O468" s="21" t="n">
        <v>2738</v>
      </c>
      <c r="P468" s="21" t="n">
        <v>558936</v>
      </c>
      <c r="Q468" s="21" t="n">
        <v>558936</v>
      </c>
      <c r="R468" s="21">
        <f>IF(Q468="","",Q468*(1+in_GrowthRate)^(YEARFRAC(DATE(2023,6,30),in_AgeToDate)*IF(in_AgeToDate&lt;DATE(2023,6,30),-1,1)+1))</f>
        <v/>
      </c>
      <c r="S468" s="38" t="n">
        <v>0.6654260315384196</v>
      </c>
      <c r="T468" s="43">
        <f>HYPERLINK("https://projects.propublica.org/nonprofits/organizations/411931343/202400809349301005/full","view filing")</f>
        <v/>
      </c>
    </row>
    <row r="469">
      <c r="A469" t="inlineStr">
        <is>
          <t>University Of Minnesota Foundation Investment Advisors</t>
        </is>
      </c>
      <c r="B469" s="20" t="inlineStr">
        <is>
          <t>MN</t>
        </is>
      </c>
      <c r="C469" s="42" t="n">
        <v>5.2</v>
      </c>
      <c r="D469" t="inlineStr">
        <is>
          <t>Endowment</t>
        </is>
      </c>
      <c r="E469" s="20" t="n">
        <v>2023</v>
      </c>
      <c r="F469" s="20" t="inlineStr"/>
      <c r="G469" t="inlineStr">
        <is>
          <t>Jeffrey M Rodgers</t>
        </is>
      </c>
      <c r="H469" t="inlineStr">
        <is>
          <t>INVESTMENT DIRECTOR</t>
        </is>
      </c>
      <c r="I469" t="inlineStr">
        <is>
          <t>Director of Investments</t>
        </is>
      </c>
      <c r="J469" s="21" t="n">
        <v>311486</v>
      </c>
      <c r="K469" s="21" t="n">
        <v>207571</v>
      </c>
      <c r="L469" s="21" t="n">
        <v>519057</v>
      </c>
      <c r="M469" s="21" t="n">
        <v>57</v>
      </c>
      <c r="N469" s="21" t="n">
        <v>36600</v>
      </c>
      <c r="O469" s="21" t="n">
        <v>5475</v>
      </c>
      <c r="P469" s="21" t="n">
        <v>561189</v>
      </c>
      <c r="Q469" s="21" t="n">
        <v>561189</v>
      </c>
      <c r="R469" s="21">
        <f>IF(Q469="","",Q469*(1+in_GrowthRate)^(YEARFRAC(DATE(2023,6,30),in_AgeToDate)*IF(in_AgeToDate&lt;DATE(2023,6,30),-1,1)+1))</f>
        <v/>
      </c>
      <c r="S469" s="38" t="n">
        <v>0.6663895006517147</v>
      </c>
      <c r="T469" s="43">
        <f>HYPERLINK("https://projects.propublica.org/nonprofits/organizations/411931343/202400809349301005/full","view filing")</f>
        <v/>
      </c>
    </row>
    <row r="470">
      <c r="A470" t="inlineStr">
        <is>
          <t>University Of Minnesota Foundation Investment Advisors</t>
        </is>
      </c>
      <c r="B470" s="20" t="inlineStr">
        <is>
          <t>MN</t>
        </is>
      </c>
      <c r="C470" s="42" t="n">
        <v>5.2</v>
      </c>
      <c r="D470" t="inlineStr">
        <is>
          <t>Endowment</t>
        </is>
      </c>
      <c r="E470" s="20" t="n">
        <v>2022</v>
      </c>
      <c r="F470" s="20" t="inlineStr"/>
      <c r="G470" t="inlineStr">
        <is>
          <t>Daniel J Arlandson</t>
        </is>
      </c>
      <c r="H470" t="inlineStr">
        <is>
          <t>Investment Director</t>
        </is>
      </c>
      <c r="I470" t="inlineStr">
        <is>
          <t>Director of Investments</t>
        </is>
      </c>
      <c r="J470" s="21" t="n">
        <v>271057</v>
      </c>
      <c r="K470" s="21" t="n">
        <v>221352</v>
      </c>
      <c r="L470" s="21" t="n">
        <v>492409</v>
      </c>
      <c r="M470" s="21" t="n">
        <v>68</v>
      </c>
      <c r="N470" s="21" t="n">
        <v>34800</v>
      </c>
      <c r="O470" s="21" t="n">
        <v>3600</v>
      </c>
      <c r="P470" s="21" t="n">
        <v>530877</v>
      </c>
      <c r="Q470" s="21" t="n">
        <v>530877</v>
      </c>
      <c r="R470" s="21">
        <f>IF(Q470="","",Q470*(1+in_GrowthRate)^(YEARFRAC(DATE(2022,6,30),in_AgeToDate)*IF(in_AgeToDate&lt;DATE(2022,6,30),-1,1)+1))</f>
        <v/>
      </c>
      <c r="S470" s="38" t="n">
        <v>0.8166252854565644</v>
      </c>
      <c r="T470" s="43">
        <f>HYPERLINK("https://projects.propublica.org/nonprofits/organizations/411931343/202340739349300819/full","view filing")</f>
        <v/>
      </c>
    </row>
    <row r="471">
      <c r="A471" t="inlineStr">
        <is>
          <t>University Of Minnesota Foundation Investment Advisors</t>
        </is>
      </c>
      <c r="B471" s="20" t="inlineStr">
        <is>
          <t>MN</t>
        </is>
      </c>
      <c r="C471" s="42" t="n">
        <v>5.2</v>
      </c>
      <c r="D471" t="inlineStr">
        <is>
          <t>Endowment</t>
        </is>
      </c>
      <c r="E471" s="20" t="n">
        <v>2022</v>
      </c>
      <c r="F471" s="20" t="inlineStr"/>
      <c r="G471" t="inlineStr">
        <is>
          <t>Jeffrey M Rodgers</t>
        </is>
      </c>
      <c r="H471" t="inlineStr">
        <is>
          <t>Investment Director</t>
        </is>
      </c>
      <c r="I471" t="inlineStr">
        <is>
          <t>Director of Investments</t>
        </is>
      </c>
      <c r="J471" s="21" t="n">
        <v>268243</v>
      </c>
      <c r="K471" s="21" t="n">
        <v>221352</v>
      </c>
      <c r="L471" s="21" t="n">
        <v>489595</v>
      </c>
      <c r="M471" s="21" t="n">
        <v>54</v>
      </c>
      <c r="N471" s="21" t="n">
        <v>34800</v>
      </c>
      <c r="O471" s="21" t="n">
        <v>7200</v>
      </c>
      <c r="P471" s="21" t="n">
        <v>531649</v>
      </c>
      <c r="Q471" s="21" t="n">
        <v>531649</v>
      </c>
      <c r="R471" s="21">
        <f>IF(Q471="","",Q471*(1+in_GrowthRate)^(YEARFRAC(DATE(2022,6,30),in_AgeToDate)*IF(in_AgeToDate&lt;DATE(2022,6,30),-1,1)+1))</f>
        <v/>
      </c>
      <c r="S471" s="38" t="n">
        <v>0.8251920832976071</v>
      </c>
      <c r="T471" s="43">
        <f>HYPERLINK("https://projects.propublica.org/nonprofits/organizations/411931343/202340739349300819/full","view filing")</f>
        <v/>
      </c>
    </row>
    <row r="472">
      <c r="A472" t="inlineStr">
        <is>
          <t>University Of Mississippi Foundation</t>
        </is>
      </c>
      <c r="B472" s="20" t="inlineStr">
        <is>
          <t>MS</t>
        </is>
      </c>
      <c r="C472" s="42" t="n">
        <v>1</v>
      </c>
      <c r="D472" t="inlineStr">
        <is>
          <t>Endowment</t>
        </is>
      </c>
      <c r="E472" s="20" t="n">
        <v>2025</v>
      </c>
      <c r="F472" s="20">
        <f>IF(AND(OR(in_Mode="All Funds",AND(C472&gt;=in_BandFloor,C472&lt;=in_BandCeiling,OR(in_Geography="National",COUNTIFS(lst_GeoPreset,in_Geography,lst_GeoState,B472)&gt;0,AND(in_Geography="Custom",ISNUMBER(SEARCH(B472,SUBSTITUTE(in_CustomStates," ",""))))),OR(AND(D472="Endowment",Inputs!$B$14="Y"),AND(D472="Foundation",Inputs!$B$15="Y"),AND(D472="Healthcare",Inputs!$B$16="Y"),AND(D472="Pension",Inputs!$B$17="Y"),AND(D472="OCIO",Inputs!$B$18="Y"),AND(D472="Other",Inputs!$B$19="Y")))),A472&lt;&gt;in_ClientOrg,NOT(AND(in_ExclHarvard="Y",ISNUMBER(SEARCH("Harvard",A472))))),"Y","")</f>
        <v/>
      </c>
      <c r="G472" t="inlineStr">
        <is>
          <t>Christi Bland</t>
        </is>
      </c>
      <c r="H472" t="inlineStr">
        <is>
          <t>DIRECTOR OF ENDOWMENT</t>
        </is>
      </c>
      <c r="I472" t="inlineStr">
        <is>
          <t>Director of Investments</t>
        </is>
      </c>
      <c r="J472" s="21" t="n"/>
      <c r="K472" s="21" t="n"/>
      <c r="L472" s="21" t="n"/>
      <c r="M472" s="21" t="n"/>
      <c r="N472" s="21" t="n"/>
      <c r="O472" s="21" t="n"/>
      <c r="P472" s="21" t="n">
        <v>134481</v>
      </c>
      <c r="Q472" s="21" t="n">
        <v>134481</v>
      </c>
      <c r="R472" s="21">
        <f>IF(Q472="","",Q472*(1+in_GrowthRate)^(YEARFRAC(DATE(2025,6,30),in_AgeToDate)*IF(in_AgeToDate&lt;DATE(2025,6,30),-1,1)+1))</f>
        <v/>
      </c>
      <c r="S472" s="38" t="n"/>
      <c r="T472" s="43">
        <f>HYPERLINK("https://projects.propublica.org/nonprofits/organizations/237310293/202513219349310786/full","view filing")</f>
        <v/>
      </c>
    </row>
    <row r="473">
      <c r="A473" t="inlineStr">
        <is>
          <t>University Of Mississippi Foundation</t>
        </is>
      </c>
      <c r="B473" s="20" t="inlineStr">
        <is>
          <t>MS</t>
        </is>
      </c>
      <c r="C473" s="42" t="n">
        <v>1</v>
      </c>
      <c r="D473" t="inlineStr">
        <is>
          <t>Endowment</t>
        </is>
      </c>
      <c r="E473" s="20" t="n">
        <v>2024</v>
      </c>
      <c r="F473" s="20" t="inlineStr"/>
      <c r="G473" t="inlineStr">
        <is>
          <t>Christi Bland</t>
        </is>
      </c>
      <c r="H473" t="inlineStr">
        <is>
          <t>DIRECTOR OF ENDOWMENT</t>
        </is>
      </c>
      <c r="I473" t="inlineStr">
        <is>
          <t>Director of Investments</t>
        </is>
      </c>
      <c r="J473" s="21" t="n"/>
      <c r="K473" s="21" t="n"/>
      <c r="L473" s="21" t="n"/>
      <c r="M473" s="21" t="n"/>
      <c r="N473" s="21" t="n"/>
      <c r="O473" s="21" t="n"/>
      <c r="P473" s="21" t="n">
        <v>130230</v>
      </c>
      <c r="Q473" s="21" t="n">
        <v>130230</v>
      </c>
      <c r="R473" s="21">
        <f>IF(Q473="","",Q473*(1+in_GrowthRate)^(YEARFRAC(DATE(2024,6,30),in_AgeToDate)*IF(in_AgeToDate&lt;DATE(2024,6,30),-1,1)+1))</f>
        <v/>
      </c>
      <c r="S473" s="38" t="n"/>
      <c r="T473" s="43">
        <f>HYPERLINK("https://projects.propublica.org/nonprofits/organizations/237310293/202433199349304833/full","view filing")</f>
        <v/>
      </c>
    </row>
    <row r="474">
      <c r="A474" t="inlineStr">
        <is>
          <t>University Of Oklahoma Foundation Inc</t>
        </is>
      </c>
      <c r="B474" s="20" t="inlineStr">
        <is>
          <t>OK</t>
        </is>
      </c>
      <c r="C474" s="42" t="n">
        <v>2.74</v>
      </c>
      <c r="D474" t="inlineStr">
        <is>
          <t>Endowment</t>
        </is>
      </c>
      <c r="E474" s="20" t="n">
        <v>2025</v>
      </c>
      <c r="F474" s="20">
        <f>IF(AND(OR(in_Mode="All Funds",AND(C474&gt;=in_BandFloor,C474&lt;=in_BandCeiling,OR(in_Geography="National",COUNTIFS(lst_GeoPreset,in_Geography,lst_GeoState,B474)&gt;0,AND(in_Geography="Custom",ISNUMBER(SEARCH(B474,SUBSTITUTE(in_CustomStates," ",""))))),OR(AND(D474="Endowment",Inputs!$B$14="Y"),AND(D474="Foundation",Inputs!$B$15="Y"),AND(D474="Healthcare",Inputs!$B$16="Y"),AND(D474="Pension",Inputs!$B$17="Y"),AND(D474="OCIO",Inputs!$B$18="Y"),AND(D474="Other",Inputs!$B$19="Y")))),A474&lt;&gt;in_ClientOrg,NOT(AND(in_ExclHarvard="Y",ISNUMBER(SEARCH("Harvard",A474))))),"Y","")</f>
        <v/>
      </c>
      <c r="G474" t="inlineStr">
        <is>
          <t>Aaron Weisberg</t>
        </is>
      </c>
      <c r="H474" t="inlineStr">
        <is>
          <t>INVESTMENT DIRECTOR</t>
        </is>
      </c>
      <c r="I474" t="inlineStr">
        <is>
          <t>Director of Investments</t>
        </is>
      </c>
      <c r="J474" s="21" t="n">
        <v>196598</v>
      </c>
      <c r="K474" s="21" t="n">
        <v>68042</v>
      </c>
      <c r="L474" s="21" t="n">
        <v>264640</v>
      </c>
      <c r="M474" s="21" t="n"/>
      <c r="N474" s="21" t="n">
        <v>26625</v>
      </c>
      <c r="O474" s="21" t="n">
        <v>5137</v>
      </c>
      <c r="P474" s="21" t="n">
        <v>296402</v>
      </c>
      <c r="Q474" s="21" t="n">
        <v>296402</v>
      </c>
      <c r="R474" s="21">
        <f>IF(Q474="","",Q474*(1+in_GrowthRate)^(YEARFRAC(DATE(2025,6,30),in_AgeToDate)*IF(in_AgeToDate&lt;DATE(2025,6,30),-1,1)+1))</f>
        <v/>
      </c>
      <c r="S474" s="38" t="n">
        <v>0.3460971118729591</v>
      </c>
      <c r="T474" s="43">
        <f>HYPERLINK("https://projects.propublica.org/nonprofits/organizations/736091755/202641349349309284/full","view filing")</f>
        <v/>
      </c>
    </row>
    <row r="475">
      <c r="A475" t="inlineStr">
        <is>
          <t>University Of Richmond</t>
        </is>
      </c>
      <c r="B475" s="20" t="inlineStr">
        <is>
          <t>VA</t>
        </is>
      </c>
      <c r="C475" s="42" t="n">
        <v>5.9</v>
      </c>
      <c r="D475" t="inlineStr">
        <is>
          <t>Endowment</t>
        </is>
      </c>
      <c r="E475" s="20" t="n">
        <v>2025</v>
      </c>
      <c r="F475" s="20">
        <f>IF(AND(OR(in_Mode="All Funds",AND(C475&gt;=in_BandFloor,C475&lt;=in_BandCeiling,OR(in_Geography="National",COUNTIFS(lst_GeoPreset,in_Geography,lst_GeoState,B475)&gt;0,AND(in_Geography="Custom",ISNUMBER(SEARCH(B475,SUBSTITUTE(in_CustomStates," ",""))))),OR(AND(D475="Endowment",Inputs!$B$14="Y"),AND(D475="Foundation",Inputs!$B$15="Y"),AND(D475="Healthcare",Inputs!$B$16="Y"),AND(D475="Pension",Inputs!$B$17="Y"),AND(D475="OCIO",Inputs!$B$18="Y"),AND(D475="Other",Inputs!$B$19="Y")))),A475&lt;&gt;in_ClientOrg,NOT(AND(in_ExclHarvard="Y",ISNUMBER(SEARCH("Harvard",A475))))),"Y","")</f>
        <v/>
      </c>
      <c r="G475" t="inlineStr">
        <is>
          <t>Samuel Taliaferro</t>
        </is>
      </c>
      <c r="H475" t="inlineStr">
        <is>
          <t>DIRECTOR, SMC</t>
        </is>
      </c>
      <c r="I475" t="inlineStr">
        <is>
          <t>Director of Investments</t>
        </is>
      </c>
      <c r="J475" s="21" t="n">
        <v>421614</v>
      </c>
      <c r="K475" s="21" t="n">
        <v>361495</v>
      </c>
      <c r="L475" s="21" t="n">
        <v>783109</v>
      </c>
      <c r="M475" s="21" t="n">
        <v>1900</v>
      </c>
      <c r="N475" s="21" t="n">
        <v>34500</v>
      </c>
      <c r="O475" s="21" t="n">
        <v>26582</v>
      </c>
      <c r="P475" s="21" t="n">
        <v>846091</v>
      </c>
      <c r="Q475" s="21" t="n">
        <v>846091</v>
      </c>
      <c r="R475" s="21">
        <f>IF(Q475="","",Q475*(1+in_GrowthRate)^(YEARFRAC(DATE(2025,6,30),in_AgeToDate)*IF(in_AgeToDate&lt;DATE(2025,6,30),-1,1)+1))</f>
        <v/>
      </c>
      <c r="S475" s="38" t="n">
        <v>0.8574074864686656</v>
      </c>
      <c r="T475" s="43">
        <f>HYPERLINK("https://projects.propublica.org/nonprofits/organizations/540505965/202621349349310067/full","view filing")</f>
        <v/>
      </c>
    </row>
    <row r="476">
      <c r="A476" t="inlineStr">
        <is>
          <t>University Of Richmond</t>
        </is>
      </c>
      <c r="B476" s="20" t="inlineStr">
        <is>
          <t>VA</t>
        </is>
      </c>
      <c r="C476" s="42" t="n">
        <v>5.9</v>
      </c>
      <c r="D476" t="inlineStr">
        <is>
          <t>Endowment</t>
        </is>
      </c>
      <c r="E476" s="20" t="n">
        <v>2023</v>
      </c>
      <c r="F476" s="20" t="inlineStr"/>
      <c r="G476" t="inlineStr">
        <is>
          <t>Karen Welch</t>
        </is>
      </c>
      <c r="H476" t="inlineStr">
        <is>
          <t>DIRECTOR, SMC</t>
        </is>
      </c>
      <c r="I476" t="inlineStr">
        <is>
          <t>Director of Investments</t>
        </is>
      </c>
      <c r="J476" s="21" t="n">
        <v>379058</v>
      </c>
      <c r="K476" s="21" t="n">
        <v>551579</v>
      </c>
      <c r="L476" s="21" t="n">
        <v>930637</v>
      </c>
      <c r="M476" s="21" t="n">
        <v>19257</v>
      </c>
      <c r="N476" s="21" t="n">
        <v>30500</v>
      </c>
      <c r="O476" s="21" t="n">
        <v>25851</v>
      </c>
      <c r="P476" s="21" t="n">
        <v>1006245</v>
      </c>
      <c r="Q476" s="21" t="n">
        <v>1006245</v>
      </c>
      <c r="R476" s="21">
        <f>IF(Q476="","",Q476*(1+in_GrowthRate)^(YEARFRAC(DATE(2023,6,30),in_AgeToDate)*IF(in_AgeToDate&lt;DATE(2023,6,30),-1,1)+1))</f>
        <v/>
      </c>
      <c r="S476" s="38" t="n">
        <v>1.455130877068945</v>
      </c>
      <c r="T476" s="43">
        <f>HYPERLINK("https://projects.propublica.org/nonprofits/organizations/540505965/202431349349307603/full","view filing")</f>
        <v/>
      </c>
    </row>
    <row r="477">
      <c r="A477" t="inlineStr">
        <is>
          <t>University Of Richmond</t>
        </is>
      </c>
      <c r="B477" s="20" t="inlineStr">
        <is>
          <t>VA</t>
        </is>
      </c>
      <c r="C477" s="42" t="n">
        <v>5.9</v>
      </c>
      <c r="D477" t="inlineStr">
        <is>
          <t>Endowment</t>
        </is>
      </c>
      <c r="E477" s="20" t="n">
        <v>2023</v>
      </c>
      <c r="F477" s="20" t="inlineStr"/>
      <c r="G477" t="inlineStr">
        <is>
          <t>Kevin Stoudt</t>
        </is>
      </c>
      <c r="H477" t="inlineStr">
        <is>
          <t>DIRECTOR, SMC</t>
        </is>
      </c>
      <c r="I477" t="inlineStr">
        <is>
          <t>Director of Investments</t>
        </is>
      </c>
      <c r="J477" s="21" t="n">
        <v>324205</v>
      </c>
      <c r="K477" s="21" t="n">
        <v>398932</v>
      </c>
      <c r="L477" s="21" t="n">
        <v>723137</v>
      </c>
      <c r="M477" s="21" t="n">
        <v>3471</v>
      </c>
      <c r="N477" s="21" t="n">
        <v>24525</v>
      </c>
      <c r="O477" s="21" t="n">
        <v>30612</v>
      </c>
      <c r="P477" s="21" t="n">
        <v>781745</v>
      </c>
      <c r="Q477" s="21" t="n">
        <v>781745</v>
      </c>
      <c r="R477" s="21">
        <f>IF(Q477="","",Q477*(1+in_GrowthRate)^(YEARFRAC(DATE(2023,6,30),in_AgeToDate)*IF(in_AgeToDate&lt;DATE(2023,6,30),-1,1)+1))</f>
        <v/>
      </c>
      <c r="S477" s="38" t="n">
        <v>1.230493052235468</v>
      </c>
      <c r="T477" s="43">
        <f>HYPERLINK("https://projects.propublica.org/nonprofits/organizations/540505965/202431349349307603/full","view filing")</f>
        <v/>
      </c>
    </row>
    <row r="478">
      <c r="A478" t="inlineStr">
        <is>
          <t>University Of Richmond</t>
        </is>
      </c>
      <c r="B478" s="20" t="inlineStr">
        <is>
          <t>VA</t>
        </is>
      </c>
      <c r="C478" s="42" t="n">
        <v>5.9</v>
      </c>
      <c r="D478" t="inlineStr">
        <is>
          <t>Endowment</t>
        </is>
      </c>
      <c r="E478" s="20" t="n">
        <v>2023</v>
      </c>
      <c r="F478" s="20" t="inlineStr"/>
      <c r="G478" t="inlineStr">
        <is>
          <t>Steven Henderson</t>
        </is>
      </c>
      <c r="H478" t="inlineStr">
        <is>
          <t>DIRECTOR, SMC</t>
        </is>
      </c>
      <c r="I478" t="inlineStr">
        <is>
          <t>Director of Investments</t>
        </is>
      </c>
      <c r="J478" s="21" t="n">
        <v>175649</v>
      </c>
      <c r="K478" s="21" t="n">
        <v>591501</v>
      </c>
      <c r="L478" s="21" t="n">
        <v>767150</v>
      </c>
      <c r="M478" s="21" t="n">
        <v>32011</v>
      </c>
      <c r="N478" s="21" t="n">
        <v>21185</v>
      </c>
      <c r="O478" s="21" t="n">
        <v>31117</v>
      </c>
      <c r="P478" s="21" t="n">
        <v>851463</v>
      </c>
      <c r="Q478" s="21" t="n">
        <v>851463</v>
      </c>
      <c r="R478" s="21">
        <f>IF(Q478="","",Q478*(1+in_GrowthRate)^(YEARFRAC(DATE(2023,6,30),in_AgeToDate)*IF(in_AgeToDate&lt;DATE(2023,6,30),-1,1)+1))</f>
        <v/>
      </c>
      <c r="S478" s="38" t="n">
        <v>3.367517036817744</v>
      </c>
      <c r="T478" s="43">
        <f>HYPERLINK("https://projects.propublica.org/nonprofits/organizations/540505965/202431349349307603/full","view filing")</f>
        <v/>
      </c>
    </row>
    <row r="479">
      <c r="A479" t="inlineStr">
        <is>
          <t>University Of Richmond</t>
        </is>
      </c>
      <c r="B479" s="20" t="inlineStr">
        <is>
          <t>VA</t>
        </is>
      </c>
      <c r="C479" s="42" t="n">
        <v>5.9</v>
      </c>
      <c r="D479" t="inlineStr">
        <is>
          <t>Endowment</t>
        </is>
      </c>
      <c r="E479" s="20" t="n">
        <v>2022</v>
      </c>
      <c r="F479" s="20" t="inlineStr"/>
      <c r="G479" t="inlineStr">
        <is>
          <t>Jeffrey Hires</t>
        </is>
      </c>
      <c r="H479" t="inlineStr">
        <is>
          <t>DIRECTOR, SMC</t>
        </is>
      </c>
      <c r="I479" t="inlineStr">
        <is>
          <t>Director of Investments</t>
        </is>
      </c>
      <c r="J479" s="21" t="n">
        <v>361316</v>
      </c>
      <c r="K479" s="21" t="n">
        <v>306170</v>
      </c>
      <c r="L479" s="21" t="n">
        <v>667486</v>
      </c>
      <c r="M479" s="21" t="n">
        <v>18423</v>
      </c>
      <c r="N479" s="21" t="n">
        <v>14669</v>
      </c>
      <c r="O479" s="21" t="n">
        <v>17041</v>
      </c>
      <c r="P479" s="21" t="n">
        <v>717619</v>
      </c>
      <c r="Q479" s="21" t="n">
        <v>717619</v>
      </c>
      <c r="R479" s="21">
        <f>IF(Q479="","",Q479*(1+in_GrowthRate)^(YEARFRAC(DATE(2022,6,30),in_AgeToDate)*IF(in_AgeToDate&lt;DATE(2022,6,30),-1,1)+1))</f>
        <v/>
      </c>
      <c r="S479" s="38" t="n">
        <v>0.8473745973054058</v>
      </c>
      <c r="T479" s="43">
        <f>HYPERLINK("https://projects.propublica.org/nonprofits/organizations/540505965/202331359349300218/full","view filing")</f>
        <v/>
      </c>
    </row>
    <row r="480">
      <c r="A480" t="inlineStr">
        <is>
          <t>University Of Richmond</t>
        </is>
      </c>
      <c r="B480" s="20" t="inlineStr">
        <is>
          <t>VA</t>
        </is>
      </c>
      <c r="C480" s="42" t="n">
        <v>5.9</v>
      </c>
      <c r="D480" t="inlineStr">
        <is>
          <t>Endowment</t>
        </is>
      </c>
      <c r="E480" s="20" t="n">
        <v>2022</v>
      </c>
      <c r="F480" s="20" t="inlineStr"/>
      <c r="G480" t="inlineStr">
        <is>
          <t>Kevin Stoudt</t>
        </is>
      </c>
      <c r="H480" t="inlineStr">
        <is>
          <t>DIRECTOR, SMC</t>
        </is>
      </c>
      <c r="I480" t="inlineStr">
        <is>
          <t>Director of Investments</t>
        </is>
      </c>
      <c r="J480" s="21" t="n">
        <v>325088</v>
      </c>
      <c r="K480" s="21" t="n">
        <v>398932</v>
      </c>
      <c r="L480" s="21" t="n">
        <v>724020</v>
      </c>
      <c r="M480" s="21" t="n">
        <v>3471</v>
      </c>
      <c r="N480" s="21" t="n">
        <v>23499</v>
      </c>
      <c r="O480" s="21" t="n">
        <v>29205</v>
      </c>
      <c r="P480" s="21" t="n">
        <v>780195</v>
      </c>
      <c r="Q480" s="21" t="n">
        <v>780195</v>
      </c>
      <c r="R480" s="21">
        <f>IF(Q480="","",Q480*(1+in_GrowthRate)^(YEARFRAC(DATE(2022,6,30),in_AgeToDate)*IF(in_AgeToDate&lt;DATE(2022,6,30),-1,1)+1))</f>
        <v/>
      </c>
      <c r="S480" s="38" t="n">
        <v>1.227150802244315</v>
      </c>
      <c r="T480" s="43">
        <f>HYPERLINK("https://projects.propublica.org/nonprofits/organizations/540505965/202331359349300218/full","view filing")</f>
        <v/>
      </c>
    </row>
    <row r="481">
      <c r="A481" t="inlineStr">
        <is>
          <t>University Of South Carolina Educational Foundation</t>
        </is>
      </c>
      <c r="B481" s="20" t="inlineStr">
        <is>
          <t>SC</t>
        </is>
      </c>
      <c r="C481" s="42" t="n">
        <v>0.74</v>
      </c>
      <c r="D481" t="inlineStr">
        <is>
          <t>Endowment</t>
        </is>
      </c>
      <c r="E481" s="20" t="n">
        <v>2025</v>
      </c>
      <c r="F481" s="20">
        <f>IF(AND(OR(in_Mode="All Funds",AND(C481&gt;=in_BandFloor,C481&lt;=in_BandCeiling,OR(in_Geography="National",COUNTIFS(lst_GeoPreset,in_Geography,lst_GeoState,B481)&gt;0,AND(in_Geography="Custom",ISNUMBER(SEARCH(B481,SUBSTITUTE(in_CustomStates," ",""))))),OR(AND(D481="Endowment",Inputs!$B$14="Y"),AND(D481="Foundation",Inputs!$B$15="Y"),AND(D481="Healthcare",Inputs!$B$16="Y"),AND(D481="Pension",Inputs!$B$17="Y"),AND(D481="OCIO",Inputs!$B$18="Y"),AND(D481="Other",Inputs!$B$19="Y")))),A481&lt;&gt;in_ClientOrg,NOT(AND(in_ExclHarvard="Y",ISNUMBER(SEARCH("Harvard",A481))))),"Y","")</f>
        <v/>
      </c>
      <c r="G481" t="inlineStr">
        <is>
          <t>Jennifer Muir</t>
        </is>
      </c>
      <c r="H481" t="inlineStr">
        <is>
          <t>Director of Investments</t>
        </is>
      </c>
      <c r="I481" t="inlineStr">
        <is>
          <t>Director of Investments</t>
        </is>
      </c>
      <c r="J481" s="21" t="n">
        <v>159364</v>
      </c>
      <c r="K481" s="21" t="n">
        <v>3000</v>
      </c>
      <c r="L481" s="21" t="n">
        <v>162364</v>
      </c>
      <c r="M481" s="21" t="n"/>
      <c r="N481" s="21" t="n">
        <v>12081</v>
      </c>
      <c r="O481" s="21" t="n">
        <v>51157</v>
      </c>
      <c r="P481" s="21" t="n">
        <v>225602</v>
      </c>
      <c r="Q481" s="21" t="n">
        <v>225602</v>
      </c>
      <c r="R481" s="21">
        <f>IF(Q481="","",Q481*(1+in_GrowthRate)^(YEARFRAC(DATE(2025,6,30),in_AgeToDate)*IF(in_AgeToDate&lt;DATE(2025,6,30),-1,1)+1))</f>
        <v/>
      </c>
      <c r="S481" s="38" t="n">
        <v>0.01882482869405889</v>
      </c>
      <c r="T481" s="43">
        <f>HYPERLINK("https://projects.propublica.org/nonprofits/organizations/576017985/202641259349303504/full","view filing")</f>
        <v/>
      </c>
    </row>
    <row r="482">
      <c r="A482" t="inlineStr">
        <is>
          <t>University Of South Carolina Educational Foundation</t>
        </is>
      </c>
      <c r="B482" s="20" t="inlineStr">
        <is>
          <t>SC</t>
        </is>
      </c>
      <c r="C482" s="42" t="n">
        <v>0.74</v>
      </c>
      <c r="D482" t="inlineStr">
        <is>
          <t>Endowment</t>
        </is>
      </c>
      <c r="E482" s="20" t="n">
        <v>2024</v>
      </c>
      <c r="F482" s="20" t="inlineStr"/>
      <c r="G482" t="inlineStr">
        <is>
          <t>Jennifer Muir</t>
        </is>
      </c>
      <c r="H482" t="inlineStr">
        <is>
          <t>Director of Investments</t>
        </is>
      </c>
      <c r="I482" t="inlineStr">
        <is>
          <t>Director of Investments</t>
        </is>
      </c>
      <c r="J482" s="21" t="n">
        <v>156707</v>
      </c>
      <c r="K482" s="21" t="n">
        <v>500</v>
      </c>
      <c r="L482" s="21" t="n">
        <v>157207</v>
      </c>
      <c r="M482" s="21" t="n"/>
      <c r="N482" s="21" t="n">
        <v>9544</v>
      </c>
      <c r="O482" s="21" t="n">
        <v>47370</v>
      </c>
      <c r="P482" s="21" t="n">
        <v>214121</v>
      </c>
      <c r="Q482" s="21" t="n">
        <v>214121</v>
      </c>
      <c r="R482" s="21">
        <f>IF(Q482="","",Q482*(1+in_GrowthRate)^(YEARFRAC(DATE(2024,6,30),in_AgeToDate)*IF(in_AgeToDate&lt;DATE(2024,6,30),-1,1)+1))</f>
        <v/>
      </c>
      <c r="S482" s="38" t="n">
        <v>0.003190667934425392</v>
      </c>
      <c r="T482" s="43">
        <f>HYPERLINK("https://projects.propublica.org/nonprofits/organizations/576017985/202511299349303036/full","view filing")</f>
        <v/>
      </c>
    </row>
    <row r="483">
      <c r="A483" t="inlineStr">
        <is>
          <t>University Of South Carolina Educational Foundation</t>
        </is>
      </c>
      <c r="B483" s="20" t="inlineStr">
        <is>
          <t>SC</t>
        </is>
      </c>
      <c r="C483" s="42" t="n">
        <v>0.74</v>
      </c>
      <c r="D483" t="inlineStr">
        <is>
          <t>Endowment</t>
        </is>
      </c>
      <c r="E483" s="20" t="n">
        <v>2023</v>
      </c>
      <c r="F483" s="20" t="inlineStr"/>
      <c r="G483" t="inlineStr">
        <is>
          <t>Jennifer Muir</t>
        </is>
      </c>
      <c r="H483" t="inlineStr">
        <is>
          <t>DIRECTOR OF INVESTMENTS</t>
        </is>
      </c>
      <c r="I483" t="inlineStr">
        <is>
          <t>Director of Investments</t>
        </is>
      </c>
      <c r="J483" s="21" t="n">
        <v>156564</v>
      </c>
      <c r="K483" s="21" t="n">
        <v>3000</v>
      </c>
      <c r="L483" s="21" t="n">
        <v>159564</v>
      </c>
      <c r="M483" s="21" t="n"/>
      <c r="N483" s="21" t="n">
        <v>9506</v>
      </c>
      <c r="O483" s="21" t="n">
        <v>42014</v>
      </c>
      <c r="P483" s="21" t="n">
        <v>211084</v>
      </c>
      <c r="Q483" s="21" t="n">
        <v>211084</v>
      </c>
      <c r="R483" s="21">
        <f>IF(Q483="","",Q483*(1+in_GrowthRate)^(YEARFRAC(DATE(2023,6,30),in_AgeToDate)*IF(in_AgeToDate&lt;DATE(2023,6,30),-1,1)+1))</f>
        <v/>
      </c>
      <c r="S483" s="38" t="n">
        <v>0.01916149306353951</v>
      </c>
      <c r="T483" s="43">
        <f>HYPERLINK("https://projects.propublica.org/nonprofits/organizations/576017985/202401109349301100/full","view filing")</f>
        <v/>
      </c>
    </row>
    <row r="484">
      <c r="A484" t="inlineStr">
        <is>
          <t>University Of South Carolina Educational Foundation</t>
        </is>
      </c>
      <c r="B484" s="20" t="inlineStr">
        <is>
          <t>SC</t>
        </is>
      </c>
      <c r="C484" s="42" t="n">
        <v>0.74</v>
      </c>
      <c r="D484" t="inlineStr">
        <is>
          <t>Endowment</t>
        </is>
      </c>
      <c r="E484" s="20" t="n">
        <v>2022</v>
      </c>
      <c r="F484" s="20" t="inlineStr"/>
      <c r="G484" t="inlineStr">
        <is>
          <t>Jennifer Muir</t>
        </is>
      </c>
      <c r="H484" t="inlineStr">
        <is>
          <t>DIRECTOR OF INVESTMENTS</t>
        </is>
      </c>
      <c r="I484" t="inlineStr">
        <is>
          <t>Director of Investments</t>
        </is>
      </c>
      <c r="J484" s="21" t="n">
        <v>154397</v>
      </c>
      <c r="K484" s="21" t="n"/>
      <c r="L484" s="21" t="n">
        <v>154397</v>
      </c>
      <c r="M484" s="21" t="n"/>
      <c r="N484" s="21" t="n">
        <v>9103</v>
      </c>
      <c r="O484" s="21" t="n">
        <v>40400</v>
      </c>
      <c r="P484" s="21" t="n">
        <v>203900</v>
      </c>
      <c r="Q484" s="21" t="n">
        <v>203900</v>
      </c>
      <c r="R484" s="21">
        <f>IF(Q484="","",Q484*(1+in_GrowthRate)^(YEARFRAC(DATE(2022,6,30),in_AgeToDate)*IF(in_AgeToDate&lt;DATE(2022,6,30),-1,1)+1))</f>
        <v/>
      </c>
      <c r="S484" s="38" t="n">
        <v>0</v>
      </c>
      <c r="T484" s="43">
        <f>HYPERLINK("https://projects.propublica.org/nonprofits/organizations/576017985/202341079349301724/full","view filing")</f>
        <v/>
      </c>
    </row>
    <row r="485">
      <c r="A485" t="inlineStr">
        <is>
          <t>University Of Wisconsin Foundation</t>
        </is>
      </c>
      <c r="B485" s="20" t="inlineStr">
        <is>
          <t>WI</t>
        </is>
      </c>
      <c r="C485" s="42" t="n">
        <v>4.92</v>
      </c>
      <c r="D485" t="inlineStr">
        <is>
          <t>Endowment</t>
        </is>
      </c>
      <c r="E485" s="20" t="n">
        <v>2025</v>
      </c>
      <c r="F485" s="20">
        <f>IF(AND(OR(in_Mode="All Funds",AND(C485&gt;=in_BandFloor,C485&lt;=in_BandCeiling,OR(in_Geography="National",COUNTIFS(lst_GeoPreset,in_Geography,lst_GeoState,B485)&gt;0,AND(in_Geography="Custom",ISNUMBER(SEARCH(B485,SUBSTITUTE(in_CustomStates," ",""))))),OR(AND(D485="Endowment",Inputs!$B$14="Y"),AND(D485="Foundation",Inputs!$B$15="Y"),AND(D485="Healthcare",Inputs!$B$16="Y"),AND(D485="Pension",Inputs!$B$17="Y"),AND(D485="OCIO",Inputs!$B$18="Y"),AND(D485="Other",Inputs!$B$19="Y")))),A485&lt;&gt;in_ClientOrg,NOT(AND(in_ExclHarvard="Y",ISNUMBER(SEARCH("Harvard",A485))))),"Y","")</f>
        <v/>
      </c>
      <c r="G485" t="inlineStr">
        <is>
          <t>James G Elkins</t>
        </is>
      </c>
      <c r="H485" t="inlineStr">
        <is>
          <t>DIRECTOR OF INVESTMENTS</t>
        </is>
      </c>
      <c r="I485" t="inlineStr">
        <is>
          <t>Director of Investments</t>
        </is>
      </c>
      <c r="J485" s="21" t="n">
        <v>235105</v>
      </c>
      <c r="K485" s="21" t="n">
        <v>172593</v>
      </c>
      <c r="L485" s="21" t="n">
        <v>407698</v>
      </c>
      <c r="M485" s="21" t="n">
        <v>270</v>
      </c>
      <c r="N485" s="21" t="n">
        <v>23529</v>
      </c>
      <c r="O485" s="21" t="n">
        <v>1896</v>
      </c>
      <c r="P485" s="21" t="n">
        <v>433393</v>
      </c>
      <c r="Q485" s="21" t="n">
        <v>433393</v>
      </c>
      <c r="R485" s="21">
        <f>IF(Q485="","",Q485*(1+in_GrowthRate)^(YEARFRAC(DATE(2025,6,30),in_AgeToDate)*IF(in_AgeToDate&lt;DATE(2025,6,30),-1,1)+1))</f>
        <v/>
      </c>
      <c r="S485" s="38" t="n">
        <v>0.7341102911465091</v>
      </c>
      <c r="T485" s="43">
        <f>HYPERLINK("https://projects.propublica.org/nonprofits/organizations/390743975/202601359349303645/full","view filing")</f>
        <v/>
      </c>
    </row>
    <row r="486">
      <c r="A486" t="inlineStr">
        <is>
          <t>University Of Wisconsin Foundation</t>
        </is>
      </c>
      <c r="B486" s="20" t="inlineStr">
        <is>
          <t>WI</t>
        </is>
      </c>
      <c r="C486" s="42" t="n">
        <v>4.92</v>
      </c>
      <c r="D486" t="inlineStr">
        <is>
          <t>Endowment</t>
        </is>
      </c>
      <c r="E486" s="20" t="n">
        <v>2024</v>
      </c>
      <c r="F486" s="20" t="inlineStr"/>
      <c r="G486" t="inlineStr">
        <is>
          <t>James G Elkins</t>
        </is>
      </c>
      <c r="H486" t="inlineStr">
        <is>
          <t>DIRECTOR OF INVESTMENTS</t>
        </is>
      </c>
      <c r="I486" t="inlineStr">
        <is>
          <t>Director of Investments</t>
        </is>
      </c>
      <c r="J486" s="21" t="n">
        <v>213431</v>
      </c>
      <c r="K486" s="21" t="n">
        <v>135907</v>
      </c>
      <c r="L486" s="21" t="n">
        <v>349338</v>
      </c>
      <c r="M486" s="21" t="n">
        <v>270</v>
      </c>
      <c r="N486" s="21" t="n">
        <v>21850</v>
      </c>
      <c r="O486" s="21" t="n">
        <v>1498</v>
      </c>
      <c r="P486" s="21" t="n">
        <v>372956</v>
      </c>
      <c r="Q486" s="21" t="n">
        <v>372956</v>
      </c>
      <c r="R486" s="21">
        <f>IF(Q486="","",Q486*(1+in_GrowthRate)^(YEARFRAC(DATE(2024,6,30),in_AgeToDate)*IF(in_AgeToDate&lt;DATE(2024,6,30),-1,1)+1))</f>
        <v/>
      </c>
      <c r="S486" s="38" t="n">
        <v>0.6367725400714985</v>
      </c>
      <c r="T486" s="43">
        <f>HYPERLINK("https://projects.propublica.org/nonprofits/organizations/390743975/202511339349302751/full","view filing")</f>
        <v/>
      </c>
    </row>
    <row r="487">
      <c r="A487" t="inlineStr">
        <is>
          <t>University Of Wisconsin Foundation</t>
        </is>
      </c>
      <c r="B487" s="20" t="inlineStr">
        <is>
          <t>WI</t>
        </is>
      </c>
      <c r="C487" s="42" t="n">
        <v>4.92</v>
      </c>
      <c r="D487" t="inlineStr">
        <is>
          <t>Endowment</t>
        </is>
      </c>
      <c r="E487" s="20" t="n">
        <v>2023</v>
      </c>
      <c r="F487" s="20" t="inlineStr"/>
      <c r="G487" t="inlineStr">
        <is>
          <t>James G Elkins</t>
        </is>
      </c>
      <c r="H487" t="inlineStr">
        <is>
          <t>DIRECTOR OF INVESTMENTS</t>
        </is>
      </c>
      <c r="I487" t="inlineStr">
        <is>
          <t>Director of Investments</t>
        </is>
      </c>
      <c r="J487" s="21" t="n">
        <v>207785</v>
      </c>
      <c r="K487" s="21" t="n">
        <v>130808</v>
      </c>
      <c r="L487" s="21" t="n">
        <v>338593</v>
      </c>
      <c r="M487" s="21" t="n">
        <v>270</v>
      </c>
      <c r="N487" s="21" t="n">
        <v>21285</v>
      </c>
      <c r="O487" s="21" t="n">
        <v>1498</v>
      </c>
      <c r="P487" s="21" t="n">
        <v>361646</v>
      </c>
      <c r="Q487" s="21" t="n">
        <v>361646</v>
      </c>
      <c r="R487" s="21">
        <f>IF(Q487="","",Q487*(1+in_GrowthRate)^(YEARFRAC(DATE(2023,6,30),in_AgeToDate)*IF(in_AgeToDate&lt;DATE(2023,6,30),-1,1)+1))</f>
        <v/>
      </c>
      <c r="S487" s="38" t="n">
        <v>0.6295353370070025</v>
      </c>
      <c r="T487" s="43">
        <f>HYPERLINK("https://projects.propublica.org/nonprofits/organizations/390743975/202411349349307346/full","view filing")</f>
        <v/>
      </c>
    </row>
    <row r="488">
      <c r="A488" t="inlineStr">
        <is>
          <t>University Of Wisconsin Foundation</t>
        </is>
      </c>
      <c r="B488" s="20" t="inlineStr">
        <is>
          <t>WI</t>
        </is>
      </c>
      <c r="C488" s="42" t="n">
        <v>4.92</v>
      </c>
      <c r="D488" t="inlineStr">
        <is>
          <t>Endowment</t>
        </is>
      </c>
      <c r="E488" s="20" t="n">
        <v>2022</v>
      </c>
      <c r="F488" s="20" t="inlineStr"/>
      <c r="G488" t="inlineStr">
        <is>
          <t>James G Elkins</t>
        </is>
      </c>
      <c r="H488" t="inlineStr">
        <is>
          <t>DIRECTOR OF INVESTMENTS</t>
        </is>
      </c>
      <c r="I488" t="inlineStr">
        <is>
          <t>Director of Investments</t>
        </is>
      </c>
      <c r="J488" s="21" t="n">
        <v>168250</v>
      </c>
      <c r="K488" s="21" t="n">
        <v>38692</v>
      </c>
      <c r="L488" s="21" t="n">
        <v>206942</v>
      </c>
      <c r="M488" s="21" t="n">
        <v>270</v>
      </c>
      <c r="N488" s="21" t="n">
        <v>17325</v>
      </c>
      <c r="O488" s="21" t="n">
        <v>1498</v>
      </c>
      <c r="P488" s="21" t="n">
        <v>226035</v>
      </c>
      <c r="Q488" s="21" t="n">
        <v>226035</v>
      </c>
      <c r="R488" s="21">
        <f>IF(Q488="","",Q488*(1+in_GrowthRate)^(YEARFRAC(DATE(2022,6,30),in_AgeToDate)*IF(in_AgeToDate&lt;DATE(2022,6,30),-1,1)+1))</f>
        <v/>
      </c>
      <c r="S488" s="38" t="n">
        <v>0.2299673105497771</v>
      </c>
      <c r="T488" s="43">
        <f>HYPERLINK("https://projects.propublica.org/nonprofits/organizations/390743975/202341359349304714/full","view filing")</f>
        <v/>
      </c>
    </row>
    <row r="489">
      <c r="A489" t="inlineStr">
        <is>
          <t>University Of Wisconsin Foundation</t>
        </is>
      </c>
      <c r="B489" s="20" t="inlineStr">
        <is>
          <t>WI</t>
        </is>
      </c>
      <c r="C489" s="42" t="n">
        <v>4.92</v>
      </c>
      <c r="D489" t="inlineStr">
        <is>
          <t>Endowment</t>
        </is>
      </c>
      <c r="E489" s="20" t="n">
        <v>2022</v>
      </c>
      <c r="F489" s="20" t="inlineStr"/>
      <c r="G489" t="inlineStr">
        <is>
          <t>Joshua M Ross</t>
        </is>
      </c>
      <c r="H489" t="inlineStr">
        <is>
          <t>DIRECTOR OF INVT - PRIVATE MARKET</t>
        </is>
      </c>
      <c r="I489" t="inlineStr">
        <is>
          <t>Director of Investments</t>
        </is>
      </c>
      <c r="J489" s="21" t="n">
        <v>309918</v>
      </c>
      <c r="K489" s="21" t="n">
        <v>76230</v>
      </c>
      <c r="L489" s="21" t="n">
        <v>386148</v>
      </c>
      <c r="M489" s="21" t="n">
        <v>238</v>
      </c>
      <c r="N489" s="21" t="n">
        <v>22151</v>
      </c>
      <c r="O489" s="21" t="n">
        <v>6566</v>
      </c>
      <c r="P489" s="21" t="n">
        <v>415103</v>
      </c>
      <c r="Q489" s="21" t="n">
        <v>415103</v>
      </c>
      <c r="R489" s="21">
        <f>IF(Q489="","",Q489*(1+in_GrowthRate)^(YEARFRAC(DATE(2022,6,30),in_AgeToDate)*IF(in_AgeToDate&lt;DATE(2022,6,30),-1,1)+1))</f>
        <v/>
      </c>
      <c r="S489" s="38" t="n">
        <v>0.2459682883859602</v>
      </c>
      <c r="T489" s="43">
        <f>HYPERLINK("https://projects.propublica.org/nonprofits/organizations/390743975/202341359349304714/full","view filing")</f>
        <v/>
      </c>
    </row>
    <row r="490">
      <c r="A490" t="inlineStr">
        <is>
          <t>Vcu Investment Management Company</t>
        </is>
      </c>
      <c r="B490" s="20" t="inlineStr">
        <is>
          <t>VA</t>
        </is>
      </c>
      <c r="C490" s="42" t="n">
        <v>2.89</v>
      </c>
      <c r="D490" t="inlineStr">
        <is>
          <t>Endowment</t>
        </is>
      </c>
      <c r="E490" s="20" t="n">
        <v>2025</v>
      </c>
      <c r="F490" s="20">
        <f>IF(AND(OR(in_Mode="All Funds",AND(C490&gt;=in_BandFloor,C490&lt;=in_BandCeiling,OR(in_Geography="National",COUNTIFS(lst_GeoPreset,in_Geography,lst_GeoState,B490)&gt;0,AND(in_Geography="Custom",ISNUMBER(SEARCH(B490,SUBSTITUTE(in_CustomStates," ",""))))),OR(AND(D490="Endowment",Inputs!$B$14="Y"),AND(D490="Foundation",Inputs!$B$15="Y"),AND(D490="Healthcare",Inputs!$B$16="Y"),AND(D490="Pension",Inputs!$B$17="Y"),AND(D490="OCIO",Inputs!$B$18="Y"),AND(D490="Other",Inputs!$B$19="Y")))),A490&lt;&gt;in_ClientOrg,NOT(AND(in_ExclHarvard="Y",ISNUMBER(SEARCH("Harvard",A490))))),"Y","")</f>
        <v/>
      </c>
      <c r="G490" t="inlineStr">
        <is>
          <t>Lucas Hall</t>
        </is>
      </c>
      <c r="H490" t="inlineStr">
        <is>
          <t>VICE PRESIDENT</t>
        </is>
      </c>
      <c r="I490" t="inlineStr">
        <is>
          <t>Investment Officer</t>
        </is>
      </c>
      <c r="J490" s="21" t="n"/>
      <c r="K490" s="21" t="n"/>
      <c r="L490" s="21" t="n"/>
      <c r="M490" s="21" t="n"/>
      <c r="N490" s="21" t="n"/>
      <c r="O490" s="21" t="n"/>
      <c r="P490" s="21" t="n">
        <v>136830</v>
      </c>
      <c r="Q490" s="21" t="n">
        <v>136830</v>
      </c>
      <c r="R490" s="21">
        <f>IF(Q490="","",Q490*(1+in_GrowthRate)^(YEARFRAC(DATE(2025,6,30),in_AgeToDate)*IF(in_AgeToDate&lt;DATE(2025,6,30),-1,1)+1))</f>
        <v/>
      </c>
      <c r="S490" s="38" t="n"/>
      <c r="T490" s="43">
        <f>HYPERLINK("https://projects.propublica.org/nonprofits/organizations/474815851/202600199349300105/full","view filing")</f>
        <v/>
      </c>
    </row>
    <row r="491">
      <c r="A491" t="inlineStr">
        <is>
          <t>Vcu Investment Management Company</t>
        </is>
      </c>
      <c r="B491" s="20" t="inlineStr">
        <is>
          <t>VA</t>
        </is>
      </c>
      <c r="C491" s="42" t="n">
        <v>2.89</v>
      </c>
      <c r="D491" t="inlineStr">
        <is>
          <t>Endowment</t>
        </is>
      </c>
      <c r="E491" s="20" t="n">
        <v>2025</v>
      </c>
      <c r="F491" s="20">
        <f>IF(AND(OR(in_Mode="All Funds",AND(C491&gt;=in_BandFloor,C491&lt;=in_BandCeiling,OR(in_Geography="National",COUNTIFS(lst_GeoPreset,in_Geography,lst_GeoState,B491)&gt;0,AND(in_Geography="Custom",ISNUMBER(SEARCH(B491,SUBSTITUTE(in_CustomStates," ",""))))),OR(AND(D491="Endowment",Inputs!$B$14="Y"),AND(D491="Foundation",Inputs!$B$15="Y"),AND(D491="Healthcare",Inputs!$B$16="Y"),AND(D491="Pension",Inputs!$B$17="Y"),AND(D491="OCIO",Inputs!$B$18="Y"),AND(D491="Other",Inputs!$B$19="Y")))),A491&lt;&gt;in_ClientOrg,NOT(AND(in_ExclHarvard="Y",ISNUMBER(SEARCH("Harvard",A491))))),"Y","")</f>
        <v/>
      </c>
      <c r="G491" t="inlineStr">
        <is>
          <t>Sarah Khouri</t>
        </is>
      </c>
      <c r="H491" t="inlineStr">
        <is>
          <t>VICE PRESIDENT</t>
        </is>
      </c>
      <c r="I491" t="inlineStr">
        <is>
          <t>Investment Officer</t>
        </is>
      </c>
      <c r="J491" s="21" t="n">
        <v>137981</v>
      </c>
      <c r="K491" s="21" t="n">
        <v>39000</v>
      </c>
      <c r="L491" s="21" t="n">
        <v>176981</v>
      </c>
      <c r="M491" s="21" t="n"/>
      <c r="N491" s="21" t="n"/>
      <c r="O491" s="21" t="n">
        <v>11990</v>
      </c>
      <c r="P491" s="21" t="n">
        <v>188971</v>
      </c>
      <c r="Q491" s="21" t="n">
        <v>188971</v>
      </c>
      <c r="R491" s="21">
        <f>IF(Q491="","",Q491*(1+in_GrowthRate)^(YEARFRAC(DATE(2025,6,30),in_AgeToDate)*IF(in_AgeToDate&lt;DATE(2025,6,30),-1,1)+1))</f>
        <v/>
      </c>
      <c r="S491" s="38" t="n">
        <v>0.2826476109029504</v>
      </c>
      <c r="T491" s="43">
        <f>HYPERLINK("https://projects.propublica.org/nonprofits/organizations/474815851/202600199349300105/full","view filing")</f>
        <v/>
      </c>
    </row>
    <row r="492">
      <c r="A492" t="inlineStr">
        <is>
          <t>Vcu Investment Management Company</t>
        </is>
      </c>
      <c r="B492" s="20" t="inlineStr">
        <is>
          <t>VA</t>
        </is>
      </c>
      <c r="C492" s="42" t="n">
        <v>2.89</v>
      </c>
      <c r="D492" t="inlineStr">
        <is>
          <t>Endowment</t>
        </is>
      </c>
      <c r="E492" s="20" t="n">
        <v>2024</v>
      </c>
      <c r="F492" s="20" t="inlineStr"/>
      <c r="G492" t="inlineStr">
        <is>
          <t>Sarah Khouri</t>
        </is>
      </c>
      <c r="H492" t="inlineStr">
        <is>
          <t>VICE PRESIDENT</t>
        </is>
      </c>
      <c r="I492" t="inlineStr">
        <is>
          <t>Investment Officer</t>
        </is>
      </c>
      <c r="J492" s="21" t="n"/>
      <c r="K492" s="21" t="n"/>
      <c r="L492" s="21" t="n"/>
      <c r="M492" s="21" t="n"/>
      <c r="N492" s="21" t="n"/>
      <c r="O492" s="21" t="n"/>
      <c r="P492" s="21" t="n">
        <v>137441</v>
      </c>
      <c r="Q492" s="21" t="n">
        <v>137441</v>
      </c>
      <c r="R492" s="21">
        <f>IF(Q492="","",Q492*(1+in_GrowthRate)^(YEARFRAC(DATE(2024,6,30),in_AgeToDate)*IF(in_AgeToDate&lt;DATE(2024,6,30),-1,1)+1))</f>
        <v/>
      </c>
      <c r="S492" s="38" t="n"/>
      <c r="T492" s="43">
        <f>HYPERLINK("https://projects.propublica.org/nonprofits/organizations/474815851/202433139349303493/full","view filing")</f>
        <v/>
      </c>
    </row>
    <row r="493">
      <c r="A493" t="inlineStr">
        <is>
          <t>Virginia Tech Foundation Inc</t>
        </is>
      </c>
      <c r="B493" s="20" t="inlineStr">
        <is>
          <t>VA</t>
        </is>
      </c>
      <c r="C493" s="42" t="n">
        <v>2.09</v>
      </c>
      <c r="D493" t="inlineStr">
        <is>
          <t>Foundation</t>
        </is>
      </c>
      <c r="E493" s="20" t="n">
        <v>2025</v>
      </c>
      <c r="F493" s="20">
        <f>IF(AND(OR(in_Mode="All Funds",AND(C493&gt;=in_BandFloor,C493&lt;=in_BandCeiling,OR(in_Geography="National",COUNTIFS(lst_GeoPreset,in_Geography,lst_GeoState,B493)&gt;0,AND(in_Geography="Custom",ISNUMBER(SEARCH(B493,SUBSTITUTE(in_CustomStates," ",""))))),OR(AND(D493="Endowment",Inputs!$B$14="Y"),AND(D493="Foundation",Inputs!$B$15="Y"),AND(D493="Healthcare",Inputs!$B$16="Y"),AND(D493="Pension",Inputs!$B$17="Y"),AND(D493="OCIO",Inputs!$B$18="Y"),AND(D493="Other",Inputs!$B$19="Y")))),A493&lt;&gt;in_ClientOrg,NOT(AND(in_ExclHarvard="Y",ISNUMBER(SEARCH("Harvard",A493))))),"Y","")</f>
        <v/>
      </c>
      <c r="G493" t="inlineStr">
        <is>
          <t>Mr Louie Vuong</t>
        </is>
      </c>
      <c r="H493" t="inlineStr">
        <is>
          <t>INVESTMENT MANAGER</t>
        </is>
      </c>
      <c r="I493" t="inlineStr">
        <is>
          <t>Investment Manager</t>
        </is>
      </c>
      <c r="J493" s="21" t="n">
        <v>237049</v>
      </c>
      <c r="K493" s="21" t="n">
        <v>162500</v>
      </c>
      <c r="L493" s="21" t="n">
        <v>399549</v>
      </c>
      <c r="M493" s="21" t="n">
        <v>6434</v>
      </c>
      <c r="N493" s="21" t="n">
        <v>43407</v>
      </c>
      <c r="O493" s="21" t="n">
        <v>12644</v>
      </c>
      <c r="P493" s="21" t="n">
        <v>462034</v>
      </c>
      <c r="Q493" s="21" t="n">
        <v>462034</v>
      </c>
      <c r="R493" s="21">
        <f>IF(Q493="","",Q493*(1+in_GrowthRate)^(YEARFRAC(DATE(2025,6,30),in_AgeToDate)*IF(in_AgeToDate&lt;DATE(2025,6,30),-1,1)+1))</f>
        <v/>
      </c>
      <c r="S493" s="38" t="n">
        <v>0.685512278052217</v>
      </c>
      <c r="T493" s="43">
        <f>HYPERLINK("https://projects.propublica.org/nonprofits/organizations/540721690/202621689349300007/full","view filing")</f>
        <v/>
      </c>
    </row>
    <row r="494">
      <c r="A494" t="inlineStr">
        <is>
          <t>Virginia Tech Foundation Inc</t>
        </is>
      </c>
      <c r="B494" s="20" t="inlineStr">
        <is>
          <t>VA</t>
        </is>
      </c>
      <c r="C494" s="42" t="n">
        <v>2.09</v>
      </c>
      <c r="D494" t="inlineStr">
        <is>
          <t>Foundation</t>
        </is>
      </c>
      <c r="E494" s="20" t="n">
        <v>2022</v>
      </c>
      <c r="F494" s="20" t="inlineStr"/>
      <c r="G494" t="inlineStr">
        <is>
          <t>Mr Bryan H Boehling</t>
        </is>
      </c>
      <c r="H494" t="inlineStr">
        <is>
          <t>INVESTMENT MANAGER</t>
        </is>
      </c>
      <c r="I494" t="inlineStr">
        <is>
          <t>Investment Manager</t>
        </is>
      </c>
      <c r="J494" s="21" t="n">
        <v>227438</v>
      </c>
      <c r="K494" s="21" t="n"/>
      <c r="L494" s="21" t="n">
        <v>227438</v>
      </c>
      <c r="M494" s="21" t="n"/>
      <c r="N494" s="21" t="n">
        <v>24368</v>
      </c>
      <c r="O494" s="21" t="n">
        <v>8939</v>
      </c>
      <c r="P494" s="21" t="n">
        <v>260745</v>
      </c>
      <c r="Q494" s="21" t="n">
        <v>260745</v>
      </c>
      <c r="R494" s="21">
        <f>IF(Q494="","",Q494*(1+in_GrowthRate)^(YEARFRAC(DATE(2022,6,30),in_AgeToDate)*IF(in_AgeToDate&lt;DATE(2022,6,30),-1,1)+1))</f>
        <v/>
      </c>
      <c r="S494" s="38" t="n">
        <v>0</v>
      </c>
      <c r="T494" s="43">
        <f>HYPERLINK("https://projects.propublica.org/nonprofits/organizations/540721690/202331359349302283/full","view filing")</f>
        <v/>
      </c>
    </row>
    <row r="495">
      <c r="A495" t="inlineStr">
        <is>
          <t>Virginia Tech Foundation Inc</t>
        </is>
      </c>
      <c r="B495" s="20" t="inlineStr">
        <is>
          <t>VA</t>
        </is>
      </c>
      <c r="C495" s="42" t="n">
        <v>2.09</v>
      </c>
      <c r="D495" t="inlineStr">
        <is>
          <t>Foundation</t>
        </is>
      </c>
      <c r="E495" s="20" t="n">
        <v>2022</v>
      </c>
      <c r="F495" s="20" t="inlineStr"/>
      <c r="G495" t="inlineStr">
        <is>
          <t>Mr Ebenhard Stoddard</t>
        </is>
      </c>
      <c r="H495" t="inlineStr">
        <is>
          <t>INVESTMENT MANAGER</t>
        </is>
      </c>
      <c r="I495" t="inlineStr">
        <is>
          <t>Investment Manager</t>
        </is>
      </c>
      <c r="J495" s="21" t="n">
        <v>228792</v>
      </c>
      <c r="K495" s="21" t="n"/>
      <c r="L495" s="21" t="n">
        <v>228792</v>
      </c>
      <c r="M495" s="21" t="n"/>
      <c r="N495" s="21" t="n">
        <v>24892</v>
      </c>
      <c r="O495" s="21" t="n">
        <v>22411</v>
      </c>
      <c r="P495" s="21" t="n">
        <v>276095</v>
      </c>
      <c r="Q495" s="21" t="n">
        <v>276095</v>
      </c>
      <c r="R495" s="21">
        <f>IF(Q495="","",Q495*(1+in_GrowthRate)^(YEARFRAC(DATE(2022,6,30),in_AgeToDate)*IF(in_AgeToDate&lt;DATE(2022,6,30),-1,1)+1))</f>
        <v/>
      </c>
      <c r="S495" s="38" t="n">
        <v>0</v>
      </c>
      <c r="T495" s="43">
        <f>HYPERLINK("https://projects.propublica.org/nonprofits/organizations/540721690/202331359349302283/full","view filing")</f>
        <v/>
      </c>
    </row>
    <row r="496">
      <c r="A496" t="inlineStr">
        <is>
          <t>W K Kellogg Foundation</t>
        </is>
      </c>
      <c r="B496" s="20" t="inlineStr">
        <is>
          <t>MI</t>
        </is>
      </c>
      <c r="C496" s="42" t="n">
        <v>0.38</v>
      </c>
      <c r="D496" t="inlineStr">
        <is>
          <t>Foundation</t>
        </is>
      </c>
      <c r="E496" s="20" t="n">
        <v>2025</v>
      </c>
      <c r="F496" s="20">
        <f>IF(AND(OR(in_Mode="All Funds",AND(C496&gt;=in_BandFloor,C496&lt;=in_BandCeiling,OR(in_Geography="National",COUNTIFS(lst_GeoPreset,in_Geography,lst_GeoState,B496)&gt;0,AND(in_Geography="Custom",ISNUMBER(SEARCH(B496,SUBSTITUTE(in_CustomStates," ",""))))),OR(AND(D496="Endowment",Inputs!$B$14="Y"),AND(D496="Foundation",Inputs!$B$15="Y"),AND(D496="Healthcare",Inputs!$B$16="Y"),AND(D496="Pension",Inputs!$B$17="Y"),AND(D496="OCIO",Inputs!$B$18="Y"),AND(D496="Other",Inputs!$B$19="Y")))),A496&lt;&gt;in_ClientOrg,NOT(AND(in_ExclHarvard="Y",ISNUMBER(SEARCH("Harvard",A496))))),"Y","")</f>
        <v/>
      </c>
      <c r="G496" t="inlineStr">
        <is>
          <t>Neal Graziano</t>
        </is>
      </c>
      <c r="H496" t="inlineStr">
        <is>
          <t>DIR OF INVESTMENTS</t>
        </is>
      </c>
      <c r="I496" t="inlineStr">
        <is>
          <t>Director of Investments</t>
        </is>
      </c>
      <c r="J496" s="21" t="n"/>
      <c r="K496" s="21" t="n"/>
      <c r="L496" s="21" t="n"/>
      <c r="M496" s="21" t="n"/>
      <c r="N496" s="21" t="n"/>
      <c r="O496" s="21" t="n"/>
      <c r="P496" s="21" t="n">
        <v>512766</v>
      </c>
      <c r="Q496" s="21" t="n">
        <v>512766</v>
      </c>
      <c r="R496" s="21">
        <f>IF(Q496="","",Q496*(1+in_GrowthRate)^(YEARFRAC(DATE(2025,8,31),in_AgeToDate)*IF(in_AgeToDate&lt;DATE(2025,8,31),-1,1)+1))</f>
        <v/>
      </c>
      <c r="S496" s="38" t="n"/>
      <c r="T496" s="43">
        <f>HYPERLINK("https://projects.propublica.org/nonprofits/organizations/381359264/202641599349100729/full","view filing")</f>
        <v/>
      </c>
    </row>
    <row r="497">
      <c r="A497" t="inlineStr">
        <is>
          <t>W K Kellogg Foundation</t>
        </is>
      </c>
      <c r="B497" s="20" t="inlineStr">
        <is>
          <t>MI</t>
        </is>
      </c>
      <c r="C497" s="42" t="n">
        <v>0.38</v>
      </c>
      <c r="D497" t="inlineStr">
        <is>
          <t>Foundation</t>
        </is>
      </c>
      <c r="E497" s="20" t="n">
        <v>2025</v>
      </c>
      <c r="F497" s="20">
        <f>IF(AND(OR(in_Mode="All Funds",AND(C497&gt;=in_BandFloor,C497&lt;=in_BandCeiling,OR(in_Geography="National",COUNTIFS(lst_GeoPreset,in_Geography,lst_GeoState,B497)&gt;0,AND(in_Geography="Custom",ISNUMBER(SEARCH(B497,SUBSTITUTE(in_CustomStates," ",""))))),OR(AND(D497="Endowment",Inputs!$B$14="Y"),AND(D497="Foundation",Inputs!$B$15="Y"),AND(D497="Healthcare",Inputs!$B$16="Y"),AND(D497="Pension",Inputs!$B$17="Y"),AND(D497="OCIO",Inputs!$B$18="Y"),AND(D497="Other",Inputs!$B$19="Y")))),A497&lt;&gt;in_ClientOrg,NOT(AND(in_ExclHarvard="Y",ISNUMBER(SEARCH("Harvard",A497))))),"Y","")</f>
        <v/>
      </c>
      <c r="G497" t="inlineStr">
        <is>
          <t>Reginald Sanders</t>
        </is>
      </c>
      <c r="H497" t="inlineStr">
        <is>
          <t>DIR OF INVESTMENTS</t>
        </is>
      </c>
      <c r="I497" t="inlineStr">
        <is>
          <t>Director of Investments</t>
        </is>
      </c>
      <c r="J497" s="21" t="n"/>
      <c r="K497" s="21" t="n"/>
      <c r="L497" s="21" t="n"/>
      <c r="M497" s="21" t="n"/>
      <c r="N497" s="21" t="n"/>
      <c r="O497" s="21" t="n"/>
      <c r="P497" s="21" t="n">
        <v>605199</v>
      </c>
      <c r="Q497" s="21" t="n">
        <v>605199</v>
      </c>
      <c r="R497" s="21">
        <f>IF(Q497="","",Q497*(1+in_GrowthRate)^(YEARFRAC(DATE(2025,8,31),in_AgeToDate)*IF(in_AgeToDate&lt;DATE(2025,8,31),-1,1)+1))</f>
        <v/>
      </c>
      <c r="S497" s="38" t="n"/>
      <c r="T497" s="43">
        <f>HYPERLINK("https://projects.propublica.org/nonprofits/organizations/381359264/202641599349100729/full","view filing")</f>
        <v/>
      </c>
    </row>
    <row r="498">
      <c r="A498" t="inlineStr">
        <is>
          <t>W K Kellogg Foundation</t>
        </is>
      </c>
      <c r="B498" s="20" t="inlineStr">
        <is>
          <t>MI</t>
        </is>
      </c>
      <c r="C498" s="42" t="n">
        <v>0.38</v>
      </c>
      <c r="D498" t="inlineStr">
        <is>
          <t>Foundation</t>
        </is>
      </c>
      <c r="E498" s="20" t="n">
        <v>2025</v>
      </c>
      <c r="F498" s="20">
        <f>IF(AND(OR(in_Mode="All Funds",AND(C498&gt;=in_BandFloor,C498&lt;=in_BandCeiling,OR(in_Geography="National",COUNTIFS(lst_GeoPreset,in_Geography,lst_GeoState,B498)&gt;0,AND(in_Geography="Custom",ISNUMBER(SEARCH(B498,SUBSTITUTE(in_CustomStates," ",""))))),OR(AND(D498="Endowment",Inputs!$B$14="Y"),AND(D498="Foundation",Inputs!$B$15="Y"),AND(D498="Healthcare",Inputs!$B$16="Y"),AND(D498="Pension",Inputs!$B$17="Y"),AND(D498="OCIO",Inputs!$B$18="Y"),AND(D498="Other",Inputs!$B$19="Y")))),A498&lt;&gt;in_ClientOrg,NOT(AND(in_ExclHarvard="Y",ISNUMBER(SEARCH("Harvard",A498))))),"Y","")</f>
        <v/>
      </c>
      <c r="G498" t="inlineStr">
        <is>
          <t>Shanelle Brown</t>
        </is>
      </c>
      <c r="H498" t="inlineStr">
        <is>
          <t>DIR OF INVESTMENTS</t>
        </is>
      </c>
      <c r="I498" t="inlineStr">
        <is>
          <t>Director of Investments</t>
        </is>
      </c>
      <c r="J498" s="21" t="n"/>
      <c r="K498" s="21" t="n"/>
      <c r="L498" s="21" t="n"/>
      <c r="M498" s="21" t="n"/>
      <c r="N498" s="21" t="n"/>
      <c r="O498" s="21" t="n"/>
      <c r="P498" s="21" t="n">
        <v>577595</v>
      </c>
      <c r="Q498" s="21" t="n">
        <v>577595</v>
      </c>
      <c r="R498" s="21">
        <f>IF(Q498="","",Q498*(1+in_GrowthRate)^(YEARFRAC(DATE(2025,8,31),in_AgeToDate)*IF(in_AgeToDate&lt;DATE(2025,8,31),-1,1)+1))</f>
        <v/>
      </c>
      <c r="S498" s="38" t="n"/>
      <c r="T498" s="43">
        <f>HYPERLINK("https://projects.propublica.org/nonprofits/organizations/381359264/202641599349100729/full","view filing")</f>
        <v/>
      </c>
    </row>
    <row r="499">
      <c r="A499" t="inlineStr">
        <is>
          <t>W K Kellogg Foundation</t>
        </is>
      </c>
      <c r="B499" s="20" t="inlineStr">
        <is>
          <t>MI</t>
        </is>
      </c>
      <c r="C499" s="42" t="n">
        <v>0.38</v>
      </c>
      <c r="D499" t="inlineStr">
        <is>
          <t>Foundation</t>
        </is>
      </c>
      <c r="E499" s="20" t="n">
        <v>2024</v>
      </c>
      <c r="F499" s="20" t="inlineStr"/>
      <c r="G499" t="inlineStr">
        <is>
          <t>Neal Graziano</t>
        </is>
      </c>
      <c r="H499" t="inlineStr">
        <is>
          <t>DIR OF INVESTMENTS</t>
        </is>
      </c>
      <c r="I499" t="inlineStr">
        <is>
          <t>Director of Investments</t>
        </is>
      </c>
      <c r="J499" s="21" t="n"/>
      <c r="K499" s="21" t="n"/>
      <c r="L499" s="21" t="n"/>
      <c r="M499" s="21" t="n"/>
      <c r="N499" s="21" t="n"/>
      <c r="O499" s="21" t="n"/>
      <c r="P499" s="21" t="n">
        <v>797768</v>
      </c>
      <c r="Q499" s="21" t="n">
        <v>797768</v>
      </c>
      <c r="R499" s="21">
        <f>IF(Q499="","",Q499*(1+in_GrowthRate)^(YEARFRAC(DATE(2024,8,31),in_AgeToDate)*IF(in_AgeToDate&lt;DATE(2024,8,31),-1,1)+1))</f>
        <v/>
      </c>
      <c r="S499" s="38" t="n"/>
      <c r="T499" s="43">
        <f>HYPERLINK("https://projects.propublica.org/nonprofits/organizations/381359264/202541889349100144/full","view filing")</f>
        <v/>
      </c>
    </row>
    <row r="500">
      <c r="A500" t="inlineStr">
        <is>
          <t>W K Kellogg Foundation</t>
        </is>
      </c>
      <c r="B500" s="20" t="inlineStr">
        <is>
          <t>MI</t>
        </is>
      </c>
      <c r="C500" s="42" t="n">
        <v>0.38</v>
      </c>
      <c r="D500" t="inlineStr">
        <is>
          <t>Foundation</t>
        </is>
      </c>
      <c r="E500" s="20" t="n">
        <v>2024</v>
      </c>
      <c r="F500" s="20" t="inlineStr"/>
      <c r="G500" t="inlineStr">
        <is>
          <t>Reginald Sandars</t>
        </is>
      </c>
      <c r="H500" t="inlineStr">
        <is>
          <t>DIR OF INVESTMENTS</t>
        </is>
      </c>
      <c r="I500" t="inlineStr">
        <is>
          <t>Director of Investments</t>
        </is>
      </c>
      <c r="J500" s="21" t="n"/>
      <c r="K500" s="21" t="n"/>
      <c r="L500" s="21" t="n"/>
      <c r="M500" s="21" t="n"/>
      <c r="N500" s="21" t="n"/>
      <c r="O500" s="21" t="n"/>
      <c r="P500" s="21" t="n">
        <v>835934</v>
      </c>
      <c r="Q500" s="21" t="n">
        <v>835934</v>
      </c>
      <c r="R500" s="21">
        <f>IF(Q500="","",Q500*(1+in_GrowthRate)^(YEARFRAC(DATE(2024,8,31),in_AgeToDate)*IF(in_AgeToDate&lt;DATE(2024,8,31),-1,1)+1))</f>
        <v/>
      </c>
      <c r="S500" s="38" t="n"/>
      <c r="T500" s="43">
        <f>HYPERLINK("https://projects.propublica.org/nonprofits/organizations/381359264/202541889349100144/full","view filing")</f>
        <v/>
      </c>
    </row>
    <row r="501">
      <c r="A501" t="inlineStr">
        <is>
          <t>W K Kellogg Foundation</t>
        </is>
      </c>
      <c r="B501" s="20" t="inlineStr">
        <is>
          <t>MI</t>
        </is>
      </c>
      <c r="C501" s="42" t="n">
        <v>0.38</v>
      </c>
      <c r="D501" t="inlineStr">
        <is>
          <t>Foundation</t>
        </is>
      </c>
      <c r="E501" s="20" t="n">
        <v>2024</v>
      </c>
      <c r="F501" s="20" t="inlineStr"/>
      <c r="G501" t="inlineStr">
        <is>
          <t>Shanelle Brown</t>
        </is>
      </c>
      <c r="H501" t="inlineStr">
        <is>
          <t>DIR OF INVESTMENTS</t>
        </is>
      </c>
      <c r="I501" t="inlineStr">
        <is>
          <t>Director of Investments</t>
        </is>
      </c>
      <c r="J501" s="21" t="n"/>
      <c r="K501" s="21" t="n"/>
      <c r="L501" s="21" t="n"/>
      <c r="M501" s="21" t="n"/>
      <c r="N501" s="21" t="n"/>
      <c r="O501" s="21" t="n"/>
      <c r="P501" s="21" t="n">
        <v>851361</v>
      </c>
      <c r="Q501" s="21" t="n">
        <v>851361</v>
      </c>
      <c r="R501" s="21">
        <f>IF(Q501="","",Q501*(1+in_GrowthRate)^(YEARFRAC(DATE(2024,8,31),in_AgeToDate)*IF(in_AgeToDate&lt;DATE(2024,8,31),-1,1)+1))</f>
        <v/>
      </c>
      <c r="S501" s="38" t="n"/>
      <c r="T501" s="43">
        <f>HYPERLINK("https://projects.propublica.org/nonprofits/organizations/381359264/202541889349100144/full","view filing")</f>
        <v/>
      </c>
    </row>
    <row r="502">
      <c r="A502" t="inlineStr">
        <is>
          <t>W K Kellogg Foundation</t>
        </is>
      </c>
      <c r="B502" s="20" t="inlineStr">
        <is>
          <t>MI</t>
        </is>
      </c>
      <c r="C502" s="42" t="n">
        <v>0.38</v>
      </c>
      <c r="D502" t="inlineStr">
        <is>
          <t>Foundation</t>
        </is>
      </c>
      <c r="E502" s="20" t="n">
        <v>2023</v>
      </c>
      <c r="F502" s="20" t="inlineStr"/>
      <c r="G502" t="inlineStr">
        <is>
          <t>Neal Graziano</t>
        </is>
      </c>
      <c r="H502" t="inlineStr">
        <is>
          <t>DIR OF INVESTMENTS</t>
        </is>
      </c>
      <c r="I502" t="inlineStr">
        <is>
          <t>Director of Investments</t>
        </is>
      </c>
      <c r="J502" s="21" t="n"/>
      <c r="K502" s="21" t="n"/>
      <c r="L502" s="21" t="n"/>
      <c r="M502" s="21" t="n"/>
      <c r="N502" s="21" t="n"/>
      <c r="O502" s="21" t="n"/>
      <c r="P502" s="21" t="n">
        <v>785977</v>
      </c>
      <c r="Q502" s="21" t="n">
        <v>785977</v>
      </c>
      <c r="R502" s="21">
        <f>IF(Q502="","",Q502*(1+in_GrowthRate)^(YEARFRAC(DATE(2023,8,31),in_AgeToDate)*IF(in_AgeToDate&lt;DATE(2023,8,31),-1,1)+1))</f>
        <v/>
      </c>
      <c r="S502" s="38" t="n"/>
      <c r="T502" s="43">
        <f>HYPERLINK("https://projects.propublica.org/nonprofits/organizations/381359264/202431519349100813/full","view filing")</f>
        <v/>
      </c>
    </row>
    <row r="503">
      <c r="A503" t="inlineStr">
        <is>
          <t>W K Kellogg Foundation</t>
        </is>
      </c>
      <c r="B503" s="20" t="inlineStr">
        <is>
          <t>MI</t>
        </is>
      </c>
      <c r="C503" s="42" t="n">
        <v>0.38</v>
      </c>
      <c r="D503" t="inlineStr">
        <is>
          <t>Foundation</t>
        </is>
      </c>
      <c r="E503" s="20" t="n">
        <v>2023</v>
      </c>
      <c r="F503" s="20" t="inlineStr"/>
      <c r="G503" t="inlineStr">
        <is>
          <t>Reginald Sanders</t>
        </is>
      </c>
      <c r="H503" t="inlineStr">
        <is>
          <t>DIR OF INVESTMENTS</t>
        </is>
      </c>
      <c r="I503" t="inlineStr">
        <is>
          <t>Director of Investments</t>
        </is>
      </c>
      <c r="J503" s="21" t="n"/>
      <c r="K503" s="21" t="n"/>
      <c r="L503" s="21" t="n"/>
      <c r="M503" s="21" t="n"/>
      <c r="N503" s="21" t="n"/>
      <c r="O503" s="21" t="n"/>
      <c r="P503" s="21" t="n">
        <v>823846</v>
      </c>
      <c r="Q503" s="21" t="n">
        <v>823846</v>
      </c>
      <c r="R503" s="21">
        <f>IF(Q503="","",Q503*(1+in_GrowthRate)^(YEARFRAC(DATE(2023,8,31),in_AgeToDate)*IF(in_AgeToDate&lt;DATE(2023,8,31),-1,1)+1))</f>
        <v/>
      </c>
      <c r="S503" s="38" t="n"/>
      <c r="T503" s="43">
        <f>HYPERLINK("https://projects.propublica.org/nonprofits/organizations/381359264/202431519349100813/full","view filing")</f>
        <v/>
      </c>
    </row>
    <row r="504">
      <c r="A504" t="inlineStr">
        <is>
          <t>W K Kellogg Foundation</t>
        </is>
      </c>
      <c r="B504" s="20" t="inlineStr">
        <is>
          <t>MI</t>
        </is>
      </c>
      <c r="C504" s="42" t="n">
        <v>0.38</v>
      </c>
      <c r="D504" t="inlineStr">
        <is>
          <t>Foundation</t>
        </is>
      </c>
      <c r="E504" s="20" t="n">
        <v>2023</v>
      </c>
      <c r="F504" s="20" t="inlineStr"/>
      <c r="G504" t="inlineStr">
        <is>
          <t>Shanelle Brown</t>
        </is>
      </c>
      <c r="H504" t="inlineStr">
        <is>
          <t>DIR OF INVESTMENTS</t>
        </is>
      </c>
      <c r="I504" t="inlineStr">
        <is>
          <t>Director of Investments</t>
        </is>
      </c>
      <c r="J504" s="21" t="n"/>
      <c r="K504" s="21" t="n"/>
      <c r="L504" s="21" t="n"/>
      <c r="M504" s="21" t="n"/>
      <c r="N504" s="21" t="n"/>
      <c r="O504" s="21" t="n"/>
      <c r="P504" s="21" t="n">
        <v>785508</v>
      </c>
      <c r="Q504" s="21" t="n">
        <v>785508</v>
      </c>
      <c r="R504" s="21">
        <f>IF(Q504="","",Q504*(1+in_GrowthRate)^(YEARFRAC(DATE(2023,8,31),in_AgeToDate)*IF(in_AgeToDate&lt;DATE(2023,8,31),-1,1)+1))</f>
        <v/>
      </c>
      <c r="S504" s="38" t="n"/>
      <c r="T504" s="43">
        <f>HYPERLINK("https://projects.propublica.org/nonprofits/organizations/381359264/202431519349100813/full","view filing")</f>
        <v/>
      </c>
    </row>
    <row r="505">
      <c r="A505" t="inlineStr">
        <is>
          <t>W K Kellogg Foundation</t>
        </is>
      </c>
      <c r="B505" s="20" t="inlineStr">
        <is>
          <t>MI</t>
        </is>
      </c>
      <c r="C505" s="42" t="n">
        <v>0.38</v>
      </c>
      <c r="D505" t="inlineStr">
        <is>
          <t>Foundation</t>
        </is>
      </c>
      <c r="E505" s="20" t="n">
        <v>2022</v>
      </c>
      <c r="F505" s="20" t="inlineStr"/>
      <c r="G505" t="inlineStr">
        <is>
          <t>Neal Graziano</t>
        </is>
      </c>
      <c r="H505" t="inlineStr">
        <is>
          <t>DIR OF INVESTMENTS</t>
        </is>
      </c>
      <c r="I505" t="inlineStr">
        <is>
          <t>Director of Investments</t>
        </is>
      </c>
      <c r="J505" s="21" t="n"/>
      <c r="K505" s="21" t="n"/>
      <c r="L505" s="21" t="n"/>
      <c r="M505" s="21" t="n"/>
      <c r="N505" s="21" t="n"/>
      <c r="O505" s="21" t="n"/>
      <c r="P505" s="21" t="n">
        <v>713310</v>
      </c>
      <c r="Q505" s="21" t="n">
        <v>713310</v>
      </c>
      <c r="R505" s="21">
        <f>IF(Q505="","",Q505*(1+in_GrowthRate)^(YEARFRAC(DATE(2022,8,31),in_AgeToDate)*IF(in_AgeToDate&lt;DATE(2022,8,31),-1,1)+1))</f>
        <v/>
      </c>
      <c r="S505" s="38" t="n"/>
      <c r="T505" s="43">
        <f>HYPERLINK("https://projects.propublica.org/nonprofits/organizations/381359264/202321719349100307/full","view filing")</f>
        <v/>
      </c>
    </row>
    <row r="506">
      <c r="A506" t="inlineStr">
        <is>
          <t>W K Kellogg Foundation</t>
        </is>
      </c>
      <c r="B506" s="20" t="inlineStr">
        <is>
          <t>MI</t>
        </is>
      </c>
      <c r="C506" s="42" t="n">
        <v>0.38</v>
      </c>
      <c r="D506" t="inlineStr">
        <is>
          <t>Foundation</t>
        </is>
      </c>
      <c r="E506" s="20" t="n">
        <v>2022</v>
      </c>
      <c r="F506" s="20" t="inlineStr"/>
      <c r="G506" t="inlineStr">
        <is>
          <t>Reginald Sanders</t>
        </is>
      </c>
      <c r="H506" t="inlineStr">
        <is>
          <t>DIR OF INVESTMENTS</t>
        </is>
      </c>
      <c r="I506" t="inlineStr">
        <is>
          <t>Director of Investments</t>
        </is>
      </c>
      <c r="J506" s="21" t="n"/>
      <c r="K506" s="21" t="n"/>
      <c r="L506" s="21" t="n"/>
      <c r="M506" s="21" t="n"/>
      <c r="N506" s="21" t="n"/>
      <c r="O506" s="21" t="n"/>
      <c r="P506" s="21" t="n">
        <v>760408</v>
      </c>
      <c r="Q506" s="21" t="n">
        <v>760408</v>
      </c>
      <c r="R506" s="21">
        <f>IF(Q506="","",Q506*(1+in_GrowthRate)^(YEARFRAC(DATE(2022,8,31),in_AgeToDate)*IF(in_AgeToDate&lt;DATE(2022,8,31),-1,1)+1))</f>
        <v/>
      </c>
      <c r="S506" s="38" t="n"/>
      <c r="T506" s="43">
        <f>HYPERLINK("https://projects.propublica.org/nonprofits/organizations/381359264/202321719349100307/full","view filing")</f>
        <v/>
      </c>
    </row>
    <row r="507">
      <c r="A507" t="inlineStr">
        <is>
          <t>W K Kellogg Foundation</t>
        </is>
      </c>
      <c r="B507" s="20" t="inlineStr">
        <is>
          <t>MI</t>
        </is>
      </c>
      <c r="C507" s="42" t="n">
        <v>0.38</v>
      </c>
      <c r="D507" t="inlineStr">
        <is>
          <t>Foundation</t>
        </is>
      </c>
      <c r="E507" s="20" t="n">
        <v>2022</v>
      </c>
      <c r="F507" s="20" t="inlineStr"/>
      <c r="G507" t="inlineStr">
        <is>
          <t>Shanelle Brown</t>
        </is>
      </c>
      <c r="H507" t="inlineStr">
        <is>
          <t>DIR OF INVESTMENTS</t>
        </is>
      </c>
      <c r="I507" t="inlineStr">
        <is>
          <t>Director of Investments</t>
        </is>
      </c>
      <c r="J507" s="21" t="n"/>
      <c r="K507" s="21" t="n"/>
      <c r="L507" s="21" t="n"/>
      <c r="M507" s="21" t="n"/>
      <c r="N507" s="21" t="n"/>
      <c r="O507" s="21" t="n"/>
      <c r="P507" s="21" t="n">
        <v>528400</v>
      </c>
      <c r="Q507" s="21" t="n">
        <v>528400</v>
      </c>
      <c r="R507" s="21">
        <f>IF(Q507="","",Q507*(1+in_GrowthRate)^(YEARFRAC(DATE(2022,8,31),in_AgeToDate)*IF(in_AgeToDate&lt;DATE(2022,8,31),-1,1)+1))</f>
        <v/>
      </c>
      <c r="S507" s="38" t="n"/>
      <c r="T507" s="43">
        <f>HYPERLINK("https://projects.propublica.org/nonprofits/organizations/381359264/202321719349100307/full","view filing")</f>
        <v/>
      </c>
    </row>
    <row r="508">
      <c r="A508" t="inlineStr">
        <is>
          <t>Wellesley College</t>
        </is>
      </c>
      <c r="B508" s="20" t="inlineStr">
        <is>
          <t>MA</t>
        </is>
      </c>
      <c r="C508" s="42" t="n">
        <v>3.19</v>
      </c>
      <c r="D508" t="inlineStr">
        <is>
          <t>Endowment</t>
        </is>
      </c>
      <c r="E508" s="20" t="n">
        <v>2025</v>
      </c>
      <c r="F508" s="20">
        <f>IF(AND(OR(in_Mode="All Funds",AND(C508&gt;=in_BandFloor,C508&lt;=in_BandCeiling,OR(in_Geography="National",COUNTIFS(lst_GeoPreset,in_Geography,lst_GeoState,B508)&gt;0,AND(in_Geography="Custom",ISNUMBER(SEARCH(B508,SUBSTITUTE(in_CustomStates," ",""))))),OR(AND(D508="Endowment",Inputs!$B$14="Y"),AND(D508="Foundation",Inputs!$B$15="Y"),AND(D508="Healthcare",Inputs!$B$16="Y"),AND(D508="Pension",Inputs!$B$17="Y"),AND(D508="OCIO",Inputs!$B$18="Y"),AND(D508="Other",Inputs!$B$19="Y")))),A508&lt;&gt;in_ClientOrg,NOT(AND(in_ExclHarvard="Y",ISNUMBER(SEARCH("Harvard",A508))))),"Y","")</f>
        <v/>
      </c>
      <c r="G508" t="inlineStr">
        <is>
          <t>Christopher Parker</t>
        </is>
      </c>
      <c r="H508" t="inlineStr">
        <is>
          <t>Investment Director</t>
        </is>
      </c>
      <c r="I508" t="inlineStr">
        <is>
          <t>Director of Investments</t>
        </is>
      </c>
      <c r="J508" s="21" t="n">
        <v>306441</v>
      </c>
      <c r="K508" s="21" t="n">
        <v>97500</v>
      </c>
      <c r="L508" s="21" t="n">
        <v>403941</v>
      </c>
      <c r="M508" s="21" t="n">
        <v>324</v>
      </c>
      <c r="N508" s="21" t="n">
        <v>61928</v>
      </c>
      <c r="O508" s="21" t="n">
        <v>31562</v>
      </c>
      <c r="P508" s="21" t="n">
        <v>497755</v>
      </c>
      <c r="Q508" s="21" t="n">
        <v>497755</v>
      </c>
      <c r="R508" s="21">
        <f>IF(Q508="","",Q508*(1+in_GrowthRate)^(YEARFRAC(DATE(2025,6,30),in_AgeToDate)*IF(in_AgeToDate&lt;DATE(2025,6,30),-1,1)+1))</f>
        <v/>
      </c>
      <c r="S508" s="38" t="n">
        <v>0.3181689134286861</v>
      </c>
      <c r="T508" s="43">
        <f>HYPERLINK("https://projects.propublica.org/nonprofits/organizations/42103637/202601359349304805/full","view filing")</f>
        <v/>
      </c>
    </row>
    <row r="509">
      <c r="A509" t="inlineStr">
        <is>
          <t>Wellesley College</t>
        </is>
      </c>
      <c r="B509" s="20" t="inlineStr">
        <is>
          <t>MA</t>
        </is>
      </c>
      <c r="C509" s="42" t="n">
        <v>3.19</v>
      </c>
      <c r="D509" t="inlineStr">
        <is>
          <t>Endowment</t>
        </is>
      </c>
      <c r="E509" s="20" t="n">
        <v>2025</v>
      </c>
      <c r="F509" s="20">
        <f>IF(AND(OR(in_Mode="All Funds",AND(C509&gt;=in_BandFloor,C509&lt;=in_BandCeiling,OR(in_Geography="National",COUNTIFS(lst_GeoPreset,in_Geography,lst_GeoState,B509)&gt;0,AND(in_Geography="Custom",ISNUMBER(SEARCH(B509,SUBSTITUTE(in_CustomStates," ",""))))),OR(AND(D509="Endowment",Inputs!$B$14="Y"),AND(D509="Foundation",Inputs!$B$15="Y"),AND(D509="Healthcare",Inputs!$B$16="Y"),AND(D509="Pension",Inputs!$B$17="Y"),AND(D509="OCIO",Inputs!$B$18="Y"),AND(D509="Other",Inputs!$B$19="Y")))),A509&lt;&gt;in_ClientOrg,NOT(AND(in_ExclHarvard="Y",ISNUMBER(SEARCH("Harvard",A509))))),"Y","")</f>
        <v/>
      </c>
      <c r="G509" t="inlineStr">
        <is>
          <t>Matthew Veilleux</t>
        </is>
      </c>
      <c r="H509" t="inlineStr">
        <is>
          <t>Investment Director</t>
        </is>
      </c>
      <c r="I509" t="inlineStr">
        <is>
          <t>Director of Investments</t>
        </is>
      </c>
      <c r="J509" s="21" t="n">
        <v>313782</v>
      </c>
      <c r="K509" s="21" t="n">
        <v>193278</v>
      </c>
      <c r="L509" s="21" t="n">
        <v>507060</v>
      </c>
      <c r="M509" s="21" t="n">
        <v>1324</v>
      </c>
      <c r="N509" s="21" t="n">
        <v>74398</v>
      </c>
      <c r="O509" s="21" t="n">
        <v>6945</v>
      </c>
      <c r="P509" s="21" t="n">
        <v>589727</v>
      </c>
      <c r="Q509" s="21" t="n">
        <v>589727</v>
      </c>
      <c r="R509" s="21">
        <f>IF(Q509="","",Q509*(1+in_GrowthRate)^(YEARFRAC(DATE(2025,6,30),in_AgeToDate)*IF(in_AgeToDate&lt;DATE(2025,6,30),-1,1)+1))</f>
        <v/>
      </c>
      <c r="S509" s="38" t="n">
        <v>0.6159626747232155</v>
      </c>
      <c r="T509" s="43">
        <f>HYPERLINK("https://projects.propublica.org/nonprofits/organizations/42103637/202601359349304805/full","view filing")</f>
        <v/>
      </c>
    </row>
    <row r="510">
      <c r="A510" t="inlineStr">
        <is>
          <t>Wellesley College</t>
        </is>
      </c>
      <c r="B510" s="20" t="inlineStr">
        <is>
          <t>MA</t>
        </is>
      </c>
      <c r="C510" s="42" t="n">
        <v>3.19</v>
      </c>
      <c r="D510" t="inlineStr">
        <is>
          <t>Endowment</t>
        </is>
      </c>
      <c r="E510" s="20" t="n">
        <v>2024</v>
      </c>
      <c r="F510" s="20" t="inlineStr"/>
      <c r="G510" t="inlineStr">
        <is>
          <t>Matthew Veilleux</t>
        </is>
      </c>
      <c r="H510" t="inlineStr">
        <is>
          <t>INVESTMENT DIRECTOR</t>
        </is>
      </c>
      <c r="I510" t="inlineStr">
        <is>
          <t>Director of Investments</t>
        </is>
      </c>
      <c r="J510" s="21" t="n">
        <v>298788</v>
      </c>
      <c r="K510" s="21" t="n">
        <v>184222</v>
      </c>
      <c r="L510" s="21" t="n">
        <v>483010</v>
      </c>
      <c r="M510" s="21" t="n">
        <v>1307</v>
      </c>
      <c r="N510" s="21" t="n">
        <v>28580</v>
      </c>
      <c r="O510" s="21" t="n">
        <v>7894</v>
      </c>
      <c r="P510" s="21" t="n">
        <v>520791</v>
      </c>
      <c r="Q510" s="21" t="n">
        <v>520791</v>
      </c>
      <c r="R510" s="21">
        <f>IF(Q510="","",Q510*(1+in_GrowthRate)^(YEARFRAC(DATE(2024,6,30),in_AgeToDate)*IF(in_AgeToDate&lt;DATE(2024,6,30),-1,1)+1))</f>
        <v/>
      </c>
      <c r="S510" s="38" t="n">
        <v>0.6165642529151104</v>
      </c>
      <c r="T510" s="43">
        <f>HYPERLINK("https://projects.propublica.org/nonprofits/organizations/42103637/202511349349304996/full","view filing")</f>
        <v/>
      </c>
    </row>
    <row r="511">
      <c r="A511" t="inlineStr">
        <is>
          <t>Wellesley College</t>
        </is>
      </c>
      <c r="B511" s="20" t="inlineStr">
        <is>
          <t>MA</t>
        </is>
      </c>
      <c r="C511" s="42" t="n">
        <v>3.19</v>
      </c>
      <c r="D511" t="inlineStr">
        <is>
          <t>Endowment</t>
        </is>
      </c>
      <c r="E511" s="20" t="n">
        <v>2023</v>
      </c>
      <c r="F511" s="20" t="inlineStr"/>
      <c r="G511" t="inlineStr">
        <is>
          <t>Greg Rozolsky</t>
        </is>
      </c>
      <c r="H511" t="inlineStr">
        <is>
          <t>INVESTMENT DIRECTOR</t>
        </is>
      </c>
      <c r="I511" t="inlineStr">
        <is>
          <t>Director of Investments</t>
        </is>
      </c>
      <c r="J511" s="21" t="n">
        <v>338065</v>
      </c>
      <c r="K511" s="21" t="n">
        <v>305419</v>
      </c>
      <c r="L511" s="21" t="n">
        <v>643484</v>
      </c>
      <c r="M511" s="21" t="n">
        <v>93</v>
      </c>
      <c r="N511" s="21" t="n">
        <v>32025</v>
      </c>
      <c r="O511" s="21" t="n">
        <v>11996</v>
      </c>
      <c r="P511" s="21" t="n">
        <v>687598</v>
      </c>
      <c r="Q511" s="21" t="n">
        <v>687598</v>
      </c>
      <c r="R511" s="21">
        <f>IF(Q511="","",Q511*(1+in_GrowthRate)^(YEARFRAC(DATE(2023,6,30),in_AgeToDate)*IF(in_AgeToDate&lt;DATE(2023,6,30),-1,1)+1))</f>
        <v/>
      </c>
      <c r="S511" s="38" t="n">
        <v>0.9034327718042389</v>
      </c>
      <c r="T511" s="43">
        <f>HYPERLINK("https://projects.propublica.org/nonprofits/organizations/42103637/202441359349302624/full","view filing")</f>
        <v/>
      </c>
    </row>
    <row r="512">
      <c r="A512" t="inlineStr">
        <is>
          <t>Wellesley College</t>
        </is>
      </c>
      <c r="B512" s="20" t="inlineStr">
        <is>
          <t>MA</t>
        </is>
      </c>
      <c r="C512" s="42" t="n">
        <v>3.19</v>
      </c>
      <c r="D512" t="inlineStr">
        <is>
          <t>Endowment</t>
        </is>
      </c>
      <c r="E512" s="20" t="n">
        <v>2023</v>
      </c>
      <c r="F512" s="20" t="inlineStr"/>
      <c r="G512" t="inlineStr">
        <is>
          <t>Matthew Veilleux</t>
        </is>
      </c>
      <c r="H512" t="inlineStr">
        <is>
          <t>INVESTMENT DIRECTOR</t>
        </is>
      </c>
      <c r="I512" t="inlineStr">
        <is>
          <t>Director of Investments</t>
        </is>
      </c>
      <c r="J512" s="21" t="n">
        <v>272009</v>
      </c>
      <c r="K512" s="21" t="n">
        <v>271002</v>
      </c>
      <c r="L512" s="21" t="n">
        <v>543011</v>
      </c>
      <c r="M512" s="21" t="n">
        <v>1276</v>
      </c>
      <c r="N512" s="21" t="n">
        <v>31650</v>
      </c>
      <c r="O512" s="21" t="n">
        <v>8670</v>
      </c>
      <c r="P512" s="21" t="n">
        <v>584607</v>
      </c>
      <c r="Q512" s="21" t="n">
        <v>584607</v>
      </c>
      <c r="R512" s="21">
        <f>IF(Q512="","",Q512*(1+in_GrowthRate)^(YEARFRAC(DATE(2023,6,30),in_AgeToDate)*IF(in_AgeToDate&lt;DATE(2023,6,30),-1,1)+1))</f>
        <v/>
      </c>
      <c r="S512" s="38" t="n">
        <v>0.9962979166130532</v>
      </c>
      <c r="T512" s="43">
        <f>HYPERLINK("https://projects.propublica.org/nonprofits/organizations/42103637/202441359349302624/full","view filing")</f>
        <v/>
      </c>
    </row>
    <row r="513">
      <c r="A513" t="inlineStr">
        <is>
          <t>Wellesley College</t>
        </is>
      </c>
      <c r="B513" s="20" t="inlineStr">
        <is>
          <t>MA</t>
        </is>
      </c>
      <c r="C513" s="42" t="n">
        <v>3.19</v>
      </c>
      <c r="D513" t="inlineStr">
        <is>
          <t>Endowment</t>
        </is>
      </c>
      <c r="E513" s="20" t="n">
        <v>2022</v>
      </c>
      <c r="F513" s="20" t="inlineStr"/>
      <c r="G513" t="inlineStr">
        <is>
          <t>Greg Rozolsky</t>
        </is>
      </c>
      <c r="H513" t="inlineStr">
        <is>
          <t>INVESTMENT DIRECTOR</t>
        </is>
      </c>
      <c r="I513" t="inlineStr">
        <is>
          <t>Director of Investments</t>
        </is>
      </c>
      <c r="J513" s="21" t="n">
        <v>269587</v>
      </c>
      <c r="K513" s="21" t="n">
        <v>206200</v>
      </c>
      <c r="L513" s="21" t="n">
        <v>475787</v>
      </c>
      <c r="M513" s="21" t="n">
        <v>275</v>
      </c>
      <c r="N513" s="21" t="n">
        <v>19314</v>
      </c>
      <c r="O513" s="21" t="n">
        <v>20559</v>
      </c>
      <c r="P513" s="21" t="n">
        <v>515935</v>
      </c>
      <c r="Q513" s="21" t="n">
        <v>515935</v>
      </c>
      <c r="R513" s="21">
        <f>IF(Q513="","",Q513*(1+in_GrowthRate)^(YEARFRAC(DATE(2022,6,30),in_AgeToDate)*IF(in_AgeToDate&lt;DATE(2022,6,30),-1,1)+1))</f>
        <v/>
      </c>
      <c r="S513" s="38" t="n">
        <v>0.7648736771431857</v>
      </c>
      <c r="T513" s="43">
        <f>HYPERLINK("https://projects.propublica.org/nonprofits/organizations/42103637/202331359349311153/full","view filing")</f>
        <v/>
      </c>
    </row>
    <row r="514">
      <c r="A514" t="inlineStr">
        <is>
          <t>Wellesley College</t>
        </is>
      </c>
      <c r="B514" s="20" t="inlineStr">
        <is>
          <t>MA</t>
        </is>
      </c>
      <c r="C514" s="42" t="n">
        <v>3.19</v>
      </c>
      <c r="D514" t="inlineStr">
        <is>
          <t>Endowment</t>
        </is>
      </c>
      <c r="E514" s="20" t="n">
        <v>2022</v>
      </c>
      <c r="F514" s="20" t="inlineStr"/>
      <c r="G514" t="inlineStr">
        <is>
          <t>Matthew Veileux</t>
        </is>
      </c>
      <c r="H514" t="inlineStr">
        <is>
          <t>INVESTMENT DIRECTOR</t>
        </is>
      </c>
      <c r="I514" t="inlineStr">
        <is>
          <t>Director of Investments</t>
        </is>
      </c>
      <c r="J514" s="21" t="n">
        <v>226844</v>
      </c>
      <c r="K514" s="21" t="n">
        <v>167560</v>
      </c>
      <c r="L514" s="21" t="n">
        <v>394404</v>
      </c>
      <c r="M514" s="21" t="n">
        <v>1202</v>
      </c>
      <c r="N514" s="21" t="n">
        <v>18125</v>
      </c>
      <c r="O514" s="21" t="n">
        <v>11230</v>
      </c>
      <c r="P514" s="21" t="n">
        <v>424961</v>
      </c>
      <c r="Q514" s="21" t="n">
        <v>424961</v>
      </c>
      <c r="R514" s="21">
        <f>IF(Q514="","",Q514*(1+in_GrowthRate)^(YEARFRAC(DATE(2022,6,30),in_AgeToDate)*IF(in_AgeToDate&lt;DATE(2022,6,30),-1,1)+1))</f>
        <v/>
      </c>
      <c r="S514" s="38" t="n">
        <v>0.7386574033256335</v>
      </c>
      <c r="T514" s="43">
        <f>HYPERLINK("https://projects.propublica.org/nonprofits/organizations/42103637/202331359349311153/full","view filing")</f>
        <v/>
      </c>
    </row>
    <row r="515">
      <c r="A515" t="inlineStr">
        <is>
          <t>Wesleyan University</t>
        </is>
      </c>
      <c r="B515" s="20" t="inlineStr">
        <is>
          <t>CT</t>
        </is>
      </c>
      <c r="C515" s="42" t="n">
        <v>1.64</v>
      </c>
      <c r="D515" t="inlineStr">
        <is>
          <t>Endowment</t>
        </is>
      </c>
      <c r="E515" s="20" t="n">
        <v>2025</v>
      </c>
      <c r="F515" s="20">
        <f>IF(AND(OR(in_Mode="All Funds",AND(C515&gt;=in_BandFloor,C515&lt;=in_BandCeiling,OR(in_Geography="National",COUNTIFS(lst_GeoPreset,in_Geography,lst_GeoState,B515)&gt;0,AND(in_Geography="Custom",ISNUMBER(SEARCH(B515,SUBSTITUTE(in_CustomStates," ",""))))),OR(AND(D515="Endowment",Inputs!$B$14="Y"),AND(D515="Foundation",Inputs!$B$15="Y"),AND(D515="Healthcare",Inputs!$B$16="Y"),AND(D515="Pension",Inputs!$B$17="Y"),AND(D515="OCIO",Inputs!$B$18="Y"),AND(D515="Other",Inputs!$B$19="Y")))),A515&lt;&gt;in_ClientOrg,NOT(AND(in_ExclHarvard="Y",ISNUMBER(SEARCH("Harvard",A515))))),"Y","")</f>
        <v/>
      </c>
      <c r="G515" t="inlineStr">
        <is>
          <t>Jonathan Don Farrar</t>
        </is>
      </c>
      <c r="H515" t="inlineStr">
        <is>
          <t>DIRECTOR OF INVESTMENTS</t>
        </is>
      </c>
      <c r="I515" t="inlineStr">
        <is>
          <t>Director of Investments</t>
        </is>
      </c>
      <c r="J515" s="21" t="n">
        <v>311442</v>
      </c>
      <c r="K515" s="21" t="n">
        <v>275303</v>
      </c>
      <c r="L515" s="21" t="n">
        <v>586745</v>
      </c>
      <c r="M515" s="21" t="n">
        <v>23000</v>
      </c>
      <c r="N515" s="21" t="n">
        <v>43010</v>
      </c>
      <c r="O515" s="21" t="n">
        <v>63038</v>
      </c>
      <c r="P515" s="21" t="n">
        <v>715793</v>
      </c>
      <c r="Q515" s="21" t="n">
        <v>715793</v>
      </c>
      <c r="R515" s="21">
        <f>IF(Q515="","",Q515*(1+in_GrowthRate)^(YEARFRAC(DATE(2025,6,30),in_AgeToDate)*IF(in_AgeToDate&lt;DATE(2025,6,30),-1,1)+1))</f>
        <v/>
      </c>
      <c r="S515" s="38" t="n">
        <v>0.8839623429081498</v>
      </c>
      <c r="T515" s="43">
        <f>HYPERLINK("https://projects.propublica.org/nonprofits/organizations/60646959/202641339349307904/full","view filing")</f>
        <v/>
      </c>
    </row>
    <row r="516">
      <c r="A516" t="inlineStr">
        <is>
          <t>Wesleyan University</t>
        </is>
      </c>
      <c r="B516" s="20" t="inlineStr">
        <is>
          <t>CT</t>
        </is>
      </c>
      <c r="C516" s="42" t="n">
        <v>1.64</v>
      </c>
      <c r="D516" t="inlineStr">
        <is>
          <t>Endowment</t>
        </is>
      </c>
      <c r="E516" s="20" t="n">
        <v>2025</v>
      </c>
      <c r="F516" s="20">
        <f>IF(AND(OR(in_Mode="All Funds",AND(C516&gt;=in_BandFloor,C516&lt;=in_BandCeiling,OR(in_Geography="National",COUNTIFS(lst_GeoPreset,in_Geography,lst_GeoState,B516)&gt;0,AND(in_Geography="Custom",ISNUMBER(SEARCH(B516,SUBSTITUTE(in_CustomStates," ",""))))),OR(AND(D516="Endowment",Inputs!$B$14="Y"),AND(D516="Foundation",Inputs!$B$15="Y"),AND(D516="Healthcare",Inputs!$B$16="Y"),AND(D516="Pension",Inputs!$B$17="Y"),AND(D516="OCIO",Inputs!$B$18="Y"),AND(D516="Other",Inputs!$B$19="Y")))),A516&lt;&gt;in_ClientOrg,NOT(AND(in_ExclHarvard="Y",ISNUMBER(SEARCH("Harvard",A516))))),"Y","")</f>
        <v/>
      </c>
      <c r="G516" t="inlineStr">
        <is>
          <t>Matthew Magenheim</t>
        </is>
      </c>
      <c r="H516" t="inlineStr">
        <is>
          <t>DIRECTOR INVESTMENT OFFICE</t>
        </is>
      </c>
      <c r="I516" t="inlineStr">
        <is>
          <t>Director of Investments</t>
        </is>
      </c>
      <c r="J516" s="21" t="n">
        <v>294356</v>
      </c>
      <c r="K516" s="21" t="n">
        <v>187320</v>
      </c>
      <c r="L516" s="21" t="n">
        <v>481676</v>
      </c>
      <c r="M516" s="21" t="n">
        <v>23100</v>
      </c>
      <c r="N516" s="21" t="n">
        <v>39959</v>
      </c>
      <c r="O516" s="21" t="n">
        <v>45083</v>
      </c>
      <c r="P516" s="21" t="n">
        <v>589818</v>
      </c>
      <c r="Q516" s="21" t="n">
        <v>589818</v>
      </c>
      <c r="R516" s="21">
        <f>IF(Q516="","",Q516*(1+in_GrowthRate)^(YEARFRAC(DATE(2025,6,30),in_AgeToDate)*IF(in_AgeToDate&lt;DATE(2025,6,30),-1,1)+1))</f>
        <v/>
      </c>
      <c r="S516" s="38" t="n">
        <v>0.6363722839011265</v>
      </c>
      <c r="T516" s="43">
        <f>HYPERLINK("https://projects.propublica.org/nonprofits/organizations/60646959/202641339349307904/full","view filing")</f>
        <v/>
      </c>
    </row>
    <row r="517">
      <c r="A517" t="inlineStr">
        <is>
          <t>Wesleyan University</t>
        </is>
      </c>
      <c r="B517" s="20" t="inlineStr">
        <is>
          <t>CT</t>
        </is>
      </c>
      <c r="C517" s="42" t="n">
        <v>1.64</v>
      </c>
      <c r="D517" t="inlineStr">
        <is>
          <t>Endowment</t>
        </is>
      </c>
      <c r="E517" s="20" t="n">
        <v>2024</v>
      </c>
      <c r="F517" s="20" t="inlineStr"/>
      <c r="G517" t="inlineStr">
        <is>
          <t>Jonathan Don Farrar</t>
        </is>
      </c>
      <c r="H517" t="inlineStr">
        <is>
          <t>DIRECTOR OF INVESTMENTS</t>
        </is>
      </c>
      <c r="I517" t="inlineStr">
        <is>
          <t>Director of Investments</t>
        </is>
      </c>
      <c r="J517" s="21" t="n">
        <v>323979</v>
      </c>
      <c r="K517" s="21" t="n">
        <v>301080</v>
      </c>
      <c r="L517" s="21" t="n">
        <v>625059</v>
      </c>
      <c r="M517" s="21" t="n"/>
      <c r="N517" s="21" t="n">
        <v>53085</v>
      </c>
      <c r="O517" s="21" t="n">
        <v>66179</v>
      </c>
      <c r="P517" s="21" t="n">
        <v>744323</v>
      </c>
      <c r="Q517" s="21" t="n">
        <v>744323</v>
      </c>
      <c r="R517" s="21">
        <f>IF(Q517="","",Q517*(1+in_GrowthRate)^(YEARFRAC(DATE(2024,6,30),in_AgeToDate)*IF(in_AgeToDate&lt;DATE(2024,6,30),-1,1)+1))</f>
        <v/>
      </c>
      <c r="S517" s="38" t="n">
        <v>0.9293194929300973</v>
      </c>
      <c r="T517" s="43">
        <f>HYPERLINK("https://projects.propublica.org/nonprofits/organizations/60646959/202531359349305048/full","view filing")</f>
        <v/>
      </c>
    </row>
    <row r="518">
      <c r="A518" t="inlineStr">
        <is>
          <t>Wesleyan University</t>
        </is>
      </c>
      <c r="B518" s="20" t="inlineStr">
        <is>
          <t>CT</t>
        </is>
      </c>
      <c r="C518" s="42" t="n">
        <v>1.64</v>
      </c>
      <c r="D518" t="inlineStr">
        <is>
          <t>Endowment</t>
        </is>
      </c>
      <c r="E518" s="20" t="n">
        <v>2024</v>
      </c>
      <c r="F518" s="20" t="inlineStr"/>
      <c r="G518" t="inlineStr">
        <is>
          <t>Matthew Magenheim</t>
        </is>
      </c>
      <c r="H518" t="inlineStr">
        <is>
          <t>DIRECTOR INVESTMENT OFFICE</t>
        </is>
      </c>
      <c r="I518" t="inlineStr">
        <is>
          <t>Director of Investments</t>
        </is>
      </c>
      <c r="J518" s="21" t="n">
        <v>286304</v>
      </c>
      <c r="K518" s="21" t="n">
        <v>189044</v>
      </c>
      <c r="L518" s="21" t="n">
        <v>475348</v>
      </c>
      <c r="M518" s="21" t="n"/>
      <c r="N518" s="21" t="n">
        <v>49722</v>
      </c>
      <c r="O518" s="21" t="n">
        <v>49239</v>
      </c>
      <c r="P518" s="21" t="n">
        <v>574309</v>
      </c>
      <c r="Q518" s="21" t="n">
        <v>574309</v>
      </c>
      <c r="R518" s="21">
        <f>IF(Q518="","",Q518*(1+in_GrowthRate)^(YEARFRAC(DATE(2024,6,30),in_AgeToDate)*IF(in_AgeToDate&lt;DATE(2024,6,30),-1,1)+1))</f>
        <v/>
      </c>
      <c r="S518" s="38" t="n">
        <v>0.6602911590477255</v>
      </c>
      <c r="T518" s="43">
        <f>HYPERLINK("https://projects.propublica.org/nonprofits/organizations/60646959/202531359349305048/full","view filing")</f>
        <v/>
      </c>
    </row>
    <row r="519">
      <c r="A519" t="inlineStr">
        <is>
          <t>Wesleyan University</t>
        </is>
      </c>
      <c r="B519" s="20" t="inlineStr">
        <is>
          <t>CT</t>
        </is>
      </c>
      <c r="C519" s="42" t="n">
        <v>1.64</v>
      </c>
      <c r="D519" t="inlineStr">
        <is>
          <t>Endowment</t>
        </is>
      </c>
      <c r="E519" s="20" t="n">
        <v>2023</v>
      </c>
      <c r="F519" s="20" t="inlineStr"/>
      <c r="G519" t="inlineStr">
        <is>
          <t>Jonathan Don Farrar</t>
        </is>
      </c>
      <c r="H519" t="inlineStr">
        <is>
          <t>DIRECTOR OF INVESTMENTS</t>
        </is>
      </c>
      <c r="I519" t="inlineStr">
        <is>
          <t>Director of Investments</t>
        </is>
      </c>
      <c r="J519" s="21" t="n">
        <v>308903</v>
      </c>
      <c r="K519" s="21" t="n">
        <v>239843</v>
      </c>
      <c r="L519" s="21" t="n">
        <v>548746</v>
      </c>
      <c r="M519" s="21" t="n"/>
      <c r="N519" s="21" t="n">
        <v>44415</v>
      </c>
      <c r="O519" s="21" t="n">
        <v>67792</v>
      </c>
      <c r="P519" s="21" t="n">
        <v>660953</v>
      </c>
      <c r="Q519" s="21" t="n">
        <v>660953</v>
      </c>
      <c r="R519" s="21">
        <f>IF(Q519="","",Q519*(1+in_GrowthRate)^(YEARFRAC(DATE(2023,6,30),in_AgeToDate)*IF(in_AgeToDate&lt;DATE(2023,6,30),-1,1)+1))</f>
        <v/>
      </c>
      <c r="S519" s="38" t="n">
        <v>0.7764346736677857</v>
      </c>
      <c r="T519" s="43">
        <f>HYPERLINK("https://projects.propublica.org/nonprofits/organizations/60646959/202411369349310371/full","view filing")</f>
        <v/>
      </c>
    </row>
    <row r="520">
      <c r="A520" t="inlineStr">
        <is>
          <t>Wesleyan University</t>
        </is>
      </c>
      <c r="B520" s="20" t="inlineStr">
        <is>
          <t>CT</t>
        </is>
      </c>
      <c r="C520" s="42" t="n">
        <v>1.64</v>
      </c>
      <c r="D520" t="inlineStr">
        <is>
          <t>Endowment</t>
        </is>
      </c>
      <c r="E520" s="20" t="n">
        <v>2023</v>
      </c>
      <c r="F520" s="20" t="inlineStr"/>
      <c r="G520" t="inlineStr">
        <is>
          <t>Matthew Magenheim</t>
        </is>
      </c>
      <c r="H520" t="inlineStr">
        <is>
          <t>DIRECTOR, INVESTMENT OFFICE</t>
        </is>
      </c>
      <c r="I520" t="inlineStr">
        <is>
          <t>Director of Investments</t>
        </is>
      </c>
      <c r="J520" s="21" t="n">
        <v>225241</v>
      </c>
      <c r="K520" s="21" t="n">
        <v>140734</v>
      </c>
      <c r="L520" s="21" t="n">
        <v>365975</v>
      </c>
      <c r="M520" s="21" t="n">
        <v>8</v>
      </c>
      <c r="N520" s="21" t="n">
        <v>41131</v>
      </c>
      <c r="O520" s="21" t="n">
        <v>41650</v>
      </c>
      <c r="P520" s="21" t="n">
        <v>448764</v>
      </c>
      <c r="Q520" s="21" t="n">
        <v>448764</v>
      </c>
      <c r="R520" s="21">
        <f>IF(Q520="","",Q520*(1+in_GrowthRate)^(YEARFRAC(DATE(2023,6,30),in_AgeToDate)*IF(in_AgeToDate&lt;DATE(2023,6,30),-1,1)+1))</f>
        <v/>
      </c>
      <c r="S520" s="38" t="n">
        <v>0.624815197943536</v>
      </c>
      <c r="T520" s="43">
        <f>HYPERLINK("https://projects.propublica.org/nonprofits/organizations/60646959/202411369349310371/full","view filing")</f>
        <v/>
      </c>
    </row>
    <row r="521">
      <c r="A521" t="inlineStr">
        <is>
          <t>Wesleyan University</t>
        </is>
      </c>
      <c r="B521" s="20" t="inlineStr">
        <is>
          <t>CT</t>
        </is>
      </c>
      <c r="C521" s="42" t="n">
        <v>1.64</v>
      </c>
      <c r="D521" t="inlineStr">
        <is>
          <t>Endowment</t>
        </is>
      </c>
      <c r="E521" s="20" t="n">
        <v>2022</v>
      </c>
      <c r="F521" s="20" t="inlineStr"/>
      <c r="G521" t="inlineStr">
        <is>
          <t>Jonathan Don Farrar</t>
        </is>
      </c>
      <c r="H521" t="inlineStr">
        <is>
          <t>DIRECTOR OF INVESTMENTS</t>
        </is>
      </c>
      <c r="I521" t="inlineStr">
        <is>
          <t>Director of Investments</t>
        </is>
      </c>
      <c r="J521" s="21" t="n">
        <v>219403</v>
      </c>
      <c r="K521" s="21" t="n">
        <v>175723</v>
      </c>
      <c r="L521" s="21" t="n">
        <v>395126</v>
      </c>
      <c r="M521" s="21" t="n">
        <v>30</v>
      </c>
      <c r="N521" s="21" t="n">
        <v>21218</v>
      </c>
      <c r="O521" s="21" t="n">
        <v>59702</v>
      </c>
      <c r="P521" s="21" t="n">
        <v>476076</v>
      </c>
      <c r="Q521" s="21" t="n">
        <v>476076</v>
      </c>
      <c r="R521" s="21">
        <f>IF(Q521="","",Q521*(1+in_GrowthRate)^(YEARFRAC(DATE(2022,6,30),in_AgeToDate)*IF(in_AgeToDate&lt;DATE(2022,6,30),-1,1)+1))</f>
        <v/>
      </c>
      <c r="S521" s="38" t="n">
        <v>0.8009142992575307</v>
      </c>
      <c r="T521" s="43">
        <f>HYPERLINK("https://projects.propublica.org/nonprofits/organizations/60646959/202321359349317822/full","view filing")</f>
        <v/>
      </c>
    </row>
    <row r="522">
      <c r="A522" t="inlineStr">
        <is>
          <t>Wesleyan University</t>
        </is>
      </c>
      <c r="B522" s="20" t="inlineStr">
        <is>
          <t>CT</t>
        </is>
      </c>
      <c r="C522" s="42" t="n">
        <v>1.64</v>
      </c>
      <c r="D522" t="inlineStr">
        <is>
          <t>Endowment</t>
        </is>
      </c>
      <c r="E522" s="20" t="n">
        <v>2022</v>
      </c>
      <c r="F522" s="20" t="inlineStr"/>
      <c r="G522" t="inlineStr">
        <is>
          <t>Matthew Magenheim</t>
        </is>
      </c>
      <c r="H522" t="inlineStr">
        <is>
          <t>DIRECTOR, INVESTMENT OFFICE</t>
        </is>
      </c>
      <c r="I522" t="inlineStr">
        <is>
          <t>Director of Investments</t>
        </is>
      </c>
      <c r="J522" s="21" t="n">
        <v>204360</v>
      </c>
      <c r="K522" s="21" t="n">
        <v>109482</v>
      </c>
      <c r="L522" s="21" t="n">
        <v>313842</v>
      </c>
      <c r="M522" s="21" t="n"/>
      <c r="N522" s="21" t="n">
        <v>19010</v>
      </c>
      <c r="O522" s="21" t="n">
        <v>48464</v>
      </c>
      <c r="P522" s="21" t="n">
        <v>381316</v>
      </c>
      <c r="Q522" s="21" t="n">
        <v>381316</v>
      </c>
      <c r="R522" s="21">
        <f>IF(Q522="","",Q522*(1+in_GrowthRate)^(YEARFRAC(DATE(2022,6,30),in_AgeToDate)*IF(in_AgeToDate&lt;DATE(2022,6,30),-1,1)+1))</f>
        <v/>
      </c>
      <c r="S522" s="38" t="n">
        <v>0.5357310628302995</v>
      </c>
      <c r="T522" s="43">
        <f>HYPERLINK("https://projects.propublica.org/nonprofits/organizations/60646959/202321359349317822/full","view filing")</f>
        <v/>
      </c>
    </row>
    <row r="523">
      <c r="A523" t="inlineStr">
        <is>
          <t>West Virginia Univ Foundation Inc</t>
        </is>
      </c>
      <c r="B523" s="20" t="inlineStr">
        <is>
          <t>WV</t>
        </is>
      </c>
      <c r="C523" s="42" t="n">
        <v>3.15</v>
      </c>
      <c r="D523" t="inlineStr">
        <is>
          <t>Foundation</t>
        </is>
      </c>
      <c r="E523" s="20" t="n">
        <v>2025</v>
      </c>
      <c r="F523" s="20">
        <f>IF(AND(OR(in_Mode="All Funds",AND(C523&gt;=in_BandFloor,C523&lt;=in_BandCeiling,OR(in_Geography="National",COUNTIFS(lst_GeoPreset,in_Geography,lst_GeoState,B523)&gt;0,AND(in_Geography="Custom",ISNUMBER(SEARCH(B523,SUBSTITUTE(in_CustomStates," ",""))))),OR(AND(D523="Endowment",Inputs!$B$14="Y"),AND(D523="Foundation",Inputs!$B$15="Y"),AND(D523="Healthcare",Inputs!$B$16="Y"),AND(D523="Pension",Inputs!$B$17="Y"),AND(D523="OCIO",Inputs!$B$18="Y"),AND(D523="Other",Inputs!$B$19="Y")))),A523&lt;&gt;in_ClientOrg,NOT(AND(in_ExclHarvard="Y",ISNUMBER(SEARCH("Harvard",A523))))),"Y","")</f>
        <v/>
      </c>
      <c r="G523" t="inlineStr">
        <is>
          <t>Jennifer Cunanan</t>
        </is>
      </c>
      <c r="H523" t="inlineStr">
        <is>
          <t>Assoc VP, Investments</t>
        </is>
      </c>
      <c r="I523" t="inlineStr">
        <is>
          <t>Director of Investments</t>
        </is>
      </c>
      <c r="J523" s="21" t="n">
        <v>325942</v>
      </c>
      <c r="K523" s="21" t="n">
        <v>121455</v>
      </c>
      <c r="L523" s="21" t="n">
        <v>447397</v>
      </c>
      <c r="M523" s="21" t="n">
        <v>360</v>
      </c>
      <c r="N523" s="21" t="n">
        <v>41400</v>
      </c>
      <c r="O523" s="21" t="n">
        <v>29901</v>
      </c>
      <c r="P523" s="21" t="n">
        <v>519058</v>
      </c>
      <c r="Q523" s="21" t="n">
        <v>519058</v>
      </c>
      <c r="R523" s="21">
        <f>IF(Q523="","",Q523*(1+in_GrowthRate)^(YEARFRAC(DATE(2025,6,30),in_AgeToDate)*IF(in_AgeToDate&lt;DATE(2025,6,30),-1,1)+1))</f>
        <v/>
      </c>
      <c r="S523" s="38" t="n">
        <v>0.3726276454093059</v>
      </c>
      <c r="T523" s="43">
        <f>HYPERLINK("https://projects.propublica.org/nonprofits/organizations/556017181/202631039349301733/full","view filing")</f>
        <v/>
      </c>
    </row>
    <row r="524">
      <c r="A524" t="inlineStr">
        <is>
          <t>West Virginia Univ Foundation Inc</t>
        </is>
      </c>
      <c r="B524" s="20" t="inlineStr">
        <is>
          <t>WV</t>
        </is>
      </c>
      <c r="C524" s="42" t="n">
        <v>3.15</v>
      </c>
      <c r="D524" t="inlineStr">
        <is>
          <t>Foundation</t>
        </is>
      </c>
      <c r="E524" s="20" t="n">
        <v>2025</v>
      </c>
      <c r="F524" s="20">
        <f>IF(AND(OR(in_Mode="All Funds",AND(C524&gt;=in_BandFloor,C524&lt;=in_BandCeiling,OR(in_Geography="National",COUNTIFS(lst_GeoPreset,in_Geography,lst_GeoState,B524)&gt;0,AND(in_Geography="Custom",ISNUMBER(SEARCH(B524,SUBSTITUTE(in_CustomStates," ",""))))),OR(AND(D524="Endowment",Inputs!$B$14="Y"),AND(D524="Foundation",Inputs!$B$15="Y"),AND(D524="Healthcare",Inputs!$B$16="Y"),AND(D524="Pension",Inputs!$B$17="Y"),AND(D524="OCIO",Inputs!$B$18="Y"),AND(D524="Other",Inputs!$B$19="Y")))),A524&lt;&gt;in_ClientOrg,NOT(AND(in_ExclHarvard="Y",ISNUMBER(SEARCH("Harvard",A524))))),"Y","")</f>
        <v/>
      </c>
      <c r="G524" t="inlineStr">
        <is>
          <t>Kaylon Mcinelly</t>
        </is>
      </c>
      <c r="H524" t="inlineStr">
        <is>
          <t>Assoc VP, Investments</t>
        </is>
      </c>
      <c r="I524" t="inlineStr">
        <is>
          <t>Director of Investments</t>
        </is>
      </c>
      <c r="J524" s="21" t="n">
        <v>242819</v>
      </c>
      <c r="K524" s="21" t="n">
        <v>102858</v>
      </c>
      <c r="L524" s="21" t="n">
        <v>345677</v>
      </c>
      <c r="M524" s="21" t="n">
        <v>240</v>
      </c>
      <c r="N524" s="21" t="n">
        <v>24150</v>
      </c>
      <c r="O524" s="21" t="n">
        <v>30917</v>
      </c>
      <c r="P524" s="21" t="n">
        <v>400984</v>
      </c>
      <c r="Q524" s="21" t="n">
        <v>400984</v>
      </c>
      <c r="R524" s="21">
        <f>IF(Q524="","",Q524*(1+in_GrowthRate)^(YEARFRAC(DATE(2025,6,30),in_AgeToDate)*IF(in_AgeToDate&lt;DATE(2025,6,30),-1,1)+1))</f>
        <v/>
      </c>
      <c r="S524" s="38" t="n">
        <v>0.4235994712110667</v>
      </c>
      <c r="T524" s="43">
        <f>HYPERLINK("https://projects.propublica.org/nonprofits/organizations/556017181/202631039349301733/full","view filing")</f>
        <v/>
      </c>
    </row>
    <row r="525">
      <c r="A525" t="inlineStr">
        <is>
          <t>West Virginia Univ Foundation Inc</t>
        </is>
      </c>
      <c r="B525" s="20" t="inlineStr">
        <is>
          <t>WV</t>
        </is>
      </c>
      <c r="C525" s="42" t="n">
        <v>3.15</v>
      </c>
      <c r="D525" t="inlineStr">
        <is>
          <t>Foundation</t>
        </is>
      </c>
      <c r="E525" s="20" t="n">
        <v>2024</v>
      </c>
      <c r="F525" s="20" t="inlineStr"/>
      <c r="G525" t="inlineStr">
        <is>
          <t>Jennifer Cunanan</t>
        </is>
      </c>
      <c r="H525" t="inlineStr">
        <is>
          <t>Assoc VP, Investments</t>
        </is>
      </c>
      <c r="I525" t="inlineStr">
        <is>
          <t>Director of Investments</t>
        </is>
      </c>
      <c r="J525" s="21" t="n">
        <v>311757</v>
      </c>
      <c r="K525" s="21" t="n">
        <v>128684</v>
      </c>
      <c r="L525" s="21" t="n">
        <v>440441</v>
      </c>
      <c r="M525" s="21" t="n">
        <v>360</v>
      </c>
      <c r="N525" s="21" t="n">
        <v>39600</v>
      </c>
      <c r="O525" s="21" t="n">
        <v>27531</v>
      </c>
      <c r="P525" s="21" t="n">
        <v>507932</v>
      </c>
      <c r="Q525" s="21" t="n">
        <v>507932</v>
      </c>
      <c r="R525" s="21">
        <f>IF(Q525="","",Q525*(1+in_GrowthRate)^(YEARFRAC(DATE(2024,6,30),in_AgeToDate)*IF(in_AgeToDate&lt;DATE(2024,6,30),-1,1)+1))</f>
        <v/>
      </c>
      <c r="S525" s="38" t="n">
        <v>0.4127702024333054</v>
      </c>
      <c r="T525" s="43">
        <f>HYPERLINK("https://projects.propublica.org/nonprofits/organizations/556017181/202511279349301141/full","view filing")</f>
        <v/>
      </c>
    </row>
    <row r="526">
      <c r="A526" t="inlineStr">
        <is>
          <t>West Virginia Univ Foundation Inc</t>
        </is>
      </c>
      <c r="B526" s="20" t="inlineStr">
        <is>
          <t>WV</t>
        </is>
      </c>
      <c r="C526" s="42" t="n">
        <v>3.15</v>
      </c>
      <c r="D526" t="inlineStr">
        <is>
          <t>Foundation</t>
        </is>
      </c>
      <c r="E526" s="20" t="n">
        <v>2024</v>
      </c>
      <c r="F526" s="20" t="inlineStr"/>
      <c r="G526" t="inlineStr">
        <is>
          <t>Kaylon Mcinelly</t>
        </is>
      </c>
      <c r="H526" t="inlineStr">
        <is>
          <t>Assoc VP, Investments</t>
        </is>
      </c>
      <c r="I526" t="inlineStr">
        <is>
          <t>Director of Investments</t>
        </is>
      </c>
      <c r="J526" s="21" t="n">
        <v>232981</v>
      </c>
      <c r="K526" s="21" t="n">
        <v>109468</v>
      </c>
      <c r="L526" s="21" t="n">
        <v>342449</v>
      </c>
      <c r="M526" s="21" t="n">
        <v>240</v>
      </c>
      <c r="N526" s="21" t="n">
        <v>23100</v>
      </c>
      <c r="O526" s="21" t="n">
        <v>27531</v>
      </c>
      <c r="P526" s="21" t="n">
        <v>393320</v>
      </c>
      <c r="Q526" s="21" t="n">
        <v>393320</v>
      </c>
      <c r="R526" s="21">
        <f>IF(Q526="","",Q526*(1+in_GrowthRate)^(YEARFRAC(DATE(2024,6,30),in_AgeToDate)*IF(in_AgeToDate&lt;DATE(2024,6,30),-1,1)+1))</f>
        <v/>
      </c>
      <c r="S526" s="38" t="n">
        <v>0.4698580570947846</v>
      </c>
      <c r="T526" s="43">
        <f>HYPERLINK("https://projects.propublica.org/nonprofits/organizations/556017181/202511279349301141/full","view filing")</f>
        <v/>
      </c>
    </row>
    <row r="527">
      <c r="A527" t="inlineStr">
        <is>
          <t>West Virginia Univ Foundation Inc</t>
        </is>
      </c>
      <c r="B527" s="20" t="inlineStr">
        <is>
          <t>WV</t>
        </is>
      </c>
      <c r="C527" s="42" t="n">
        <v>3.15</v>
      </c>
      <c r="D527" t="inlineStr">
        <is>
          <t>Foundation</t>
        </is>
      </c>
      <c r="E527" s="20" t="n">
        <v>2023</v>
      </c>
      <c r="F527" s="20" t="inlineStr"/>
      <c r="G527" t="inlineStr">
        <is>
          <t>Jennifer Cunanan</t>
        </is>
      </c>
      <c r="H527" t="inlineStr">
        <is>
          <t>ASSOC VP, INVESTMENTS</t>
        </is>
      </c>
      <c r="I527" t="inlineStr">
        <is>
          <t>Director of Investments</t>
        </is>
      </c>
      <c r="J527" s="21" t="n">
        <v>301781</v>
      </c>
      <c r="K527" s="21" t="n">
        <v>106443</v>
      </c>
      <c r="L527" s="21" t="n">
        <v>408224</v>
      </c>
      <c r="M527" s="21" t="n">
        <v>360</v>
      </c>
      <c r="N527" s="21" t="n">
        <v>36600</v>
      </c>
      <c r="O527" s="21" t="n">
        <v>25382</v>
      </c>
      <c r="P527" s="21" t="n">
        <v>470566</v>
      </c>
      <c r="Q527" s="21" t="n">
        <v>470566</v>
      </c>
      <c r="R527" s="21">
        <f>IF(Q527="","",Q527*(1+in_GrowthRate)^(YEARFRAC(DATE(2023,6,30),in_AgeToDate)*IF(in_AgeToDate&lt;DATE(2023,6,30),-1,1)+1))</f>
        <v/>
      </c>
      <c r="S527" s="38" t="n">
        <v>0.3527160424281184</v>
      </c>
      <c r="T527" s="43">
        <f>HYPERLINK("https://projects.propublica.org/nonprofits/organizations/556017181/202400959349301410/full","view filing")</f>
        <v/>
      </c>
    </row>
    <row r="528">
      <c r="A528" t="inlineStr">
        <is>
          <t>West Virginia Univ Foundation Inc</t>
        </is>
      </c>
      <c r="B528" s="20" t="inlineStr">
        <is>
          <t>WV</t>
        </is>
      </c>
      <c r="C528" s="42" t="n">
        <v>3.15</v>
      </c>
      <c r="D528" t="inlineStr">
        <is>
          <t>Foundation</t>
        </is>
      </c>
      <c r="E528" s="20" t="n">
        <v>2023</v>
      </c>
      <c r="F528" s="20" t="inlineStr"/>
      <c r="G528" t="inlineStr">
        <is>
          <t>Kaylon Mcinelly</t>
        </is>
      </c>
      <c r="H528" t="inlineStr">
        <is>
          <t>ASSOC VP, INVESTMENTS</t>
        </is>
      </c>
      <c r="I528" t="inlineStr">
        <is>
          <t>Director of Investments</t>
        </is>
      </c>
      <c r="J528" s="21" t="n">
        <v>223111</v>
      </c>
      <c r="K528" s="21" t="n">
        <v>85592</v>
      </c>
      <c r="L528" s="21" t="n">
        <v>308703</v>
      </c>
      <c r="M528" s="21" t="n">
        <v>240</v>
      </c>
      <c r="N528" s="21" t="n">
        <v>21350</v>
      </c>
      <c r="O528" s="21" t="n">
        <v>25382</v>
      </c>
      <c r="P528" s="21" t="n">
        <v>355675</v>
      </c>
      <c r="Q528" s="21" t="n">
        <v>355675</v>
      </c>
      <c r="R528" s="21">
        <f>IF(Q528="","",Q528*(1+in_GrowthRate)^(YEARFRAC(DATE(2023,6,30),in_AgeToDate)*IF(in_AgeToDate&lt;DATE(2023,6,30),-1,1)+1))</f>
        <v/>
      </c>
      <c r="S528" s="38" t="n">
        <v>0.3836296731223472</v>
      </c>
      <c r="T528" s="43">
        <f>HYPERLINK("https://projects.propublica.org/nonprofits/organizations/556017181/202400959349301410/full","view filing")</f>
        <v/>
      </c>
    </row>
    <row r="529">
      <c r="A529" t="inlineStr">
        <is>
          <t>West Virginia Univ Foundation Inc</t>
        </is>
      </c>
      <c r="B529" s="20" t="inlineStr">
        <is>
          <t>WV</t>
        </is>
      </c>
      <c r="C529" s="42" t="n">
        <v>3.15</v>
      </c>
      <c r="D529" t="inlineStr">
        <is>
          <t>Foundation</t>
        </is>
      </c>
      <c r="E529" s="20" t="n">
        <v>2022</v>
      </c>
      <c r="F529" s="20" t="inlineStr"/>
      <c r="G529" t="inlineStr">
        <is>
          <t>Jennifer Cunanan</t>
        </is>
      </c>
      <c r="H529" t="inlineStr">
        <is>
          <t>ASSOC VP, INVESTMENTS</t>
        </is>
      </c>
      <c r="I529" t="inlineStr">
        <is>
          <t>Director of Investments</t>
        </is>
      </c>
      <c r="J529" s="21" t="n">
        <v>241091</v>
      </c>
      <c r="K529" s="21" t="n">
        <v>77905</v>
      </c>
      <c r="L529" s="21" t="n">
        <v>318996</v>
      </c>
      <c r="M529" s="21" t="n">
        <v>240</v>
      </c>
      <c r="N529" s="21" t="n">
        <v>34800</v>
      </c>
      <c r="O529" s="21" t="n">
        <v>26209</v>
      </c>
      <c r="P529" s="21" t="n">
        <v>380245</v>
      </c>
      <c r="Q529" s="21" t="n">
        <v>380245</v>
      </c>
      <c r="R529" s="21">
        <f>IF(Q529="","",Q529*(1+in_GrowthRate)^(YEARFRAC(DATE(2022,6,30),in_AgeToDate)*IF(in_AgeToDate&lt;DATE(2022,6,30),-1,1)+1))</f>
        <v/>
      </c>
      <c r="S529" s="38" t="n">
        <v>0.3231352476865582</v>
      </c>
      <c r="T529" s="43">
        <f>HYPERLINK("https://projects.propublica.org/nonprofits/organizations/556017181/202300759349301500/full","view filing")</f>
        <v/>
      </c>
    </row>
    <row r="530">
      <c r="A530" t="inlineStr">
        <is>
          <t>West Virginia Univ Foundation Inc</t>
        </is>
      </c>
      <c r="B530" s="20" t="inlineStr">
        <is>
          <t>WV</t>
        </is>
      </c>
      <c r="C530" s="42" t="n">
        <v>3.15</v>
      </c>
      <c r="D530" t="inlineStr">
        <is>
          <t>Foundation</t>
        </is>
      </c>
      <c r="E530" s="20" t="n">
        <v>2022</v>
      </c>
      <c r="F530" s="20" t="inlineStr"/>
      <c r="G530" t="inlineStr">
        <is>
          <t>Kaylon Mcinelly</t>
        </is>
      </c>
      <c r="H530" t="inlineStr">
        <is>
          <t>ASSOC VP, INVESTMENTS</t>
        </is>
      </c>
      <c r="I530" t="inlineStr">
        <is>
          <t>Director of Investments</t>
        </is>
      </c>
      <c r="J530" s="21" t="n">
        <v>201951</v>
      </c>
      <c r="K530" s="21" t="n">
        <v>58866</v>
      </c>
      <c r="L530" s="21" t="n">
        <v>260817</v>
      </c>
      <c r="M530" s="21" t="n">
        <v>216</v>
      </c>
      <c r="N530" s="21" t="n">
        <v>27257</v>
      </c>
      <c r="O530" s="21" t="n">
        <v>25969</v>
      </c>
      <c r="P530" s="21" t="n">
        <v>314259</v>
      </c>
      <c r="Q530" s="21" t="n">
        <v>314259</v>
      </c>
      <c r="R530" s="21">
        <f>IF(Q530="","",Q530*(1+in_GrowthRate)^(YEARFRAC(DATE(2022,6,30),in_AgeToDate)*IF(in_AgeToDate&lt;DATE(2022,6,30),-1,1)+1))</f>
        <v/>
      </c>
      <c r="S530" s="38" t="n">
        <v>0.2914865487172631</v>
      </c>
      <c r="T530" s="43">
        <f>HYPERLINK("https://projects.propublica.org/nonprofits/organizations/556017181/202300759349301500/full","view filing")</f>
        <v/>
      </c>
    </row>
    <row r="531">
      <c r="A531" t="inlineStr">
        <is>
          <t>Wheaton College</t>
        </is>
      </c>
      <c r="B531" s="20" t="inlineStr">
        <is>
          <t>IL</t>
        </is>
      </c>
      <c r="C531" s="42" t="n">
        <v>0.67</v>
      </c>
      <c r="D531" t="inlineStr">
        <is>
          <t>Endowment</t>
        </is>
      </c>
      <c r="E531" s="20" t="n">
        <v>2025</v>
      </c>
      <c r="F531" s="20">
        <f>IF(AND(OR(in_Mode="All Funds",AND(C531&gt;=in_BandFloor,C531&lt;=in_BandCeiling,OR(in_Geography="National",COUNTIFS(lst_GeoPreset,in_Geography,lst_GeoState,B531)&gt;0,AND(in_Geography="Custom",ISNUMBER(SEARCH(B531,SUBSTITUTE(in_CustomStates," ",""))))),OR(AND(D531="Endowment",Inputs!$B$14="Y"),AND(D531="Foundation",Inputs!$B$15="Y"),AND(D531="Healthcare",Inputs!$B$16="Y"),AND(D531="Pension",Inputs!$B$17="Y"),AND(D531="OCIO",Inputs!$B$18="Y"),AND(D531="Other",Inputs!$B$19="Y")))),A531&lt;&gt;in_ClientOrg,NOT(AND(in_ExclHarvard="Y",ISNUMBER(SEARCH("Harvard",A531))))),"Y","")</f>
        <v/>
      </c>
      <c r="G531" t="inlineStr">
        <is>
          <t>Kenneth Larson</t>
        </is>
      </c>
      <c r="H531" t="inlineStr">
        <is>
          <t>Investment Manager</t>
        </is>
      </c>
      <c r="I531" t="inlineStr">
        <is>
          <t>Investment Manager</t>
        </is>
      </c>
      <c r="J531" s="21" t="n">
        <v>196723</v>
      </c>
      <c r="K531" s="21" t="n"/>
      <c r="L531" s="21" t="n">
        <v>196723</v>
      </c>
      <c r="M531" s="21" t="n">
        <v>2667</v>
      </c>
      <c r="N531" s="21" t="n">
        <v>12423</v>
      </c>
      <c r="O531" s="21" t="n">
        <v>28542</v>
      </c>
      <c r="P531" s="21" t="n">
        <v>240355</v>
      </c>
      <c r="Q531" s="21" t="n">
        <v>240355</v>
      </c>
      <c r="R531" s="21">
        <f>IF(Q531="","",Q531*(1+in_GrowthRate)^(YEARFRAC(DATE(2025,6,30),in_AgeToDate)*IF(in_AgeToDate&lt;DATE(2025,6,30),-1,1)+1))</f>
        <v/>
      </c>
      <c r="S531" s="38" t="n">
        <v>0</v>
      </c>
      <c r="T531" s="43">
        <f>HYPERLINK("https://projects.propublica.org/nonprofits/organizations/362182171/202621349349312447/full","view filing")</f>
        <v/>
      </c>
    </row>
    <row r="532">
      <c r="A532" t="inlineStr">
        <is>
          <t>Wheaton College</t>
        </is>
      </c>
      <c r="B532" s="20" t="inlineStr">
        <is>
          <t>IL</t>
        </is>
      </c>
      <c r="C532" s="42" t="n">
        <v>0.67</v>
      </c>
      <c r="D532" t="inlineStr">
        <is>
          <t>Endowment</t>
        </is>
      </c>
      <c r="E532" s="20" t="n">
        <v>2024</v>
      </c>
      <c r="F532" s="20" t="inlineStr"/>
      <c r="G532" t="inlineStr">
        <is>
          <t>Kenneth Larson</t>
        </is>
      </c>
      <c r="H532" t="inlineStr">
        <is>
          <t>Investment Manager</t>
        </is>
      </c>
      <c r="I532" t="inlineStr">
        <is>
          <t>Investment Manager</t>
        </is>
      </c>
      <c r="J532" s="21" t="n">
        <v>183474</v>
      </c>
      <c r="K532" s="21" t="n"/>
      <c r="L532" s="21" t="n">
        <v>183474</v>
      </c>
      <c r="M532" s="21" t="n">
        <v>2266</v>
      </c>
      <c r="N532" s="21" t="n">
        <v>11704</v>
      </c>
      <c r="O532" s="21" t="n">
        <v>40009</v>
      </c>
      <c r="P532" s="21" t="n">
        <v>237453</v>
      </c>
      <c r="Q532" s="21" t="n">
        <v>237453</v>
      </c>
      <c r="R532" s="21">
        <f>IF(Q532="","",Q532*(1+in_GrowthRate)^(YEARFRAC(DATE(2024,6,30),in_AgeToDate)*IF(in_AgeToDate&lt;DATE(2024,6,30),-1,1)+1))</f>
        <v/>
      </c>
      <c r="S532" s="38" t="n">
        <v>0</v>
      </c>
      <c r="T532" s="43">
        <f>HYPERLINK("https://projects.propublica.org/nonprofits/organizations/362182171/202521359349305702/full","view filing")</f>
        <v/>
      </c>
    </row>
    <row r="533">
      <c r="A533" t="inlineStr">
        <is>
          <t>Wheaton College</t>
        </is>
      </c>
      <c r="B533" s="20" t="inlineStr">
        <is>
          <t>IL</t>
        </is>
      </c>
      <c r="C533" s="42" t="n">
        <v>0.67</v>
      </c>
      <c r="D533" t="inlineStr">
        <is>
          <t>Endowment</t>
        </is>
      </c>
      <c r="E533" s="20" t="n">
        <v>2023</v>
      </c>
      <c r="F533" s="20" t="inlineStr"/>
      <c r="G533" t="inlineStr">
        <is>
          <t>Kenneth Larson</t>
        </is>
      </c>
      <c r="H533" t="inlineStr">
        <is>
          <t>Investment Manager</t>
        </is>
      </c>
      <c r="I533" t="inlineStr">
        <is>
          <t>Investment Manager</t>
        </is>
      </c>
      <c r="J533" s="21" t="n">
        <v>179214</v>
      </c>
      <c r="K533" s="21" t="n"/>
      <c r="L533" s="21" t="n">
        <v>179214</v>
      </c>
      <c r="M533" s="21" t="n">
        <v>1814</v>
      </c>
      <c r="N533" s="21" t="n">
        <v>11403</v>
      </c>
      <c r="O533" s="21" t="n">
        <v>54824</v>
      </c>
      <c r="P533" s="21" t="n">
        <v>247255</v>
      </c>
      <c r="Q533" s="21" t="n">
        <v>247255</v>
      </c>
      <c r="R533" s="21">
        <f>IF(Q533="","",Q533*(1+in_GrowthRate)^(YEARFRAC(DATE(2023,6,30),in_AgeToDate)*IF(in_AgeToDate&lt;DATE(2023,6,30),-1,1)+1))</f>
        <v/>
      </c>
      <c r="S533" s="38" t="n">
        <v>0</v>
      </c>
      <c r="T533" s="43">
        <f>HYPERLINK("https://projects.propublica.org/nonprofits/organizations/362182171/202421369349315667/full","view filing")</f>
        <v/>
      </c>
    </row>
    <row r="534">
      <c r="A534" t="inlineStr">
        <is>
          <t>Wheaton College</t>
        </is>
      </c>
      <c r="B534" s="20" t="inlineStr">
        <is>
          <t>IL</t>
        </is>
      </c>
      <c r="C534" s="42" t="n">
        <v>0.67</v>
      </c>
      <c r="D534" t="inlineStr">
        <is>
          <t>Endowment</t>
        </is>
      </c>
      <c r="E534" s="20" t="n">
        <v>2022</v>
      </c>
      <c r="F534" s="20" t="inlineStr"/>
      <c r="G534" t="inlineStr">
        <is>
          <t>Kenneth Larson</t>
        </is>
      </c>
      <c r="H534" t="inlineStr">
        <is>
          <t>Investment Manager</t>
        </is>
      </c>
      <c r="I534" t="inlineStr">
        <is>
          <t>Investment Manager</t>
        </is>
      </c>
      <c r="J534" s="21" t="n">
        <v>170815</v>
      </c>
      <c r="K534" s="21" t="n"/>
      <c r="L534" s="21" t="n">
        <v>170815</v>
      </c>
      <c r="M534" s="21" t="n">
        <v>1153</v>
      </c>
      <c r="N534" s="21" t="n">
        <v>10884</v>
      </c>
      <c r="O534" s="21" t="n">
        <v>52621</v>
      </c>
      <c r="P534" s="21" t="n">
        <v>235473</v>
      </c>
      <c r="Q534" s="21" t="n">
        <v>235473</v>
      </c>
      <c r="R534" s="21">
        <f>IF(Q534="","",Q534*(1+in_GrowthRate)^(YEARFRAC(DATE(2022,6,30),in_AgeToDate)*IF(in_AgeToDate&lt;DATE(2022,6,30),-1,1)+1))</f>
        <v/>
      </c>
      <c r="S534" s="38" t="n">
        <v>0</v>
      </c>
      <c r="T534" s="43">
        <f>HYPERLINK("https://projects.propublica.org/nonprofits/organizations/362182171/202321359349306812/full","view filing")</f>
        <v/>
      </c>
    </row>
    <row r="535">
      <c r="A535" t="inlineStr">
        <is>
          <t>William &amp; Flora Hewlett Foundation</t>
        </is>
      </c>
      <c r="B535" s="20" t="inlineStr">
        <is>
          <t>CA</t>
        </is>
      </c>
      <c r="C535" s="42" t="n">
        <v>13.18</v>
      </c>
      <c r="D535" t="inlineStr">
        <is>
          <t>Foundation</t>
        </is>
      </c>
      <c r="E535" s="20" t="n">
        <v>2024</v>
      </c>
      <c r="F535" s="20">
        <f>IF(AND(OR(in_Mode="All Funds",AND(C535&gt;=in_BandFloor,C535&lt;=in_BandCeiling,OR(in_Geography="National",COUNTIFS(lst_GeoPreset,in_Geography,lst_GeoState,B535)&gt;0,AND(in_Geography="Custom",ISNUMBER(SEARCH(B535,SUBSTITUTE(in_CustomStates," ",""))))),OR(AND(D535="Endowment",Inputs!$B$14="Y"),AND(D535="Foundation",Inputs!$B$15="Y"),AND(D535="Healthcare",Inputs!$B$16="Y"),AND(D535="Pension",Inputs!$B$17="Y"),AND(D535="OCIO",Inputs!$B$18="Y"),AND(D535="Other",Inputs!$B$19="Y")))),A535&lt;&gt;in_ClientOrg,NOT(AND(in_ExclHarvard="Y",ISNUMBER(SEARCH("Harvard",A535))))),"Y","")</f>
        <v/>
      </c>
      <c r="G535" t="inlineStr">
        <is>
          <t>Luis Laboy</t>
        </is>
      </c>
      <c r="H535" t="inlineStr">
        <is>
          <t>DIR, PUBLIC EQUITY</t>
        </is>
      </c>
      <c r="I535" t="inlineStr">
        <is>
          <t>Investment Manager</t>
        </is>
      </c>
      <c r="J535" s="21" t="n"/>
      <c r="K535" s="21" t="n"/>
      <c r="L535" s="21" t="n"/>
      <c r="M535" s="21" t="n"/>
      <c r="N535" s="21" t="n"/>
      <c r="O535" s="21" t="n"/>
      <c r="P535" s="21" t="n">
        <v>2294364</v>
      </c>
      <c r="Q535" s="21" t="n">
        <v>2294364</v>
      </c>
      <c r="R535" s="21">
        <f>IF(Q535="","",Q535*(1+in_GrowthRate)^(YEARFRAC(DATE(2024,12,31),in_AgeToDate)*IF(in_AgeToDate&lt;DATE(2024,12,31),-1,1)+1))</f>
        <v/>
      </c>
      <c r="S535" s="38" t="n"/>
      <c r="T535" s="43">
        <f>HYPERLINK("https://projects.propublica.org/nonprofits/organizations/941655673/202523189349102727/full","view filing")</f>
        <v/>
      </c>
    </row>
    <row r="536">
      <c r="A536" t="inlineStr">
        <is>
          <t>William &amp; Flora Hewlett Foundation</t>
        </is>
      </c>
      <c r="B536" s="20" t="inlineStr">
        <is>
          <t>CA</t>
        </is>
      </c>
      <c r="C536" s="42" t="n">
        <v>13.18</v>
      </c>
      <c r="D536" t="inlineStr">
        <is>
          <t>Foundation</t>
        </is>
      </c>
      <c r="E536" s="20" t="n">
        <v>2023</v>
      </c>
      <c r="F536" s="20" t="inlineStr"/>
      <c r="G536" t="inlineStr">
        <is>
          <t>Luis Laboy</t>
        </is>
      </c>
      <c r="H536" t="inlineStr">
        <is>
          <t>DIR, PUBLIC EQUITY</t>
        </is>
      </c>
      <c r="I536" t="inlineStr">
        <is>
          <t>Investment Manager</t>
        </is>
      </c>
      <c r="J536" s="21" t="n"/>
      <c r="K536" s="21" t="n"/>
      <c r="L536" s="21" t="n"/>
      <c r="M536" s="21" t="n"/>
      <c r="N536" s="21" t="n"/>
      <c r="O536" s="21" t="n"/>
      <c r="P536" s="21" t="n">
        <v>2234676</v>
      </c>
      <c r="Q536" s="21" t="n">
        <v>2234676</v>
      </c>
      <c r="R536" s="21">
        <f>IF(Q536="","",Q536*(1+in_GrowthRate)^(YEARFRAC(DATE(2023,12,31),in_AgeToDate)*IF(in_AgeToDate&lt;DATE(2023,12,31),-1,1)+1))</f>
        <v/>
      </c>
      <c r="S536" s="38" t="n"/>
      <c r="T536" s="43">
        <f>HYPERLINK("https://projects.propublica.org/nonprofits/organizations/941655673/202403169349102865/full","view filing")</f>
        <v/>
      </c>
    </row>
    <row r="537">
      <c r="A537" t="inlineStr">
        <is>
          <t>William &amp; Mary Foundation</t>
        </is>
      </c>
      <c r="B537" s="20" t="inlineStr">
        <is>
          <t>VA</t>
        </is>
      </c>
      <c r="C537" s="42" t="n">
        <v>1.59</v>
      </c>
      <c r="D537" t="inlineStr">
        <is>
          <t>Foundation</t>
        </is>
      </c>
      <c r="E537" s="20" t="n">
        <v>2022</v>
      </c>
      <c r="F537" s="20" t="inlineStr"/>
      <c r="G537" t="inlineStr">
        <is>
          <t>Catherine Mountjoy</t>
        </is>
      </c>
      <c r="H537" t="inlineStr">
        <is>
          <t>DIRECTOR OF INVESTMENTS</t>
        </is>
      </c>
      <c r="I537" t="inlineStr">
        <is>
          <t>Director of Investments</t>
        </is>
      </c>
      <c r="J537" s="21" t="n">
        <v>219787</v>
      </c>
      <c r="K537" s="21" t="n">
        <v>122932</v>
      </c>
      <c r="L537" s="21" t="n">
        <v>342719</v>
      </c>
      <c r="M537" s="21" t="n">
        <v>706</v>
      </c>
      <c r="N537" s="21" t="n">
        <v>19459</v>
      </c>
      <c r="O537" s="21" t="n">
        <v>26055</v>
      </c>
      <c r="P537" s="21" t="n">
        <v>388939</v>
      </c>
      <c r="Q537" s="21" t="n">
        <v>388939</v>
      </c>
      <c r="R537" s="21">
        <f>IF(Q537="","",Q537*(1+in_GrowthRate)^(YEARFRAC(DATE(2022,6,30),in_AgeToDate)*IF(in_AgeToDate&lt;DATE(2022,6,30),-1,1)+1))</f>
        <v/>
      </c>
      <c r="S537" s="38" t="n">
        <v>0.5593233448748106</v>
      </c>
      <c r="T537" s="43">
        <f>HYPERLINK("https://projects.propublica.org/nonprofits/organizations/540734117/202301359349314250/full","view filing")</f>
        <v/>
      </c>
    </row>
    <row r="538">
      <c r="A538" t="inlineStr">
        <is>
          <t>William Marsh Rice University</t>
        </is>
      </c>
      <c r="B538" s="20" t="inlineStr">
        <is>
          <t>TX</t>
        </is>
      </c>
      <c r="C538" s="42" t="n">
        <v>8.5</v>
      </c>
      <c r="D538" t="inlineStr">
        <is>
          <t>Endowment</t>
        </is>
      </c>
      <c r="E538" s="20" t="n">
        <v>2025</v>
      </c>
      <c r="F538" s="20">
        <f>IF(AND(OR(in_Mode="All Funds",AND(C538&gt;=in_BandFloor,C538&lt;=in_BandCeiling,OR(in_Geography="National",COUNTIFS(lst_GeoPreset,in_Geography,lst_GeoState,B538)&gt;0,AND(in_Geography="Custom",ISNUMBER(SEARCH(B538,SUBSTITUTE(in_CustomStates," ",""))))),OR(AND(D538="Endowment",Inputs!$B$14="Y"),AND(D538="Foundation",Inputs!$B$15="Y"),AND(D538="Healthcare",Inputs!$B$16="Y"),AND(D538="Pension",Inputs!$B$17="Y"),AND(D538="OCIO",Inputs!$B$18="Y"),AND(D538="Other",Inputs!$B$19="Y")))),A538&lt;&gt;in_ClientOrg,NOT(AND(in_ExclHarvard="Y",ISNUMBER(SEARCH("Harvard",A538))))),"Y","")</f>
        <v/>
      </c>
      <c r="G538" t="inlineStr">
        <is>
          <t>Craig Beech</t>
        </is>
      </c>
      <c r="H538" t="inlineStr">
        <is>
          <t>Investment Manager</t>
        </is>
      </c>
      <c r="I538" t="inlineStr">
        <is>
          <t>Investment Manager</t>
        </is>
      </c>
      <c r="J538" s="21" t="n">
        <v>467094</v>
      </c>
      <c r="K538" s="21" t="n">
        <v>481950</v>
      </c>
      <c r="L538" s="21" t="n">
        <v>949044</v>
      </c>
      <c r="M538" s="21" t="n">
        <v>52400</v>
      </c>
      <c r="N538" s="21" t="n">
        <v>43320</v>
      </c>
      <c r="O538" s="21" t="n">
        <v>42571</v>
      </c>
      <c r="P538" s="21" t="n">
        <v>1087335</v>
      </c>
      <c r="Q538" s="21" t="n">
        <v>1087335</v>
      </c>
      <c r="R538" s="21">
        <f>IF(Q538="","",Q538*(1+in_GrowthRate)^(YEARFRAC(DATE(2025,6,30),in_AgeToDate)*IF(in_AgeToDate&lt;DATE(2025,6,30),-1,1)+1))</f>
        <v/>
      </c>
      <c r="S538" s="38" t="n">
        <v>1.031805161273748</v>
      </c>
      <c r="T538" s="43">
        <f>HYPERLINK("https://projects.propublica.org/nonprofits/organizations/741109620/202601319349301340/full","view filing")</f>
        <v/>
      </c>
    </row>
    <row r="539">
      <c r="A539" t="inlineStr">
        <is>
          <t>William Marsh Rice University</t>
        </is>
      </c>
      <c r="B539" s="20" t="inlineStr">
        <is>
          <t>TX</t>
        </is>
      </c>
      <c r="C539" s="42" t="n">
        <v>8.5</v>
      </c>
      <c r="D539" t="inlineStr">
        <is>
          <t>Endowment</t>
        </is>
      </c>
      <c r="E539" s="20" t="n">
        <v>2025</v>
      </c>
      <c r="F539" s="20">
        <f>IF(AND(OR(in_Mode="All Funds",AND(C539&gt;=in_BandFloor,C539&lt;=in_BandCeiling,OR(in_Geography="National",COUNTIFS(lst_GeoPreset,in_Geography,lst_GeoState,B539)&gt;0,AND(in_Geography="Custom",ISNUMBER(SEARCH(B539,SUBSTITUTE(in_CustomStates," ",""))))),OR(AND(D539="Endowment",Inputs!$B$14="Y"),AND(D539="Foundation",Inputs!$B$15="Y"),AND(D539="Healthcare",Inputs!$B$16="Y"),AND(D539="Pension",Inputs!$B$17="Y"),AND(D539="OCIO",Inputs!$B$18="Y"),AND(D539="Other",Inputs!$B$19="Y")))),A539&lt;&gt;in_ClientOrg,NOT(AND(in_ExclHarvard="Y",ISNUMBER(SEARCH("Harvard",A539))))),"Y","")</f>
        <v/>
      </c>
      <c r="G539" t="inlineStr">
        <is>
          <t>John Lawrence</t>
        </is>
      </c>
      <c r="H539" t="inlineStr">
        <is>
          <t>Investment Manager</t>
        </is>
      </c>
      <c r="I539" t="inlineStr">
        <is>
          <t>Investment Manager</t>
        </is>
      </c>
      <c r="J539" s="21" t="n">
        <v>528364</v>
      </c>
      <c r="K539" s="21" t="n">
        <v>538175</v>
      </c>
      <c r="L539" s="21" t="n">
        <v>1066539</v>
      </c>
      <c r="M539" s="21" t="n">
        <v>30500</v>
      </c>
      <c r="N539" s="21" t="n">
        <v>32970</v>
      </c>
      <c r="O539" s="21" t="n">
        <v>42699</v>
      </c>
      <c r="P539" s="21" t="n">
        <v>1172708</v>
      </c>
      <c r="Q539" s="21" t="n">
        <v>1172708</v>
      </c>
      <c r="R539" s="21">
        <f>IF(Q539="","",Q539*(1+in_GrowthRate)^(YEARFRAC(DATE(2025,6,30),in_AgeToDate)*IF(in_AgeToDate&lt;DATE(2025,6,30),-1,1)+1))</f>
        <v/>
      </c>
      <c r="S539" s="38" t="n">
        <v>1.018568638287241</v>
      </c>
      <c r="T539" s="43">
        <f>HYPERLINK("https://projects.propublica.org/nonprofits/organizations/741109620/202601319349301340/full","view filing")</f>
        <v/>
      </c>
    </row>
    <row r="540">
      <c r="A540" t="inlineStr">
        <is>
          <t>William Marsh Rice University</t>
        </is>
      </c>
      <c r="B540" s="20" t="inlineStr">
        <is>
          <t>TX</t>
        </is>
      </c>
      <c r="C540" s="42" t="n">
        <v>8.5</v>
      </c>
      <c r="D540" t="inlineStr">
        <is>
          <t>Endowment</t>
        </is>
      </c>
      <c r="E540" s="20" t="n">
        <v>2024</v>
      </c>
      <c r="F540" s="20" t="inlineStr"/>
      <c r="G540" t="inlineStr">
        <is>
          <t>Craig Beach</t>
        </is>
      </c>
      <c r="H540" t="inlineStr">
        <is>
          <t>Investment Manager</t>
        </is>
      </c>
      <c r="I540" t="inlineStr">
        <is>
          <t>Investment Manager</t>
        </is>
      </c>
      <c r="J540" s="21" t="n">
        <v>458174</v>
      </c>
      <c r="K540" s="21" t="n">
        <v>448000</v>
      </c>
      <c r="L540" s="21" t="n">
        <v>906174</v>
      </c>
      <c r="M540" s="21" t="n">
        <v>51900</v>
      </c>
      <c r="N540" s="21" t="n">
        <v>41490</v>
      </c>
      <c r="O540" s="21" t="n">
        <v>32892</v>
      </c>
      <c r="P540" s="21" t="n">
        <v>1032456</v>
      </c>
      <c r="Q540" s="21" t="n">
        <v>1032456</v>
      </c>
      <c r="R540" s="21">
        <f>IF(Q540="","",Q540*(1+in_GrowthRate)^(YEARFRAC(DATE(2024,6,30),in_AgeToDate)*IF(in_AgeToDate&lt;DATE(2024,6,30),-1,1)+1))</f>
        <v/>
      </c>
      <c r="S540" s="38" t="n">
        <v>0.9777944623658261</v>
      </c>
      <c r="T540" s="43">
        <f>HYPERLINK("https://projects.propublica.org/nonprofits/organizations/741109620/202511289349302401/full","view filing")</f>
        <v/>
      </c>
    </row>
    <row r="541">
      <c r="A541" t="inlineStr">
        <is>
          <t>William Marsh Rice University</t>
        </is>
      </c>
      <c r="B541" s="20" t="inlineStr">
        <is>
          <t>TX</t>
        </is>
      </c>
      <c r="C541" s="42" t="n">
        <v>8.5</v>
      </c>
      <c r="D541" t="inlineStr">
        <is>
          <t>Endowment</t>
        </is>
      </c>
      <c r="E541" s="20" t="n">
        <v>2024</v>
      </c>
      <c r="F541" s="20" t="inlineStr"/>
      <c r="G541" t="inlineStr">
        <is>
          <t>John Lawrence</t>
        </is>
      </c>
      <c r="H541" t="inlineStr">
        <is>
          <t>Investment Manager</t>
        </is>
      </c>
      <c r="I541" t="inlineStr">
        <is>
          <t>Investment Manager</t>
        </is>
      </c>
      <c r="J541" s="21" t="n">
        <v>520168</v>
      </c>
      <c r="K541" s="21" t="n">
        <v>448000</v>
      </c>
      <c r="L541" s="21" t="n">
        <v>968168</v>
      </c>
      <c r="M541" s="21" t="n">
        <v>22500</v>
      </c>
      <c r="N541" s="21" t="n">
        <v>31590</v>
      </c>
      <c r="O541" s="21" t="n">
        <v>38636</v>
      </c>
      <c r="P541" s="21" t="n">
        <v>1060894</v>
      </c>
      <c r="Q541" s="21" t="n">
        <v>1060894</v>
      </c>
      <c r="R541" s="21">
        <f>IF(Q541="","",Q541*(1+in_GrowthRate)^(YEARFRAC(DATE(2024,6,30),in_AgeToDate)*IF(in_AgeToDate&lt;DATE(2024,6,30),-1,1)+1))</f>
        <v/>
      </c>
      <c r="S541" s="38" t="n">
        <v>0.8612602082404146</v>
      </c>
      <c r="T541" s="43">
        <f>HYPERLINK("https://projects.propublica.org/nonprofits/organizations/741109620/202511289349302401/full","view filing")</f>
        <v/>
      </c>
    </row>
    <row r="542">
      <c r="A542" t="inlineStr">
        <is>
          <t>William Marsh Rice University</t>
        </is>
      </c>
      <c r="B542" s="20" t="inlineStr">
        <is>
          <t>TX</t>
        </is>
      </c>
      <c r="C542" s="42" t="n">
        <v>8.5</v>
      </c>
      <c r="D542" t="inlineStr">
        <is>
          <t>Endowment</t>
        </is>
      </c>
      <c r="E542" s="20" t="n">
        <v>2023</v>
      </c>
      <c r="F542" s="20" t="inlineStr"/>
      <c r="G542" t="inlineStr">
        <is>
          <t>Carmen Thompson</t>
        </is>
      </c>
      <c r="H542" t="inlineStr">
        <is>
          <t>Investment Manager</t>
        </is>
      </c>
      <c r="I542" t="inlineStr">
        <is>
          <t>Investment Manager</t>
        </is>
      </c>
      <c r="J542" s="21" t="n">
        <v>417224</v>
      </c>
      <c r="K542" s="21" t="n">
        <v>425000</v>
      </c>
      <c r="L542" s="21" t="n">
        <v>842224</v>
      </c>
      <c r="M542" s="21" t="n">
        <v>47500</v>
      </c>
      <c r="N542" s="21" t="n">
        <v>38400</v>
      </c>
      <c r="O542" s="21" t="n">
        <v>25877</v>
      </c>
      <c r="P542" s="21" t="n">
        <v>954001</v>
      </c>
      <c r="Q542" s="21" t="n">
        <v>954001</v>
      </c>
      <c r="R542" s="21">
        <f>IF(Q542="","",Q542*(1+in_GrowthRate)^(YEARFRAC(DATE(2023,6,30),in_AgeToDate)*IF(in_AgeToDate&lt;DATE(2023,6,30),-1,1)+1))</f>
        <v/>
      </c>
      <c r="S542" s="38" t="n">
        <v>1.018637470519433</v>
      </c>
      <c r="T542" s="43">
        <f>HYPERLINK("https://projects.propublica.org/nonprofits/organizations/741109620/202421299349300847/full","view filing")</f>
        <v/>
      </c>
    </row>
    <row r="543">
      <c r="A543" t="inlineStr">
        <is>
          <t>William Marsh Rice University</t>
        </is>
      </c>
      <c r="B543" s="20" t="inlineStr">
        <is>
          <t>TX</t>
        </is>
      </c>
      <c r="C543" s="42" t="n">
        <v>8.5</v>
      </c>
      <c r="D543" t="inlineStr">
        <is>
          <t>Endowment</t>
        </is>
      </c>
      <c r="E543" s="20" t="n">
        <v>2023</v>
      </c>
      <c r="F543" s="20" t="inlineStr"/>
      <c r="G543" t="inlineStr">
        <is>
          <t>Craig Beach</t>
        </is>
      </c>
      <c r="H543" t="inlineStr">
        <is>
          <t>Investment Manager</t>
        </is>
      </c>
      <c r="I543" t="inlineStr">
        <is>
          <t>Investment Manager</t>
        </is>
      </c>
      <c r="J543" s="21" t="n">
        <v>404502</v>
      </c>
      <c r="K543" s="21" t="n">
        <v>434706</v>
      </c>
      <c r="L543" s="21" t="n">
        <v>839208</v>
      </c>
      <c r="M543" s="21" t="n">
        <v>47500</v>
      </c>
      <c r="N543" s="21" t="n">
        <v>38400</v>
      </c>
      <c r="O543" s="21" t="n">
        <v>24999</v>
      </c>
      <c r="P543" s="21" t="n">
        <v>950107</v>
      </c>
      <c r="Q543" s="21" t="n">
        <v>950107</v>
      </c>
      <c r="R543" s="21">
        <f>IF(Q543="","",Q543*(1+in_GrowthRate)^(YEARFRAC(DATE(2023,6,30),in_AgeToDate)*IF(in_AgeToDate&lt;DATE(2023,6,30),-1,1)+1))</f>
        <v/>
      </c>
      <c r="S543" s="38" t="n">
        <v>1.074669593722652</v>
      </c>
      <c r="T543" s="43">
        <f>HYPERLINK("https://projects.propublica.org/nonprofits/organizations/741109620/202421299349300847/full","view filing")</f>
        <v/>
      </c>
    </row>
    <row r="544">
      <c r="A544" t="inlineStr">
        <is>
          <t>William Marsh Rice University</t>
        </is>
      </c>
      <c r="B544" s="20" t="inlineStr">
        <is>
          <t>TX</t>
        </is>
      </c>
      <c r="C544" s="42" t="n">
        <v>8.5</v>
      </c>
      <c r="D544" t="inlineStr">
        <is>
          <t>Endowment</t>
        </is>
      </c>
      <c r="E544" s="20" t="n">
        <v>2023</v>
      </c>
      <c r="F544" s="20" t="inlineStr"/>
      <c r="G544" t="inlineStr">
        <is>
          <t>John Lawrence</t>
        </is>
      </c>
      <c r="H544" t="inlineStr">
        <is>
          <t>Investment Manager</t>
        </is>
      </c>
      <c r="I544" t="inlineStr">
        <is>
          <t>Investment Manager</t>
        </is>
      </c>
      <c r="J544" s="21" t="n">
        <v>441391</v>
      </c>
      <c r="K544" s="21" t="n">
        <v>425000</v>
      </c>
      <c r="L544" s="21" t="n">
        <v>866391</v>
      </c>
      <c r="M544" s="21" t="n">
        <v>20500</v>
      </c>
      <c r="N544" s="21" t="n">
        <v>29250</v>
      </c>
      <c r="O544" s="21" t="n">
        <v>34120</v>
      </c>
      <c r="P544" s="21" t="n">
        <v>950261</v>
      </c>
      <c r="Q544" s="21" t="n">
        <v>950261</v>
      </c>
      <c r="R544" s="21">
        <f>IF(Q544="","",Q544*(1+in_GrowthRate)^(YEARFRAC(DATE(2023,6,30),in_AgeToDate)*IF(in_AgeToDate&lt;DATE(2023,6,30),-1,1)+1))</f>
        <v/>
      </c>
      <c r="S544" s="38" t="n">
        <v>0.9628651241189784</v>
      </c>
      <c r="T544" s="43">
        <f>HYPERLINK("https://projects.propublica.org/nonprofits/organizations/741109620/202421299349300847/full","view filing")</f>
        <v/>
      </c>
    </row>
    <row r="545">
      <c r="A545" t="inlineStr">
        <is>
          <t>William Marsh Rice University</t>
        </is>
      </c>
      <c r="B545" s="20" t="inlineStr">
        <is>
          <t>TX</t>
        </is>
      </c>
      <c r="C545" s="42" t="n">
        <v>8.5</v>
      </c>
      <c r="D545" t="inlineStr">
        <is>
          <t>Endowment</t>
        </is>
      </c>
      <c r="E545" s="20" t="n">
        <v>2022</v>
      </c>
      <c r="F545" s="20" t="inlineStr"/>
      <c r="G545" t="inlineStr">
        <is>
          <t>Carmen Thompson</t>
        </is>
      </c>
      <c r="H545" t="inlineStr">
        <is>
          <t>Investment Manager</t>
        </is>
      </c>
      <c r="I545" t="inlineStr">
        <is>
          <t>Investment Manager</t>
        </is>
      </c>
      <c r="J545" s="21" t="n">
        <v>369216</v>
      </c>
      <c r="K545" s="21" t="n">
        <v>351422</v>
      </c>
      <c r="L545" s="21" t="n">
        <v>720638</v>
      </c>
      <c r="M545" s="21" t="n">
        <v>45500</v>
      </c>
      <c r="N545" s="21" t="n">
        <v>36360</v>
      </c>
      <c r="O545" s="21" t="n">
        <v>30776</v>
      </c>
      <c r="P545" s="21" t="n">
        <v>833274</v>
      </c>
      <c r="Q545" s="21" t="n">
        <v>833274</v>
      </c>
      <c r="R545" s="21">
        <f>IF(Q545="","",Q545*(1+in_GrowthRate)^(YEARFRAC(DATE(2022,6,30),in_AgeToDate)*IF(in_AgeToDate&lt;DATE(2022,6,30),-1,1)+1))</f>
        <v/>
      </c>
      <c r="S545" s="38" t="n">
        <v>0.9518059889062229</v>
      </c>
      <c r="T545" s="43">
        <f>HYPERLINK("https://projects.propublica.org/nonprofits/organizations/741109620/202321259349302052/full","view filing")</f>
        <v/>
      </c>
    </row>
    <row r="546">
      <c r="A546" t="inlineStr">
        <is>
          <t>William Marsh Rice University</t>
        </is>
      </c>
      <c r="B546" s="20" t="inlineStr">
        <is>
          <t>TX</t>
        </is>
      </c>
      <c r="C546" s="42" t="n">
        <v>8.5</v>
      </c>
      <c r="D546" t="inlineStr">
        <is>
          <t>Endowment</t>
        </is>
      </c>
      <c r="E546" s="20" t="n">
        <v>2022</v>
      </c>
      <c r="F546" s="20" t="inlineStr"/>
      <c r="G546" t="inlineStr">
        <is>
          <t>John Lawrence</t>
        </is>
      </c>
      <c r="H546" t="inlineStr">
        <is>
          <t>Investment Manager</t>
        </is>
      </c>
      <c r="I546" t="inlineStr">
        <is>
          <t>Investment Manager</t>
        </is>
      </c>
      <c r="J546" s="21" t="n">
        <v>361049</v>
      </c>
      <c r="K546" s="21" t="n">
        <v>334039</v>
      </c>
      <c r="L546" s="21" t="n">
        <v>695088</v>
      </c>
      <c r="M546" s="21" t="n">
        <v>19500</v>
      </c>
      <c r="N546" s="21" t="n">
        <v>27660</v>
      </c>
      <c r="O546" s="21" t="n">
        <v>30606</v>
      </c>
      <c r="P546" s="21" t="n">
        <v>772854</v>
      </c>
      <c r="Q546" s="21" t="n">
        <v>772854</v>
      </c>
      <c r="R546" s="21">
        <f>IF(Q546="","",Q546*(1+in_GrowthRate)^(YEARFRAC(DATE(2022,6,30),in_AgeToDate)*IF(in_AgeToDate&lt;DATE(2022,6,30),-1,1)+1))</f>
        <v/>
      </c>
      <c r="S546" s="38" t="n">
        <v>0.9251902096391349</v>
      </c>
      <c r="T546" s="43">
        <f>HYPERLINK("https://projects.propublica.org/nonprofits/organizations/741109620/202321259349302052/full","view filing")</f>
        <v/>
      </c>
    </row>
    <row r="547">
      <c r="A547" t="inlineStr">
        <is>
          <t>William Penn Foundation</t>
        </is>
      </c>
      <c r="B547" s="20" t="inlineStr">
        <is>
          <t>PA</t>
        </is>
      </c>
      <c r="C547" s="42" t="n">
        <v>3.26</v>
      </c>
      <c r="D547" t="inlineStr">
        <is>
          <t>Foundation</t>
        </is>
      </c>
      <c r="E547" s="20" t="n">
        <v>2024</v>
      </c>
      <c r="F547" s="20">
        <f>IF(AND(OR(in_Mode="All Funds",AND(C547&gt;=in_BandFloor,C547&lt;=in_BandCeiling,OR(in_Geography="National",COUNTIFS(lst_GeoPreset,in_Geography,lst_GeoState,B547)&gt;0,AND(in_Geography="Custom",ISNUMBER(SEARCH(B547,SUBSTITUTE(in_CustomStates," ",""))))),OR(AND(D547="Endowment",Inputs!$B$14="Y"),AND(D547="Foundation",Inputs!$B$15="Y"),AND(D547="Healthcare",Inputs!$B$16="Y"),AND(D547="Pension",Inputs!$B$17="Y"),AND(D547="OCIO",Inputs!$B$18="Y"),AND(D547="Other",Inputs!$B$19="Y")))),A547&lt;&gt;in_ClientOrg,NOT(AND(in_ExclHarvard="Y",ISNUMBER(SEARCH("Harvard",A547))))),"Y","")</f>
        <v/>
      </c>
      <c r="G547" t="inlineStr">
        <is>
          <t>Amy Chan</t>
        </is>
      </c>
      <c r="H547" t="inlineStr">
        <is>
          <t>DIRECTOR OF INVESTME</t>
        </is>
      </c>
      <c r="I547" t="inlineStr">
        <is>
          <t>Director of Investments</t>
        </is>
      </c>
      <c r="J547" s="21" t="n"/>
      <c r="K547" s="21" t="n"/>
      <c r="L547" s="21" t="n"/>
      <c r="M547" s="21" t="n"/>
      <c r="N547" s="21" t="n"/>
      <c r="O547" s="21" t="n"/>
      <c r="P547" s="21" t="n">
        <v>640559</v>
      </c>
      <c r="Q547" s="21" t="n">
        <v>640559</v>
      </c>
      <c r="R547" s="21">
        <f>IF(Q547="","",Q547*(1+in_GrowthRate)^(YEARFRAC(DATE(2024,12,31),in_AgeToDate)*IF(in_AgeToDate&lt;DATE(2024,12,31),-1,1)+1))</f>
        <v/>
      </c>
      <c r="S547" s="38" t="n"/>
      <c r="T547" s="43">
        <f>HYPERLINK("https://projects.propublica.org/nonprofits/organizations/231503488/202543189349102354/full","view filing")</f>
        <v/>
      </c>
    </row>
    <row r="548">
      <c r="A548" t="inlineStr">
        <is>
          <t>William Penn Foundation</t>
        </is>
      </c>
      <c r="B548" s="20" t="inlineStr">
        <is>
          <t>PA</t>
        </is>
      </c>
      <c r="C548" s="42" t="n">
        <v>3.26</v>
      </c>
      <c r="D548" t="inlineStr">
        <is>
          <t>Foundation</t>
        </is>
      </c>
      <c r="E548" s="20" t="n">
        <v>2024</v>
      </c>
      <c r="F548" s="20">
        <f>IF(AND(OR(in_Mode="All Funds",AND(C548&gt;=in_BandFloor,C548&lt;=in_BandCeiling,OR(in_Geography="National",COUNTIFS(lst_GeoPreset,in_Geography,lst_GeoState,B548)&gt;0,AND(in_Geography="Custom",ISNUMBER(SEARCH(B548,SUBSTITUTE(in_CustomStates," ",""))))),OR(AND(D548="Endowment",Inputs!$B$14="Y"),AND(D548="Foundation",Inputs!$B$15="Y"),AND(D548="Healthcare",Inputs!$B$16="Y"),AND(D548="Pension",Inputs!$B$17="Y"),AND(D548="OCIO",Inputs!$B$18="Y"),AND(D548="Other",Inputs!$B$19="Y")))),A548&lt;&gt;in_ClientOrg,NOT(AND(in_ExclHarvard="Y",ISNUMBER(SEARCH("Harvard",A548))))),"Y","")</f>
        <v/>
      </c>
      <c r="G548" t="inlineStr">
        <is>
          <t>Dane Kline</t>
        </is>
      </c>
      <c r="H548" t="inlineStr">
        <is>
          <t>DIRECTOR OF INVESTME</t>
        </is>
      </c>
      <c r="I548" t="inlineStr">
        <is>
          <t>Director of Investments</t>
        </is>
      </c>
      <c r="J548" s="21" t="n"/>
      <c r="K548" s="21" t="n"/>
      <c r="L548" s="21" t="n"/>
      <c r="M548" s="21" t="n"/>
      <c r="N548" s="21" t="n"/>
      <c r="O548" s="21" t="n"/>
      <c r="P548" s="21" t="n">
        <v>597241</v>
      </c>
      <c r="Q548" s="21" t="n">
        <v>597241</v>
      </c>
      <c r="R548" s="21">
        <f>IF(Q548="","",Q548*(1+in_GrowthRate)^(YEARFRAC(DATE(2024,12,31),in_AgeToDate)*IF(in_AgeToDate&lt;DATE(2024,12,31),-1,1)+1))</f>
        <v/>
      </c>
      <c r="S548" s="38" t="n"/>
      <c r="T548" s="43">
        <f>HYPERLINK("https://projects.propublica.org/nonprofits/organizations/231503488/202543189349102354/full","view filing")</f>
        <v/>
      </c>
    </row>
    <row r="549">
      <c r="A549" t="inlineStr">
        <is>
          <t>William Penn Foundation</t>
        </is>
      </c>
      <c r="B549" s="20" t="inlineStr">
        <is>
          <t>PA</t>
        </is>
      </c>
      <c r="C549" s="42" t="n">
        <v>3.26</v>
      </c>
      <c r="D549" t="inlineStr">
        <is>
          <t>Foundation</t>
        </is>
      </c>
      <c r="E549" s="20" t="n">
        <v>2024</v>
      </c>
      <c r="F549" s="20">
        <f>IF(AND(OR(in_Mode="All Funds",AND(C549&gt;=in_BandFloor,C549&lt;=in_BandCeiling,OR(in_Geography="National",COUNTIFS(lst_GeoPreset,in_Geography,lst_GeoState,B549)&gt;0,AND(in_Geography="Custom",ISNUMBER(SEARCH(B549,SUBSTITUTE(in_CustomStates," ",""))))),OR(AND(D549="Endowment",Inputs!$B$14="Y"),AND(D549="Foundation",Inputs!$B$15="Y"),AND(D549="Healthcare",Inputs!$B$16="Y"),AND(D549="Pension",Inputs!$B$17="Y"),AND(D549="OCIO",Inputs!$B$18="Y"),AND(D549="Other",Inputs!$B$19="Y")))),A549&lt;&gt;in_ClientOrg,NOT(AND(in_ExclHarvard="Y",ISNUMBER(SEARCH("Harvard",A549))))),"Y","")</f>
        <v/>
      </c>
      <c r="G549" t="inlineStr">
        <is>
          <t>Jeffrey Jackman</t>
        </is>
      </c>
      <c r="H549" t="inlineStr">
        <is>
          <t>DIRECTOR OF INVESTME</t>
        </is>
      </c>
      <c r="I549" t="inlineStr">
        <is>
          <t>Director of Investments</t>
        </is>
      </c>
      <c r="J549" s="21" t="n"/>
      <c r="K549" s="21" t="n"/>
      <c r="L549" s="21" t="n"/>
      <c r="M549" s="21" t="n"/>
      <c r="N549" s="21" t="n"/>
      <c r="O549" s="21" t="n"/>
      <c r="P549" s="21" t="n">
        <v>640519</v>
      </c>
      <c r="Q549" s="21" t="n">
        <v>640519</v>
      </c>
      <c r="R549" s="21">
        <f>IF(Q549="","",Q549*(1+in_GrowthRate)^(YEARFRAC(DATE(2024,12,31),in_AgeToDate)*IF(in_AgeToDate&lt;DATE(2024,12,31),-1,1)+1))</f>
        <v/>
      </c>
      <c r="S549" s="38" t="n"/>
      <c r="T549" s="43">
        <f>HYPERLINK("https://projects.propublica.org/nonprofits/organizations/231503488/202543189349102354/full","view filing")</f>
        <v/>
      </c>
    </row>
    <row r="550">
      <c r="A550" t="inlineStr">
        <is>
          <t>William Penn Foundation</t>
        </is>
      </c>
      <c r="B550" s="20" t="inlineStr">
        <is>
          <t>PA</t>
        </is>
      </c>
      <c r="C550" s="42" t="n">
        <v>3.26</v>
      </c>
      <c r="D550" t="inlineStr">
        <is>
          <t>Foundation</t>
        </is>
      </c>
      <c r="E550" s="20" t="n">
        <v>2024</v>
      </c>
      <c r="F550" s="20">
        <f>IF(AND(OR(in_Mode="All Funds",AND(C550&gt;=in_BandFloor,C550&lt;=in_BandCeiling,OR(in_Geography="National",COUNTIFS(lst_GeoPreset,in_Geography,lst_GeoState,B550)&gt;0,AND(in_Geography="Custom",ISNUMBER(SEARCH(B550,SUBSTITUTE(in_CustomStates," ",""))))),OR(AND(D550="Endowment",Inputs!$B$14="Y"),AND(D550="Foundation",Inputs!$B$15="Y"),AND(D550="Healthcare",Inputs!$B$16="Y"),AND(D550="Pension",Inputs!$B$17="Y"),AND(D550="OCIO",Inputs!$B$18="Y"),AND(D550="Other",Inputs!$B$19="Y")))),A550&lt;&gt;in_ClientOrg,NOT(AND(in_ExclHarvard="Y",ISNUMBER(SEARCH("Harvard",A550))))),"Y","")</f>
        <v/>
      </c>
      <c r="G550" t="inlineStr">
        <is>
          <t>John Cross</t>
        </is>
      </c>
      <c r="H550" t="inlineStr">
        <is>
          <t>DIRECTOR OF INVESTME</t>
        </is>
      </c>
      <c r="I550" t="inlineStr">
        <is>
          <t>Director of Investments</t>
        </is>
      </c>
      <c r="J550" s="21" t="n"/>
      <c r="K550" s="21" t="n"/>
      <c r="L550" s="21" t="n"/>
      <c r="M550" s="21" t="n"/>
      <c r="N550" s="21" t="n"/>
      <c r="O550" s="21" t="n"/>
      <c r="P550" s="21" t="n">
        <v>640706</v>
      </c>
      <c r="Q550" s="21" t="n">
        <v>640706</v>
      </c>
      <c r="R550" s="21">
        <f>IF(Q550="","",Q550*(1+in_GrowthRate)^(YEARFRAC(DATE(2024,12,31),in_AgeToDate)*IF(in_AgeToDate&lt;DATE(2024,12,31),-1,1)+1))</f>
        <v/>
      </c>
      <c r="S550" s="38" t="n"/>
      <c r="T550" s="43">
        <f>HYPERLINK("https://projects.propublica.org/nonprofits/organizations/231503488/202543189349102354/full","view filing")</f>
        <v/>
      </c>
    </row>
    <row r="551">
      <c r="A551" t="inlineStr">
        <is>
          <t>William Penn Foundation</t>
        </is>
      </c>
      <c r="B551" s="20" t="inlineStr">
        <is>
          <t>PA</t>
        </is>
      </c>
      <c r="C551" s="42" t="n">
        <v>3.26</v>
      </c>
      <c r="D551" t="inlineStr">
        <is>
          <t>Foundation</t>
        </is>
      </c>
      <c r="E551" s="20" t="n">
        <v>2023</v>
      </c>
      <c r="F551" s="20" t="inlineStr"/>
      <c r="G551" t="inlineStr">
        <is>
          <t>Amy Chan</t>
        </is>
      </c>
      <c r="H551" t="inlineStr">
        <is>
          <t>DIRECTOR OF INVESTME</t>
        </is>
      </c>
      <c r="I551" t="inlineStr">
        <is>
          <t>Director of Investments</t>
        </is>
      </c>
      <c r="J551" s="21" t="n"/>
      <c r="K551" s="21" t="n"/>
      <c r="L551" s="21" t="n"/>
      <c r="M551" s="21" t="n"/>
      <c r="N551" s="21" t="n"/>
      <c r="O551" s="21" t="n"/>
      <c r="P551" s="21" t="n">
        <v>498202</v>
      </c>
      <c r="Q551" s="21" t="n">
        <v>498202</v>
      </c>
      <c r="R551" s="21">
        <f>IF(Q551="","",Q551*(1+in_GrowthRate)^(YEARFRAC(DATE(2023,12,31),in_AgeToDate)*IF(in_AgeToDate&lt;DATE(2023,12,31),-1,1)+1))</f>
        <v/>
      </c>
      <c r="S551" s="38" t="n"/>
      <c r="T551" s="43">
        <f>HYPERLINK("https://projects.propublica.org/nonprofits/organizations/231503488/202433199349103223/full","view filing")</f>
        <v/>
      </c>
    </row>
    <row r="552">
      <c r="A552" t="inlineStr">
        <is>
          <t>William Penn Foundation</t>
        </is>
      </c>
      <c r="B552" s="20" t="inlineStr">
        <is>
          <t>PA</t>
        </is>
      </c>
      <c r="C552" s="42" t="n">
        <v>3.26</v>
      </c>
      <c r="D552" t="inlineStr">
        <is>
          <t>Foundation</t>
        </is>
      </c>
      <c r="E552" s="20" t="n">
        <v>2023</v>
      </c>
      <c r="F552" s="20" t="inlineStr"/>
      <c r="G552" t="inlineStr">
        <is>
          <t>Dane Kline</t>
        </is>
      </c>
      <c r="H552" t="inlineStr">
        <is>
          <t>DIRECTOR OF INVESTME</t>
        </is>
      </c>
      <c r="I552" t="inlineStr">
        <is>
          <t>Director of Investments</t>
        </is>
      </c>
      <c r="J552" s="21" t="n"/>
      <c r="K552" s="21" t="n"/>
      <c r="L552" s="21" t="n"/>
      <c r="M552" s="21" t="n"/>
      <c r="N552" s="21" t="n"/>
      <c r="O552" s="21" t="n"/>
      <c r="P552" s="21" t="n">
        <v>448673</v>
      </c>
      <c r="Q552" s="21" t="n">
        <v>448673</v>
      </c>
      <c r="R552" s="21">
        <f>IF(Q552="","",Q552*(1+in_GrowthRate)^(YEARFRAC(DATE(2023,12,31),in_AgeToDate)*IF(in_AgeToDate&lt;DATE(2023,12,31),-1,1)+1))</f>
        <v/>
      </c>
      <c r="S552" s="38" t="n"/>
      <c r="T552" s="43">
        <f>HYPERLINK("https://projects.propublica.org/nonprofits/organizations/231503488/202433199349103223/full","view filing")</f>
        <v/>
      </c>
    </row>
    <row r="553">
      <c r="A553" t="inlineStr">
        <is>
          <t>William Penn Foundation</t>
        </is>
      </c>
      <c r="B553" s="20" t="inlineStr">
        <is>
          <t>PA</t>
        </is>
      </c>
      <c r="C553" s="42" t="n">
        <v>3.26</v>
      </c>
      <c r="D553" t="inlineStr">
        <is>
          <t>Foundation</t>
        </is>
      </c>
      <c r="E553" s="20" t="n">
        <v>2023</v>
      </c>
      <c r="F553" s="20" t="inlineStr"/>
      <c r="G553" t="inlineStr">
        <is>
          <t>Jeffrey Jackman</t>
        </is>
      </c>
      <c r="H553" t="inlineStr">
        <is>
          <t>DIRECTOR OF INVESTME</t>
        </is>
      </c>
      <c r="I553" t="inlineStr">
        <is>
          <t>Director of Investments</t>
        </is>
      </c>
      <c r="J553" s="21" t="n"/>
      <c r="K553" s="21" t="n"/>
      <c r="L553" s="21" t="n"/>
      <c r="M553" s="21" t="n"/>
      <c r="N553" s="21" t="n"/>
      <c r="O553" s="21" t="n"/>
      <c r="P553" s="21" t="n">
        <v>497507</v>
      </c>
      <c r="Q553" s="21" t="n">
        <v>497507</v>
      </c>
      <c r="R553" s="21">
        <f>IF(Q553="","",Q553*(1+in_GrowthRate)^(YEARFRAC(DATE(2023,12,31),in_AgeToDate)*IF(in_AgeToDate&lt;DATE(2023,12,31),-1,1)+1))</f>
        <v/>
      </c>
      <c r="S553" s="38" t="n"/>
      <c r="T553" s="43">
        <f>HYPERLINK("https://projects.propublica.org/nonprofits/organizations/231503488/202433199349103223/full","view filing")</f>
        <v/>
      </c>
    </row>
    <row r="554">
      <c r="A554" t="inlineStr">
        <is>
          <t>William Penn Foundation</t>
        </is>
      </c>
      <c r="B554" s="20" t="inlineStr">
        <is>
          <t>PA</t>
        </is>
      </c>
      <c r="C554" s="42" t="n">
        <v>3.26</v>
      </c>
      <c r="D554" t="inlineStr">
        <is>
          <t>Foundation</t>
        </is>
      </c>
      <c r="E554" s="20" t="n">
        <v>2023</v>
      </c>
      <c r="F554" s="20" t="inlineStr"/>
      <c r="G554" t="inlineStr">
        <is>
          <t>John Cross</t>
        </is>
      </c>
      <c r="H554" t="inlineStr">
        <is>
          <t>DIRECTOR OF INVESTME</t>
        </is>
      </c>
      <c r="I554" t="inlineStr">
        <is>
          <t>Director of Investments</t>
        </is>
      </c>
      <c r="J554" s="21" t="n"/>
      <c r="K554" s="21" t="n"/>
      <c r="L554" s="21" t="n"/>
      <c r="M554" s="21" t="n"/>
      <c r="N554" s="21" t="n"/>
      <c r="O554" s="21" t="n"/>
      <c r="P554" s="21" t="n">
        <v>497781</v>
      </c>
      <c r="Q554" s="21" t="n">
        <v>497781</v>
      </c>
      <c r="R554" s="21">
        <f>IF(Q554="","",Q554*(1+in_GrowthRate)^(YEARFRAC(DATE(2023,12,31),in_AgeToDate)*IF(in_AgeToDate&lt;DATE(2023,12,31),-1,1)+1))</f>
        <v/>
      </c>
      <c r="S554" s="38" t="n"/>
      <c r="T554" s="43">
        <f>HYPERLINK("https://projects.propublica.org/nonprofits/organizations/231503488/202433199349103223/full","view filing")</f>
        <v/>
      </c>
    </row>
    <row r="555">
      <c r="A555" t="inlineStr">
        <is>
          <t>William Penn Foundation</t>
        </is>
      </c>
      <c r="B555" s="20" t="inlineStr">
        <is>
          <t>PA</t>
        </is>
      </c>
      <c r="C555" s="42" t="n">
        <v>3.26</v>
      </c>
      <c r="D555" t="inlineStr">
        <is>
          <t>Foundation</t>
        </is>
      </c>
      <c r="E555" s="20" t="n">
        <v>2022</v>
      </c>
      <c r="F555" s="20" t="inlineStr"/>
      <c r="G555" t="inlineStr">
        <is>
          <t>Amy Chan</t>
        </is>
      </c>
      <c r="H555" t="inlineStr">
        <is>
          <t>DIRECTOR OF INVESTME</t>
        </is>
      </c>
      <c r="I555" t="inlineStr">
        <is>
          <t>Director of Investments</t>
        </is>
      </c>
      <c r="J555" s="21" t="n"/>
      <c r="K555" s="21" t="n"/>
      <c r="L555" s="21" t="n"/>
      <c r="M555" s="21" t="n"/>
      <c r="N555" s="21" t="n"/>
      <c r="O555" s="21" t="n"/>
      <c r="P555" s="21" t="n">
        <v>403634</v>
      </c>
      <c r="Q555" s="21" t="n">
        <v>403634</v>
      </c>
      <c r="R555" s="21">
        <f>IF(Q555="","",Q555*(1+in_GrowthRate)^(YEARFRAC(DATE(2022,12,31),in_AgeToDate)*IF(in_AgeToDate&lt;DATE(2022,12,31),-1,1)+1))</f>
        <v/>
      </c>
      <c r="S555" s="38" t="n"/>
      <c r="T555" s="43">
        <f>HYPERLINK("https://projects.propublica.org/nonprofits/organizations/231503488/202523459349100402/full","view filing")</f>
        <v/>
      </c>
    </row>
    <row r="556">
      <c r="A556" t="inlineStr">
        <is>
          <t>William Penn Foundation</t>
        </is>
      </c>
      <c r="B556" s="20" t="inlineStr">
        <is>
          <t>PA</t>
        </is>
      </c>
      <c r="C556" s="42" t="n">
        <v>3.26</v>
      </c>
      <c r="D556" t="inlineStr">
        <is>
          <t>Foundation</t>
        </is>
      </c>
      <c r="E556" s="20" t="n">
        <v>2022</v>
      </c>
      <c r="F556" s="20" t="inlineStr"/>
      <c r="G556" t="inlineStr">
        <is>
          <t>Dane Kline</t>
        </is>
      </c>
      <c r="H556" t="inlineStr">
        <is>
          <t>DIRECTOR OF INVESTME</t>
        </is>
      </c>
      <c r="I556" t="inlineStr">
        <is>
          <t>Director of Investments</t>
        </is>
      </c>
      <c r="J556" s="21" t="n"/>
      <c r="K556" s="21" t="n"/>
      <c r="L556" s="21" t="n"/>
      <c r="M556" s="21" t="n"/>
      <c r="N556" s="21" t="n"/>
      <c r="O556" s="21" t="n"/>
      <c r="P556" s="21" t="n">
        <v>302942</v>
      </c>
      <c r="Q556" s="21" t="n">
        <v>302942</v>
      </c>
      <c r="R556" s="21">
        <f>IF(Q556="","",Q556*(1+in_GrowthRate)^(YEARFRAC(DATE(2022,12,31),in_AgeToDate)*IF(in_AgeToDate&lt;DATE(2022,12,31),-1,1)+1))</f>
        <v/>
      </c>
      <c r="S556" s="38" t="n"/>
      <c r="T556" s="43">
        <f>HYPERLINK("https://projects.propublica.org/nonprofits/organizations/231503488/202523459349100402/full","view filing")</f>
        <v/>
      </c>
    </row>
    <row r="557">
      <c r="A557" t="inlineStr">
        <is>
          <t>William Penn Foundation</t>
        </is>
      </c>
      <c r="B557" s="20" t="inlineStr">
        <is>
          <t>PA</t>
        </is>
      </c>
      <c r="C557" s="42" t="n">
        <v>3.26</v>
      </c>
      <c r="D557" t="inlineStr">
        <is>
          <t>Foundation</t>
        </is>
      </c>
      <c r="E557" s="20" t="n">
        <v>2022</v>
      </c>
      <c r="F557" s="20" t="inlineStr"/>
      <c r="G557" t="inlineStr">
        <is>
          <t>Jeffrey Jackman</t>
        </is>
      </c>
      <c r="H557" t="inlineStr">
        <is>
          <t>DIRECTOR OF INVESTME</t>
        </is>
      </c>
      <c r="I557" t="inlineStr">
        <is>
          <t>Director of Investments</t>
        </is>
      </c>
      <c r="J557" s="21" t="n"/>
      <c r="K557" s="21" t="n"/>
      <c r="L557" s="21" t="n"/>
      <c r="M557" s="21" t="n"/>
      <c r="N557" s="21" t="n"/>
      <c r="O557" s="21" t="n"/>
      <c r="P557" s="21" t="n">
        <v>371674</v>
      </c>
      <c r="Q557" s="21" t="n">
        <v>371674</v>
      </c>
      <c r="R557" s="21">
        <f>IF(Q557="","",Q557*(1+in_GrowthRate)^(YEARFRAC(DATE(2022,12,31),in_AgeToDate)*IF(in_AgeToDate&lt;DATE(2022,12,31),-1,1)+1))</f>
        <v/>
      </c>
      <c r="S557" s="38" t="n"/>
      <c r="T557" s="43">
        <f>HYPERLINK("https://projects.propublica.org/nonprofits/organizations/231503488/202523459349100402/full","view filing")</f>
        <v/>
      </c>
    </row>
    <row r="558">
      <c r="A558" t="inlineStr">
        <is>
          <t>William Penn Foundation</t>
        </is>
      </c>
      <c r="B558" s="20" t="inlineStr">
        <is>
          <t>PA</t>
        </is>
      </c>
      <c r="C558" s="42" t="n">
        <v>3.26</v>
      </c>
      <c r="D558" t="inlineStr">
        <is>
          <t>Foundation</t>
        </is>
      </c>
      <c r="E558" s="20" t="n">
        <v>2022</v>
      </c>
      <c r="F558" s="20" t="inlineStr"/>
      <c r="G558" t="inlineStr">
        <is>
          <t>John Cross</t>
        </is>
      </c>
      <c r="H558" t="inlineStr">
        <is>
          <t>DIRECTOR OF INVESTME</t>
        </is>
      </c>
      <c r="I558" t="inlineStr">
        <is>
          <t>Director of Investments</t>
        </is>
      </c>
      <c r="J558" s="21" t="n"/>
      <c r="K558" s="21" t="n"/>
      <c r="L558" s="21" t="n"/>
      <c r="M558" s="21" t="n"/>
      <c r="N558" s="21" t="n"/>
      <c r="O558" s="21" t="n"/>
      <c r="P558" s="21" t="n">
        <v>371555</v>
      </c>
      <c r="Q558" s="21" t="n">
        <v>371555</v>
      </c>
      <c r="R558" s="21">
        <f>IF(Q558="","",Q558*(1+in_GrowthRate)^(YEARFRAC(DATE(2022,12,31),in_AgeToDate)*IF(in_AgeToDate&lt;DATE(2022,12,31),-1,1)+1))</f>
        <v/>
      </c>
      <c r="S558" s="38" t="n"/>
      <c r="T558" s="43">
        <f>HYPERLINK("https://projects.propublica.org/nonprofits/organizations/231503488/202523459349100402/full","view filing")</f>
        <v/>
      </c>
    </row>
    <row r="559">
      <c r="A559" t="inlineStr">
        <is>
          <t>Wisconsin Alumni Research Foundation</t>
        </is>
      </c>
      <c r="B559" s="20" t="inlineStr">
        <is>
          <t>WI</t>
        </is>
      </c>
      <c r="C559" s="42" t="n">
        <v>3.4</v>
      </c>
      <c r="D559" t="inlineStr">
        <is>
          <t>Foundation</t>
        </is>
      </c>
      <c r="E559" s="20" t="n">
        <v>2025</v>
      </c>
      <c r="F559" s="20">
        <f>IF(AND(OR(in_Mode="All Funds",AND(C559&gt;=in_BandFloor,C559&lt;=in_BandCeiling,OR(in_Geography="National",COUNTIFS(lst_GeoPreset,in_Geography,lst_GeoState,B559)&gt;0,AND(in_Geography="Custom",ISNUMBER(SEARCH(B559,SUBSTITUTE(in_CustomStates," ",""))))),OR(AND(D559="Endowment",Inputs!$B$14="Y"),AND(D559="Foundation",Inputs!$B$15="Y"),AND(D559="Healthcare",Inputs!$B$16="Y"),AND(D559="Pension",Inputs!$B$17="Y"),AND(D559="OCIO",Inputs!$B$18="Y"),AND(D559="Other",Inputs!$B$19="Y")))),A559&lt;&gt;in_ClientOrg,NOT(AND(in_ExclHarvard="Y",ISNUMBER(SEARCH("Harvard",A559))))),"Y","")</f>
        <v/>
      </c>
      <c r="G559" t="inlineStr">
        <is>
          <t>Michael Wagner</t>
        </is>
      </c>
      <c r="H559" t="inlineStr">
        <is>
          <t>INVESTMENT DIRECTOR</t>
        </is>
      </c>
      <c r="I559" t="inlineStr">
        <is>
          <t>Director of Investments</t>
        </is>
      </c>
      <c r="J559" s="21" t="n">
        <v>307359</v>
      </c>
      <c r="K559" s="21" t="n">
        <v>152641</v>
      </c>
      <c r="L559" s="21" t="n">
        <v>460000</v>
      </c>
      <c r="M559" s="21" t="n"/>
      <c r="N559" s="21" t="n">
        <v>149522</v>
      </c>
      <c r="O559" s="21" t="n">
        <v>43355</v>
      </c>
      <c r="P559" s="21" t="n">
        <v>652877</v>
      </c>
      <c r="Q559" s="21" t="n">
        <v>652877</v>
      </c>
      <c r="R559" s="21">
        <f>IF(Q559="","",Q559*(1+in_GrowthRate)^(YEARFRAC(DATE(2025,6,30),in_AgeToDate)*IF(in_AgeToDate&lt;DATE(2025,6,30),-1,1)+1))</f>
        <v/>
      </c>
      <c r="S559" s="38" t="n">
        <v>0.4966212149310741</v>
      </c>
      <c r="T559" s="43">
        <f>HYPERLINK("https://projects.propublica.org/nonprofits/organizations/390833612/202533159349304918/full","view filing")</f>
        <v/>
      </c>
    </row>
    <row r="560">
      <c r="A560" t="inlineStr">
        <is>
          <t>Wisconsin Alumni Research Foundation</t>
        </is>
      </c>
      <c r="B560" s="20" t="inlineStr">
        <is>
          <t>WI</t>
        </is>
      </c>
      <c r="C560" s="42" t="n">
        <v>3.4</v>
      </c>
      <c r="D560" t="inlineStr">
        <is>
          <t>Foundation</t>
        </is>
      </c>
      <c r="E560" s="20" t="n">
        <v>2024</v>
      </c>
      <c r="F560" s="20" t="inlineStr"/>
      <c r="G560" t="inlineStr">
        <is>
          <t>Michael Wagner</t>
        </is>
      </c>
      <c r="H560" t="inlineStr">
        <is>
          <t>INVESTMENT DIRECTOR</t>
        </is>
      </c>
      <c r="I560" t="inlineStr">
        <is>
          <t>Director of Investments</t>
        </is>
      </c>
      <c r="J560" s="21" t="n">
        <v>294036</v>
      </c>
      <c r="K560" s="21" t="n">
        <v>118006</v>
      </c>
      <c r="L560" s="21" t="n">
        <v>412042</v>
      </c>
      <c r="M560" s="21" t="n"/>
      <c r="N560" s="21" t="n">
        <v>101229</v>
      </c>
      <c r="O560" s="21" t="n">
        <v>42043</v>
      </c>
      <c r="P560" s="21" t="n">
        <v>555314</v>
      </c>
      <c r="Q560" s="21" t="n">
        <v>555314</v>
      </c>
      <c r="R560" s="21">
        <f>IF(Q560="","",Q560*(1+in_GrowthRate)^(YEARFRAC(DATE(2024,6,30),in_AgeToDate)*IF(in_AgeToDate&lt;DATE(2024,6,30),-1,1)+1))</f>
        <v/>
      </c>
      <c r="S560" s="38" t="n">
        <v>0.4013318097103756</v>
      </c>
      <c r="T560" s="43">
        <f>HYPERLINK("https://projects.propublica.org/nonprofits/organizations/390833612/202443139349304264/full","view filing")</f>
        <v/>
      </c>
    </row>
    <row r="561">
      <c r="A561" t="inlineStr">
        <is>
          <t>Wisconsin Alumni Research Foundation</t>
        </is>
      </c>
      <c r="B561" s="20" t="inlineStr">
        <is>
          <t>WI</t>
        </is>
      </c>
      <c r="C561" s="42" t="n">
        <v>3.4</v>
      </c>
      <c r="D561" t="inlineStr">
        <is>
          <t>Foundation</t>
        </is>
      </c>
      <c r="E561" s="20" t="n">
        <v>2023</v>
      </c>
      <c r="F561" s="20" t="inlineStr"/>
      <c r="G561" t="inlineStr">
        <is>
          <t>Michael Wagner</t>
        </is>
      </c>
      <c r="H561" t="inlineStr">
        <is>
          <t>INVESTMENT DIRECTOR</t>
        </is>
      </c>
      <c r="I561" t="inlineStr">
        <is>
          <t>Director of Investments</t>
        </is>
      </c>
      <c r="J561" s="21" t="n">
        <v>283263</v>
      </c>
      <c r="K561" s="21" t="n">
        <v>190534</v>
      </c>
      <c r="L561" s="21" t="n">
        <v>473797</v>
      </c>
      <c r="M561" s="21" t="n"/>
      <c r="N561" s="21" t="n">
        <v>39770</v>
      </c>
      <c r="O561" s="21" t="n">
        <v>42676</v>
      </c>
      <c r="P561" s="21" t="n">
        <v>556243</v>
      </c>
      <c r="Q561" s="21" t="n">
        <v>556243</v>
      </c>
      <c r="R561" s="21">
        <f>IF(Q561="","",Q561*(1+in_GrowthRate)^(YEARFRAC(DATE(2023,6,30),in_AgeToDate)*IF(in_AgeToDate&lt;DATE(2023,6,30),-1,1)+1))</f>
        <v/>
      </c>
      <c r="S561" s="38" t="n">
        <v>0.6726399141433932</v>
      </c>
      <c r="T561" s="43">
        <f>HYPERLINK("https://projects.propublica.org/nonprofits/organizations/390833612/202303069349302940/full","view filing")</f>
        <v/>
      </c>
    </row>
    <row r="562">
      <c r="A562" t="inlineStr">
        <is>
          <t>Wisconsin Alumni Research Foundation</t>
        </is>
      </c>
      <c r="B562" s="20" t="inlineStr">
        <is>
          <t>WI</t>
        </is>
      </c>
      <c r="C562" s="42" t="n">
        <v>3.4</v>
      </c>
      <c r="D562" t="inlineStr">
        <is>
          <t>Foundation</t>
        </is>
      </c>
      <c r="E562" s="20" t="n">
        <v>2022</v>
      </c>
      <c r="F562" s="20" t="inlineStr"/>
      <c r="G562" t="inlineStr">
        <is>
          <t>Michael Wagner</t>
        </is>
      </c>
      <c r="H562" t="inlineStr">
        <is>
          <t>INVESTMENT DIRECTOR</t>
        </is>
      </c>
      <c r="I562" t="inlineStr">
        <is>
          <t>Director of Investments</t>
        </is>
      </c>
      <c r="J562" s="21" t="n">
        <v>274467</v>
      </c>
      <c r="K562" s="21" t="n">
        <v>177396</v>
      </c>
      <c r="L562" s="21" t="n">
        <v>451863</v>
      </c>
      <c r="M562" s="21" t="n"/>
      <c r="N562" s="21" t="n">
        <v>144009</v>
      </c>
      <c r="O562" s="21" t="n">
        <v>40857</v>
      </c>
      <c r="P562" s="21" t="n">
        <v>636729</v>
      </c>
      <c r="Q562" s="21" t="n">
        <v>636729</v>
      </c>
      <c r="R562" s="21">
        <f>IF(Q562="","",Q562*(1+in_GrowthRate)^(YEARFRAC(DATE(2022,6,30),in_AgeToDate)*IF(in_AgeToDate&lt;DATE(2022,6,30),-1,1)+1))</f>
        <v/>
      </c>
      <c r="S562" s="38" t="n">
        <v>0.6463290668823575</v>
      </c>
      <c r="T562" s="43">
        <f>HYPERLINK("https://projects.propublica.org/nonprofits/organizations/390833612/202223149349304647/full","view filing")</f>
        <v/>
      </c>
    </row>
    <row r="563">
      <c r="A563" t="inlineStr">
        <is>
          <t>Young Mens Christian Association Retirement Fund</t>
        </is>
      </c>
      <c r="B563" s="20" t="inlineStr">
        <is>
          <t>NY</t>
        </is>
      </c>
      <c r="C563" s="42" t="n">
        <v>9.75</v>
      </c>
      <c r="D563" t="inlineStr">
        <is>
          <t>Pension</t>
        </is>
      </c>
      <c r="E563" s="20" t="n">
        <v>2025</v>
      </c>
      <c r="F563" s="20">
        <f>IF(AND(OR(in_Mode="All Funds",AND(C563&gt;=in_BandFloor,C563&lt;=in_BandCeiling,OR(in_Geography="National",COUNTIFS(lst_GeoPreset,in_Geography,lst_GeoState,B563)&gt;0,AND(in_Geography="Custom",ISNUMBER(SEARCH(B563,SUBSTITUTE(in_CustomStates," ",""))))),OR(AND(D563="Endowment",Inputs!$B$14="Y"),AND(D563="Foundation",Inputs!$B$15="Y"),AND(D563="Healthcare",Inputs!$B$16="Y"),AND(D563="Pension",Inputs!$B$17="Y"),AND(D563="OCIO",Inputs!$B$18="Y"),AND(D563="Other",Inputs!$B$19="Y")))),A563&lt;&gt;in_ClientOrg,NOT(AND(in_ExclHarvard="Y",ISNUMBER(SEARCH("Harvard",A563))))),"Y","")</f>
        <v/>
      </c>
      <c r="G563" t="inlineStr">
        <is>
          <t>Erik Strobel</t>
        </is>
      </c>
      <c r="H563" t="inlineStr">
        <is>
          <t>INVESTMENT DIRECTOR</t>
        </is>
      </c>
      <c r="I563" t="inlineStr">
        <is>
          <t>Director of Investments</t>
        </is>
      </c>
      <c r="J563" s="21" t="n">
        <v>336322</v>
      </c>
      <c r="K563" s="21" t="n">
        <v>250000</v>
      </c>
      <c r="L563" s="21" t="n">
        <v>586322</v>
      </c>
      <c r="M563" s="21" t="n">
        <v>276</v>
      </c>
      <c r="N563" s="21" t="n">
        <v>41400</v>
      </c>
      <c r="O563" s="21" t="n">
        <v>18572</v>
      </c>
      <c r="P563" s="21" t="n">
        <v>646570</v>
      </c>
      <c r="Q563" s="21" t="n">
        <v>646570</v>
      </c>
      <c r="R563" s="21">
        <f>IF(Q563="","",Q563*(1+in_GrowthRate)^(YEARFRAC(DATE(2025,6,30),in_AgeToDate)*IF(in_AgeToDate&lt;DATE(2025,6,30),-1,1)+1))</f>
        <v/>
      </c>
      <c r="S563" s="38" t="n">
        <v>0.7433352560938624</v>
      </c>
      <c r="T563" s="43">
        <f>HYPERLINK("https://projects.propublica.org/nonprofits/organizations/135562401/202513179349310251/full","view filing")</f>
        <v/>
      </c>
    </row>
    <row r="564">
      <c r="A564" t="inlineStr">
        <is>
          <t>Young Mens Christian Association Retirement Fund</t>
        </is>
      </c>
      <c r="B564" s="20" t="inlineStr">
        <is>
          <t>NY</t>
        </is>
      </c>
      <c r="C564" s="42" t="n">
        <v>9.75</v>
      </c>
      <c r="D564" t="inlineStr">
        <is>
          <t>Pension</t>
        </is>
      </c>
      <c r="E564" s="20" t="n">
        <v>2025</v>
      </c>
      <c r="F564" s="20">
        <f>IF(AND(OR(in_Mode="All Funds",AND(C564&gt;=in_BandFloor,C564&lt;=in_BandCeiling,OR(in_Geography="National",COUNTIFS(lst_GeoPreset,in_Geography,lst_GeoState,B564)&gt;0,AND(in_Geography="Custom",ISNUMBER(SEARCH(B564,SUBSTITUTE(in_CustomStates," ",""))))),OR(AND(D564="Endowment",Inputs!$B$14="Y"),AND(D564="Foundation",Inputs!$B$15="Y"),AND(D564="Healthcare",Inputs!$B$16="Y"),AND(D564="Pension",Inputs!$B$17="Y"),AND(D564="OCIO",Inputs!$B$18="Y"),AND(D564="Other",Inputs!$B$19="Y")))),A564&lt;&gt;in_ClientOrg,NOT(AND(in_ExclHarvard="Y",ISNUMBER(SEARCH("Harvard",A564))))),"Y","")</f>
        <v/>
      </c>
      <c r="G564" t="inlineStr">
        <is>
          <t>John Maimone Medwick</t>
        </is>
      </c>
      <c r="H564" t="inlineStr">
        <is>
          <t>INVESTMENT DIRECTOR</t>
        </is>
      </c>
      <c r="I564" t="inlineStr">
        <is>
          <t>Director of Investments</t>
        </is>
      </c>
      <c r="J564" s="21" t="n">
        <v>403990</v>
      </c>
      <c r="K564" s="21" t="n">
        <v>425000</v>
      </c>
      <c r="L564" s="21" t="n">
        <v>828990</v>
      </c>
      <c r="M564" s="21" t="n">
        <v>329</v>
      </c>
      <c r="N564" s="21" t="n">
        <v>41400</v>
      </c>
      <c r="O564" s="21" t="n">
        <v>17936</v>
      </c>
      <c r="P564" s="21" t="n">
        <v>888655</v>
      </c>
      <c r="Q564" s="21" t="n">
        <v>888655</v>
      </c>
      <c r="R564" s="21">
        <f>IF(Q564="","",Q564*(1+in_GrowthRate)^(YEARFRAC(DATE(2025,6,30),in_AgeToDate)*IF(in_AgeToDate&lt;DATE(2025,6,30),-1,1)+1))</f>
        <v/>
      </c>
      <c r="S564" s="38" t="n">
        <v>1.052006237778163</v>
      </c>
      <c r="T564" s="43">
        <f>HYPERLINK("https://projects.propublica.org/nonprofits/organizations/135562401/202513179349310251/full","view filing")</f>
        <v/>
      </c>
    </row>
    <row r="565">
      <c r="A565" t="inlineStr">
        <is>
          <t>Young Mens Christian Association Retirement Fund</t>
        </is>
      </c>
      <c r="B565" s="20" t="inlineStr">
        <is>
          <t>NY</t>
        </is>
      </c>
      <c r="C565" s="42" t="n">
        <v>9.75</v>
      </c>
      <c r="D565" t="inlineStr">
        <is>
          <t>Pension</t>
        </is>
      </c>
      <c r="E565" s="20" t="n">
        <v>2025</v>
      </c>
      <c r="F565" s="20">
        <f>IF(AND(OR(in_Mode="All Funds",AND(C565&gt;=in_BandFloor,C565&lt;=in_BandCeiling,OR(in_Geography="National",COUNTIFS(lst_GeoPreset,in_Geography,lst_GeoState,B565)&gt;0,AND(in_Geography="Custom",ISNUMBER(SEARCH(B565,SUBSTITUTE(in_CustomStates," ",""))))),OR(AND(D565="Endowment",Inputs!$B$14="Y"),AND(D565="Foundation",Inputs!$B$15="Y"),AND(D565="Healthcare",Inputs!$B$16="Y"),AND(D565="Pension",Inputs!$B$17="Y"),AND(D565="OCIO",Inputs!$B$18="Y"),AND(D565="Other",Inputs!$B$19="Y")))),A565&lt;&gt;in_ClientOrg,NOT(AND(in_ExclHarvard="Y",ISNUMBER(SEARCH("Harvard",A565))))),"Y","")</f>
        <v/>
      </c>
      <c r="G565" t="inlineStr">
        <is>
          <t>Katherine Grant</t>
        </is>
      </c>
      <c r="H565" t="inlineStr">
        <is>
          <t>INVESTMENT DIRECTOR</t>
        </is>
      </c>
      <c r="I565" t="inlineStr">
        <is>
          <t>Director of Investments</t>
        </is>
      </c>
      <c r="J565" s="21" t="n">
        <v>419952</v>
      </c>
      <c r="K565" s="21" t="n">
        <v>280000</v>
      </c>
      <c r="L565" s="21" t="n">
        <v>699952</v>
      </c>
      <c r="M565" s="21" t="n">
        <v>403</v>
      </c>
      <c r="N565" s="21" t="n">
        <v>41400</v>
      </c>
      <c r="O565" s="21" t="n">
        <v>37391</v>
      </c>
      <c r="P565" s="21" t="n">
        <v>779146</v>
      </c>
      <c r="Q565" s="21" t="n">
        <v>779146</v>
      </c>
      <c r="R565" s="21">
        <f>IF(Q565="","",Q565*(1+in_GrowthRate)^(YEARFRAC(DATE(2025,6,30),in_AgeToDate)*IF(in_AgeToDate&lt;DATE(2025,6,30),-1,1)+1))</f>
        <v/>
      </c>
      <c r="S565" s="38" t="n">
        <v>0.6667428658513354</v>
      </c>
      <c r="T565" s="43">
        <f>HYPERLINK("https://projects.propublica.org/nonprofits/organizations/135562401/202513179349310251/full","view filing")</f>
        <v/>
      </c>
    </row>
    <row r="566">
      <c r="A566" t="inlineStr">
        <is>
          <t>Young Mens Christian Association Retirement Fund</t>
        </is>
      </c>
      <c r="B566" s="20" t="inlineStr">
        <is>
          <t>NY</t>
        </is>
      </c>
      <c r="C566" s="42" t="n">
        <v>9.75</v>
      </c>
      <c r="D566" t="inlineStr">
        <is>
          <t>Pension</t>
        </is>
      </c>
      <c r="E566" s="20" t="n">
        <v>2024</v>
      </c>
      <c r="F566" s="20" t="inlineStr"/>
      <c r="G566" t="inlineStr">
        <is>
          <t>Erik Strobel</t>
        </is>
      </c>
      <c r="H566" t="inlineStr">
        <is>
          <t>INVESTMENT DIRECTOR</t>
        </is>
      </c>
      <c r="I566" t="inlineStr">
        <is>
          <t>Director of Investments</t>
        </is>
      </c>
      <c r="J566" s="21" t="n">
        <v>288889</v>
      </c>
      <c r="K566" s="21" t="n">
        <v>240000</v>
      </c>
      <c r="L566" s="21" t="n">
        <v>528889</v>
      </c>
      <c r="M566" s="21" t="n">
        <v>212</v>
      </c>
      <c r="N566" s="21" t="n">
        <v>39600</v>
      </c>
      <c r="O566" s="21" t="n">
        <v>18629</v>
      </c>
      <c r="P566" s="21" t="n">
        <v>587330</v>
      </c>
      <c r="Q566" s="21" t="n">
        <v>587330</v>
      </c>
      <c r="R566" s="21">
        <f>IF(Q566="","",Q566*(1+in_GrowthRate)^(YEARFRAC(DATE(2024,6,30),in_AgeToDate)*IF(in_AgeToDate&lt;DATE(2024,6,30),-1,1)+1))</f>
        <v/>
      </c>
      <c r="S566" s="38" t="n">
        <v>0.8307689112427264</v>
      </c>
      <c r="T566" s="43">
        <f>HYPERLINK("https://projects.propublica.org/nonprofits/organizations/135562401/202403189349304075/full","view filing")</f>
        <v/>
      </c>
    </row>
    <row r="567">
      <c r="A567" t="inlineStr">
        <is>
          <t>Young Mens Christian Association Retirement Fund</t>
        </is>
      </c>
      <c r="B567" s="20" t="inlineStr">
        <is>
          <t>NY</t>
        </is>
      </c>
      <c r="C567" s="42" t="n">
        <v>9.75</v>
      </c>
      <c r="D567" t="inlineStr">
        <is>
          <t>Pension</t>
        </is>
      </c>
      <c r="E567" s="20" t="n">
        <v>2024</v>
      </c>
      <c r="F567" s="20" t="inlineStr"/>
      <c r="G567" t="inlineStr">
        <is>
          <t>John Maimone Medwick</t>
        </is>
      </c>
      <c r="H567" t="inlineStr">
        <is>
          <t>INVESTMENT DIRECTOR</t>
        </is>
      </c>
      <c r="I567" t="inlineStr">
        <is>
          <t>Director of Investments</t>
        </is>
      </c>
      <c r="J567" s="21" t="n">
        <v>335395</v>
      </c>
      <c r="K567" s="21" t="n">
        <v>330000</v>
      </c>
      <c r="L567" s="21" t="n">
        <v>665395</v>
      </c>
      <c r="M567" s="21" t="n">
        <v>257</v>
      </c>
      <c r="N567" s="21" t="n">
        <v>39600</v>
      </c>
      <c r="O567" s="21" t="n">
        <v>15964</v>
      </c>
      <c r="P567" s="21" t="n">
        <v>721216</v>
      </c>
      <c r="Q567" s="21" t="n">
        <v>721216</v>
      </c>
      <c r="R567" s="21">
        <f>IF(Q567="","",Q567*(1+in_GrowthRate)^(YEARFRAC(DATE(2024,6,30),in_AgeToDate)*IF(in_AgeToDate&lt;DATE(2024,6,30),-1,1)+1))</f>
        <v/>
      </c>
      <c r="S567" s="38" t="n">
        <v>0.9839144888862387</v>
      </c>
      <c r="T567" s="43">
        <f>HYPERLINK("https://projects.propublica.org/nonprofits/organizations/135562401/202403189349304075/full","view filing")</f>
        <v/>
      </c>
    </row>
    <row r="568">
      <c r="A568" t="inlineStr">
        <is>
          <t>Young Mens Christian Association Retirement Fund</t>
        </is>
      </c>
      <c r="B568" s="20" t="inlineStr">
        <is>
          <t>NY</t>
        </is>
      </c>
      <c r="C568" s="42" t="n">
        <v>9.75</v>
      </c>
      <c r="D568" t="inlineStr">
        <is>
          <t>Pension</t>
        </is>
      </c>
      <c r="E568" s="20" t="n">
        <v>2024</v>
      </c>
      <c r="F568" s="20" t="inlineStr"/>
      <c r="G568" t="inlineStr">
        <is>
          <t>Katherine Grant</t>
        </is>
      </c>
      <c r="H568" t="inlineStr">
        <is>
          <t>INVESTMENT DIRECTOR</t>
        </is>
      </c>
      <c r="I568" t="inlineStr">
        <is>
          <t>Director of Investments</t>
        </is>
      </c>
      <c r="J568" s="21" t="n">
        <v>405021</v>
      </c>
      <c r="K568" s="21" t="n">
        <v>234000</v>
      </c>
      <c r="L568" s="21" t="n">
        <v>639021</v>
      </c>
      <c r="M568" s="21" t="n">
        <v>386</v>
      </c>
      <c r="N568" s="21" t="n"/>
      <c r="O568" s="21" t="n">
        <v>39523</v>
      </c>
      <c r="P568" s="21" t="n">
        <v>678930</v>
      </c>
      <c r="Q568" s="21" t="n">
        <v>678930</v>
      </c>
      <c r="R568" s="21">
        <f>IF(Q568="","",Q568*(1+in_GrowthRate)^(YEARFRAC(DATE(2024,6,30),in_AgeToDate)*IF(in_AgeToDate&lt;DATE(2024,6,30),-1,1)+1))</f>
        <v/>
      </c>
      <c r="S568" s="38" t="n">
        <v>0.5777478204833824</v>
      </c>
      <c r="T568" s="43">
        <f>HYPERLINK("https://projects.propublica.org/nonprofits/organizations/135562401/202403189349304075/full","view filing")</f>
        <v/>
      </c>
    </row>
    <row r="569">
      <c r="A569" t="inlineStr">
        <is>
          <t>Young Mens Christian Association Retirement Fund</t>
        </is>
      </c>
      <c r="B569" s="20" t="inlineStr">
        <is>
          <t>NY</t>
        </is>
      </c>
      <c r="C569" s="42" t="n">
        <v>9.75</v>
      </c>
      <c r="D569" t="inlineStr">
        <is>
          <t>Pension</t>
        </is>
      </c>
      <c r="E569" s="20" t="n">
        <v>2023</v>
      </c>
      <c r="F569" s="20" t="inlineStr"/>
      <c r="G569" t="inlineStr">
        <is>
          <t>Erik Moss</t>
        </is>
      </c>
      <c r="H569" t="inlineStr">
        <is>
          <t>INVESTMENT DIRECTOR</t>
        </is>
      </c>
      <c r="I569" t="inlineStr">
        <is>
          <t>Director of Investments</t>
        </is>
      </c>
      <c r="J569" s="21" t="n">
        <v>316543</v>
      </c>
      <c r="K569" s="21" t="n">
        <v>120046</v>
      </c>
      <c r="L569" s="21" t="n">
        <v>436589</v>
      </c>
      <c r="M569" s="21" t="n">
        <v>160</v>
      </c>
      <c r="N569" s="21" t="n">
        <v>36600</v>
      </c>
      <c r="O569" s="21" t="n">
        <v>15132</v>
      </c>
      <c r="P569" s="21" t="n">
        <v>488481</v>
      </c>
      <c r="Q569" s="21" t="n">
        <v>488481</v>
      </c>
      <c r="R569" s="21">
        <f>IF(Q569="","",Q569*(1+in_GrowthRate)^(YEARFRAC(DATE(2023,6,30),in_AgeToDate)*IF(in_AgeToDate&lt;DATE(2023,6,30),-1,1)+1))</f>
        <v/>
      </c>
      <c r="S569" s="38" t="n">
        <v>0.37924073506601</v>
      </c>
      <c r="T569" s="43">
        <f>HYPERLINK("https://projects.propublica.org/nonprofits/organizations/135562401/202303189349310585/full","view filing")</f>
        <v/>
      </c>
    </row>
    <row r="570">
      <c r="A570" t="inlineStr">
        <is>
          <t>Young Mens Christian Association Retirement Fund</t>
        </is>
      </c>
      <c r="B570" s="20" t="inlineStr">
        <is>
          <t>NY</t>
        </is>
      </c>
      <c r="C570" s="42" t="n">
        <v>9.75</v>
      </c>
      <c r="D570" t="inlineStr">
        <is>
          <t>Pension</t>
        </is>
      </c>
      <c r="E570" s="20" t="n">
        <v>2023</v>
      </c>
      <c r="F570" s="20" t="inlineStr"/>
      <c r="G570" t="inlineStr">
        <is>
          <t>Erik Strobel</t>
        </is>
      </c>
      <c r="H570" t="inlineStr">
        <is>
          <t>INVESTMENT DIRECTOR</t>
        </is>
      </c>
      <c r="I570" t="inlineStr">
        <is>
          <t>Director of Investments</t>
        </is>
      </c>
      <c r="J570" s="21" t="n">
        <v>356788</v>
      </c>
      <c r="K570" s="21" t="n">
        <v>133633</v>
      </c>
      <c r="L570" s="21" t="n">
        <v>490421</v>
      </c>
      <c r="M570" s="21" t="n">
        <v>164</v>
      </c>
      <c r="N570" s="21" t="n">
        <v>36600</v>
      </c>
      <c r="O570" s="21" t="n">
        <v>16009</v>
      </c>
      <c r="P570" s="21" t="n">
        <v>543194</v>
      </c>
      <c r="Q570" s="21" t="n">
        <v>543194</v>
      </c>
      <c r="R570" s="21">
        <f>IF(Q570="","",Q570*(1+in_GrowthRate)^(YEARFRAC(DATE(2023,6,30),in_AgeToDate)*IF(in_AgeToDate&lt;DATE(2023,6,30),-1,1)+1))</f>
        <v/>
      </c>
      <c r="S570" s="38" t="n">
        <v>0.3745445474623586</v>
      </c>
      <c r="T570" s="43">
        <f>HYPERLINK("https://projects.propublica.org/nonprofits/organizations/135562401/202303189349310585/full","view filing")</f>
        <v/>
      </c>
    </row>
    <row r="571">
      <c r="A571" t="inlineStr">
        <is>
          <t>Young Mens Christian Association Retirement Fund</t>
        </is>
      </c>
      <c r="B571" s="20" t="inlineStr">
        <is>
          <t>NY</t>
        </is>
      </c>
      <c r="C571" s="42" t="n">
        <v>9.75</v>
      </c>
      <c r="D571" t="inlineStr">
        <is>
          <t>Pension</t>
        </is>
      </c>
      <c r="E571" s="20" t="n">
        <v>2023</v>
      </c>
      <c r="F571" s="20" t="inlineStr"/>
      <c r="G571" t="inlineStr">
        <is>
          <t>John Maimone Medwick</t>
        </is>
      </c>
      <c r="H571" t="inlineStr">
        <is>
          <t>INVESTMENT DIRECTOR</t>
        </is>
      </c>
      <c r="I571" t="inlineStr">
        <is>
          <t>Director of Investments</t>
        </is>
      </c>
      <c r="J571" s="21" t="n">
        <v>329919</v>
      </c>
      <c r="K571" s="21" t="n">
        <v>228466</v>
      </c>
      <c r="L571" s="21" t="n">
        <v>558385</v>
      </c>
      <c r="M571" s="21" t="n">
        <v>170</v>
      </c>
      <c r="N571" s="21" t="n">
        <v>36600</v>
      </c>
      <c r="O571" s="21" t="n">
        <v>14039</v>
      </c>
      <c r="P571" s="21" t="n">
        <v>609194</v>
      </c>
      <c r="Q571" s="21" t="n">
        <v>609194</v>
      </c>
      <c r="R571" s="21">
        <f>IF(Q571="","",Q571*(1+in_GrowthRate)^(YEARFRAC(DATE(2023,6,30),in_AgeToDate)*IF(in_AgeToDate&lt;DATE(2023,6,30),-1,1)+1))</f>
        <v/>
      </c>
      <c r="S571" s="38" t="n">
        <v>0.6924911872308052</v>
      </c>
      <c r="T571" s="43">
        <f>HYPERLINK("https://projects.propublica.org/nonprofits/organizations/135562401/202303189349310585/full","view filing")</f>
        <v/>
      </c>
    </row>
    <row r="572">
      <c r="A572" t="inlineStr">
        <is>
          <t>Young Mens Christian Association Retirement Fund</t>
        </is>
      </c>
      <c r="B572" s="20" t="inlineStr">
        <is>
          <t>NY</t>
        </is>
      </c>
      <c r="C572" s="42" t="n">
        <v>9.75</v>
      </c>
      <c r="D572" t="inlineStr">
        <is>
          <t>Pension</t>
        </is>
      </c>
      <c r="E572" s="20" t="n">
        <v>2023</v>
      </c>
      <c r="F572" s="20" t="inlineStr"/>
      <c r="G572" t="inlineStr">
        <is>
          <t>Nicholas Pon</t>
        </is>
      </c>
      <c r="H572" t="inlineStr">
        <is>
          <t>INVESTMENT DIRECTOR</t>
        </is>
      </c>
      <c r="I572" t="inlineStr">
        <is>
          <t>Director of Investments</t>
        </is>
      </c>
      <c r="J572" s="21" t="n">
        <v>261078</v>
      </c>
      <c r="K572" s="21" t="n">
        <v>83477</v>
      </c>
      <c r="L572" s="21" t="n">
        <v>344555</v>
      </c>
      <c r="M572" s="21" t="n">
        <v>153</v>
      </c>
      <c r="N572" s="21" t="n">
        <v>36600</v>
      </c>
      <c r="O572" s="21" t="n">
        <v>13327</v>
      </c>
      <c r="P572" s="21" t="n">
        <v>394635</v>
      </c>
      <c r="Q572" s="21" t="n">
        <v>394635</v>
      </c>
      <c r="R572" s="21">
        <f>IF(Q572="","",Q572*(1+in_GrowthRate)^(YEARFRAC(DATE(2023,6,30),in_AgeToDate)*IF(in_AgeToDate&lt;DATE(2023,6,30),-1,1)+1))</f>
        <v/>
      </c>
      <c r="S572" s="38" t="n">
        <v>0.3197396946506408</v>
      </c>
      <c r="T572" s="43">
        <f>HYPERLINK("https://projects.propublica.org/nonprofits/organizations/135562401/202303189349310585/full","view filing")</f>
        <v/>
      </c>
    </row>
    <row r="573">
      <c r="A573" t="inlineStr">
        <is>
          <t>Young Mens Christian Association Retirement Fund</t>
        </is>
      </c>
      <c r="B573" s="20" t="inlineStr">
        <is>
          <t>NY</t>
        </is>
      </c>
      <c r="C573" s="42" t="n">
        <v>9.75</v>
      </c>
      <c r="D573" t="inlineStr">
        <is>
          <t>Pension</t>
        </is>
      </c>
      <c r="E573" s="20" t="n">
        <v>2022</v>
      </c>
      <c r="F573" s="20" t="inlineStr"/>
      <c r="G573" t="inlineStr">
        <is>
          <t>John Maimone Medwick</t>
        </is>
      </c>
      <c r="H573" t="inlineStr">
        <is>
          <t>INVESTMENT MANAGER</t>
        </is>
      </c>
      <c r="I573" t="inlineStr">
        <is>
          <t>Investment Manager</t>
        </is>
      </c>
      <c r="J573" s="21" t="n">
        <v>368245</v>
      </c>
      <c r="K573" s="21" t="n"/>
      <c r="L573" s="21" t="n">
        <v>368245</v>
      </c>
      <c r="M573" s="21" t="n">
        <v>133</v>
      </c>
      <c r="N573" s="21" t="n">
        <v>34800</v>
      </c>
      <c r="O573" s="21" t="n">
        <v>13654</v>
      </c>
      <c r="P573" s="21" t="n">
        <v>416832</v>
      </c>
      <c r="Q573" s="21" t="n">
        <v>416832</v>
      </c>
      <c r="R573" s="21">
        <f>IF(Q573="","",Q573*(1+in_GrowthRate)^(YEARFRAC(DATE(2022,6,30),in_AgeToDate)*IF(in_AgeToDate&lt;DATE(2022,6,30),-1,1)+1))</f>
        <v/>
      </c>
      <c r="S573" s="38" t="n">
        <v>0</v>
      </c>
      <c r="T573" s="43">
        <f>HYPERLINK("https://projects.propublica.org/nonprofits/organizations/135562401/202243189349318819/full","view filing")</f>
        <v/>
      </c>
    </row>
    <row r="574">
      <c r="A574" t="inlineStr">
        <is>
          <t>Young Mens Christian Association Retirement Fund</t>
        </is>
      </c>
      <c r="B574" s="20" t="inlineStr">
        <is>
          <t>NY</t>
        </is>
      </c>
      <c r="C574" s="42" t="n">
        <v>9.75</v>
      </c>
      <c r="D574" t="inlineStr">
        <is>
          <t>Pension</t>
        </is>
      </c>
      <c r="E574" s="20" t="n">
        <v>2022</v>
      </c>
      <c r="F574" s="20" t="inlineStr"/>
      <c r="G574" t="inlineStr">
        <is>
          <t>Matthew Hershey</t>
        </is>
      </c>
      <c r="H574" t="inlineStr">
        <is>
          <t>INVESTMENT MANAGER</t>
        </is>
      </c>
      <c r="I574" t="inlineStr">
        <is>
          <t>Investment Manager</t>
        </is>
      </c>
      <c r="J574" s="21" t="n">
        <v>322580</v>
      </c>
      <c r="K574" s="21" t="n">
        <v>99178</v>
      </c>
      <c r="L574" s="21" t="n">
        <v>421758</v>
      </c>
      <c r="M574" s="21" t="n">
        <v>150</v>
      </c>
      <c r="N574" s="21" t="n">
        <v>34800</v>
      </c>
      <c r="O574" s="21" t="n">
        <v>13543</v>
      </c>
      <c r="P574" s="21" t="n">
        <v>470251</v>
      </c>
      <c r="Q574" s="21" t="n">
        <v>470251</v>
      </c>
      <c r="R574" s="21">
        <f>IF(Q574="","",Q574*(1+in_GrowthRate)^(YEARFRAC(DATE(2022,6,30),in_AgeToDate)*IF(in_AgeToDate&lt;DATE(2022,6,30),-1,1)+1))</f>
        <v/>
      </c>
      <c r="S574" s="38" t="n">
        <v>0.3074524149048298</v>
      </c>
      <c r="T574" s="43">
        <f>HYPERLINK("https://projects.propublica.org/nonprofits/organizations/135562401/202243189349318819/full","view filing")</f>
        <v/>
      </c>
    </row>
    <row r="575"/>
  </sheetData>
  <autoFilter ref="A24:T574"/>
  <printOptions horizontalCentered="1"/>
  <pageMargins left="0.75" right="0.75" top="1" bottom="1" header="0.5" footer="0.5"/>
  <pageSetup orientation="landscape" fitToHeight="0" fitToWidth="1"/>
  <headerFooter>
    <oddHeader/>
    <oddFooter>&amp;LMichael Oak Advisors&amp;R&amp;P of &amp;N</oddFooter>
    <evenHeader/>
    <evenFooter/>
    <firstHeader/>
    <firstFooter/>
  </headerFooter>
</worksheet>
</file>

<file path=xl/worksheets/sheet7.xml><?xml version="1.0" encoding="utf-8"?>
<worksheet xmlns="http://schemas.openxmlformats.org/spreadsheetml/2006/main">
  <sheetPr>
    <tabColor rgb="002E7D8F"/>
    <outlinePr summaryBelow="1" summaryRight="1"/>
    <pageSetUpPr fitToPage="1"/>
  </sheetPr>
  <dimension ref="A1:T84"/>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34" customWidth="1" min="1" max="1"/>
    <col width="15" customWidth="1" min="2" max="2"/>
    <col width="12" customWidth="1" min="3" max="3"/>
    <col width="14" customWidth="1" min="4" max="4"/>
    <col width="12" customWidth="1" min="5" max="5"/>
    <col width="12" customWidth="1" min="6" max="6"/>
    <col width="24" customWidth="1" min="7" max="7"/>
    <col width="32"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s>
  <sheetData>
    <row r="1">
      <c r="A1" s="1" t="inlineStr">
        <is>
          <t>Other investment staff</t>
        </is>
      </c>
    </row>
    <row r="2">
      <c r="A2" s="19" t="inlineStr">
        <is>
          <t>Investments</t>
        </is>
      </c>
    </row>
    <row r="3">
      <c r="A3" s="19">
        <f>Summary!$A$5&amp;""</f>
        <v/>
      </c>
    </row>
    <row r="4">
      <c r="A4" s="2">
        <f>IF(Inputs!$B$21="","Select your organization on Inputs to compare.","Your organization: "&amp;Inputs!$B$21&amp;", excluded from the market columns.")</f>
        <v/>
      </c>
    </row>
    <row r="5">
      <c r="A5" s="34">
        <f>IF($I13&gt;=2,"","Too few people for a market statistic at this filter: "&amp;$I13&amp;" at "&amp;$H13&amp;" organization(s). Records below.")</f>
        <v/>
      </c>
      <c r="C5" s="2" t="inlineStr">
        <is>
          <t>Market</t>
        </is>
      </c>
      <c r="J5" s="2" t="inlineStr">
        <is>
          <t>Your organization</t>
        </is>
      </c>
      <c r="N5" s="2" t="inlineStr">
        <is>
          <t>Estimated (1)</t>
        </is>
      </c>
    </row>
    <row r="6" ht="20" customHeight="1">
      <c r="A6" s="35" t="inlineStr"/>
      <c r="B6" s="35" t="inlineStr">
        <is>
          <t>basis</t>
        </is>
      </c>
      <c r="C6" s="35" t="inlineStr">
        <is>
          <t>P25</t>
        </is>
      </c>
      <c r="D6" s="35" t="inlineStr">
        <is>
          <t>P50</t>
        </is>
      </c>
      <c r="E6" s="35" t="inlineStr">
        <is>
          <t>P75</t>
        </is>
      </c>
      <c r="F6" s="35" t="inlineStr">
        <is>
          <t>P90</t>
        </is>
      </c>
      <c r="G6" s="35" t="inlineStr">
        <is>
          <t>Average</t>
        </is>
      </c>
      <c r="H6" s="35" t="inlineStr">
        <is>
          <t>#Orgs</t>
        </is>
      </c>
      <c r="I6" s="35" t="inlineStr">
        <is>
          <t>#People</t>
        </is>
      </c>
      <c r="J6" s="36" t="inlineStr">
        <is>
          <t>Value</t>
        </is>
      </c>
      <c r="K6" s="36" t="inlineStr">
        <is>
          <t>vs P50</t>
        </is>
      </c>
      <c r="L6" s="36" t="inlineStr">
        <is>
          <t>Percentile</t>
        </is>
      </c>
      <c r="M6" s="36" t="inlineStr">
        <is>
          <t>#People</t>
        </is>
      </c>
      <c r="N6" s="35" t="inlineStr">
        <is>
          <t>Est. P25</t>
        </is>
      </c>
      <c r="O6" s="35" t="inlineStr">
        <is>
          <t>Est. P75</t>
        </is>
      </c>
      <c r="P6" s="35" t="inlineStr">
        <is>
          <t>Est. P90</t>
        </is>
      </c>
    </row>
    <row r="7">
      <c r="A7" s="2" t="inlineStr">
        <is>
          <t>Base salary</t>
        </is>
      </c>
      <c r="B7" s="19" t="inlineStr">
        <is>
          <t>Schedule J only</t>
        </is>
      </c>
      <c r="C7" s="21">
        <f>IF($I7&gt;=k_MinQuartile,MROUND(_xlfn.PERCENTILE.INC(_xlfn._xlws.FILTER(Records[(B)(i) Base],(Records[Role Group]="Other investment staff")*(Records[Include]="Y")*(Records[Total Cash]&lt;&gt;"")),0.25),k_RoundTo),"")</f>
        <v/>
      </c>
      <c r="D7" s="22">
        <f>IF($I7&gt;=k_MinMedian,MROUND(_xlfn.PERCENTILE.INC(_xlfn._xlws.FILTER(Records[(B)(i) Base],(Records[Role Group]="Other investment staff")*(Records[Include]="Y")*(Records[Total Cash]&lt;&gt;"")),0.5),k_RoundTo),"")</f>
        <v/>
      </c>
      <c r="E7" s="21">
        <f>IF($I7&gt;=k_MinQuartile,MROUND(_xlfn.PERCENTILE.INC(_xlfn._xlws.FILTER(Records[(B)(i) Base],(Records[Role Group]="Other investment staff")*(Records[Include]="Y")*(Records[Total Cash]&lt;&gt;"")),0.75),k_RoundTo),"")</f>
        <v/>
      </c>
      <c r="F7" s="21">
        <f>IF($I7&gt;=k_MinQuartile,MROUND(_xlfn.PERCENTILE.INC(_xlfn._xlws.FILTER(Records[(B)(i) Base],(Records[Role Group]="Other investment staff")*(Records[Include]="Y")*(Records[Total Cash]&lt;&gt;"")),0.9),k_RoundTo),"")</f>
        <v/>
      </c>
      <c r="G7" s="21">
        <f>IF($I7&gt;=k_MinMedian,MROUND(AVERAGE(_xlfn._xlws.FILTER(Records[(B)(i) Base],(Records[Role Group]="Other investment staff")*(Records[Include]="Y")*(Records[Total Cash]&lt;&gt;""))),k_RoundTo),"")</f>
        <v/>
      </c>
      <c r="H7" s="20">
        <f>IFERROR(SUMPRODUCT(((Records[Role Group]="Other investment staff")*(Records[Include]="Y")*(Records[Total Cash]&lt;&gt;""))/(COUNTIFS(Records[Organization],Records[Organization]&amp;"",Records[Role Group],"Other investment staff",Records[Include],"Y")+(COUNTIFS(Records[Organization],Records[Organization]&amp;"",Records[Role Group],"Other investment staff",Records[Include],"Y")=0))),0)</f>
        <v/>
      </c>
      <c r="I7" s="20">
        <f>SUMPRODUCT((Records[Role Group]="Other investment staff")*(Records[Include]="Y")*(Records[Total Cash]&lt;&gt;""))</f>
        <v/>
      </c>
      <c r="J7" s="23">
        <f>IF(Inputs!$B$21="","",IFERROR(MAX(_xlfn._xlws.FILTER(Records[(B)(i) Base],(Records[Role Group]="Other investment staff")*(Records[Organization]=Inputs!$B$21)*(Records[Most Recent]="Y")*(Records[Total Cash]&lt;&gt;""))),""))</f>
        <v/>
      </c>
      <c r="K7" s="24">
        <f>IF(OR($J7="",$D7=""),"",$J7/$D7-1)</f>
        <v/>
      </c>
      <c r="L7" s="25">
        <f>IF($I7&gt;=k_MinQuartile,IF(OR($J7="",$J7=0),"",IFERROR(PERCENTRANK.INC(_xlfn._xlws.FILTER(Records[(B)(i) Base],(Records[Role Group]="Other investment staff")*(Records[Include]="Y")*(Records[Total Cash]&lt;&gt;"")),$J7,4),"")),"")</f>
        <v/>
      </c>
      <c r="M7" s="37">
        <f>IF(Inputs!$B$21="","",SUMPRODUCT((Records[Role Group]="Other investment staff")*(Records[Organization]=Inputs!$B$21)*(Records[Most Recent]="Y")*(Records[Total Cash]&lt;&gt;"")))</f>
        <v/>
      </c>
      <c r="N7" s="26">
        <f>IF(AND($I7&gt;=k_MinMedian,$I7&lt;k_MinQuartile,$D7&lt;&gt;""),MROUND($D7*k_Est_base_staff_25,k_RoundTo),"")</f>
        <v/>
      </c>
      <c r="O7" s="26">
        <f>IF(AND($I7&gt;=k_MinMedian,$I7&lt;k_MinQuartile,$D7&lt;&gt;""),MROUND($D7*k_Est_base_staff_75,k_RoundTo),"")</f>
        <v/>
      </c>
      <c r="P7" s="26">
        <f>IF(AND($I7&gt;=k_MinMedian,$I7&lt;k_MinQuartile,$D7&lt;&gt;""),MROUND($D7*k_Est_base_staff_90,k_RoundTo),"")</f>
        <v/>
      </c>
    </row>
    <row r="8">
      <c r="A8" s="2" t="inlineStr">
        <is>
          <t>Incentive / bonus</t>
        </is>
      </c>
      <c r="B8" s="19" t="inlineStr">
        <is>
          <t>Schedule J only</t>
        </is>
      </c>
      <c r="C8" s="21">
        <f>IF($I8&gt;=k_MinQuartile,MROUND(_xlfn.PERCENTILE.INC(_xlfn._xlws.FILTER(Records[(B)(ii) Bonus],(Records[Role Group]="Other investment staff")*(Records[Include]="Y")*(Records[Total Cash]&lt;&gt;"")),0.25),k_RoundTo),"")</f>
        <v/>
      </c>
      <c r="D8" s="22">
        <f>IF($I8&gt;=k_MinMedian,MROUND(_xlfn.PERCENTILE.INC(_xlfn._xlws.FILTER(Records[(B)(ii) Bonus],(Records[Role Group]="Other investment staff")*(Records[Include]="Y")*(Records[Total Cash]&lt;&gt;"")),0.5),k_RoundTo),"")</f>
        <v/>
      </c>
      <c r="E8" s="21">
        <f>IF($I8&gt;=k_MinQuartile,MROUND(_xlfn.PERCENTILE.INC(_xlfn._xlws.FILTER(Records[(B)(ii) Bonus],(Records[Role Group]="Other investment staff")*(Records[Include]="Y")*(Records[Total Cash]&lt;&gt;"")),0.75),k_RoundTo),"")</f>
        <v/>
      </c>
      <c r="F8" s="21">
        <f>IF($I8&gt;=k_MinQuartile,MROUND(_xlfn.PERCENTILE.INC(_xlfn._xlws.FILTER(Records[(B)(ii) Bonus],(Records[Role Group]="Other investment staff")*(Records[Include]="Y")*(Records[Total Cash]&lt;&gt;"")),0.9),k_RoundTo),"")</f>
        <v/>
      </c>
      <c r="G8" s="21">
        <f>IF($I8&gt;=k_MinMedian,MROUND(AVERAGE(_xlfn._xlws.FILTER(Records[(B)(ii) Bonus],(Records[Role Group]="Other investment staff")*(Records[Include]="Y")*(Records[Total Cash]&lt;&gt;""))),k_RoundTo),"")</f>
        <v/>
      </c>
      <c r="H8" s="20">
        <f>IFERROR(SUMPRODUCT(((Records[Role Group]="Other investment staff")*(Records[Include]="Y")*(Records[Total Cash]&lt;&gt;""))/(COUNTIFS(Records[Organization],Records[Organization]&amp;"",Records[Role Group],"Other investment staff",Records[Include],"Y")+(COUNTIFS(Records[Organization],Records[Organization]&amp;"",Records[Role Group],"Other investment staff",Records[Include],"Y")=0))),0)</f>
        <v/>
      </c>
      <c r="I8" s="20">
        <f>SUMPRODUCT((Records[Role Group]="Other investment staff")*(Records[Include]="Y")*(Records[Total Cash]&lt;&gt;""))</f>
        <v/>
      </c>
      <c r="J8" s="23">
        <f>IF(Inputs!$B$21="","",IFERROR(MAX(_xlfn._xlws.FILTER(Records[(B)(ii) Bonus],(Records[Role Group]="Other investment staff")*(Records[Organization]=Inputs!$B$21)*(Records[Most Recent]="Y")*(Records[Total Cash]&lt;&gt;""))),""))</f>
        <v/>
      </c>
      <c r="K8" s="24">
        <f>IF(OR($J8="",$D8=""),"",$J8/$D8-1)</f>
        <v/>
      </c>
      <c r="L8" s="25">
        <f>IF($I8&gt;=k_MinQuartile,IF(OR($J8="",$J8=0),"",IFERROR(PERCENTRANK.INC(_xlfn._xlws.FILTER(Records[(B)(ii) Bonus],(Records[Role Group]="Other investment staff")*(Records[Include]="Y")*(Records[Total Cash]&lt;&gt;"")),$J8,4),"")),"")</f>
        <v/>
      </c>
      <c r="M8" s="37">
        <f>IF(Inputs!$B$21="","",SUMPRODUCT((Records[Role Group]="Other investment staff")*(Records[Organization]=Inputs!$B$21)*(Records[Most Recent]="Y")*(Records[Total Cash]&lt;&gt;"")))</f>
        <v/>
      </c>
    </row>
    <row r="9">
      <c r="A9" s="2" t="inlineStr">
        <is>
          <t>Total cash</t>
        </is>
      </c>
      <c r="B9" s="19" t="inlineStr">
        <is>
          <t>all filers</t>
        </is>
      </c>
      <c r="C9" s="21">
        <f>IF($I9&gt;=k_MinQuartile,MROUND(_xlfn.PERCENTILE.INC(_xlfn._xlws.FILTER(Records[Total Cash],(Records[Role Group]="Other investment staff")*(Records[Include]="Y")*(Records[Total Cash]&gt;0)),0.25),k_RoundTo),"")</f>
        <v/>
      </c>
      <c r="D9" s="22">
        <f>IF($I9&gt;=k_MinMedian,MROUND(_xlfn.PERCENTILE.INC(_xlfn._xlws.FILTER(Records[Total Cash],(Records[Role Group]="Other investment staff")*(Records[Include]="Y")*(Records[Total Cash]&gt;0)),0.5),k_RoundTo),"")</f>
        <v/>
      </c>
      <c r="E9" s="21">
        <f>IF($I9&gt;=k_MinQuartile,MROUND(_xlfn.PERCENTILE.INC(_xlfn._xlws.FILTER(Records[Total Cash],(Records[Role Group]="Other investment staff")*(Records[Include]="Y")*(Records[Total Cash]&gt;0)),0.75),k_RoundTo),"")</f>
        <v/>
      </c>
      <c r="F9" s="21">
        <f>IF($I9&gt;=k_MinQuartile,MROUND(_xlfn.PERCENTILE.INC(_xlfn._xlws.FILTER(Records[Total Cash],(Records[Role Group]="Other investment staff")*(Records[Include]="Y")*(Records[Total Cash]&gt;0)),0.9),k_RoundTo),"")</f>
        <v/>
      </c>
      <c r="G9" s="21">
        <f>IF($I9&gt;=k_MinMedian,MROUND(AVERAGE(_xlfn._xlws.FILTER(Records[Total Cash],(Records[Role Group]="Other investment staff")*(Records[Include]="Y")*(Records[Total Cash]&gt;0))),k_RoundTo),"")</f>
        <v/>
      </c>
      <c r="H9" s="20">
        <f>IFERROR(SUMPRODUCT(((Records[Role Group]="Other investment staff")*(Records[Include]="Y")*(Records[Total Cash]&gt;0))/(COUNTIFS(Records[Organization],Records[Organization]&amp;"",Records[Role Group],"Other investment staff",Records[Include],"Y")+(COUNTIFS(Records[Organization],Records[Organization]&amp;"",Records[Role Group],"Other investment staff",Records[Include],"Y")=0))),0)</f>
        <v/>
      </c>
      <c r="I9" s="20">
        <f>SUMPRODUCT((Records[Role Group]="Other investment staff")*(Records[Include]="Y")*(Records[Total Cash]&gt;0))</f>
        <v/>
      </c>
      <c r="J9" s="23">
        <f>IF(Inputs!$B$21="","",IFERROR(MAX(_xlfn._xlws.FILTER(Records[Total Cash],(Records[Role Group]="Other investment staff")*(Records[Organization]=Inputs!$B$21)*(Records[Most Recent]="Y")*(Records[Total Cash]&gt;0))),""))</f>
        <v/>
      </c>
      <c r="K9" s="24">
        <f>IF(OR($J9="",$D9=""),"",$J9/$D9-1)</f>
        <v/>
      </c>
      <c r="L9" s="25">
        <f>IF($I9&gt;=k_MinQuartile,IF(OR($J9="",$J9=0),"",IFERROR(PERCENTRANK.INC(_xlfn._xlws.FILTER(Records[Total Cash],(Records[Role Group]="Other investment staff")*(Records[Include]="Y")*(Records[Total Cash]&gt;0)),$J9,4),"")),"")</f>
        <v/>
      </c>
      <c r="M9" s="37">
        <f>IF(Inputs!$B$21="","",SUMPRODUCT((Records[Role Group]="Other investment staff")*(Records[Organization]=Inputs!$B$21)*(Records[Most Recent]="Y")*(Records[Total Cash]&gt;0)))</f>
        <v/>
      </c>
    </row>
    <row r="10">
      <c r="A10" s="2" t="inlineStr">
        <is>
          <t>Other reportable</t>
        </is>
      </c>
      <c r="B10" s="19" t="inlineStr">
        <is>
          <t>Schedule J only</t>
        </is>
      </c>
      <c r="C10" s="21">
        <f>IF($I10&gt;=k_MinQuartile,MROUND(_xlfn.PERCENTILE.INC(_xlfn._xlws.FILTER(Records[(B)(iii) Other],(Records[Role Group]="Other investment staff")*(Records[Include]="Y")*(Records[Total Cash]&lt;&gt;"")),0.25),k_RoundTo),"")</f>
        <v/>
      </c>
      <c r="D10" s="22">
        <f>IF($I10&gt;=k_MinMedian,MROUND(_xlfn.PERCENTILE.INC(_xlfn._xlws.FILTER(Records[(B)(iii) Other],(Records[Role Group]="Other investment staff")*(Records[Include]="Y")*(Records[Total Cash]&lt;&gt;"")),0.5),k_RoundTo),"")</f>
        <v/>
      </c>
      <c r="E10" s="21">
        <f>IF($I10&gt;=k_MinQuartile,MROUND(_xlfn.PERCENTILE.INC(_xlfn._xlws.FILTER(Records[(B)(iii) Other],(Records[Role Group]="Other investment staff")*(Records[Include]="Y")*(Records[Total Cash]&lt;&gt;"")),0.75),k_RoundTo),"")</f>
        <v/>
      </c>
      <c r="F10" s="21">
        <f>IF($I10&gt;=k_MinQuartile,MROUND(_xlfn.PERCENTILE.INC(_xlfn._xlws.FILTER(Records[(B)(iii) Other],(Records[Role Group]="Other investment staff")*(Records[Include]="Y")*(Records[Total Cash]&lt;&gt;"")),0.9),k_RoundTo),"")</f>
        <v/>
      </c>
      <c r="G10" s="21">
        <f>IF($I10&gt;=k_MinMedian,MROUND(AVERAGE(_xlfn._xlws.FILTER(Records[(B)(iii) Other],(Records[Role Group]="Other investment staff")*(Records[Include]="Y")*(Records[Total Cash]&lt;&gt;""))),k_RoundTo),"")</f>
        <v/>
      </c>
      <c r="H10" s="20">
        <f>IFERROR(SUMPRODUCT(((Records[Role Group]="Other investment staff")*(Records[Include]="Y")*(Records[Total Cash]&lt;&gt;""))/(COUNTIFS(Records[Organization],Records[Organization]&amp;"",Records[Role Group],"Other investment staff",Records[Include],"Y")+(COUNTIFS(Records[Organization],Records[Organization]&amp;"",Records[Role Group],"Other investment staff",Records[Include],"Y")=0))),0)</f>
        <v/>
      </c>
      <c r="I10" s="20">
        <f>SUMPRODUCT((Records[Role Group]="Other investment staff")*(Records[Include]="Y")*(Records[Total Cash]&lt;&gt;""))</f>
        <v/>
      </c>
      <c r="J10" s="23">
        <f>IF(Inputs!$B$21="","",IFERROR(MAX(_xlfn._xlws.FILTER(Records[(B)(iii) Other],(Records[Role Group]="Other investment staff")*(Records[Organization]=Inputs!$B$21)*(Records[Most Recent]="Y")*(Records[Total Cash]&lt;&gt;""))),""))</f>
        <v/>
      </c>
      <c r="K10" s="24">
        <f>IF(OR($J10="",$D10=""),"",$J10/$D10-1)</f>
        <v/>
      </c>
      <c r="L10" s="25">
        <f>IF($I10&gt;=k_MinQuartile,IF(OR($J10="",$J10=0),"",IFERROR(PERCENTRANK.INC(_xlfn._xlws.FILTER(Records[(B)(iii) Other],(Records[Role Group]="Other investment staff")*(Records[Include]="Y")*(Records[Total Cash]&lt;&gt;"")),$J10,4),"")),"")</f>
        <v/>
      </c>
      <c r="M10" s="37">
        <f>IF(Inputs!$B$21="","",SUMPRODUCT((Records[Role Group]="Other investment staff")*(Records[Organization]=Inputs!$B$21)*(Records[Most Recent]="Y")*(Records[Total Cash]&lt;&gt;"")))</f>
        <v/>
      </c>
    </row>
    <row r="11">
      <c r="A11" s="2" t="inlineStr">
        <is>
          <t>Deferred</t>
        </is>
      </c>
      <c r="B11" s="19" t="inlineStr">
        <is>
          <t>Schedule J only</t>
        </is>
      </c>
      <c r="C11" s="21">
        <f>IF($I11&gt;=k_MinQuartile,MROUND(_xlfn.PERCENTILE.INC(_xlfn._xlws.FILTER(Records[(C) Deferred],(Records[Role Group]="Other investment staff")*(Records[Include]="Y")*(Records[Total Cash]&lt;&gt;"")),0.25),k_RoundTo),"")</f>
        <v/>
      </c>
      <c r="D11" s="22">
        <f>IF($I11&gt;=k_MinMedian,MROUND(_xlfn.PERCENTILE.INC(_xlfn._xlws.FILTER(Records[(C) Deferred],(Records[Role Group]="Other investment staff")*(Records[Include]="Y")*(Records[Total Cash]&lt;&gt;"")),0.5),k_RoundTo),"")</f>
        <v/>
      </c>
      <c r="E11" s="21">
        <f>IF($I11&gt;=k_MinQuartile,MROUND(_xlfn.PERCENTILE.INC(_xlfn._xlws.FILTER(Records[(C) Deferred],(Records[Role Group]="Other investment staff")*(Records[Include]="Y")*(Records[Total Cash]&lt;&gt;"")),0.75),k_RoundTo),"")</f>
        <v/>
      </c>
      <c r="F11" s="21">
        <f>IF($I11&gt;=k_MinQuartile,MROUND(_xlfn.PERCENTILE.INC(_xlfn._xlws.FILTER(Records[(C) Deferred],(Records[Role Group]="Other investment staff")*(Records[Include]="Y")*(Records[Total Cash]&lt;&gt;"")),0.9),k_RoundTo),"")</f>
        <v/>
      </c>
      <c r="G11" s="21">
        <f>IF($I11&gt;=k_MinMedian,MROUND(AVERAGE(_xlfn._xlws.FILTER(Records[(C) Deferred],(Records[Role Group]="Other investment staff")*(Records[Include]="Y")*(Records[Total Cash]&lt;&gt;""))),k_RoundTo),"")</f>
        <v/>
      </c>
      <c r="H11" s="20">
        <f>IFERROR(SUMPRODUCT(((Records[Role Group]="Other investment staff")*(Records[Include]="Y")*(Records[Total Cash]&lt;&gt;""))/(COUNTIFS(Records[Organization],Records[Organization]&amp;"",Records[Role Group],"Other investment staff",Records[Include],"Y")+(COUNTIFS(Records[Organization],Records[Organization]&amp;"",Records[Role Group],"Other investment staff",Records[Include],"Y")=0))),0)</f>
        <v/>
      </c>
      <c r="I11" s="20">
        <f>SUMPRODUCT((Records[Role Group]="Other investment staff")*(Records[Include]="Y")*(Records[Total Cash]&lt;&gt;""))</f>
        <v/>
      </c>
      <c r="J11" s="23">
        <f>IF(Inputs!$B$21="","",IFERROR(MAX(_xlfn._xlws.FILTER(Records[(C) Deferred],(Records[Role Group]="Other investment staff")*(Records[Organization]=Inputs!$B$21)*(Records[Most Recent]="Y")*(Records[Total Cash]&lt;&gt;""))),""))</f>
        <v/>
      </c>
      <c r="K11" s="24">
        <f>IF(OR($J11="",$D11=""),"",$J11/$D11-1)</f>
        <v/>
      </c>
      <c r="L11" s="25">
        <f>IF($I11&gt;=k_MinQuartile,IF(OR($J11="",$J11=0),"",IFERROR(PERCENTRANK.INC(_xlfn._xlws.FILTER(Records[(C) Deferred],(Records[Role Group]="Other investment staff")*(Records[Include]="Y")*(Records[Total Cash]&lt;&gt;"")),$J11,4),"")),"")</f>
        <v/>
      </c>
      <c r="M11" s="37">
        <f>IF(Inputs!$B$21="","",SUMPRODUCT((Records[Role Group]="Other investment staff")*(Records[Organization]=Inputs!$B$21)*(Records[Most Recent]="Y")*(Records[Total Cash]&lt;&gt;"")))</f>
        <v/>
      </c>
    </row>
    <row r="12">
      <c r="A12" s="2" t="inlineStr">
        <is>
          <t>Nontaxable benefits</t>
        </is>
      </c>
      <c r="B12" s="19" t="inlineStr">
        <is>
          <t>Schedule J only</t>
        </is>
      </c>
      <c r="C12" s="21">
        <f>IF($I12&gt;=k_MinQuartile,MROUND(_xlfn.PERCENTILE.INC(_xlfn._xlws.FILTER(Records[(D) Nontax Benefits],(Records[Role Group]="Other investment staff")*(Records[Include]="Y")*(Records[Total Cash]&lt;&gt;"")),0.25),k_RoundTo),"")</f>
        <v/>
      </c>
      <c r="D12" s="22">
        <f>IF($I12&gt;=k_MinMedian,MROUND(_xlfn.PERCENTILE.INC(_xlfn._xlws.FILTER(Records[(D) Nontax Benefits],(Records[Role Group]="Other investment staff")*(Records[Include]="Y")*(Records[Total Cash]&lt;&gt;"")),0.5),k_RoundTo),"")</f>
        <v/>
      </c>
      <c r="E12" s="21">
        <f>IF($I12&gt;=k_MinQuartile,MROUND(_xlfn.PERCENTILE.INC(_xlfn._xlws.FILTER(Records[(D) Nontax Benefits],(Records[Role Group]="Other investment staff")*(Records[Include]="Y")*(Records[Total Cash]&lt;&gt;"")),0.75),k_RoundTo),"")</f>
        <v/>
      </c>
      <c r="F12" s="21">
        <f>IF($I12&gt;=k_MinQuartile,MROUND(_xlfn.PERCENTILE.INC(_xlfn._xlws.FILTER(Records[(D) Nontax Benefits],(Records[Role Group]="Other investment staff")*(Records[Include]="Y")*(Records[Total Cash]&lt;&gt;"")),0.9),k_RoundTo),"")</f>
        <v/>
      </c>
      <c r="G12" s="21">
        <f>IF($I12&gt;=k_MinMedian,MROUND(AVERAGE(_xlfn._xlws.FILTER(Records[(D) Nontax Benefits],(Records[Role Group]="Other investment staff")*(Records[Include]="Y")*(Records[Total Cash]&lt;&gt;""))),k_RoundTo),"")</f>
        <v/>
      </c>
      <c r="H12" s="20">
        <f>IFERROR(SUMPRODUCT(((Records[Role Group]="Other investment staff")*(Records[Include]="Y")*(Records[Total Cash]&lt;&gt;""))/(COUNTIFS(Records[Organization],Records[Organization]&amp;"",Records[Role Group],"Other investment staff",Records[Include],"Y")+(COUNTIFS(Records[Organization],Records[Organization]&amp;"",Records[Role Group],"Other investment staff",Records[Include],"Y")=0))),0)</f>
        <v/>
      </c>
      <c r="I12" s="20">
        <f>SUMPRODUCT((Records[Role Group]="Other investment staff")*(Records[Include]="Y")*(Records[Total Cash]&lt;&gt;""))</f>
        <v/>
      </c>
      <c r="J12" s="23">
        <f>IF(Inputs!$B$21="","",IFERROR(MAX(_xlfn._xlws.FILTER(Records[(D) Nontax Benefits],(Records[Role Group]="Other investment staff")*(Records[Organization]=Inputs!$B$21)*(Records[Most Recent]="Y")*(Records[Total Cash]&lt;&gt;""))),""))</f>
        <v/>
      </c>
      <c r="K12" s="24">
        <f>IF(OR($J12="",$D12=""),"",$J12/$D12-1)</f>
        <v/>
      </c>
      <c r="L12" s="25">
        <f>IF($I12&gt;=k_MinQuartile,IF(OR($J12="",$J12=0),"",IFERROR(PERCENTRANK.INC(_xlfn._xlws.FILTER(Records[(D) Nontax Benefits],(Records[Role Group]="Other investment staff")*(Records[Include]="Y")*(Records[Total Cash]&lt;&gt;"")),$J12,4),"")),"")</f>
        <v/>
      </c>
      <c r="M12" s="37">
        <f>IF(Inputs!$B$21="","",SUMPRODUCT((Records[Role Group]="Other investment staff")*(Records[Organization]=Inputs!$B$21)*(Records[Most Recent]="Y")*(Records[Total Cash]&lt;&gt;"")))</f>
        <v/>
      </c>
    </row>
    <row r="13">
      <c r="A13" s="2" t="inlineStr">
        <is>
          <t>Total compensation</t>
        </is>
      </c>
      <c r="B13" s="19" t="inlineStr">
        <is>
          <t>all filers</t>
        </is>
      </c>
      <c r="C13" s="21">
        <f>IF($I13&gt;=k_MinQuartile,MROUND(_xlfn.PERCENTILE.INC(_xlfn._xlws.FILTER(Records[(E) Total Comp],(Records[Role Group]="Other investment staff")*(Records[Include]="Y")*(Records[(E) Total Comp]&gt;0)),0.25),k_RoundTo),"")</f>
        <v/>
      </c>
      <c r="D13" s="22">
        <f>IF($I13&gt;=k_MinMedian,MROUND(_xlfn.PERCENTILE.INC(_xlfn._xlws.FILTER(Records[(E) Total Comp],(Records[Role Group]="Other investment staff")*(Records[Include]="Y")*(Records[(E) Total Comp]&gt;0)),0.5),k_RoundTo),"")</f>
        <v/>
      </c>
      <c r="E13" s="21">
        <f>IF($I13&gt;=k_MinQuartile,MROUND(_xlfn.PERCENTILE.INC(_xlfn._xlws.FILTER(Records[(E) Total Comp],(Records[Role Group]="Other investment staff")*(Records[Include]="Y")*(Records[(E) Total Comp]&gt;0)),0.75),k_RoundTo),"")</f>
        <v/>
      </c>
      <c r="F13" s="21">
        <f>IF($I13&gt;=k_MinQuartile,MROUND(_xlfn.PERCENTILE.INC(_xlfn._xlws.FILTER(Records[(E) Total Comp],(Records[Role Group]="Other investment staff")*(Records[Include]="Y")*(Records[(E) Total Comp]&gt;0)),0.9),k_RoundTo),"")</f>
        <v/>
      </c>
      <c r="G13" s="21">
        <f>IF($I13&gt;=k_MinMedian,MROUND(AVERAGE(_xlfn._xlws.FILTER(Records[(E) Total Comp],(Records[Role Group]="Other investment staff")*(Records[Include]="Y")*(Records[(E) Total Comp]&gt;0))),k_RoundTo),"")</f>
        <v/>
      </c>
      <c r="H13" s="20">
        <f>IFERROR(SUMPRODUCT(((Records[Role Group]="Other investment staff")*(Records[Include]="Y")*(Records[(E) Total Comp]&gt;0))/(COUNTIFS(Records[Organization],Records[Organization]&amp;"",Records[Role Group],"Other investment staff",Records[Include],"Y")+(COUNTIFS(Records[Organization],Records[Organization]&amp;"",Records[Role Group],"Other investment staff",Records[Include],"Y")=0))),0)</f>
        <v/>
      </c>
      <c r="I13" s="20">
        <f>SUMPRODUCT((Records[Role Group]="Other investment staff")*(Records[Include]="Y")*(Records[(E) Total Comp]&gt;0))</f>
        <v/>
      </c>
      <c r="J13" s="23">
        <f>IF(Inputs!$B$21="","",IFERROR(MAX(_xlfn._xlws.FILTER(Records[(E) Total Comp],(Records[Role Group]="Other investment staff")*(Records[Organization]=Inputs!$B$21)*(Records[Most Recent]="Y")*(Records[(E) Total Comp]&gt;0))),""))</f>
        <v/>
      </c>
      <c r="K13" s="24">
        <f>IF(OR($J13="",$D13=""),"",$J13/$D13-1)</f>
        <v/>
      </c>
      <c r="L13" s="25">
        <f>IF($I13&gt;=k_MinQuartile,IF(OR($J13="",$J13=0),"",IFERROR(PERCENTRANK.INC(_xlfn._xlws.FILTER(Records[(E) Total Comp],(Records[Role Group]="Other investment staff")*(Records[Include]="Y")*(Records[(E) Total Comp]&gt;0)),$J13,4),"")),"")</f>
        <v/>
      </c>
      <c r="M13" s="37">
        <f>IF(Inputs!$B$21="","",SUMPRODUCT((Records[Role Group]="Other investment staff")*(Records[Organization]=Inputs!$B$21)*(Records[Most Recent]="Y")*(Records[(E) Total Comp]&gt;0)))</f>
        <v/>
      </c>
    </row>
    <row r="14">
      <c r="A14" s="2" t="inlineStr">
        <is>
          <t>Adjusted total</t>
        </is>
      </c>
      <c r="B14" s="19" t="inlineStr">
        <is>
          <t>all filers</t>
        </is>
      </c>
      <c r="C14" s="21">
        <f>IF($I14&gt;=k_MinQuartile,MROUND(_xlfn.PERCENTILE.INC(_xlfn._xlws.FILTER(Records[Adj Total],(Records[Role Group]="Other investment staff")*(Records[Include]="Y")*(Records[Adj Total]&gt;0)),0.25),k_RoundTo),"")</f>
        <v/>
      </c>
      <c r="D14" s="22">
        <f>IF($I14&gt;=k_MinMedian,MROUND(_xlfn.PERCENTILE.INC(_xlfn._xlws.FILTER(Records[Adj Total],(Records[Role Group]="Other investment staff")*(Records[Include]="Y")*(Records[Adj Total]&gt;0)),0.5),k_RoundTo),"")</f>
        <v/>
      </c>
      <c r="E14" s="21">
        <f>IF($I14&gt;=k_MinQuartile,MROUND(_xlfn.PERCENTILE.INC(_xlfn._xlws.FILTER(Records[Adj Total],(Records[Role Group]="Other investment staff")*(Records[Include]="Y")*(Records[Adj Total]&gt;0)),0.75),k_RoundTo),"")</f>
        <v/>
      </c>
      <c r="F14" s="21">
        <f>IF($I14&gt;=k_MinQuartile,MROUND(_xlfn.PERCENTILE.INC(_xlfn._xlws.FILTER(Records[Adj Total],(Records[Role Group]="Other investment staff")*(Records[Include]="Y")*(Records[Adj Total]&gt;0)),0.9),k_RoundTo),"")</f>
        <v/>
      </c>
      <c r="G14" s="21">
        <f>IF($I14&gt;=k_MinMedian,MROUND(AVERAGE(_xlfn._xlws.FILTER(Records[Adj Total],(Records[Role Group]="Other investment staff")*(Records[Include]="Y")*(Records[Adj Total]&gt;0))),k_RoundTo),"")</f>
        <v/>
      </c>
      <c r="H14" s="20">
        <f>IFERROR(SUMPRODUCT(((Records[Role Group]="Other investment staff")*(Records[Include]="Y")*(Records[Adj Total]&gt;0))/(COUNTIFS(Records[Organization],Records[Organization]&amp;"",Records[Role Group],"Other investment staff",Records[Include],"Y")+(COUNTIFS(Records[Organization],Records[Organization]&amp;"",Records[Role Group],"Other investment staff",Records[Include],"Y")=0))),0)</f>
        <v/>
      </c>
      <c r="I14" s="20">
        <f>SUMPRODUCT((Records[Role Group]="Other investment staff")*(Records[Include]="Y")*(Records[Adj Total]&gt;0))</f>
        <v/>
      </c>
      <c r="J14" s="23">
        <f>IF(Inputs!$B$21="","",IFERROR(MAX(_xlfn._xlws.FILTER(Records[Adj Total],(Records[Role Group]="Other investment staff")*(Records[Organization]=Inputs!$B$21)*(Records[Most Recent]="Y")*(Records[Adj Total]&gt;0))),""))</f>
        <v/>
      </c>
      <c r="K14" s="24">
        <f>IF(OR($J14="",$D14=""),"",$J14/$D14-1)</f>
        <v/>
      </c>
      <c r="L14" s="25">
        <f>IF($I14&gt;=k_MinQuartile,IF(OR($J14="",$J14=0),"",IFERROR(PERCENTRANK.INC(_xlfn._xlws.FILTER(Records[Adj Total],(Records[Role Group]="Other investment staff")*(Records[Include]="Y")*(Records[Adj Total]&gt;0)),$J14,4),"")),"")</f>
        <v/>
      </c>
      <c r="M14" s="37">
        <f>IF(Inputs!$B$21="","",SUMPRODUCT((Records[Role Group]="Other investment staff")*(Records[Organization]=Inputs!$B$21)*(Records[Most Recent]="Y")*(Records[Adj Total]&gt;0)))</f>
        <v/>
      </c>
      <c r="N14" s="26">
        <f>IF(AND($I14&gt;=k_MinMedian,$I14&lt;k_MinQuartile,$D14&lt;&gt;""),MROUND($D14*k_Est_adj_staff_25,k_RoundTo),"")</f>
        <v/>
      </c>
      <c r="O14" s="26">
        <f>IF(AND($I14&gt;=k_MinMedian,$I14&lt;k_MinQuartile,$D14&lt;&gt;""),MROUND($D14*k_Est_adj_staff_75,k_RoundTo),"")</f>
        <v/>
      </c>
      <c r="P14" s="26">
        <f>IF(AND($I14&gt;=k_MinMedian,$I14&lt;k_MinQuartile,$D14&lt;&gt;""),MROUND($D14*k_Est_adj_staff_90,k_RoundTo),"")</f>
        <v/>
      </c>
    </row>
    <row r="15">
      <c r="A15" s="2" t="inlineStr">
        <is>
          <t>Adjusted total, aged</t>
        </is>
      </c>
      <c r="B15" s="19" t="inlineStr">
        <is>
          <t>all filers</t>
        </is>
      </c>
      <c r="C15" s="21">
        <f>IF($I15&gt;=k_MinQuartile,MROUND(_xlfn.PERCENTILE.INC(_xlfn._xlws.FILTER(Records[Aged Adj Total],(Records[Role Group]="Other investment staff")*(Records[Include]="Y")*(Records[Aged Adj Total]&gt;0)),0.25),k_RoundTo),"")</f>
        <v/>
      </c>
      <c r="D15" s="22">
        <f>IF($I15&gt;=k_MinMedian,MROUND(_xlfn.PERCENTILE.INC(_xlfn._xlws.FILTER(Records[Aged Adj Total],(Records[Role Group]="Other investment staff")*(Records[Include]="Y")*(Records[Aged Adj Total]&gt;0)),0.5),k_RoundTo),"")</f>
        <v/>
      </c>
      <c r="E15" s="21">
        <f>IF($I15&gt;=k_MinQuartile,MROUND(_xlfn.PERCENTILE.INC(_xlfn._xlws.FILTER(Records[Aged Adj Total],(Records[Role Group]="Other investment staff")*(Records[Include]="Y")*(Records[Aged Adj Total]&gt;0)),0.75),k_RoundTo),"")</f>
        <v/>
      </c>
      <c r="F15" s="21">
        <f>IF($I15&gt;=k_MinQuartile,MROUND(_xlfn.PERCENTILE.INC(_xlfn._xlws.FILTER(Records[Aged Adj Total],(Records[Role Group]="Other investment staff")*(Records[Include]="Y")*(Records[Aged Adj Total]&gt;0)),0.9),k_RoundTo),"")</f>
        <v/>
      </c>
      <c r="G15" s="21">
        <f>IF($I15&gt;=k_MinMedian,MROUND(AVERAGE(_xlfn._xlws.FILTER(Records[Aged Adj Total],(Records[Role Group]="Other investment staff")*(Records[Include]="Y")*(Records[Aged Adj Total]&gt;0))),k_RoundTo),"")</f>
        <v/>
      </c>
      <c r="H15" s="20">
        <f>IFERROR(SUMPRODUCT(((Records[Role Group]="Other investment staff")*(Records[Include]="Y")*(Records[Aged Adj Total]&gt;0))/(COUNTIFS(Records[Organization],Records[Organization]&amp;"",Records[Role Group],"Other investment staff",Records[Include],"Y")+(COUNTIFS(Records[Organization],Records[Organization]&amp;"",Records[Role Group],"Other investment staff",Records[Include],"Y")=0))),0)</f>
        <v/>
      </c>
      <c r="I15" s="20">
        <f>SUMPRODUCT((Records[Role Group]="Other investment staff")*(Records[Include]="Y")*(Records[Aged Adj Total]&gt;0))</f>
        <v/>
      </c>
      <c r="J15" s="23">
        <f>IF(Inputs!$B$21="","",IFERROR(MAX(_xlfn._xlws.FILTER(Records[Aged Adj Total],(Records[Role Group]="Other investment staff")*(Records[Organization]=Inputs!$B$21)*(Records[Most Recent]="Y")*(Records[Aged Adj Total]&gt;0))),""))</f>
        <v/>
      </c>
      <c r="K15" s="24">
        <f>IF(OR($J15="",$D15=""),"",$J15/$D15-1)</f>
        <v/>
      </c>
      <c r="L15" s="25">
        <f>IF($I15&gt;=k_MinQuartile,IF(OR($J15="",$J15=0),"",IFERROR(PERCENTRANK.INC(_xlfn._xlws.FILTER(Records[Aged Adj Total],(Records[Role Group]="Other investment staff")*(Records[Include]="Y")*(Records[Aged Adj Total]&gt;0)),$J15,4),"")),"")</f>
        <v/>
      </c>
      <c r="M15" s="37">
        <f>IF(Inputs!$B$21="","",SUMPRODUCT((Records[Role Group]="Other investment staff")*(Records[Organization]=Inputs!$B$21)*(Records[Most Recent]="Y")*(Records[Aged Adj Total]&gt;0)))</f>
        <v/>
      </c>
      <c r="N15" s="26">
        <f>IF(AND($I15&gt;=k_MinMedian,$I15&lt;k_MinQuartile,$D15&lt;&gt;""),MROUND($D15*k_Est_adj_staff_25,k_RoundTo),"")</f>
        <v/>
      </c>
      <c r="O15" s="26">
        <f>IF(AND($I15&gt;=k_MinMedian,$I15&lt;k_MinQuartile,$D15&lt;&gt;""),MROUND($D15*k_Est_adj_staff_75,k_RoundTo),"")</f>
        <v/>
      </c>
      <c r="P15" s="26">
        <f>IF(AND($I15&gt;=k_MinMedian,$I15&lt;k_MinQuartile,$D15&lt;&gt;""),MROUND($D15*k_Est_adj_staff_90,k_RoundTo),"")</f>
        <v/>
      </c>
    </row>
    <row r="16">
      <c r="A16" s="2" t="inlineStr">
        <is>
          <t>Incentive as % of base</t>
        </is>
      </c>
      <c r="B16" s="19" t="inlineStr">
        <is>
          <t>Schedule J only</t>
        </is>
      </c>
      <c r="C16" s="38">
        <f>IF($I16&gt;=k_MinQuartile,_xlfn.PERCENTILE.INC(_xlfn._xlws.FILTER(Records[Incentive % of Base],(Records[Role Group]="Other investment staff")*(Records[Include]="Y")*(Records[Total Cash]&lt;&gt;"")),0.25),"")</f>
        <v/>
      </c>
      <c r="D16" s="39">
        <f>IF($I16&gt;=k_MinMedian,_xlfn.PERCENTILE.INC(_xlfn._xlws.FILTER(Records[Incentive % of Base],(Records[Role Group]="Other investment staff")*(Records[Include]="Y")*(Records[Total Cash]&lt;&gt;"")),0.5),"")</f>
        <v/>
      </c>
      <c r="E16" s="38">
        <f>IF($I16&gt;=k_MinQuartile,_xlfn.PERCENTILE.INC(_xlfn._xlws.FILTER(Records[Incentive % of Base],(Records[Role Group]="Other investment staff")*(Records[Include]="Y")*(Records[Total Cash]&lt;&gt;"")),0.75),"")</f>
        <v/>
      </c>
      <c r="F16" s="38">
        <f>IF($I16&gt;=k_MinQuartile,_xlfn.PERCENTILE.INC(_xlfn._xlws.FILTER(Records[Incentive % of Base],(Records[Role Group]="Other investment staff")*(Records[Include]="Y")*(Records[Total Cash]&lt;&gt;"")),0.9),"")</f>
        <v/>
      </c>
      <c r="G16" s="38">
        <f>IF($I16&gt;=k_MinMedian,AVERAGE(_xlfn._xlws.FILTER(Records[Incentive % of Base],(Records[Role Group]="Other investment staff")*(Records[Include]="Y")*(Records[Total Cash]&lt;&gt;""))),"")</f>
        <v/>
      </c>
      <c r="H16" s="20">
        <f>IFERROR(SUMPRODUCT(((Records[Role Group]="Other investment staff")*(Records[Include]="Y")*(Records[Total Cash]&lt;&gt;""))/(COUNTIFS(Records[Organization],Records[Organization]&amp;"",Records[Role Group],"Other investment staff",Records[Include],"Y")+(COUNTIFS(Records[Organization],Records[Organization]&amp;"",Records[Role Group],"Other investment staff",Records[Include],"Y")=0))),0)</f>
        <v/>
      </c>
      <c r="I16" s="20">
        <f>SUMPRODUCT((Records[Role Group]="Other investment staff")*(Records[Include]="Y")*(Records[Total Cash]&lt;&gt;""))</f>
        <v/>
      </c>
      <c r="J16" s="40">
        <f>IF(Inputs!$B$21="","",IFERROR(MAX(_xlfn._xlws.FILTER(Records[Incentive % of Base],(Records[Role Group]="Other investment staff")*(Records[Organization]=Inputs!$B$21)*(Records[Most Recent]="Y")*(Records[Total Cash]&lt;&gt;""))),""))</f>
        <v/>
      </c>
      <c r="K16" s="41">
        <f>IF(OR($J16="",$D16=""),"",$J16-$D16)</f>
        <v/>
      </c>
      <c r="L16" s="25">
        <f>IF($I16&gt;=k_MinQuartile,IF(OR($J16="",$J16=0),"",IFERROR(PERCENTRANK.INC(_xlfn._xlws.FILTER(Records[Incentive % of Base],(Records[Role Group]="Other investment staff")*(Records[Include]="Y")*(Records[Total Cash]&lt;&gt;"")),$J16,4),"")),"")</f>
        <v/>
      </c>
      <c r="M16" s="37">
        <f>IF(Inputs!$B$21="","",SUMPRODUCT((Records[Role Group]="Other investment staff")*(Records[Organization]=Inputs!$B$21)*(Records[Most Recent]="Y")*(Records[Total Cash]&lt;&gt;"")))</f>
        <v/>
      </c>
    </row>
    <row r="17"/>
    <row r="18">
      <c r="A18" s="19" t="inlineStr">
        <is>
          <t>Blank = too few people, not zero. Median 2+, quartiles 5+.</t>
        </is>
      </c>
    </row>
    <row r="19">
      <c r="A19" s="19" t="inlineStr">
        <is>
          <t>(1) Est. columns, italic: where the median exists but fewer than 5 people, the median times the ratio measured on endowments and foundations at $2b+ (Methodology). Never the median; not a measured figure.</t>
        </is>
      </c>
    </row>
    <row r="20"/>
    <row r="21">
      <c r="A21" s="1" t="inlineStr">
        <is>
          <t>Peer records</t>
        </is>
      </c>
    </row>
    <row r="22">
      <c r="A22" s="19" t="inlineStr">
        <is>
          <t>Filter Include = "Y" for the peer set.</t>
        </is>
      </c>
    </row>
    <row r="23"/>
    <row r="24" ht="30" customHeight="1">
      <c r="A24" s="35" t="inlineStr">
        <is>
          <t>Organization</t>
        </is>
      </c>
      <c r="B24" s="35" t="inlineStr">
        <is>
          <t>State</t>
        </is>
      </c>
      <c r="C24" s="35" t="inlineStr">
        <is>
          <t>AUM ($B)</t>
        </is>
      </c>
      <c r="D24" s="35" t="inlineStr">
        <is>
          <t>Institution Type</t>
        </is>
      </c>
      <c r="E24" s="35" t="inlineStr">
        <is>
          <t>Year</t>
        </is>
      </c>
      <c r="F24" s="35" t="inlineStr">
        <is>
          <t>Include</t>
        </is>
      </c>
      <c r="G24" s="35" t="inlineStr">
        <is>
          <t>Name</t>
        </is>
      </c>
      <c r="H24" s="35" t="inlineStr">
        <is>
          <t>Raw Title</t>
        </is>
      </c>
      <c r="I24" s="35" t="inlineStr">
        <is>
          <t>Standardized Title</t>
        </is>
      </c>
      <c r="J24" s="35" t="inlineStr">
        <is>
          <t>(B)(i) Base</t>
        </is>
      </c>
      <c r="K24" s="35" t="inlineStr">
        <is>
          <t>(B)(ii) Bonus</t>
        </is>
      </c>
      <c r="L24" s="35" t="inlineStr">
        <is>
          <t>Total Cash</t>
        </is>
      </c>
      <c r="M24" s="35" t="inlineStr">
        <is>
          <t>(B)(iii) Other</t>
        </is>
      </c>
      <c r="N24" s="35" t="inlineStr">
        <is>
          <t>(C) Deferred</t>
        </is>
      </c>
      <c r="O24" s="35" t="inlineStr">
        <is>
          <t>(D) Nontax Benefits</t>
        </is>
      </c>
      <c r="P24" s="35" t="inlineStr">
        <is>
          <t>(E) Total Comp</t>
        </is>
      </c>
      <c r="Q24" s="35" t="inlineStr">
        <is>
          <t>Adj Total</t>
        </is>
      </c>
      <c r="R24" s="35" t="inlineStr">
        <is>
          <t>Aged Adj Total</t>
        </is>
      </c>
      <c r="S24" s="35" t="inlineStr">
        <is>
          <t>Incentive % of Base</t>
        </is>
      </c>
      <c r="T24" s="35" t="inlineStr">
        <is>
          <t>Filing</t>
        </is>
      </c>
    </row>
    <row r="25">
      <c r="A25" t="inlineStr">
        <is>
          <t>American Armed Forces Mutual Aid Association</t>
        </is>
      </c>
      <c r="B25" s="20" t="inlineStr">
        <is>
          <t>VA</t>
        </is>
      </c>
      <c r="C25" s="42" t="n">
        <v>0.55</v>
      </c>
      <c r="D25" t="inlineStr">
        <is>
          <t>Pension</t>
        </is>
      </c>
      <c r="E25" s="20" t="n">
        <v>2024</v>
      </c>
      <c r="F25" s="20" t="inlineStr"/>
      <c r="G25" t="inlineStr">
        <is>
          <t>Peter St Denis</t>
        </is>
      </c>
      <c r="H25" t="inlineStr">
        <is>
          <t>PORTFOLIO MANAGER, AWMT</t>
        </is>
      </c>
      <c r="I25" t="inlineStr">
        <is>
          <t>Portfolio Manager</t>
        </is>
      </c>
      <c r="J25" s="21" t="n">
        <v>193716</v>
      </c>
      <c r="K25" s="21" t="n">
        <v>27500</v>
      </c>
      <c r="L25" s="21" t="n">
        <v>221216</v>
      </c>
      <c r="M25" s="21" t="n"/>
      <c r="N25" s="21" t="n">
        <v>9936</v>
      </c>
      <c r="O25" s="21" t="n"/>
      <c r="P25" s="21" t="n">
        <v>231152</v>
      </c>
      <c r="Q25" s="21" t="n">
        <v>231152</v>
      </c>
      <c r="R25" s="21">
        <f>IF(Q25="","",Q25*(1+in_GrowthRate)^(YEARFRAC(DATE(2024,12,31),in_AgeToDate)*IF(in_AgeToDate&lt;DATE(2024,12,31),-1,1)+1))</f>
        <v/>
      </c>
      <c r="S25" s="38" t="n">
        <v>0.1419603956307171</v>
      </c>
      <c r="T25" s="43">
        <f>HYPERLINK("https://projects.propublica.org/nonprofits/organizations/530213841/202541229349300529/full","view filing")</f>
        <v/>
      </c>
    </row>
    <row r="26">
      <c r="A26" t="inlineStr">
        <is>
          <t>American Armed Forces Mutual Aid Association</t>
        </is>
      </c>
      <c r="B26" s="20" t="inlineStr">
        <is>
          <t>VA</t>
        </is>
      </c>
      <c r="C26" s="42" t="n">
        <v>0.55</v>
      </c>
      <c r="D26" t="inlineStr">
        <is>
          <t>Pension</t>
        </is>
      </c>
      <c r="E26" s="20" t="n">
        <v>2023</v>
      </c>
      <c r="F26" s="20" t="inlineStr"/>
      <c r="G26" t="inlineStr">
        <is>
          <t>Matthew V Watson</t>
        </is>
      </c>
      <c r="H26" t="inlineStr">
        <is>
          <t>COMMERCIAL PORTFOLIO MANAGER, AMS</t>
        </is>
      </c>
      <c r="I26" t="inlineStr">
        <is>
          <t>Portfolio Manager</t>
        </is>
      </c>
      <c r="J26" s="21" t="n">
        <v>161598</v>
      </c>
      <c r="K26" s="21" t="n">
        <v>19000</v>
      </c>
      <c r="L26" s="21" t="n">
        <v>180598</v>
      </c>
      <c r="M26" s="21" t="n"/>
      <c r="N26" s="21" t="n">
        <v>8235</v>
      </c>
      <c r="O26" s="21" t="n">
        <v>8948</v>
      </c>
      <c r="P26" s="21" t="n">
        <v>197781</v>
      </c>
      <c r="Q26" s="21" t="n">
        <v>197781</v>
      </c>
      <c r="R26" s="21">
        <f>IF(Q26="","",Q26*(1+in_GrowthRate)^(YEARFRAC(DATE(2023,12,31),in_AgeToDate)*IF(in_AgeToDate&lt;DATE(2023,12,31),-1,1)+1))</f>
        <v/>
      </c>
      <c r="S26" s="38" t="n">
        <v>0.1175757125707001</v>
      </c>
      <c r="T26" s="43">
        <f>HYPERLINK("https://projects.propublica.org/nonprofits/organizations/530213841/202441319349303579/full","view filing")</f>
        <v/>
      </c>
    </row>
    <row r="27">
      <c r="A27" t="inlineStr">
        <is>
          <t>American Armed Forces Mutual Aid Association</t>
        </is>
      </c>
      <c r="B27" s="20" t="inlineStr">
        <is>
          <t>VA</t>
        </is>
      </c>
      <c r="C27" s="42" t="n">
        <v>0.55</v>
      </c>
      <c r="D27" t="inlineStr">
        <is>
          <t>Pension</t>
        </is>
      </c>
      <c r="E27" s="20" t="n">
        <v>2023</v>
      </c>
      <c r="F27" s="20" t="inlineStr"/>
      <c r="G27" t="inlineStr">
        <is>
          <t>Peter St Denis</t>
        </is>
      </c>
      <c r="H27" t="inlineStr">
        <is>
          <t>PORTFOLIO MANAGER, AWMT</t>
        </is>
      </c>
      <c r="I27" t="inlineStr">
        <is>
          <t>Portfolio Manager</t>
        </is>
      </c>
      <c r="J27" s="21" t="n">
        <v>183100</v>
      </c>
      <c r="K27" s="21" t="n"/>
      <c r="L27" s="21" t="n">
        <v>183100</v>
      </c>
      <c r="M27" s="21" t="n"/>
      <c r="N27" s="21" t="n">
        <v>7574</v>
      </c>
      <c r="O27" s="21" t="n"/>
      <c r="P27" s="21" t="n">
        <v>190674</v>
      </c>
      <c r="Q27" s="21" t="n">
        <v>190674</v>
      </c>
      <c r="R27" s="21">
        <f>IF(Q27="","",Q27*(1+in_GrowthRate)^(YEARFRAC(DATE(2023,12,31),in_AgeToDate)*IF(in_AgeToDate&lt;DATE(2023,12,31),-1,1)+1))</f>
        <v/>
      </c>
      <c r="S27" s="38" t="n">
        <v>0</v>
      </c>
      <c r="T27" s="43">
        <f>HYPERLINK("https://projects.propublica.org/nonprofits/organizations/530213841/202441319349303579/full","view filing")</f>
        <v/>
      </c>
    </row>
    <row r="28">
      <c r="A28" t="inlineStr">
        <is>
          <t>American Armed Forces Mutual Aid Association</t>
        </is>
      </c>
      <c r="B28" s="20" t="inlineStr">
        <is>
          <t>VA</t>
        </is>
      </c>
      <c r="C28" s="42" t="n">
        <v>0.55</v>
      </c>
      <c r="D28" t="inlineStr">
        <is>
          <t>Pension</t>
        </is>
      </c>
      <c r="E28" s="20" t="n">
        <v>2022</v>
      </c>
      <c r="F28" s="20" t="inlineStr"/>
      <c r="G28" t="inlineStr">
        <is>
          <t>Matthew Watson</t>
        </is>
      </c>
      <c r="H28" t="inlineStr">
        <is>
          <t>COMMERCIAL PORTFOLIO MGR, AMS</t>
        </is>
      </c>
      <c r="I28" t="inlineStr">
        <is>
          <t>Portfolio Manager</t>
        </is>
      </c>
      <c r="J28" s="21" t="n">
        <v>156900</v>
      </c>
      <c r="K28" s="21" t="n">
        <v>98997</v>
      </c>
      <c r="L28" s="21" t="n">
        <v>255897</v>
      </c>
      <c r="M28" s="21" t="n"/>
      <c r="N28" s="21" t="n">
        <v>11515</v>
      </c>
      <c r="O28" s="21" t="n">
        <v>13305</v>
      </c>
      <c r="P28" s="21" t="n">
        <v>280717</v>
      </c>
      <c r="Q28" s="21" t="n">
        <v>280717</v>
      </c>
      <c r="R28" s="21">
        <f>IF(Q28="","",Q28*(1+in_GrowthRate)^(YEARFRAC(DATE(2022,12,31),in_AgeToDate)*IF(in_AgeToDate&lt;DATE(2022,12,31),-1,1)+1))</f>
        <v/>
      </c>
      <c r="S28" s="38" t="n">
        <v>0.6309560229445507</v>
      </c>
      <c r="T28" s="43">
        <f>HYPERLINK("https://projects.propublica.org/nonprofits/organizations/530213841/202301319349303645/full","view filing")</f>
        <v/>
      </c>
    </row>
    <row r="29">
      <c r="A29" t="inlineStr">
        <is>
          <t>Andrew W Mellon Foundation</t>
        </is>
      </c>
      <c r="B29" s="20" t="inlineStr">
        <is>
          <t>NY</t>
        </is>
      </c>
      <c r="C29" s="42" t="n">
        <v>7.85</v>
      </c>
      <c r="D29" t="inlineStr">
        <is>
          <t>Foundation</t>
        </is>
      </c>
      <c r="E29" s="20" t="n">
        <v>2024</v>
      </c>
      <c r="F29" s="20">
        <f>IF(AND(OR(in_Mode="All Funds",AND(C29&gt;=in_BandFloor,C29&lt;=in_BandCeiling,OR(in_Geography="National",COUNTIFS(lst_GeoPreset,in_Geography,lst_GeoState,B29)&gt;0,AND(in_Geography="Custom",ISNUMBER(SEARCH(B29,SUBSTITUTE(in_CustomStates," ",""))))),OR(AND(D29="Endowment",Inputs!$B$14="Y"),AND(D29="Foundation",Inputs!$B$15="Y"),AND(D29="Healthcare",Inputs!$B$16="Y"),AND(D29="Pension",Inputs!$B$17="Y"),AND(D29="OCIO",Inputs!$B$18="Y"),AND(D29="Other",Inputs!$B$19="Y")))),A29&lt;&gt;in_ClientOrg,NOT(AND(in_ExclHarvard="Y",ISNUMBER(SEARCH("Harvard",A29))))),"Y","")</f>
        <v/>
      </c>
      <c r="G29" t="inlineStr">
        <is>
          <t>Abigail Archibald</t>
        </is>
      </c>
      <c r="H29" t="inlineStr">
        <is>
          <t>SENIOR PORTFOLIO MGR</t>
        </is>
      </c>
      <c r="I29" t="inlineStr">
        <is>
          <t>Senior Portfolio Manager</t>
        </is>
      </c>
      <c r="J29" s="21" t="n"/>
      <c r="K29" s="21" t="n"/>
      <c r="L29" s="21" t="n"/>
      <c r="M29" s="21" t="n"/>
      <c r="N29" s="21" t="n"/>
      <c r="O29" s="21" t="n"/>
      <c r="P29" s="21" t="n">
        <v>752337</v>
      </c>
      <c r="Q29" s="21" t="n">
        <v>752337</v>
      </c>
      <c r="R29" s="21">
        <f>IF(Q29="","",Q29*(1+in_GrowthRate)^(YEARFRAC(DATE(2024,12,31),in_AgeToDate)*IF(in_AgeToDate&lt;DATE(2024,12,31),-1,1)+1))</f>
        <v/>
      </c>
      <c r="S29" s="38" t="n"/>
      <c r="T29" s="43">
        <f>HYPERLINK("https://projects.propublica.org/nonprofits/organizations/131879954/202523189349104752/full","view filing")</f>
        <v/>
      </c>
    </row>
    <row r="30">
      <c r="A30" t="inlineStr">
        <is>
          <t>Andrew W Mellon Foundation</t>
        </is>
      </c>
      <c r="B30" s="20" t="inlineStr">
        <is>
          <t>NY</t>
        </is>
      </c>
      <c r="C30" s="42" t="n">
        <v>7.85</v>
      </c>
      <c r="D30" t="inlineStr">
        <is>
          <t>Foundation</t>
        </is>
      </c>
      <c r="E30" s="20" t="n">
        <v>2024</v>
      </c>
      <c r="F30" s="20">
        <f>IF(AND(OR(in_Mode="All Funds",AND(C30&gt;=in_BandFloor,C30&lt;=in_BandCeiling,OR(in_Geography="National",COUNTIFS(lst_GeoPreset,in_Geography,lst_GeoState,B30)&gt;0,AND(in_Geography="Custom",ISNUMBER(SEARCH(B30,SUBSTITUTE(in_CustomStates," ",""))))),OR(AND(D30="Endowment",Inputs!$B$14="Y"),AND(D30="Foundation",Inputs!$B$15="Y"),AND(D30="Healthcare",Inputs!$B$16="Y"),AND(D30="Pension",Inputs!$B$17="Y"),AND(D30="OCIO",Inputs!$B$18="Y"),AND(D30="Other",Inputs!$B$19="Y")))),A30&lt;&gt;in_ClientOrg,NOT(AND(in_ExclHarvard="Y",ISNUMBER(SEARCH("Harvard",A30))))),"Y","")</f>
        <v/>
      </c>
      <c r="G30" t="inlineStr">
        <is>
          <t>Yindeng Jiang</t>
        </is>
      </c>
      <c r="H30" t="inlineStr">
        <is>
          <t>SENIOR PORTFOLIO MGR</t>
        </is>
      </c>
      <c r="I30" t="inlineStr">
        <is>
          <t>Senior Portfolio Manager</t>
        </is>
      </c>
      <c r="J30" s="21" t="n"/>
      <c r="K30" s="21" t="n"/>
      <c r="L30" s="21" t="n"/>
      <c r="M30" s="21" t="n"/>
      <c r="N30" s="21" t="n"/>
      <c r="O30" s="21" t="n"/>
      <c r="P30" s="21" t="n">
        <v>658556</v>
      </c>
      <c r="Q30" s="21" t="n">
        <v>658556</v>
      </c>
      <c r="R30" s="21">
        <f>IF(Q30="","",Q30*(1+in_GrowthRate)^(YEARFRAC(DATE(2024,12,31),in_AgeToDate)*IF(in_AgeToDate&lt;DATE(2024,12,31),-1,1)+1))</f>
        <v/>
      </c>
      <c r="S30" s="38" t="n"/>
      <c r="T30" s="43">
        <f>HYPERLINK("https://projects.propublica.org/nonprofits/organizations/131879954/202523189349104752/full","view filing")</f>
        <v/>
      </c>
    </row>
    <row r="31">
      <c r="A31" t="inlineStr">
        <is>
          <t>Andrew W Mellon Foundation</t>
        </is>
      </c>
      <c r="B31" s="20" t="inlineStr">
        <is>
          <t>NY</t>
        </is>
      </c>
      <c r="C31" s="42" t="n">
        <v>7.85</v>
      </c>
      <c r="D31" t="inlineStr">
        <is>
          <t>Foundation</t>
        </is>
      </c>
      <c r="E31" s="20" t="n">
        <v>2023</v>
      </c>
      <c r="F31" s="20" t="inlineStr"/>
      <c r="G31" t="inlineStr">
        <is>
          <t>Abigail Archibald</t>
        </is>
      </c>
      <c r="H31" t="inlineStr">
        <is>
          <t>SENIOR PORTFOLIO MGR</t>
        </is>
      </c>
      <c r="I31" t="inlineStr">
        <is>
          <t>Senior Portfolio Manager</t>
        </is>
      </c>
      <c r="J31" s="21" t="n"/>
      <c r="K31" s="21" t="n"/>
      <c r="L31" s="21" t="n"/>
      <c r="M31" s="21" t="n"/>
      <c r="N31" s="21" t="n"/>
      <c r="O31" s="21" t="n"/>
      <c r="P31" s="21" t="n">
        <v>1475918</v>
      </c>
      <c r="Q31" s="21" t="n">
        <v>1475918</v>
      </c>
      <c r="R31" s="21">
        <f>IF(Q31="","",Q31*(1+in_GrowthRate)^(YEARFRAC(DATE(2023,12,31),in_AgeToDate)*IF(in_AgeToDate&lt;DATE(2023,12,31),-1,1)+1))</f>
        <v/>
      </c>
      <c r="S31" s="38" t="n"/>
      <c r="T31" s="43">
        <f>HYPERLINK("https://projects.propublica.org/nonprofits/organizations/131879954/202413199349106571/full","view filing")</f>
        <v/>
      </c>
    </row>
    <row r="32">
      <c r="A32" t="inlineStr">
        <is>
          <t>Andrew W Mellon Foundation</t>
        </is>
      </c>
      <c r="B32" s="20" t="inlineStr">
        <is>
          <t>NY</t>
        </is>
      </c>
      <c r="C32" s="42" t="n">
        <v>7.85</v>
      </c>
      <c r="D32" t="inlineStr">
        <is>
          <t>Foundation</t>
        </is>
      </c>
      <c r="E32" s="20" t="n">
        <v>2023</v>
      </c>
      <c r="F32" s="20" t="inlineStr"/>
      <c r="G32" t="inlineStr">
        <is>
          <t>Emily Hickman</t>
        </is>
      </c>
      <c r="H32" t="inlineStr">
        <is>
          <t>PORTFOLIO MANAGER</t>
        </is>
      </c>
      <c r="I32" t="inlineStr">
        <is>
          <t>Portfolio Manager</t>
        </is>
      </c>
      <c r="J32" s="21" t="n"/>
      <c r="K32" s="21" t="n"/>
      <c r="L32" s="21" t="n"/>
      <c r="M32" s="21" t="n"/>
      <c r="N32" s="21" t="n"/>
      <c r="O32" s="21" t="n"/>
      <c r="P32" s="21" t="n">
        <v>648908</v>
      </c>
      <c r="Q32" s="21" t="n">
        <v>648908</v>
      </c>
      <c r="R32" s="21">
        <f>IF(Q32="","",Q32*(1+in_GrowthRate)^(YEARFRAC(DATE(2023,12,31),in_AgeToDate)*IF(in_AgeToDate&lt;DATE(2023,12,31),-1,1)+1))</f>
        <v/>
      </c>
      <c r="S32" s="38" t="n"/>
      <c r="T32" s="43">
        <f>HYPERLINK("https://projects.propublica.org/nonprofits/organizations/131879954/202413199349106571/full","view filing")</f>
        <v/>
      </c>
    </row>
    <row r="33">
      <c r="A33" t="inlineStr">
        <is>
          <t>Andrew W Mellon Foundation</t>
        </is>
      </c>
      <c r="B33" s="20" t="inlineStr">
        <is>
          <t>NY</t>
        </is>
      </c>
      <c r="C33" s="42" t="n">
        <v>7.85</v>
      </c>
      <c r="D33" t="inlineStr">
        <is>
          <t>Foundation</t>
        </is>
      </c>
      <c r="E33" s="20" t="n">
        <v>2023</v>
      </c>
      <c r="F33" s="20" t="inlineStr"/>
      <c r="G33" t="inlineStr">
        <is>
          <t>Laura Jung Wha Kim</t>
        </is>
      </c>
      <c r="H33" t="inlineStr">
        <is>
          <t>PORTFOLIO MANAGER</t>
        </is>
      </c>
      <c r="I33" t="inlineStr">
        <is>
          <t>Portfolio Manager</t>
        </is>
      </c>
      <c r="J33" s="21" t="n"/>
      <c r="K33" s="21" t="n"/>
      <c r="L33" s="21" t="n"/>
      <c r="M33" s="21" t="n"/>
      <c r="N33" s="21" t="n"/>
      <c r="O33" s="21" t="n"/>
      <c r="P33" s="21" t="n">
        <v>628820</v>
      </c>
      <c r="Q33" s="21" t="n">
        <v>628820</v>
      </c>
      <c r="R33" s="21">
        <f>IF(Q33="","",Q33*(1+in_GrowthRate)^(YEARFRAC(DATE(2023,12,31),in_AgeToDate)*IF(in_AgeToDate&lt;DATE(2023,12,31),-1,1)+1))</f>
        <v/>
      </c>
      <c r="S33" s="38" t="n"/>
      <c r="T33" s="43">
        <f>HYPERLINK("https://projects.propublica.org/nonprofits/organizations/131879954/202413199349106571/full","view filing")</f>
        <v/>
      </c>
    </row>
    <row r="34">
      <c r="A34" t="inlineStr">
        <is>
          <t>Andrew W Mellon Foundation</t>
        </is>
      </c>
      <c r="B34" s="20" t="inlineStr">
        <is>
          <t>NY</t>
        </is>
      </c>
      <c r="C34" s="42" t="n">
        <v>7.85</v>
      </c>
      <c r="D34" t="inlineStr">
        <is>
          <t>Foundation</t>
        </is>
      </c>
      <c r="E34" s="20" t="n">
        <v>2023</v>
      </c>
      <c r="F34" s="20" t="inlineStr"/>
      <c r="G34" t="inlineStr">
        <is>
          <t>Michelle Knudsen</t>
        </is>
      </c>
      <c r="H34" t="inlineStr">
        <is>
          <t>SENIOR PORTFOLIO MGR</t>
        </is>
      </c>
      <c r="I34" t="inlineStr">
        <is>
          <t>Senior Portfolio Manager</t>
        </is>
      </c>
      <c r="J34" s="21" t="n"/>
      <c r="K34" s="21" t="n"/>
      <c r="L34" s="21" t="n"/>
      <c r="M34" s="21" t="n"/>
      <c r="N34" s="21" t="n"/>
      <c r="O34" s="21" t="n"/>
      <c r="P34" s="21" t="n">
        <v>1476639</v>
      </c>
      <c r="Q34" s="21" t="n">
        <v>1476639</v>
      </c>
      <c r="R34" s="21">
        <f>IF(Q34="","",Q34*(1+in_GrowthRate)^(YEARFRAC(DATE(2023,12,31),in_AgeToDate)*IF(in_AgeToDate&lt;DATE(2023,12,31),-1,1)+1))</f>
        <v/>
      </c>
      <c r="S34" s="38" t="n"/>
      <c r="T34" s="43">
        <f>HYPERLINK("https://projects.propublica.org/nonprofits/organizations/131879954/202413199349106571/full","view filing")</f>
        <v/>
      </c>
    </row>
    <row r="35">
      <c r="A35" t="inlineStr">
        <is>
          <t>Andrew W Mellon Foundation</t>
        </is>
      </c>
      <c r="B35" s="20" t="inlineStr">
        <is>
          <t>NY</t>
        </is>
      </c>
      <c r="C35" s="42" t="n">
        <v>7.85</v>
      </c>
      <c r="D35" t="inlineStr">
        <is>
          <t>Foundation</t>
        </is>
      </c>
      <c r="E35" s="20" t="n">
        <v>2023</v>
      </c>
      <c r="F35" s="20" t="inlineStr"/>
      <c r="G35" t="inlineStr">
        <is>
          <t>Yindeng Jiang</t>
        </is>
      </c>
      <c r="H35" t="inlineStr">
        <is>
          <t>SENIOR PORTFOLIO MGR</t>
        </is>
      </c>
      <c r="I35" t="inlineStr">
        <is>
          <t>Senior Portfolio Manager</t>
        </is>
      </c>
      <c r="J35" s="21" t="n"/>
      <c r="K35" s="21" t="n"/>
      <c r="L35" s="21" t="n"/>
      <c r="M35" s="21" t="n"/>
      <c r="N35" s="21" t="n"/>
      <c r="O35" s="21" t="n"/>
      <c r="P35" s="21" t="n">
        <v>1155015</v>
      </c>
      <c r="Q35" s="21" t="n">
        <v>1155015</v>
      </c>
      <c r="R35" s="21">
        <f>IF(Q35="","",Q35*(1+in_GrowthRate)^(YEARFRAC(DATE(2023,12,31),in_AgeToDate)*IF(in_AgeToDate&lt;DATE(2023,12,31),-1,1)+1))</f>
        <v/>
      </c>
      <c r="S35" s="38" t="n"/>
      <c r="T35" s="43">
        <f>HYPERLINK("https://projects.propublica.org/nonprofits/organizations/131879954/202413199349106571/full","view filing")</f>
        <v/>
      </c>
    </row>
    <row r="36">
      <c r="A36" t="inlineStr">
        <is>
          <t>Andrew W Mellon Foundation</t>
        </is>
      </c>
      <c r="B36" s="20" t="inlineStr">
        <is>
          <t>NY</t>
        </is>
      </c>
      <c r="C36" s="42" t="n">
        <v>7.85</v>
      </c>
      <c r="D36" t="inlineStr">
        <is>
          <t>Foundation</t>
        </is>
      </c>
      <c r="E36" s="20" t="n">
        <v>2022</v>
      </c>
      <c r="F36" s="20" t="inlineStr"/>
      <c r="G36" t="inlineStr">
        <is>
          <t>Abigail Archibald</t>
        </is>
      </c>
      <c r="H36" t="inlineStr">
        <is>
          <t>SENIOR PORTFOLIO MGR</t>
        </is>
      </c>
      <c r="I36" t="inlineStr">
        <is>
          <t>Senior Portfolio Manager</t>
        </is>
      </c>
      <c r="J36" s="21" t="n"/>
      <c r="K36" s="21" t="n"/>
      <c r="L36" s="21" t="n"/>
      <c r="M36" s="21" t="n"/>
      <c r="N36" s="21" t="n"/>
      <c r="O36" s="21" t="n"/>
      <c r="P36" s="21" t="n">
        <v>1244918</v>
      </c>
      <c r="Q36" s="21" t="n">
        <v>1244918</v>
      </c>
      <c r="R36" s="21">
        <f>IF(Q36="","",Q36*(1+in_GrowthRate)^(YEARFRAC(DATE(2022,12,31),in_AgeToDate)*IF(in_AgeToDate&lt;DATE(2022,12,31),-1,1)+1))</f>
        <v/>
      </c>
      <c r="S36" s="38" t="n"/>
      <c r="T36" s="43">
        <f>HYPERLINK("https://projects.propublica.org/nonprofits/organizations/131879954/202303179349100635/full","view filing")</f>
        <v/>
      </c>
    </row>
    <row r="37">
      <c r="A37" t="inlineStr">
        <is>
          <t>Andrew W Mellon Foundation</t>
        </is>
      </c>
      <c r="B37" s="20" t="inlineStr">
        <is>
          <t>NY</t>
        </is>
      </c>
      <c r="C37" s="42" t="n">
        <v>7.85</v>
      </c>
      <c r="D37" t="inlineStr">
        <is>
          <t>Foundation</t>
        </is>
      </c>
      <c r="E37" s="20" t="n">
        <v>2022</v>
      </c>
      <c r="F37" s="20" t="inlineStr"/>
      <c r="G37" t="inlineStr">
        <is>
          <t>Emily Hickman</t>
        </is>
      </c>
      <c r="H37" t="inlineStr">
        <is>
          <t>PORTFOLIO MANAGER</t>
        </is>
      </c>
      <c r="I37" t="inlineStr">
        <is>
          <t>Portfolio Manager</t>
        </is>
      </c>
      <c r="J37" s="21" t="n"/>
      <c r="K37" s="21" t="n"/>
      <c r="L37" s="21" t="n"/>
      <c r="M37" s="21" t="n"/>
      <c r="N37" s="21" t="n"/>
      <c r="O37" s="21" t="n"/>
      <c r="P37" s="21" t="n">
        <v>563669</v>
      </c>
      <c r="Q37" s="21" t="n">
        <v>563669</v>
      </c>
      <c r="R37" s="21">
        <f>IF(Q37="","",Q37*(1+in_GrowthRate)^(YEARFRAC(DATE(2022,12,31),in_AgeToDate)*IF(in_AgeToDate&lt;DATE(2022,12,31),-1,1)+1))</f>
        <v/>
      </c>
      <c r="S37" s="38" t="n"/>
      <c r="T37" s="43">
        <f>HYPERLINK("https://projects.propublica.org/nonprofits/organizations/131879954/202303179349100635/full","view filing")</f>
        <v/>
      </c>
    </row>
    <row r="38">
      <c r="A38" t="inlineStr">
        <is>
          <t>Andrew W Mellon Foundation</t>
        </is>
      </c>
      <c r="B38" s="20" t="inlineStr">
        <is>
          <t>NY</t>
        </is>
      </c>
      <c r="C38" s="42" t="n">
        <v>7.85</v>
      </c>
      <c r="D38" t="inlineStr">
        <is>
          <t>Foundation</t>
        </is>
      </c>
      <c r="E38" s="20" t="n">
        <v>2022</v>
      </c>
      <c r="F38" s="20" t="inlineStr"/>
      <c r="G38" t="inlineStr">
        <is>
          <t>Michelle Knudsen</t>
        </is>
      </c>
      <c r="H38" t="inlineStr">
        <is>
          <t>SENIOR PORTFOLIO MGR</t>
        </is>
      </c>
      <c r="I38" t="inlineStr">
        <is>
          <t>Senior Portfolio Manager</t>
        </is>
      </c>
      <c r="J38" s="21" t="n"/>
      <c r="K38" s="21" t="n"/>
      <c r="L38" s="21" t="n"/>
      <c r="M38" s="21" t="n"/>
      <c r="N38" s="21" t="n"/>
      <c r="O38" s="21" t="n"/>
      <c r="P38" s="21" t="n">
        <v>1220163</v>
      </c>
      <c r="Q38" s="21" t="n">
        <v>1220163</v>
      </c>
      <c r="R38" s="21">
        <f>IF(Q38="","",Q38*(1+in_GrowthRate)^(YEARFRAC(DATE(2022,12,31),in_AgeToDate)*IF(in_AgeToDate&lt;DATE(2022,12,31),-1,1)+1))</f>
        <v/>
      </c>
      <c r="S38" s="38" t="n"/>
      <c r="T38" s="43">
        <f>HYPERLINK("https://projects.propublica.org/nonprofits/organizations/131879954/202303179349100635/full","view filing")</f>
        <v/>
      </c>
    </row>
    <row r="39">
      <c r="A39" t="inlineStr">
        <is>
          <t>Andrew W Mellon Foundation</t>
        </is>
      </c>
      <c r="B39" s="20" t="inlineStr">
        <is>
          <t>NY</t>
        </is>
      </c>
      <c r="C39" s="42" t="n">
        <v>7.85</v>
      </c>
      <c r="D39" t="inlineStr">
        <is>
          <t>Foundation</t>
        </is>
      </c>
      <c r="E39" s="20" t="n">
        <v>2022</v>
      </c>
      <c r="F39" s="20" t="inlineStr"/>
      <c r="G39" t="inlineStr">
        <is>
          <t>Yindeng Jiang</t>
        </is>
      </c>
      <c r="H39" t="inlineStr">
        <is>
          <t>SENIOR PORTFOLIO MGR</t>
        </is>
      </c>
      <c r="I39" t="inlineStr">
        <is>
          <t>Senior Portfolio Manager</t>
        </is>
      </c>
      <c r="J39" s="21" t="n"/>
      <c r="K39" s="21" t="n"/>
      <c r="L39" s="21" t="n"/>
      <c r="M39" s="21" t="n"/>
      <c r="N39" s="21" t="n"/>
      <c r="O39" s="21" t="n"/>
      <c r="P39" s="21" t="n">
        <v>631521</v>
      </c>
      <c r="Q39" s="21" t="n">
        <v>631521</v>
      </c>
      <c r="R39" s="21">
        <f>IF(Q39="","",Q39*(1+in_GrowthRate)^(YEARFRAC(DATE(2022,12,31),in_AgeToDate)*IF(in_AgeToDate&lt;DATE(2022,12,31),-1,1)+1))</f>
        <v/>
      </c>
      <c r="S39" s="38" t="n"/>
      <c r="T39" s="43">
        <f>HYPERLINK("https://projects.propublica.org/nonprofits/organizations/131879954/202303179349100635/full","view filing")</f>
        <v/>
      </c>
    </row>
    <row r="40">
      <c r="A40" t="inlineStr">
        <is>
          <t>David And Lucile Packard Foundation</t>
        </is>
      </c>
      <c r="B40" s="20" t="inlineStr">
        <is>
          <t>CA</t>
        </is>
      </c>
      <c r="C40" s="42" t="n">
        <v>8.07</v>
      </c>
      <c r="D40" t="inlineStr">
        <is>
          <t>Foundation</t>
        </is>
      </c>
      <c r="E40" s="20" t="n">
        <v>2022</v>
      </c>
      <c r="F40" s="20" t="inlineStr"/>
      <c r="G40" t="inlineStr">
        <is>
          <t>Ben Chiquoine</t>
        </is>
      </c>
      <c r="H40" t="inlineStr">
        <is>
          <t>INVESTMENTS ASSOCIAT</t>
        </is>
      </c>
      <c r="I40" t="inlineStr">
        <is>
          <t>Associate</t>
        </is>
      </c>
      <c r="J40" s="21" t="n"/>
      <c r="K40" s="21" t="n"/>
      <c r="L40" s="21" t="n"/>
      <c r="M40" s="21" t="n"/>
      <c r="N40" s="21" t="n"/>
      <c r="O40" s="21" t="n"/>
      <c r="P40" s="21" t="n">
        <v>857743</v>
      </c>
      <c r="Q40" s="21" t="n">
        <v>857743</v>
      </c>
      <c r="R40" s="21">
        <f>IF(Q40="","",Q40*(1+in_GrowthRate)^(YEARFRAC(DATE(2022,12,31),in_AgeToDate)*IF(in_AgeToDate&lt;DATE(2022,12,31),-1,1)+1))</f>
        <v/>
      </c>
      <c r="S40" s="38" t="n"/>
      <c r="T40" s="43">
        <f>HYPERLINK("https://projects.propublica.org/nonprofits/organizations/942278431/202303149349102680/full","view filing")</f>
        <v/>
      </c>
    </row>
    <row r="41">
      <c r="A41" t="inlineStr">
        <is>
          <t>Georgia Tech Foundation Inc</t>
        </is>
      </c>
      <c r="B41" s="20" t="inlineStr">
        <is>
          <t>GA</t>
        </is>
      </c>
      <c r="C41" s="42" t="n">
        <v>3.04</v>
      </c>
      <c r="D41" t="inlineStr">
        <is>
          <t>Foundation</t>
        </is>
      </c>
      <c r="E41" s="20" t="n">
        <v>2023</v>
      </c>
      <c r="F41" s="20" t="inlineStr"/>
      <c r="G41" t="inlineStr">
        <is>
          <t>Robert Thompson</t>
        </is>
      </c>
      <c r="H41" t="inlineStr">
        <is>
          <t>PORTFOLIO MANAGER - REAL ESTATE/ENERGY</t>
        </is>
      </c>
      <c r="I41" t="inlineStr">
        <is>
          <t>Portfolio Manager</t>
        </is>
      </c>
      <c r="J41" s="21" t="n">
        <v>130985</v>
      </c>
      <c r="K41" s="21" t="n">
        <v>90650</v>
      </c>
      <c r="L41" s="21" t="n">
        <v>221635</v>
      </c>
      <c r="M41" s="21" t="n"/>
      <c r="N41" s="21" t="n">
        <v>13369</v>
      </c>
      <c r="O41" s="21" t="n">
        <v>11001</v>
      </c>
      <c r="P41" s="21" t="n">
        <v>246005</v>
      </c>
      <c r="Q41" s="21" t="n">
        <v>246005</v>
      </c>
      <c r="R41" s="21">
        <f>IF(Q41="","",Q41*(1+in_GrowthRate)^(YEARFRAC(DATE(2023,6,30),in_AgeToDate)*IF(in_AgeToDate&lt;DATE(2023,6,30),-1,1)+1))</f>
        <v/>
      </c>
      <c r="S41" s="38" t="n">
        <v>0.6920639767912357</v>
      </c>
      <c r="T41" s="43">
        <f>HYPERLINK("https://projects.propublica.org/nonprofits/organizations/586043294/202441369349306949/full","view filing")</f>
        <v/>
      </c>
    </row>
    <row r="42">
      <c r="A42" t="inlineStr">
        <is>
          <t>Inatai Foundation</t>
        </is>
      </c>
      <c r="B42" s="20" t="inlineStr">
        <is>
          <t>WA</t>
        </is>
      </c>
      <c r="C42" s="42" t="n">
        <v>2.35</v>
      </c>
      <c r="D42" t="inlineStr">
        <is>
          <t>Foundation</t>
        </is>
      </c>
      <c r="E42" s="20" t="n">
        <v>2024</v>
      </c>
      <c r="F42" s="20">
        <f>IF(AND(OR(in_Mode="All Funds",AND(C42&gt;=in_BandFloor,C42&lt;=in_BandCeiling,OR(in_Geography="National",COUNTIFS(lst_GeoPreset,in_Geography,lst_GeoState,B42)&gt;0,AND(in_Geography="Custom",ISNUMBER(SEARCH(B42,SUBSTITUTE(in_CustomStates," ",""))))),OR(AND(D42="Endowment",Inputs!$B$14="Y"),AND(D42="Foundation",Inputs!$B$15="Y"),AND(D42="Healthcare",Inputs!$B$16="Y"),AND(D42="Pension",Inputs!$B$17="Y"),AND(D42="OCIO",Inputs!$B$18="Y"),AND(D42="Other",Inputs!$B$19="Y")))),A42&lt;&gt;in_ClientOrg,NOT(AND(in_ExclHarvard="Y",ISNUMBER(SEARCH("Harvard",A42))))),"Y","")</f>
        <v/>
      </c>
      <c r="G42" t="inlineStr">
        <is>
          <t>Anji Lin</t>
        </is>
      </c>
      <c r="H42" t="inlineStr">
        <is>
          <t>SENIOR PORTFOLIO MANAGER</t>
        </is>
      </c>
      <c r="I42" t="inlineStr">
        <is>
          <t>Senior Portfolio Manager</t>
        </is>
      </c>
      <c r="J42" s="21" t="n">
        <v>228113</v>
      </c>
      <c r="K42" s="21" t="n">
        <v>75737</v>
      </c>
      <c r="L42" s="21" t="n">
        <v>303850</v>
      </c>
      <c r="M42" s="21" t="n"/>
      <c r="N42" s="21" t="n">
        <v>21694</v>
      </c>
      <c r="O42" s="21" t="n">
        <v>13519</v>
      </c>
      <c r="P42" s="21" t="n">
        <v>339063</v>
      </c>
      <c r="Q42" s="21" t="n">
        <v>339063</v>
      </c>
      <c r="R42" s="21">
        <f>IF(Q42="","",Q42*(1+in_GrowthRate)^(YEARFRAC(DATE(2024,12,31),in_AgeToDate)*IF(in_AgeToDate&lt;DATE(2024,12,31),-1,1)+1))</f>
        <v/>
      </c>
      <c r="S42" s="38" t="n">
        <v>0.3320152731321757</v>
      </c>
      <c r="T42" s="43">
        <f>HYPERLINK("https://projects.propublica.org/nonprofits/organizations/300889914/202503119349302995/full","view filing")</f>
        <v/>
      </c>
    </row>
    <row r="43">
      <c r="A43" t="inlineStr">
        <is>
          <t>Inatai Foundation</t>
        </is>
      </c>
      <c r="B43" s="20" t="inlineStr">
        <is>
          <t>WA</t>
        </is>
      </c>
      <c r="C43" s="42" t="n">
        <v>2.35</v>
      </c>
      <c r="D43" t="inlineStr">
        <is>
          <t>Foundation</t>
        </is>
      </c>
      <c r="E43" s="20" t="n">
        <v>2024</v>
      </c>
      <c r="F43" s="20">
        <f>IF(AND(OR(in_Mode="All Funds",AND(C43&gt;=in_BandFloor,C43&lt;=in_BandCeiling,OR(in_Geography="National",COUNTIFS(lst_GeoPreset,in_Geography,lst_GeoState,B43)&gt;0,AND(in_Geography="Custom",ISNUMBER(SEARCH(B43,SUBSTITUTE(in_CustomStates," ",""))))),OR(AND(D43="Endowment",Inputs!$B$14="Y"),AND(D43="Foundation",Inputs!$B$15="Y"),AND(D43="Healthcare",Inputs!$B$16="Y"),AND(D43="Pension",Inputs!$B$17="Y"),AND(D43="OCIO",Inputs!$B$18="Y"),AND(D43="Other",Inputs!$B$19="Y")))),A43&lt;&gt;in_ClientOrg,NOT(AND(in_ExclHarvard="Y",ISNUMBER(SEARCH("Harvard",A43))))),"Y","")</f>
        <v/>
      </c>
      <c r="G43" t="inlineStr">
        <is>
          <t>Charlotte Zhang</t>
        </is>
      </c>
      <c r="H43" t="inlineStr">
        <is>
          <t>SENIOR PORTFOLIO MANAGER</t>
        </is>
      </c>
      <c r="I43" t="inlineStr">
        <is>
          <t>Senior Portfolio Manager</t>
        </is>
      </c>
      <c r="J43" s="21" t="n">
        <v>291567</v>
      </c>
      <c r="K43" s="21" t="n">
        <v>120000</v>
      </c>
      <c r="L43" s="21" t="n">
        <v>411567</v>
      </c>
      <c r="M43" s="21" t="n">
        <v>6907</v>
      </c>
      <c r="N43" s="21" t="n">
        <v>34500</v>
      </c>
      <c r="O43" s="21" t="n">
        <v>10110</v>
      </c>
      <c r="P43" s="21" t="n">
        <v>463084</v>
      </c>
      <c r="Q43" s="21" t="n">
        <v>463084</v>
      </c>
      <c r="R43" s="21">
        <f>IF(Q43="","",Q43*(1+in_GrowthRate)^(YEARFRAC(DATE(2024,12,31),in_AgeToDate)*IF(in_AgeToDate&lt;DATE(2024,12,31),-1,1)+1))</f>
        <v/>
      </c>
      <c r="S43" s="38" t="n">
        <v>0.4115692105073619</v>
      </c>
      <c r="T43" s="43">
        <f>HYPERLINK("https://projects.propublica.org/nonprofits/organizations/300889914/202503119349302995/full","view filing")</f>
        <v/>
      </c>
    </row>
    <row r="44">
      <c r="A44" t="inlineStr">
        <is>
          <t>Inatai Foundation</t>
        </is>
      </c>
      <c r="B44" s="20" t="inlineStr">
        <is>
          <t>WA</t>
        </is>
      </c>
      <c r="C44" s="42" t="n">
        <v>2.35</v>
      </c>
      <c r="D44" t="inlineStr">
        <is>
          <t>Foundation</t>
        </is>
      </c>
      <c r="E44" s="20" t="n">
        <v>2023</v>
      </c>
      <c r="F44" s="20" t="inlineStr"/>
      <c r="G44" t="inlineStr">
        <is>
          <t>Charlotte Zhang</t>
        </is>
      </c>
      <c r="H44" t="inlineStr">
        <is>
          <t>SENIOR PORTFOLIO MANAGER</t>
        </is>
      </c>
      <c r="I44" t="inlineStr">
        <is>
          <t>Senior Portfolio Manager</t>
        </is>
      </c>
      <c r="J44" s="21" t="n">
        <v>269350</v>
      </c>
      <c r="K44" s="21" t="n">
        <v>66667</v>
      </c>
      <c r="L44" s="21" t="n">
        <v>336017</v>
      </c>
      <c r="M44" s="21" t="n">
        <v>752</v>
      </c>
      <c r="N44" s="21" t="n">
        <v>33752</v>
      </c>
      <c r="O44" s="21" t="n">
        <v>9827</v>
      </c>
      <c r="P44" s="21" t="n">
        <v>380348</v>
      </c>
      <c r="Q44" s="21" t="n">
        <v>380348</v>
      </c>
      <c r="R44" s="21">
        <f>IF(Q44="","",Q44*(1+in_GrowthRate)^(YEARFRAC(DATE(2023,12,31),in_AgeToDate)*IF(in_AgeToDate&lt;DATE(2023,12,31),-1,1)+1))</f>
        <v/>
      </c>
      <c r="S44" s="38" t="n">
        <v>0.2475106738444403</v>
      </c>
      <c r="T44" s="43">
        <f>HYPERLINK("https://projects.propublica.org/nonprofits/organizations/300889914/202443189349307024/full","view filing")</f>
        <v/>
      </c>
    </row>
    <row r="45">
      <c r="A45" t="inlineStr">
        <is>
          <t>Inatai Foundation</t>
        </is>
      </c>
      <c r="B45" s="20" t="inlineStr">
        <is>
          <t>WA</t>
        </is>
      </c>
      <c r="C45" s="42" t="n">
        <v>2.35</v>
      </c>
      <c r="D45" t="inlineStr">
        <is>
          <t>Foundation</t>
        </is>
      </c>
      <c r="E45" s="20" t="n">
        <v>2022</v>
      </c>
      <c r="F45" s="20" t="inlineStr"/>
      <c r="G45" t="inlineStr">
        <is>
          <t>Charlotte Zhang</t>
        </is>
      </c>
      <c r="H45" t="inlineStr">
        <is>
          <t>PORTFOLIO MANAGER</t>
        </is>
      </c>
      <c r="I45" t="inlineStr">
        <is>
          <t>Portfolio Manager</t>
        </is>
      </c>
      <c r="J45" s="21" t="n">
        <v>249443</v>
      </c>
      <c r="K45" s="21" t="n">
        <v>100000</v>
      </c>
      <c r="L45" s="21" t="n">
        <v>349443</v>
      </c>
      <c r="M45" s="21" t="n">
        <v>4544</v>
      </c>
      <c r="N45" s="21" t="n">
        <v>30500</v>
      </c>
      <c r="O45" s="21" t="n">
        <v>9443</v>
      </c>
      <c r="P45" s="21" t="n">
        <v>393930</v>
      </c>
      <c r="Q45" s="21" t="n">
        <v>393930</v>
      </c>
      <c r="R45" s="21">
        <f>IF(Q45="","",Q45*(1+in_GrowthRate)^(YEARFRAC(DATE(2022,12,31),in_AgeToDate)*IF(in_AgeToDate&lt;DATE(2022,12,31),-1,1)+1))</f>
        <v/>
      </c>
      <c r="S45" s="38" t="n">
        <v>0.400893190027381</v>
      </c>
      <c r="T45" s="43">
        <f>HYPERLINK("https://projects.propublica.org/nonprofits/organizations/300889914/202313189349305281/full","view filing")</f>
        <v/>
      </c>
    </row>
    <row r="46">
      <c r="A46" t="inlineStr">
        <is>
          <t>Lafayette College</t>
        </is>
      </c>
      <c r="B46" s="20" t="inlineStr">
        <is>
          <t>PA</t>
        </is>
      </c>
      <c r="C46" s="42" t="n">
        <v>1.2</v>
      </c>
      <c r="D46" t="inlineStr">
        <is>
          <t>Endowment</t>
        </is>
      </c>
      <c r="E46" s="20" t="n">
        <v>2022</v>
      </c>
      <c r="F46" s="20" t="inlineStr"/>
      <c r="G46" t="inlineStr">
        <is>
          <t>Li Zhao</t>
        </is>
      </c>
      <c r="H46" t="inlineStr">
        <is>
          <t>INVESTMENT ASSOCIATE</t>
        </is>
      </c>
      <c r="I46" t="inlineStr">
        <is>
          <t>Associate</t>
        </is>
      </c>
      <c r="J46" s="21" t="n">
        <v>186874</v>
      </c>
      <c r="K46" s="21" t="n">
        <v>163000</v>
      </c>
      <c r="L46" s="21" t="n">
        <v>349874</v>
      </c>
      <c r="M46" s="21" t="n">
        <v>253</v>
      </c>
      <c r="N46" s="21" t="n">
        <v>13393</v>
      </c>
      <c r="O46" s="21" t="n">
        <v>458</v>
      </c>
      <c r="P46" s="21" t="n">
        <v>363978</v>
      </c>
      <c r="Q46" s="21" t="n">
        <v>363978</v>
      </c>
      <c r="R46" s="21">
        <f>IF(Q46="","",Q46*(1+in_GrowthRate)^(YEARFRAC(DATE(2022,6,30),in_AgeToDate)*IF(in_AgeToDate&lt;DATE(2022,6,30),-1,1)+1))</f>
        <v/>
      </c>
      <c r="S46" s="38" t="n">
        <v>0.8722454702098741</v>
      </c>
      <c r="T46" s="43">
        <f>HYPERLINK("https://projects.propublica.org/nonprofits/organizations/240795686/202341359349302749/full","view filing")</f>
        <v/>
      </c>
    </row>
    <row r="47">
      <c r="A47" t="inlineStr">
        <is>
          <t>Mass General Brigham Incorporated</t>
        </is>
      </c>
      <c r="B47" s="20" t="inlineStr">
        <is>
          <t>MA</t>
        </is>
      </c>
      <c r="C47" s="42" t="n">
        <v>2.28</v>
      </c>
      <c r="D47" t="inlineStr">
        <is>
          <t>Healthcare</t>
        </is>
      </c>
      <c r="E47" s="20" t="n">
        <v>2025</v>
      </c>
      <c r="F47" s="20">
        <f>IF(AND(OR(in_Mode="All Funds",AND(C47&gt;=in_BandFloor,C47&lt;=in_BandCeiling,OR(in_Geography="National",COUNTIFS(lst_GeoPreset,in_Geography,lst_GeoState,B47)&gt;0,AND(in_Geography="Custom",ISNUMBER(SEARCH(B47,SUBSTITUTE(in_CustomStates," ",""))))),OR(AND(D47="Endowment",Inputs!$B$14="Y"),AND(D47="Foundation",Inputs!$B$15="Y"),AND(D47="Healthcare",Inputs!$B$16="Y"),AND(D47="Pension",Inputs!$B$17="Y"),AND(D47="OCIO",Inputs!$B$18="Y"),AND(D47="Other",Inputs!$B$19="Y")))),A47&lt;&gt;in_ClientOrg,NOT(AND(in_ExclHarvard="Y",ISNUMBER(SEARCH("Harvard",A47))))),"Y","")</f>
        <v/>
      </c>
      <c r="G47" t="inlineStr">
        <is>
          <t>Elizabeth L Baldwin</t>
        </is>
      </c>
      <c r="H47" t="inlineStr">
        <is>
          <t>PORTFOLIO MANAGER</t>
        </is>
      </c>
      <c r="I47" t="inlineStr">
        <is>
          <t>Portfolio Manager</t>
        </is>
      </c>
      <c r="J47" s="21" t="n">
        <v>199583</v>
      </c>
      <c r="K47" s="21" t="n">
        <v>1896590</v>
      </c>
      <c r="L47" s="21" t="n">
        <v>2096173</v>
      </c>
      <c r="M47" s="21" t="n">
        <v>592016</v>
      </c>
      <c r="N47" s="21" t="n">
        <v>24064</v>
      </c>
      <c r="O47" s="21" t="n">
        <v>12364</v>
      </c>
      <c r="P47" s="21" t="n">
        <v>2724617</v>
      </c>
      <c r="Q47" s="21" t="n">
        <v>2724617</v>
      </c>
      <c r="R47" s="21">
        <f>IF(Q47="","",Q47*(1+in_GrowthRate)^(YEARFRAC(DATE(2025,9,30),in_AgeToDate)*IF(in_AgeToDate&lt;DATE(2025,9,30),-1,1)+1))</f>
        <v/>
      </c>
      <c r="S47" s="38" t="n">
        <v>9.50276326140002</v>
      </c>
      <c r="T47" s="43">
        <f>HYPERLINK("https://projects.propublica.org/nonprofits/organizations/43230035/202622259349300127/full","view filing")</f>
        <v/>
      </c>
    </row>
    <row r="48">
      <c r="A48" t="inlineStr">
        <is>
          <t>Mass General Brigham Incorporated</t>
        </is>
      </c>
      <c r="B48" s="20" t="inlineStr">
        <is>
          <t>MA</t>
        </is>
      </c>
      <c r="C48" s="42" t="n">
        <v>2.28</v>
      </c>
      <c r="D48" t="inlineStr">
        <is>
          <t>Healthcare</t>
        </is>
      </c>
      <c r="E48" s="20" t="n">
        <v>2024</v>
      </c>
      <c r="F48" s="20" t="inlineStr"/>
      <c r="G48" t="inlineStr">
        <is>
          <t>Elizabeth L Baldwin</t>
        </is>
      </c>
      <c r="H48" t="inlineStr">
        <is>
          <t>PORTFOLIO MANAGER</t>
        </is>
      </c>
      <c r="I48" t="inlineStr">
        <is>
          <t>Portfolio Manager</t>
        </is>
      </c>
      <c r="J48" s="21" t="n">
        <v>620123</v>
      </c>
      <c r="K48" s="21" t="n">
        <v>1610437</v>
      </c>
      <c r="L48" s="21" t="n">
        <v>2230560</v>
      </c>
      <c r="M48" s="21" t="n">
        <v>36650</v>
      </c>
      <c r="N48" s="21" t="n">
        <v>23100</v>
      </c>
      <c r="O48" s="21" t="n">
        <v>59311</v>
      </c>
      <c r="P48" s="21" t="n">
        <v>2349621</v>
      </c>
      <c r="Q48" s="21" t="n">
        <v>2349621</v>
      </c>
      <c r="R48" s="21">
        <f>IF(Q48="","",Q48*(1+in_GrowthRate)^(YEARFRAC(DATE(2024,9,30),in_AgeToDate)*IF(in_AgeToDate&lt;DATE(2024,9,30),-1,1)+1))</f>
        <v/>
      </c>
      <c r="S48" s="38" t="n">
        <v>2.596963828143771</v>
      </c>
      <c r="T48" s="43">
        <f>HYPERLINK("https://projects.propublica.org/nonprofits/organizations/43230035/202502269349302855/full","view filing")</f>
        <v/>
      </c>
    </row>
    <row r="49">
      <c r="A49" t="inlineStr">
        <is>
          <t>Mass General Brigham Incorporated</t>
        </is>
      </c>
      <c r="B49" s="20" t="inlineStr">
        <is>
          <t>MA</t>
        </is>
      </c>
      <c r="C49" s="42" t="n">
        <v>2.28</v>
      </c>
      <c r="D49" t="inlineStr">
        <is>
          <t>Healthcare</t>
        </is>
      </c>
      <c r="E49" s="20" t="n">
        <v>2024</v>
      </c>
      <c r="F49" s="20" t="inlineStr"/>
      <c r="G49" t="inlineStr">
        <is>
          <t>Katherine L Kamm</t>
        </is>
      </c>
      <c r="H49" t="inlineStr">
        <is>
          <t>PORTFOLIO MANAGER</t>
        </is>
      </c>
      <c r="I49" t="inlineStr">
        <is>
          <t>Portfolio Manager</t>
        </is>
      </c>
      <c r="J49" s="21" t="n">
        <v>582623</v>
      </c>
      <c r="K49" s="21" t="n">
        <v>1610437</v>
      </c>
      <c r="L49" s="21" t="n">
        <v>2193060</v>
      </c>
      <c r="M49" s="21" t="n">
        <v>57923</v>
      </c>
      <c r="N49" s="21" t="n">
        <v>23100</v>
      </c>
      <c r="O49" s="21" t="n">
        <v>38913</v>
      </c>
      <c r="P49" s="21" t="n">
        <v>2312996</v>
      </c>
      <c r="Q49" s="21" t="n">
        <v>2312996</v>
      </c>
      <c r="R49" s="21">
        <f>IF(Q49="","",Q49*(1+in_GrowthRate)^(YEARFRAC(DATE(2024,9,30),in_AgeToDate)*IF(in_AgeToDate&lt;DATE(2024,9,30),-1,1)+1))</f>
        <v/>
      </c>
      <c r="S49" s="38" t="n">
        <v>2.764115045235084</v>
      </c>
      <c r="T49" s="43">
        <f>HYPERLINK("https://projects.propublica.org/nonprofits/organizations/43230035/202502269349302855/full","view filing")</f>
        <v/>
      </c>
    </row>
    <row r="50">
      <c r="A50" t="inlineStr">
        <is>
          <t>Mass General Brigham Incorporated</t>
        </is>
      </c>
      <c r="B50" s="20" t="inlineStr">
        <is>
          <t>MA</t>
        </is>
      </c>
      <c r="C50" s="42" t="n">
        <v>2.28</v>
      </c>
      <c r="D50" t="inlineStr">
        <is>
          <t>Healthcare</t>
        </is>
      </c>
      <c r="E50" s="20" t="n">
        <v>2023</v>
      </c>
      <c r="F50" s="20" t="inlineStr"/>
      <c r="G50" t="inlineStr">
        <is>
          <t>Elizabeth L Baldwin</t>
        </is>
      </c>
      <c r="H50" t="inlineStr">
        <is>
          <t>PORTFOLIO MANAGER</t>
        </is>
      </c>
      <c r="I50" t="inlineStr">
        <is>
          <t>Portfolio Manager</t>
        </is>
      </c>
      <c r="J50" s="21" t="n">
        <v>610309</v>
      </c>
      <c r="K50" s="21" t="n">
        <v>1111556</v>
      </c>
      <c r="L50" s="21" t="n">
        <v>1721865</v>
      </c>
      <c r="M50" s="21" t="n">
        <v>51854</v>
      </c>
      <c r="N50" s="21" t="n">
        <v>21350</v>
      </c>
      <c r="O50" s="21" t="n">
        <v>37411</v>
      </c>
      <c r="P50" s="21" t="n">
        <v>1832480</v>
      </c>
      <c r="Q50" s="21" t="n">
        <v>1832480</v>
      </c>
      <c r="R50" s="21">
        <f>IF(Q50="","",Q50*(1+in_GrowthRate)^(YEARFRAC(DATE(2023,9,30),in_AgeToDate)*IF(in_AgeToDate&lt;DATE(2023,9,30),-1,1)+1))</f>
        <v/>
      </c>
      <c r="S50" s="38" t="n">
        <v>1.821300357687663</v>
      </c>
      <c r="T50" s="43">
        <f>HYPERLINK("https://projects.propublica.org/nonprofits/organizations/43230035/202442269349300854/full","view filing")</f>
        <v/>
      </c>
    </row>
    <row r="51">
      <c r="A51" t="inlineStr">
        <is>
          <t>Mass General Brigham Incorporated</t>
        </is>
      </c>
      <c r="B51" s="20" t="inlineStr">
        <is>
          <t>MA</t>
        </is>
      </c>
      <c r="C51" s="42" t="n">
        <v>2.28</v>
      </c>
      <c r="D51" t="inlineStr">
        <is>
          <t>Healthcare</t>
        </is>
      </c>
      <c r="E51" s="20" t="n">
        <v>2023</v>
      </c>
      <c r="F51" s="20" t="inlineStr"/>
      <c r="G51" t="inlineStr">
        <is>
          <t>Katherine L Kamm</t>
        </is>
      </c>
      <c r="H51" t="inlineStr">
        <is>
          <t>PORTFOLIO MANAGER</t>
        </is>
      </c>
      <c r="I51" t="inlineStr">
        <is>
          <t>Portfolio Manager</t>
        </is>
      </c>
      <c r="J51" s="21" t="n">
        <v>610682</v>
      </c>
      <c r="K51" s="21" t="n">
        <v>1086670</v>
      </c>
      <c r="L51" s="21" t="n">
        <v>1697352</v>
      </c>
      <c r="M51" s="21" t="n">
        <v>52120</v>
      </c>
      <c r="N51" s="21" t="n">
        <v>21350</v>
      </c>
      <c r="O51" s="21" t="n">
        <v>38355</v>
      </c>
      <c r="P51" s="21" t="n">
        <v>1809177</v>
      </c>
      <c r="Q51" s="21" t="n">
        <v>1809177</v>
      </c>
      <c r="R51" s="21">
        <f>IF(Q51="","",Q51*(1+in_GrowthRate)^(YEARFRAC(DATE(2023,9,30),in_AgeToDate)*IF(in_AgeToDate&lt;DATE(2023,9,30),-1,1)+1))</f>
        <v/>
      </c>
      <c r="S51" s="38" t="n">
        <v>1.779436760867358</v>
      </c>
      <c r="T51" s="43">
        <f>HYPERLINK("https://projects.propublica.org/nonprofits/organizations/43230035/202442269349300854/full","view filing")</f>
        <v/>
      </c>
    </row>
    <row r="52">
      <c r="A52" t="inlineStr">
        <is>
          <t>Mass General Brigham Incorporated</t>
        </is>
      </c>
      <c r="B52" s="20" t="inlineStr">
        <is>
          <t>MA</t>
        </is>
      </c>
      <c r="C52" s="42" t="n">
        <v>2.28</v>
      </c>
      <c r="D52" t="inlineStr">
        <is>
          <t>Healthcare</t>
        </is>
      </c>
      <c r="E52" s="20" t="n">
        <v>2022</v>
      </c>
      <c r="F52" s="20" t="inlineStr"/>
      <c r="G52" t="inlineStr">
        <is>
          <t>Elizabeth L Baldwin</t>
        </is>
      </c>
      <c r="H52" t="inlineStr">
        <is>
          <t>PORTFOLIO MANAGER</t>
        </is>
      </c>
      <c r="I52" t="inlineStr">
        <is>
          <t>Portfolio Manager</t>
        </is>
      </c>
      <c r="J52" s="21" t="n">
        <v>573577</v>
      </c>
      <c r="K52" s="21" t="n">
        <v>1189266</v>
      </c>
      <c r="L52" s="21" t="n">
        <v>1762843</v>
      </c>
      <c r="M52" s="21" t="n">
        <v>50411</v>
      </c>
      <c r="N52" s="21" t="n">
        <v>20300</v>
      </c>
      <c r="O52" s="21" t="n">
        <v>31992</v>
      </c>
      <c r="P52" s="21" t="n">
        <v>1865546</v>
      </c>
      <c r="Q52" s="21" t="n">
        <v>1865546</v>
      </c>
      <c r="R52" s="21">
        <f>IF(Q52="","",Q52*(1+in_GrowthRate)^(YEARFRAC(DATE(2022,9,30),in_AgeToDate)*IF(in_AgeToDate&lt;DATE(2022,9,30),-1,1)+1))</f>
        <v/>
      </c>
      <c r="S52" s="38" t="n">
        <v>2.073419959307992</v>
      </c>
      <c r="T52" s="43">
        <f>HYPERLINK("https://projects.propublica.org/nonprofits/organizations/43230035/202342269349302779/full","view filing")</f>
        <v/>
      </c>
    </row>
    <row r="53">
      <c r="A53" t="inlineStr">
        <is>
          <t>Mass General Brigham Incorporated</t>
        </is>
      </c>
      <c r="B53" s="20" t="inlineStr">
        <is>
          <t>MA</t>
        </is>
      </c>
      <c r="C53" s="42" t="n">
        <v>2.28</v>
      </c>
      <c r="D53" t="inlineStr">
        <is>
          <t>Healthcare</t>
        </is>
      </c>
      <c r="E53" s="20" t="n">
        <v>2022</v>
      </c>
      <c r="F53" s="20" t="inlineStr"/>
      <c r="G53" t="inlineStr">
        <is>
          <t>Katherine L Kamm</t>
        </is>
      </c>
      <c r="H53" t="inlineStr">
        <is>
          <t>PORTFOLIO MANAGER</t>
        </is>
      </c>
      <c r="I53" t="inlineStr">
        <is>
          <t>Portfolio Manager</t>
        </is>
      </c>
      <c r="J53" s="21" t="n">
        <v>559846</v>
      </c>
      <c r="K53" s="21" t="n">
        <v>1121405</v>
      </c>
      <c r="L53" s="21" t="n">
        <v>1681251</v>
      </c>
      <c r="M53" s="21" t="n">
        <v>50413</v>
      </c>
      <c r="N53" s="21" t="n">
        <v>20300</v>
      </c>
      <c r="O53" s="21" t="n">
        <v>13422</v>
      </c>
      <c r="P53" s="21" t="n">
        <v>1765386</v>
      </c>
      <c r="Q53" s="21" t="n">
        <v>1765386</v>
      </c>
      <c r="R53" s="21">
        <f>IF(Q53="","",Q53*(1+in_GrowthRate)^(YEARFRAC(DATE(2022,9,30),in_AgeToDate)*IF(in_AgeToDate&lt;DATE(2022,9,30),-1,1)+1))</f>
        <v/>
      </c>
      <c r="S53" s="38" t="n">
        <v>2.003059770008181</v>
      </c>
      <c r="T53" s="43">
        <f>HYPERLINK("https://projects.propublica.org/nonprofits/organizations/43230035/202342269349302779/full","view filing")</f>
        <v/>
      </c>
    </row>
    <row r="54">
      <c r="A54" t="inlineStr">
        <is>
          <t>Rainwater Charitable Foundation</t>
        </is>
      </c>
      <c r="B54" s="20" t="inlineStr">
        <is>
          <t>TX</t>
        </is>
      </c>
      <c r="C54" s="42" t="n">
        <v>1.03</v>
      </c>
      <c r="D54" t="inlineStr">
        <is>
          <t>Foundation</t>
        </is>
      </c>
      <c r="E54" s="20" t="n">
        <v>2024</v>
      </c>
      <c r="F54" s="20">
        <f>IF(AND(OR(in_Mode="All Funds",AND(C54&gt;=in_BandFloor,C54&lt;=in_BandCeiling,OR(in_Geography="National",COUNTIFS(lst_GeoPreset,in_Geography,lst_GeoState,B54)&gt;0,AND(in_Geography="Custom",ISNUMBER(SEARCH(B54,SUBSTITUTE(in_CustomStates," ",""))))),OR(AND(D54="Endowment",Inputs!$B$14="Y"),AND(D54="Foundation",Inputs!$B$15="Y"),AND(D54="Healthcare",Inputs!$B$16="Y"),AND(D54="Pension",Inputs!$B$17="Y"),AND(D54="OCIO",Inputs!$B$18="Y"),AND(D54="Other",Inputs!$B$19="Y")))),A54&lt;&gt;in_ClientOrg,NOT(AND(in_ExclHarvard="Y",ISNUMBER(SEARCH("Harvard",A54))))),"Y","")</f>
        <v/>
      </c>
      <c r="G54" t="inlineStr">
        <is>
          <t>Franklin Zhu</t>
        </is>
      </c>
      <c r="H54" t="inlineStr">
        <is>
          <t>INVESTMENT ASSOCIATE</t>
        </is>
      </c>
      <c r="I54" t="inlineStr">
        <is>
          <t>Associate</t>
        </is>
      </c>
      <c r="J54" s="21" t="n"/>
      <c r="K54" s="21" t="n"/>
      <c r="L54" s="21" t="n"/>
      <c r="M54" s="21" t="n"/>
      <c r="N54" s="21" t="n"/>
      <c r="O54" s="21" t="n"/>
      <c r="P54" s="21" t="n">
        <v>220192</v>
      </c>
      <c r="Q54" s="21" t="n">
        <v>220192</v>
      </c>
      <c r="R54" s="21">
        <f>IF(Q54="","",Q54*(1+in_GrowthRate)^(YEARFRAC(DATE(2024,12,31),in_AgeToDate)*IF(in_AgeToDate&lt;DATE(2024,12,31),-1,1)+1))</f>
        <v/>
      </c>
      <c r="S54" s="38" t="n"/>
      <c r="T54" s="43">
        <f>HYPERLINK("https://projects.propublica.org/nonprofits/organizations/800870036/202513179349102861/full","view filing")</f>
        <v/>
      </c>
    </row>
    <row r="55">
      <c r="A55" t="inlineStr">
        <is>
          <t>Trustees Of Phillips Academy</t>
        </is>
      </c>
      <c r="B55" s="20" t="inlineStr">
        <is>
          <t>MA</t>
        </is>
      </c>
      <c r="C55" s="42" t="n">
        <v>1.51</v>
      </c>
      <c r="D55" t="inlineStr">
        <is>
          <t>Endowment</t>
        </is>
      </c>
      <c r="E55" s="20" t="n">
        <v>2023</v>
      </c>
      <c r="F55" s="20" t="inlineStr"/>
      <c r="G55" t="inlineStr">
        <is>
          <t>Xue Yang</t>
        </is>
      </c>
      <c r="H55" t="inlineStr">
        <is>
          <t>INVESTMENT ASSOCIATE</t>
        </is>
      </c>
      <c r="I55" t="inlineStr">
        <is>
          <t>Associate</t>
        </is>
      </c>
      <c r="J55" s="21" t="n">
        <v>280836</v>
      </c>
      <c r="K55" s="21" t="n">
        <v>132394</v>
      </c>
      <c r="L55" s="21" t="n">
        <v>413230</v>
      </c>
      <c r="M55" s="21" t="n"/>
      <c r="N55" s="21" t="n">
        <v>35240</v>
      </c>
      <c r="O55" s="21" t="n">
        <v>13484</v>
      </c>
      <c r="P55" s="21" t="n">
        <v>461954</v>
      </c>
      <c r="Q55" s="21" t="n">
        <v>461954</v>
      </c>
      <c r="R55" s="21">
        <f>IF(Q55="","",Q55*(1+in_GrowthRate)^(YEARFRAC(DATE(2023,6,30),in_AgeToDate)*IF(in_AgeToDate&lt;DATE(2023,6,30),-1,1)+1))</f>
        <v/>
      </c>
      <c r="S55" s="38" t="n">
        <v>0.4714281644803373</v>
      </c>
      <c r="T55" s="43">
        <f>HYPERLINK("https://projects.propublica.org/nonprofits/organizations/42103579/202421319349302902/full","view filing")</f>
        <v/>
      </c>
    </row>
    <row r="56">
      <c r="A56" t="inlineStr">
        <is>
          <t>Trustees Of Phillips Academy</t>
        </is>
      </c>
      <c r="B56" s="20" t="inlineStr">
        <is>
          <t>MA</t>
        </is>
      </c>
      <c r="C56" s="42" t="n">
        <v>1.51</v>
      </c>
      <c r="D56" t="inlineStr">
        <is>
          <t>Endowment</t>
        </is>
      </c>
      <c r="E56" s="20" t="n">
        <v>2022</v>
      </c>
      <c r="F56" s="20" t="inlineStr"/>
      <c r="G56" t="inlineStr">
        <is>
          <t>Andrew Jaffoni</t>
        </is>
      </c>
      <c r="H56" t="inlineStr">
        <is>
          <t>INVESTMENT ANALYST</t>
        </is>
      </c>
      <c r="I56" t="inlineStr">
        <is>
          <t>Analyst</t>
        </is>
      </c>
      <c r="J56" s="21" t="n">
        <v>151856</v>
      </c>
      <c r="K56" s="21" t="n">
        <v>57189</v>
      </c>
      <c r="L56" s="21" t="n">
        <v>209045</v>
      </c>
      <c r="M56" s="21" t="n"/>
      <c r="N56" s="21" t="n">
        <v>20580</v>
      </c>
      <c r="O56" s="21" t="n">
        <v>12774</v>
      </c>
      <c r="P56" s="21" t="n">
        <v>242399</v>
      </c>
      <c r="Q56" s="21" t="n">
        <v>242399</v>
      </c>
      <c r="R56" s="21">
        <f>IF(Q56="","",Q56*(1+in_GrowthRate)^(YEARFRAC(DATE(2022,6,30),in_AgeToDate)*IF(in_AgeToDate&lt;DATE(2022,6,30),-1,1)+1))</f>
        <v/>
      </c>
      <c r="S56" s="38" t="n">
        <v>0.3766002001896533</v>
      </c>
      <c r="T56" s="43">
        <f>HYPERLINK("https://projects.propublica.org/nonprofits/organizations/42103579/202331319349307333/full","view filing")</f>
        <v/>
      </c>
    </row>
    <row r="57">
      <c r="A57" t="inlineStr">
        <is>
          <t>Trustees Of Phillips Academy</t>
        </is>
      </c>
      <c r="B57" s="20" t="inlineStr">
        <is>
          <t>MA</t>
        </is>
      </c>
      <c r="C57" s="42" t="n">
        <v>1.51</v>
      </c>
      <c r="D57" t="inlineStr">
        <is>
          <t>Endowment</t>
        </is>
      </c>
      <c r="E57" s="20" t="n">
        <v>2022</v>
      </c>
      <c r="F57" s="20" t="inlineStr"/>
      <c r="G57" t="inlineStr">
        <is>
          <t>Xue Yang</t>
        </is>
      </c>
      <c r="H57" t="inlineStr">
        <is>
          <t>INVESTMENT ASSOCIATE</t>
        </is>
      </c>
      <c r="I57" t="inlineStr">
        <is>
          <t>Associate</t>
        </is>
      </c>
      <c r="J57" s="21" t="n">
        <v>155981</v>
      </c>
      <c r="K57" s="21" t="n">
        <v>170950</v>
      </c>
      <c r="L57" s="21" t="n">
        <v>326931</v>
      </c>
      <c r="M57" s="21" t="n"/>
      <c r="N57" s="21" t="n">
        <v>33416</v>
      </c>
      <c r="O57" s="21" t="n">
        <v>12739</v>
      </c>
      <c r="P57" s="21" t="n">
        <v>373086</v>
      </c>
      <c r="Q57" s="21" t="n">
        <v>373086</v>
      </c>
      <c r="R57" s="21">
        <f>IF(Q57="","",Q57*(1+in_GrowthRate)^(YEARFRAC(DATE(2022,6,30),in_AgeToDate)*IF(in_AgeToDate&lt;DATE(2022,6,30),-1,1)+1))</f>
        <v/>
      </c>
      <c r="S57" s="38" t="n">
        <v>1.095966816471237</v>
      </c>
      <c r="T57" s="43">
        <f>HYPERLINK("https://projects.propublica.org/nonprofits/organizations/42103579/202331319349307333/full","view filing")</f>
        <v/>
      </c>
    </row>
    <row r="58">
      <c r="A58" t="inlineStr">
        <is>
          <t>Uc Berkeley Management Company</t>
        </is>
      </c>
      <c r="B58" s="20" t="inlineStr">
        <is>
          <t>CA</t>
        </is>
      </c>
      <c r="C58" s="42" t="n">
        <v>3.39</v>
      </c>
      <c r="D58" t="inlineStr">
        <is>
          <t>Endowment</t>
        </is>
      </c>
      <c r="E58" s="20" t="n">
        <v>2023</v>
      </c>
      <c r="F58" s="20" t="inlineStr"/>
      <c r="G58" t="inlineStr">
        <is>
          <t>Annika Ulrich</t>
        </is>
      </c>
      <c r="H58" t="inlineStr">
        <is>
          <t>INVESTMENT ASSOCIATE</t>
        </is>
      </c>
      <c r="I58" t="inlineStr">
        <is>
          <t>Associate</t>
        </is>
      </c>
      <c r="J58" s="21" t="n">
        <v>124316</v>
      </c>
      <c r="K58" s="21" t="n">
        <v>46080</v>
      </c>
      <c r="L58" s="21" t="n">
        <v>170396</v>
      </c>
      <c r="M58" s="21" t="n">
        <v>998</v>
      </c>
      <c r="N58" s="21" t="n">
        <v>22547</v>
      </c>
      <c r="O58" s="21" t="n">
        <v>18294</v>
      </c>
      <c r="P58" s="21" t="n">
        <v>212235</v>
      </c>
      <c r="Q58" s="21" t="n">
        <v>212235</v>
      </c>
      <c r="R58" s="21">
        <f>IF(Q58="","",Q58*(1+in_GrowthRate)^(YEARFRAC(DATE(2023,6,30),in_AgeToDate)*IF(in_AgeToDate&lt;DATE(2023,6,30),-1,1)+1))</f>
        <v/>
      </c>
      <c r="S58" s="38" t="n">
        <v>0.3706682969207504</v>
      </c>
      <c r="T58" s="43">
        <f>HYPERLINK("https://projects.propublica.org/nonprofits/organizations/270652636/202401349349302270/full","view filing")</f>
        <v/>
      </c>
    </row>
    <row r="59">
      <c r="A59" t="inlineStr">
        <is>
          <t>Uc Berkeley Management Company</t>
        </is>
      </c>
      <c r="B59" s="20" t="inlineStr">
        <is>
          <t>CA</t>
        </is>
      </c>
      <c r="C59" s="42" t="n">
        <v>3.39</v>
      </c>
      <c r="D59" t="inlineStr">
        <is>
          <t>Endowment</t>
        </is>
      </c>
      <c r="E59" s="20" t="n">
        <v>2022</v>
      </c>
      <c r="F59" s="20" t="inlineStr"/>
      <c r="G59" t="inlineStr">
        <is>
          <t>Connor Creagh</t>
        </is>
      </c>
      <c r="H59" t="inlineStr">
        <is>
          <t>INVESTMENT ASSOCIATE</t>
        </is>
      </c>
      <c r="I59" t="inlineStr">
        <is>
          <t>Associate</t>
        </is>
      </c>
      <c r="J59" s="21" t="n">
        <v>121065</v>
      </c>
      <c r="K59" s="21" t="n">
        <v>76750</v>
      </c>
      <c r="L59" s="21" t="n">
        <v>197815</v>
      </c>
      <c r="M59" s="21" t="n">
        <v>3314</v>
      </c>
      <c r="N59" s="21" t="n">
        <v>27391</v>
      </c>
      <c r="O59" s="21" t="n">
        <v>12165</v>
      </c>
      <c r="P59" s="21" t="n">
        <v>240685</v>
      </c>
      <c r="Q59" s="21" t="n">
        <v>240685</v>
      </c>
      <c r="R59" s="21">
        <f>IF(Q59="","",Q59*(1+in_GrowthRate)^(YEARFRAC(DATE(2022,6,30),in_AgeToDate)*IF(in_AgeToDate&lt;DATE(2022,6,30),-1,1)+1))</f>
        <v/>
      </c>
      <c r="S59" s="38" t="n">
        <v>0.6339569652665923</v>
      </c>
      <c r="T59" s="43">
        <f>HYPERLINK("https://projects.propublica.org/nonprofits/organizations/270652636/202321319349305012/full","view filing")</f>
        <v/>
      </c>
    </row>
    <row r="60">
      <c r="A60" t="inlineStr">
        <is>
          <t>Ucsf Foundation Investment Company</t>
        </is>
      </c>
      <c r="B60" s="20" t="inlineStr">
        <is>
          <t>CA</t>
        </is>
      </c>
      <c r="C60" s="42" t="n">
        <v>2.95</v>
      </c>
      <c r="D60" t="inlineStr">
        <is>
          <t>Endowment</t>
        </is>
      </c>
      <c r="E60" s="20" t="n">
        <v>2025</v>
      </c>
      <c r="F60" s="20">
        <f>IF(AND(OR(in_Mode="All Funds",AND(C60&gt;=in_BandFloor,C60&lt;=in_BandCeiling,OR(in_Geography="National",COUNTIFS(lst_GeoPreset,in_Geography,lst_GeoState,B60)&gt;0,AND(in_Geography="Custom",ISNUMBER(SEARCH(B60,SUBSTITUTE(in_CustomStates," ",""))))),OR(AND(D60="Endowment",Inputs!$B$14="Y"),AND(D60="Foundation",Inputs!$B$15="Y"),AND(D60="Healthcare",Inputs!$B$16="Y"),AND(D60="Pension",Inputs!$B$17="Y"),AND(D60="OCIO",Inputs!$B$18="Y"),AND(D60="Other",Inputs!$B$19="Y")))),A60&lt;&gt;in_ClientOrg,NOT(AND(in_ExclHarvard="Y",ISNUMBER(SEARCH("Harvard",A60))))),"Y","")</f>
        <v/>
      </c>
      <c r="G60" t="inlineStr">
        <is>
          <t>Elijah Greene</t>
        </is>
      </c>
      <c r="H60" t="inlineStr">
        <is>
          <t>SENIOR INVESTMENT ASSOCIATE</t>
        </is>
      </c>
      <c r="I60" t="inlineStr">
        <is>
          <t>Associate</t>
        </is>
      </c>
      <c r="J60" s="21" t="n">
        <v>135019</v>
      </c>
      <c r="K60" s="21" t="n">
        <v>30000</v>
      </c>
      <c r="L60" s="21" t="n">
        <v>165019</v>
      </c>
      <c r="M60" s="21" t="n">
        <v>405</v>
      </c>
      <c r="N60" s="21" t="n">
        <v>43550</v>
      </c>
      <c r="O60" s="21" t="n">
        <v>12143</v>
      </c>
      <c r="P60" s="21" t="n">
        <v>221117</v>
      </c>
      <c r="Q60" s="21" t="n">
        <v>221117</v>
      </c>
      <c r="R60" s="21">
        <f>IF(Q60="","",Q60*(1+in_GrowthRate)^(YEARFRAC(DATE(2025,6,30),in_AgeToDate)*IF(in_AgeToDate&lt;DATE(2025,6,30),-1,1)+1))</f>
        <v/>
      </c>
      <c r="S60" s="38" t="n">
        <v>0.2221909509032062</v>
      </c>
      <c r="T60" s="43">
        <f>HYPERLINK("https://projects.propublica.org/nonprofits/organizations/473599471/202631259349303618/full","view filing")</f>
        <v/>
      </c>
    </row>
    <row r="61">
      <c r="A61" t="inlineStr">
        <is>
          <t>University Of Florida Investment Corporation</t>
        </is>
      </c>
      <c r="B61" s="20" t="inlineStr">
        <is>
          <t>FL</t>
        </is>
      </c>
      <c r="C61" s="42" t="n">
        <v>2.45</v>
      </c>
      <c r="D61" t="inlineStr">
        <is>
          <t>Endowment</t>
        </is>
      </c>
      <c r="E61" s="20" t="n">
        <v>2025</v>
      </c>
      <c r="F61" s="20">
        <f>IF(AND(OR(in_Mode="All Funds",AND(C61&gt;=in_BandFloor,C61&lt;=in_BandCeiling,OR(in_Geography="National",COUNTIFS(lst_GeoPreset,in_Geography,lst_GeoState,B61)&gt;0,AND(in_Geography="Custom",ISNUMBER(SEARCH(B61,SUBSTITUTE(in_CustomStates," ",""))))),OR(AND(D61="Endowment",Inputs!$B$14="Y"),AND(D61="Foundation",Inputs!$B$15="Y"),AND(D61="Healthcare",Inputs!$B$16="Y"),AND(D61="Pension",Inputs!$B$17="Y"),AND(D61="OCIO",Inputs!$B$18="Y"),AND(D61="Other",Inputs!$B$19="Y")))),A61&lt;&gt;in_ClientOrg,NOT(AND(in_ExclHarvard="Y",ISNUMBER(SEARCH("Harvard",A61))))),"Y","")</f>
        <v/>
      </c>
      <c r="G61" t="inlineStr">
        <is>
          <t>Brennan Bubp</t>
        </is>
      </c>
      <c r="H61" t="inlineStr">
        <is>
          <t>SENIOR INVESTMENT ANALYST</t>
        </is>
      </c>
      <c r="I61" t="inlineStr">
        <is>
          <t>Senior Analyst</t>
        </is>
      </c>
      <c r="J61" s="21" t="n">
        <v>161762</v>
      </c>
      <c r="K61" s="21" t="n">
        <v>61802</v>
      </c>
      <c r="L61" s="21" t="n">
        <v>223564</v>
      </c>
      <c r="M61" s="21" t="n">
        <v>3838</v>
      </c>
      <c r="N61" s="21" t="n">
        <v>34219</v>
      </c>
      <c r="O61" s="21" t="n">
        <v>21963</v>
      </c>
      <c r="P61" s="21" t="n">
        <v>283584</v>
      </c>
      <c r="Q61" s="21" t="n">
        <v>283584</v>
      </c>
      <c r="R61" s="21">
        <f>IF(Q61="","",Q61*(1+in_GrowthRate)^(YEARFRAC(DATE(2025,6,30),in_AgeToDate)*IF(in_AgeToDate&lt;DATE(2025,6,30),-1,1)+1))</f>
        <v/>
      </c>
      <c r="S61" s="38" t="n">
        <v>0.3820551180128831</v>
      </c>
      <c r="T61" s="43">
        <f>HYPERLINK("https://projects.propublica.org/nonprofits/organizations/201226494/202610979349301311/full","view filing")</f>
        <v/>
      </c>
    </row>
    <row r="62">
      <c r="A62" t="inlineStr">
        <is>
          <t>University Of Florida Investment Corporation</t>
        </is>
      </c>
      <c r="B62" s="20" t="inlineStr">
        <is>
          <t>FL</t>
        </is>
      </c>
      <c r="C62" s="42" t="n">
        <v>2.45</v>
      </c>
      <c r="D62" t="inlineStr">
        <is>
          <t>Endowment</t>
        </is>
      </c>
      <c r="E62" s="20" t="n">
        <v>2025</v>
      </c>
      <c r="F62" s="20">
        <f>IF(AND(OR(in_Mode="All Funds",AND(C62&gt;=in_BandFloor,C62&lt;=in_BandCeiling,OR(in_Geography="National",COUNTIFS(lst_GeoPreset,in_Geography,lst_GeoState,B62)&gt;0,AND(in_Geography="Custom",ISNUMBER(SEARCH(B62,SUBSTITUTE(in_CustomStates," ",""))))),OR(AND(D62="Endowment",Inputs!$B$14="Y"),AND(D62="Foundation",Inputs!$B$15="Y"),AND(D62="Healthcare",Inputs!$B$16="Y"),AND(D62="Pension",Inputs!$B$17="Y"),AND(D62="OCIO",Inputs!$B$18="Y"),AND(D62="Other",Inputs!$B$19="Y")))),A62&lt;&gt;in_ClientOrg,NOT(AND(in_ExclHarvard="Y",ISNUMBER(SEARCH("Harvard",A62))))),"Y","")</f>
        <v/>
      </c>
      <c r="G62" t="inlineStr">
        <is>
          <t>Daniel Lee</t>
        </is>
      </c>
      <c r="H62" t="inlineStr">
        <is>
          <t>SENIOR INVESTMENT ANALYST</t>
        </is>
      </c>
      <c r="I62" t="inlineStr">
        <is>
          <t>Senior Analyst</t>
        </is>
      </c>
      <c r="J62" s="21" t="n">
        <v>163196</v>
      </c>
      <c r="K62" s="21" t="n">
        <v>31571</v>
      </c>
      <c r="L62" s="21" t="n">
        <v>194767</v>
      </c>
      <c r="M62" s="21" t="n">
        <v>7028</v>
      </c>
      <c r="N62" s="21" t="n">
        <v>31551</v>
      </c>
      <c r="O62" s="21" t="n">
        <v>9356</v>
      </c>
      <c r="P62" s="21" t="n">
        <v>242702</v>
      </c>
      <c r="Q62" s="21" t="n">
        <v>242702</v>
      </c>
      <c r="R62" s="21">
        <f>IF(Q62="","",Q62*(1+in_GrowthRate)^(YEARFRAC(DATE(2025,6,30),in_AgeToDate)*IF(in_AgeToDate&lt;DATE(2025,6,30),-1,1)+1))</f>
        <v/>
      </c>
      <c r="S62" s="38" t="n">
        <v>0.1934544964337361</v>
      </c>
      <c r="T62" s="43">
        <f>HYPERLINK("https://projects.propublica.org/nonprofits/organizations/201226494/202610979349301311/full","view filing")</f>
        <v/>
      </c>
    </row>
    <row r="63">
      <c r="A63" t="inlineStr">
        <is>
          <t>University Of Florida Investment Corporation</t>
        </is>
      </c>
      <c r="B63" s="20" t="inlineStr">
        <is>
          <t>FL</t>
        </is>
      </c>
      <c r="C63" s="42" t="n">
        <v>2.45</v>
      </c>
      <c r="D63" t="inlineStr">
        <is>
          <t>Endowment</t>
        </is>
      </c>
      <c r="E63" s="20" t="n">
        <v>2024</v>
      </c>
      <c r="F63" s="20" t="inlineStr"/>
      <c r="G63" t="inlineStr">
        <is>
          <t>Brennan Bubp</t>
        </is>
      </c>
      <c r="H63" t="inlineStr">
        <is>
          <t>SENIOR INVESTMENT ANALYST</t>
        </is>
      </c>
      <c r="I63" t="inlineStr">
        <is>
          <t>Senior Analyst</t>
        </is>
      </c>
      <c r="J63" s="21" t="n">
        <v>155596</v>
      </c>
      <c r="K63" s="21" t="n">
        <v>68030</v>
      </c>
      <c r="L63" s="21" t="n">
        <v>223626</v>
      </c>
      <c r="M63" s="21" t="n">
        <v>6810</v>
      </c>
      <c r="N63" s="21" t="n">
        <v>39505</v>
      </c>
      <c r="O63" s="21" t="n">
        <v>21271</v>
      </c>
      <c r="P63" s="21" t="n">
        <v>291212</v>
      </c>
      <c r="Q63" s="21" t="n">
        <v>291212</v>
      </c>
      <c r="R63" s="21">
        <f>IF(Q63="","",Q63*(1+in_GrowthRate)^(YEARFRAC(DATE(2024,6,30),in_AgeToDate)*IF(in_AgeToDate&lt;DATE(2024,6,30),-1,1)+1))</f>
        <v/>
      </c>
      <c r="S63" s="38" t="n">
        <v>0.4372220365562097</v>
      </c>
      <c r="T63" s="43">
        <f>HYPERLINK("https://projects.propublica.org/nonprofits/organizations/201226494/202531269349300703/full","view filing")</f>
        <v/>
      </c>
    </row>
    <row r="64">
      <c r="A64" t="inlineStr">
        <is>
          <t>University Of Florida Investment Corporation</t>
        </is>
      </c>
      <c r="B64" s="20" t="inlineStr">
        <is>
          <t>FL</t>
        </is>
      </c>
      <c r="C64" s="42" t="n">
        <v>2.45</v>
      </c>
      <c r="D64" t="inlineStr">
        <is>
          <t>Endowment</t>
        </is>
      </c>
      <c r="E64" s="20" t="n">
        <v>2023</v>
      </c>
      <c r="F64" s="20" t="inlineStr"/>
      <c r="G64" t="inlineStr">
        <is>
          <t>Brennan Bubp</t>
        </is>
      </c>
      <c r="H64" t="inlineStr">
        <is>
          <t>SENIOR INVESTMENT ANALYST</t>
        </is>
      </c>
      <c r="I64" t="inlineStr">
        <is>
          <t>Senior Analyst</t>
        </is>
      </c>
      <c r="J64" s="21" t="n">
        <v>132298</v>
      </c>
      <c r="K64" s="21" t="n">
        <v>110592</v>
      </c>
      <c r="L64" s="21" t="n">
        <v>242890</v>
      </c>
      <c r="M64" s="21" t="n">
        <v>6566</v>
      </c>
      <c r="N64" s="21" t="n">
        <v>54743</v>
      </c>
      <c r="O64" s="21" t="n">
        <v>19728</v>
      </c>
      <c r="P64" s="21" t="n">
        <v>323927</v>
      </c>
      <c r="Q64" s="21" t="n">
        <v>323927</v>
      </c>
      <c r="R64" s="21">
        <f>IF(Q64="","",Q64*(1+in_GrowthRate)^(YEARFRAC(DATE(2023,6,30),in_AgeToDate)*IF(in_AgeToDate&lt;DATE(2023,6,30),-1,1)+1))</f>
        <v/>
      </c>
      <c r="S64" s="38" t="n">
        <v>0.8359310042479856</v>
      </c>
      <c r="T64" s="43">
        <f>HYPERLINK("https://projects.propublica.org/nonprofits/organizations/201226494/202411289349300746/full","view filing")</f>
        <v/>
      </c>
    </row>
    <row r="65">
      <c r="A65" t="inlineStr">
        <is>
          <t>University Of Florida Investment Corporation</t>
        </is>
      </c>
      <c r="B65" s="20" t="inlineStr">
        <is>
          <t>FL</t>
        </is>
      </c>
      <c r="C65" s="42" t="n">
        <v>2.45</v>
      </c>
      <c r="D65" t="inlineStr">
        <is>
          <t>Endowment</t>
        </is>
      </c>
      <c r="E65" s="20" t="n">
        <v>2022</v>
      </c>
      <c r="F65" s="20" t="inlineStr"/>
      <c r="G65" t="inlineStr">
        <is>
          <t>Brennan Bubp</t>
        </is>
      </c>
      <c r="H65" t="inlineStr">
        <is>
          <t>SENIOR INVESTMENT ANALYST</t>
        </is>
      </c>
      <c r="I65" t="inlineStr">
        <is>
          <t>Senior Analyst</t>
        </is>
      </c>
      <c r="J65" s="21" t="n">
        <v>113039</v>
      </c>
      <c r="K65" s="21" t="n">
        <v>83024</v>
      </c>
      <c r="L65" s="21" t="n">
        <v>196063</v>
      </c>
      <c r="M65" s="21" t="n">
        <v>4998</v>
      </c>
      <c r="N65" s="21" t="n">
        <v>48438</v>
      </c>
      <c r="O65" s="21" t="n">
        <v>18802</v>
      </c>
      <c r="P65" s="21" t="n">
        <v>268301</v>
      </c>
      <c r="Q65" s="21" t="n">
        <v>268301</v>
      </c>
      <c r="R65" s="21">
        <f>IF(Q65="","",Q65*(1+in_GrowthRate)^(YEARFRAC(DATE(2022,6,30),in_AgeToDate)*IF(in_AgeToDate&lt;DATE(2022,6,30),-1,1)+1))</f>
        <v/>
      </c>
      <c r="S65" s="38" t="n">
        <v>0.7344721733207124</v>
      </c>
      <c r="T65" s="43">
        <f>HYPERLINK("https://projects.propublica.org/nonprofits/organizations/201226494/202301259349301825/full","view filing")</f>
        <v/>
      </c>
    </row>
    <row r="66">
      <c r="A66" t="inlineStr">
        <is>
          <t>University Of Maryland Foundation Inc</t>
        </is>
      </c>
      <c r="B66" s="20" t="inlineStr">
        <is>
          <t>MD</t>
        </is>
      </c>
      <c r="C66" s="42" t="n">
        <v>2.46</v>
      </c>
      <c r="D66" t="inlineStr">
        <is>
          <t>Endowment</t>
        </is>
      </c>
      <c r="E66" s="20" t="n">
        <v>2025</v>
      </c>
      <c r="F66" s="20">
        <f>IF(AND(OR(in_Mode="All Funds",AND(C66&gt;=in_BandFloor,C66&lt;=in_BandCeiling,OR(in_Geography="National",COUNTIFS(lst_GeoPreset,in_Geography,lst_GeoState,B66)&gt;0,AND(in_Geography="Custom",ISNUMBER(SEARCH(B66,SUBSTITUTE(in_CustomStates," ",""))))),OR(AND(D66="Endowment",Inputs!$B$14="Y"),AND(D66="Foundation",Inputs!$B$15="Y"),AND(D66="Healthcare",Inputs!$B$16="Y"),AND(D66="Pension",Inputs!$B$17="Y"),AND(D66="OCIO",Inputs!$B$18="Y"),AND(D66="Other",Inputs!$B$19="Y")))),A66&lt;&gt;in_ClientOrg,NOT(AND(in_ExclHarvard="Y",ISNUMBER(SEARCH("Harvard",A66))))),"Y","")</f>
        <v/>
      </c>
      <c r="G66" t="inlineStr">
        <is>
          <t>Charlie Sexton</t>
        </is>
      </c>
      <c r="H66" t="inlineStr">
        <is>
          <t>Senior Investment Analyst</t>
        </is>
      </c>
      <c r="I66" t="inlineStr">
        <is>
          <t>Senior Analyst</t>
        </is>
      </c>
      <c r="J66" s="21" t="n">
        <v>258569</v>
      </c>
      <c r="K66" s="21" t="n">
        <v>193125</v>
      </c>
      <c r="L66" s="21" t="n">
        <v>451694</v>
      </c>
      <c r="M66" s="21" t="n"/>
      <c r="N66" s="21" t="n">
        <v>25375</v>
      </c>
      <c r="O66" s="21" t="n">
        <v>9528</v>
      </c>
      <c r="P66" s="21" t="n">
        <v>486597</v>
      </c>
      <c r="Q66" s="21" t="n">
        <v>486597</v>
      </c>
      <c r="R66" s="21">
        <f>IF(Q66="","",Q66*(1+in_GrowthRate)^(YEARFRAC(DATE(2025,6,30),in_AgeToDate)*IF(in_AgeToDate&lt;DATE(2025,6,30),-1,1)+1))</f>
        <v/>
      </c>
      <c r="S66" s="38" t="n">
        <v>0.7468992802694832</v>
      </c>
      <c r="T66" s="43">
        <f>HYPERLINK("https://projects.propublica.org/nonprofits/organizations/521125663/202631349349308193/full","view filing")</f>
        <v/>
      </c>
    </row>
    <row r="67">
      <c r="A67" t="inlineStr">
        <is>
          <t>University Of Maryland Foundation Inc</t>
        </is>
      </c>
      <c r="B67" s="20" t="inlineStr">
        <is>
          <t>MD</t>
        </is>
      </c>
      <c r="C67" s="42" t="n">
        <v>2.46</v>
      </c>
      <c r="D67" t="inlineStr">
        <is>
          <t>Endowment</t>
        </is>
      </c>
      <c r="E67" s="20" t="n">
        <v>2024</v>
      </c>
      <c r="F67" s="20" t="inlineStr"/>
      <c r="G67" t="inlineStr">
        <is>
          <t>Charlie Sexton</t>
        </is>
      </c>
      <c r="H67" t="inlineStr">
        <is>
          <t>Senior Investment Analyst</t>
        </is>
      </c>
      <c r="I67" t="inlineStr">
        <is>
          <t>Senior Analyst</t>
        </is>
      </c>
      <c r="J67" s="21" t="n">
        <v>248461</v>
      </c>
      <c r="K67" s="21" t="n">
        <v>187500</v>
      </c>
      <c r="L67" s="21" t="n">
        <v>435961</v>
      </c>
      <c r="M67" s="21" t="n"/>
      <c r="N67" s="21" t="n">
        <v>23925</v>
      </c>
      <c r="O67" s="21" t="n">
        <v>11414</v>
      </c>
      <c r="P67" s="21" t="n">
        <v>471300</v>
      </c>
      <c r="Q67" s="21" t="n">
        <v>471300</v>
      </c>
      <c r="R67" s="21">
        <f>IF(Q67="","",Q67*(1+in_GrowthRate)^(YEARFRAC(DATE(2024,6,30),in_AgeToDate)*IF(in_AgeToDate&lt;DATE(2024,6,30),-1,1)+1))</f>
        <v/>
      </c>
      <c r="S67" s="38" t="n">
        <v>0.7546455983031543</v>
      </c>
      <c r="T67" s="43">
        <f>HYPERLINK("https://projects.propublica.org/nonprofits/organizations/521125663/202531359349304708/full","view filing")</f>
        <v/>
      </c>
    </row>
    <row r="68">
      <c r="A68" t="inlineStr">
        <is>
          <t>University Of Maryland Foundation Inc</t>
        </is>
      </c>
      <c r="B68" s="20" t="inlineStr">
        <is>
          <t>MD</t>
        </is>
      </c>
      <c r="C68" s="42" t="n">
        <v>2.46</v>
      </c>
      <c r="D68" t="inlineStr">
        <is>
          <t>Endowment</t>
        </is>
      </c>
      <c r="E68" s="20" t="n">
        <v>2024</v>
      </c>
      <c r="F68" s="20" t="inlineStr"/>
      <c r="G68" t="inlineStr">
        <is>
          <t>Michal Pramik</t>
        </is>
      </c>
      <c r="H68" t="inlineStr">
        <is>
          <t>Senior Investment Analyst</t>
        </is>
      </c>
      <c r="I68" t="inlineStr">
        <is>
          <t>Senior Analyst</t>
        </is>
      </c>
      <c r="J68" s="21" t="n">
        <v>244328</v>
      </c>
      <c r="K68" s="21" t="n">
        <v>72917</v>
      </c>
      <c r="L68" s="21" t="n">
        <v>317245</v>
      </c>
      <c r="M68" s="21" t="n"/>
      <c r="N68" s="21" t="n">
        <v>23000</v>
      </c>
      <c r="O68" s="21" t="n">
        <v>7142</v>
      </c>
      <c r="P68" s="21" t="n">
        <v>347387</v>
      </c>
      <c r="Q68" s="21" t="n">
        <v>347387</v>
      </c>
      <c r="R68" s="21">
        <f>IF(Q68="","",Q68*(1+in_GrowthRate)^(YEARFRAC(DATE(2024,6,30),in_AgeToDate)*IF(in_AgeToDate&lt;DATE(2024,6,30),-1,1)+1))</f>
        <v/>
      </c>
      <c r="S68" s="38" t="n">
        <v>0.2984389836613078</v>
      </c>
      <c r="T68" s="43">
        <f>HYPERLINK("https://projects.propublica.org/nonprofits/organizations/521125663/202531359349304708/full","view filing")</f>
        <v/>
      </c>
    </row>
    <row r="69">
      <c r="A69" t="inlineStr">
        <is>
          <t>University Of Maryland Foundation Inc</t>
        </is>
      </c>
      <c r="B69" s="20" t="inlineStr">
        <is>
          <t>MD</t>
        </is>
      </c>
      <c r="C69" s="42" t="n">
        <v>2.46</v>
      </c>
      <c r="D69" t="inlineStr">
        <is>
          <t>Endowment</t>
        </is>
      </c>
      <c r="E69" s="20" t="n">
        <v>2023</v>
      </c>
      <c r="F69" s="20" t="inlineStr"/>
      <c r="G69" t="inlineStr">
        <is>
          <t>Chad Mitchell</t>
        </is>
      </c>
      <c r="H69" t="inlineStr">
        <is>
          <t>Senior Investment Analyst</t>
        </is>
      </c>
      <c r="I69" t="inlineStr">
        <is>
          <t>Senior Analyst</t>
        </is>
      </c>
      <c r="J69" s="21" t="n">
        <v>220011</v>
      </c>
      <c r="K69" s="21" t="n">
        <v>144500</v>
      </c>
      <c r="L69" s="21" t="n">
        <v>364511</v>
      </c>
      <c r="M69" s="21" t="n"/>
      <c r="N69" s="21" t="n">
        <v>22112</v>
      </c>
      <c r="O69" s="21" t="n">
        <v>15643</v>
      </c>
      <c r="P69" s="21" t="n">
        <v>402266</v>
      </c>
      <c r="Q69" s="21" t="n">
        <v>402266</v>
      </c>
      <c r="R69" s="21">
        <f>IF(Q69="","",Q69*(1+in_GrowthRate)^(YEARFRAC(DATE(2023,6,30),in_AgeToDate)*IF(in_AgeToDate&lt;DATE(2023,6,30),-1,1)+1))</f>
        <v/>
      </c>
      <c r="S69" s="38" t="n">
        <v>0.6567853425510543</v>
      </c>
      <c r="T69" s="43">
        <f>HYPERLINK("https://projects.propublica.org/nonprofits/organizations/521125663/202431369349301763/full","view filing")</f>
        <v/>
      </c>
    </row>
    <row r="70">
      <c r="A70" t="inlineStr">
        <is>
          <t>University Of Maryland Foundation Inc</t>
        </is>
      </c>
      <c r="B70" s="20" t="inlineStr">
        <is>
          <t>MD</t>
        </is>
      </c>
      <c r="C70" s="42" t="n">
        <v>2.46</v>
      </c>
      <c r="D70" t="inlineStr">
        <is>
          <t>Endowment</t>
        </is>
      </c>
      <c r="E70" s="20" t="n">
        <v>2023</v>
      </c>
      <c r="F70" s="20" t="inlineStr"/>
      <c r="G70" t="inlineStr">
        <is>
          <t>Charlie Sexton</t>
        </is>
      </c>
      <c r="H70" t="inlineStr">
        <is>
          <t>Senior Investment Analyst</t>
        </is>
      </c>
      <c r="I70" t="inlineStr">
        <is>
          <t>Senior Analyst</t>
        </is>
      </c>
      <c r="J70" s="21" t="n">
        <v>220907</v>
      </c>
      <c r="K70" s="21" t="n">
        <v>144500</v>
      </c>
      <c r="L70" s="21" t="n">
        <v>365407</v>
      </c>
      <c r="M70" s="21" t="n"/>
      <c r="N70" s="21" t="n">
        <v>22112</v>
      </c>
      <c r="O70" s="21" t="n">
        <v>7732</v>
      </c>
      <c r="P70" s="21" t="n">
        <v>395251</v>
      </c>
      <c r="Q70" s="21" t="n">
        <v>395251</v>
      </c>
      <c r="R70" s="21">
        <f>IF(Q70="","",Q70*(1+in_GrowthRate)^(YEARFRAC(DATE(2023,6,30),in_AgeToDate)*IF(in_AgeToDate&lt;DATE(2023,6,30),-1,1)+1))</f>
        <v/>
      </c>
      <c r="S70" s="38" t="n">
        <v>0.6541214176101255</v>
      </c>
      <c r="T70" s="43">
        <f>HYPERLINK("https://projects.propublica.org/nonprofits/organizations/521125663/202431369349301763/full","view filing")</f>
        <v/>
      </c>
    </row>
    <row r="71">
      <c r="A71" t="inlineStr">
        <is>
          <t>University Of Maryland Foundation Inc</t>
        </is>
      </c>
      <c r="B71" s="20" t="inlineStr">
        <is>
          <t>MD</t>
        </is>
      </c>
      <c r="C71" s="42" t="n">
        <v>2.46</v>
      </c>
      <c r="D71" t="inlineStr">
        <is>
          <t>Endowment</t>
        </is>
      </c>
      <c r="E71" s="20" t="n">
        <v>2022</v>
      </c>
      <c r="F71" s="20" t="inlineStr"/>
      <c r="G71" t="inlineStr">
        <is>
          <t>Chad Mitchell</t>
        </is>
      </c>
      <c r="H71" t="inlineStr">
        <is>
          <t>Senior Investment Analyst</t>
        </is>
      </c>
      <c r="I71" t="inlineStr">
        <is>
          <t>Senior Analyst</t>
        </is>
      </c>
      <c r="J71" s="21" t="n">
        <v>193407</v>
      </c>
      <c r="K71" s="21" t="n">
        <v>129700</v>
      </c>
      <c r="L71" s="21" t="n">
        <v>323107</v>
      </c>
      <c r="M71" s="21" t="n"/>
      <c r="N71" s="21" t="n">
        <v>21025</v>
      </c>
      <c r="O71" s="21" t="n">
        <v>18448</v>
      </c>
      <c r="P71" s="21" t="n">
        <v>362580</v>
      </c>
      <c r="Q71" s="21" t="n">
        <v>362580</v>
      </c>
      <c r="R71" s="21">
        <f>IF(Q71="","",Q71*(1+in_GrowthRate)^(YEARFRAC(DATE(2022,6,30),in_AgeToDate)*IF(in_AgeToDate&lt;DATE(2022,6,30),-1,1)+1))</f>
        <v/>
      </c>
      <c r="S71" s="38" t="n">
        <v>0.6706065447476048</v>
      </c>
      <c r="T71" s="43">
        <f>HYPERLINK("https://projects.propublica.org/nonprofits/organizations/521125663/202331329349308033/full","view filing")</f>
        <v/>
      </c>
    </row>
    <row r="72">
      <c r="A72" t="inlineStr">
        <is>
          <t>University Of Maryland Foundation Inc</t>
        </is>
      </c>
      <c r="B72" s="20" t="inlineStr">
        <is>
          <t>MD</t>
        </is>
      </c>
      <c r="C72" s="42" t="n">
        <v>2.46</v>
      </c>
      <c r="D72" t="inlineStr">
        <is>
          <t>Endowment</t>
        </is>
      </c>
      <c r="E72" s="20" t="n">
        <v>2022</v>
      </c>
      <c r="F72" s="20" t="inlineStr"/>
      <c r="G72" t="inlineStr">
        <is>
          <t>Charlie Sexton</t>
        </is>
      </c>
      <c r="H72" t="inlineStr">
        <is>
          <t>Senior Investment Analyst</t>
        </is>
      </c>
      <c r="I72" t="inlineStr">
        <is>
          <t>Senior Analyst</t>
        </is>
      </c>
      <c r="J72" s="21" t="n">
        <v>169554</v>
      </c>
      <c r="K72" s="21" t="n">
        <v>97525</v>
      </c>
      <c r="L72" s="21" t="n">
        <v>267079</v>
      </c>
      <c r="M72" s="21" t="n"/>
      <c r="N72" s="21" t="n">
        <v>19363</v>
      </c>
      <c r="O72" s="21" t="n">
        <v>5228</v>
      </c>
      <c r="P72" s="21" t="n">
        <v>291670</v>
      </c>
      <c r="Q72" s="21" t="n">
        <v>291670</v>
      </c>
      <c r="R72" s="21">
        <f>IF(Q72="","",Q72*(1+in_GrowthRate)^(YEARFRAC(DATE(2022,6,30),in_AgeToDate)*IF(in_AgeToDate&lt;DATE(2022,6,30),-1,1)+1))</f>
        <v/>
      </c>
      <c r="S72" s="38" t="n">
        <v>0.5751854866296283</v>
      </c>
      <c r="T72" s="43">
        <f>HYPERLINK("https://projects.propublica.org/nonprofits/organizations/521125663/202331329349308033/full","view filing")</f>
        <v/>
      </c>
    </row>
    <row r="73">
      <c r="A73" t="inlineStr">
        <is>
          <t>University Of Minnesota Foundation Investment Advisors</t>
        </is>
      </c>
      <c r="B73" s="20" t="inlineStr">
        <is>
          <t>MN</t>
        </is>
      </c>
      <c r="C73" s="42" t="n">
        <v>5.2</v>
      </c>
      <c r="D73" t="inlineStr">
        <is>
          <t>Endowment</t>
        </is>
      </c>
      <c r="E73" s="20" t="n">
        <v>2025</v>
      </c>
      <c r="F73" s="20">
        <f>IF(AND(OR(in_Mode="All Funds",AND(C73&gt;=in_BandFloor,C73&lt;=in_BandCeiling,OR(in_Geography="National",COUNTIFS(lst_GeoPreset,in_Geography,lst_GeoState,B73)&gt;0,AND(in_Geography="Custom",ISNUMBER(SEARCH(B73,SUBSTITUTE(in_CustomStates," ",""))))),OR(AND(D73="Endowment",Inputs!$B$14="Y"),AND(D73="Foundation",Inputs!$B$15="Y"),AND(D73="Healthcare",Inputs!$B$16="Y"),AND(D73="Pension",Inputs!$B$17="Y"),AND(D73="OCIO",Inputs!$B$18="Y"),AND(D73="Other",Inputs!$B$19="Y")))),A73&lt;&gt;in_ClientOrg,NOT(AND(in_ExclHarvard="Y",ISNUMBER(SEARCH("Harvard",A73))))),"Y","")</f>
        <v/>
      </c>
      <c r="G73" t="inlineStr">
        <is>
          <t>Grant Larson</t>
        </is>
      </c>
      <c r="H73" t="inlineStr">
        <is>
          <t>INVESTMENT ANALYST</t>
        </is>
      </c>
      <c r="I73" t="inlineStr">
        <is>
          <t>Analyst</t>
        </is>
      </c>
      <c r="J73" s="21" t="n">
        <v>139379</v>
      </c>
      <c r="K73" s="21" t="n">
        <v>45533</v>
      </c>
      <c r="L73" s="21" t="n">
        <v>184912</v>
      </c>
      <c r="M73" s="21" t="n">
        <v>64</v>
      </c>
      <c r="N73" s="21" t="n">
        <v>23164</v>
      </c>
      <c r="O73" s="21" t="n">
        <v>23674</v>
      </c>
      <c r="P73" s="21" t="n">
        <v>231814</v>
      </c>
      <c r="Q73" s="21" t="n">
        <v>231814</v>
      </c>
      <c r="R73" s="21">
        <f>IF(Q73="","",Q73*(1+in_GrowthRate)^(YEARFRAC(DATE(2025,6,30),in_AgeToDate)*IF(in_AgeToDate&lt;DATE(2025,6,30),-1,1)+1))</f>
        <v/>
      </c>
      <c r="S73" s="38" t="n">
        <v>0.3266847946964751</v>
      </c>
      <c r="T73" s="43">
        <f>HYPERLINK("https://projects.propublica.org/nonprofits/organizations/411931343/202610899349300721/full","view filing")</f>
        <v/>
      </c>
    </row>
    <row r="74">
      <c r="A74" t="inlineStr">
        <is>
          <t>University Of Minnesota Foundation Investment Advisors</t>
        </is>
      </c>
      <c r="B74" s="20" t="inlineStr">
        <is>
          <t>MN</t>
        </is>
      </c>
      <c r="C74" s="42" t="n">
        <v>5.2</v>
      </c>
      <c r="D74" t="inlineStr">
        <is>
          <t>Endowment</t>
        </is>
      </c>
      <c r="E74" s="20" t="n">
        <v>2024</v>
      </c>
      <c r="F74" s="20" t="inlineStr"/>
      <c r="G74" t="inlineStr">
        <is>
          <t>Grant Larson</t>
        </is>
      </c>
      <c r="H74" t="inlineStr">
        <is>
          <t>INVESTMENT ANALYST</t>
        </is>
      </c>
      <c r="I74" t="inlineStr">
        <is>
          <t>Analyst</t>
        </is>
      </c>
      <c r="J74" s="21" t="n">
        <v>116423</v>
      </c>
      <c r="K74" s="21" t="n">
        <v>39595</v>
      </c>
      <c r="L74" s="21" t="n">
        <v>156018</v>
      </c>
      <c r="M74" s="21" t="n">
        <v>48</v>
      </c>
      <c r="N74" s="21" t="n">
        <v>19481</v>
      </c>
      <c r="O74" s="21" t="n">
        <v>7750</v>
      </c>
      <c r="P74" s="21" t="n">
        <v>183297</v>
      </c>
      <c r="Q74" s="21" t="n">
        <v>183297</v>
      </c>
      <c r="R74" s="21">
        <f>IF(Q74="","",Q74*(1+in_GrowthRate)^(YEARFRAC(DATE(2024,6,30),in_AgeToDate)*IF(in_AgeToDate&lt;DATE(2024,6,30),-1,1)+1))</f>
        <v/>
      </c>
      <c r="S74" s="38" t="n">
        <v>0.3400960291351365</v>
      </c>
      <c r="T74" s="43">
        <f>HYPERLINK("https://projects.propublica.org/nonprofits/organizations/411931343/202500879349301200/full","view filing")</f>
        <v/>
      </c>
    </row>
    <row r="75">
      <c r="A75" t="inlineStr">
        <is>
          <t>University Of Minnesota Foundation Investment Advisors</t>
        </is>
      </c>
      <c r="B75" s="20" t="inlineStr">
        <is>
          <t>MN</t>
        </is>
      </c>
      <c r="C75" s="42" t="n">
        <v>5.2</v>
      </c>
      <c r="D75" t="inlineStr">
        <is>
          <t>Endowment</t>
        </is>
      </c>
      <c r="E75" s="20" t="n">
        <v>2023</v>
      </c>
      <c r="F75" s="20" t="inlineStr"/>
      <c r="G75" t="inlineStr">
        <is>
          <t>Grant Larson</t>
        </is>
      </c>
      <c r="H75" t="inlineStr">
        <is>
          <t>INVESTMENT ANALYST</t>
        </is>
      </c>
      <c r="I75" t="inlineStr">
        <is>
          <t>Analyst</t>
        </is>
      </c>
      <c r="J75" s="21" t="n"/>
      <c r="K75" s="21" t="n"/>
      <c r="L75" s="21" t="n"/>
      <c r="M75" s="21" t="n"/>
      <c r="N75" s="21" t="n"/>
      <c r="O75" s="21" t="n"/>
      <c r="P75" s="21" t="n">
        <v>144801</v>
      </c>
      <c r="Q75" s="21" t="n">
        <v>144801</v>
      </c>
      <c r="R75" s="21">
        <f>IF(Q75="","",Q75*(1+in_GrowthRate)^(YEARFRAC(DATE(2023,6,30),in_AgeToDate)*IF(in_AgeToDate&lt;DATE(2023,6,30),-1,1)+1))</f>
        <v/>
      </c>
      <c r="S75" s="38" t="n"/>
      <c r="T75" s="43">
        <f>HYPERLINK("https://projects.propublica.org/nonprofits/organizations/411931343/202400809349301005/full","view filing")</f>
        <v/>
      </c>
    </row>
    <row r="76">
      <c r="A76" t="inlineStr">
        <is>
          <t>University Of Minnesota Foundation Investment Advisors</t>
        </is>
      </c>
      <c r="B76" s="20" t="inlineStr">
        <is>
          <t>MN</t>
        </is>
      </c>
      <c r="C76" s="42" t="n">
        <v>5.2</v>
      </c>
      <c r="D76" t="inlineStr">
        <is>
          <t>Endowment</t>
        </is>
      </c>
      <c r="E76" s="20" t="n">
        <v>2022</v>
      </c>
      <c r="F76" s="20" t="inlineStr"/>
      <c r="G76" t="inlineStr">
        <is>
          <t>Grant Larson</t>
        </is>
      </c>
      <c r="H76" t="inlineStr">
        <is>
          <t>Investment Analyst</t>
        </is>
      </c>
      <c r="I76" t="inlineStr">
        <is>
          <t>Analyst</t>
        </is>
      </c>
      <c r="J76" s="21" t="n"/>
      <c r="K76" s="21" t="n"/>
      <c r="L76" s="21" t="n"/>
      <c r="M76" s="21" t="n"/>
      <c r="N76" s="21" t="n"/>
      <c r="O76" s="21" t="n"/>
      <c r="P76" s="21" t="n">
        <v>137162</v>
      </c>
      <c r="Q76" s="21" t="n">
        <v>137162</v>
      </c>
      <c r="R76" s="21">
        <f>IF(Q76="","",Q76*(1+in_GrowthRate)^(YEARFRAC(DATE(2022,6,30),in_AgeToDate)*IF(in_AgeToDate&lt;DATE(2022,6,30),-1,1)+1))</f>
        <v/>
      </c>
      <c r="S76" s="38" t="n"/>
      <c r="T76" s="43">
        <f>HYPERLINK("https://projects.propublica.org/nonprofits/organizations/411931343/202340739349300819/full","view filing")</f>
        <v/>
      </c>
    </row>
    <row r="77">
      <c r="A77" t="inlineStr">
        <is>
          <t>University Of Wyoming Foundation</t>
        </is>
      </c>
      <c r="B77" s="20" t="inlineStr">
        <is>
          <t>WY</t>
        </is>
      </c>
      <c r="C77" s="42" t="n">
        <v>0.88</v>
      </c>
      <c r="D77" t="inlineStr">
        <is>
          <t>Endowment</t>
        </is>
      </c>
      <c r="E77" s="20" t="n">
        <v>2025</v>
      </c>
      <c r="F77" s="20">
        <f>IF(AND(OR(in_Mode="All Funds",AND(C77&gt;=in_BandFloor,C77&lt;=in_BandCeiling,OR(in_Geography="National",COUNTIFS(lst_GeoPreset,in_Geography,lst_GeoState,B77)&gt;0,AND(in_Geography="Custom",ISNUMBER(SEARCH(B77,SUBSTITUTE(in_CustomStates," ",""))))),OR(AND(D77="Endowment",Inputs!$B$14="Y"),AND(D77="Foundation",Inputs!$B$15="Y"),AND(D77="Healthcare",Inputs!$B$16="Y"),AND(D77="Pension",Inputs!$B$17="Y"),AND(D77="OCIO",Inputs!$B$18="Y"),AND(D77="Other",Inputs!$B$19="Y")))),A77&lt;&gt;in_ClientOrg,NOT(AND(in_ExclHarvard="Y",ISNUMBER(SEARCH("Harvard",A77))))),"Y","")</f>
        <v/>
      </c>
      <c r="G77" t="inlineStr">
        <is>
          <t>Jose Briones</t>
        </is>
      </c>
      <c r="H77" t="inlineStr">
        <is>
          <t>PORTFOLIO MANAGER</t>
        </is>
      </c>
      <c r="I77" t="inlineStr">
        <is>
          <t>Portfolio Manager</t>
        </is>
      </c>
      <c r="J77" s="21" t="n">
        <v>152697</v>
      </c>
      <c r="K77" s="21" t="n"/>
      <c r="L77" s="21" t="n">
        <v>152697</v>
      </c>
      <c r="M77" s="21" t="n"/>
      <c r="N77" s="21" t="n">
        <v>22813</v>
      </c>
      <c r="O77" s="21" t="n">
        <v>13902</v>
      </c>
      <c r="P77" s="21" t="n">
        <v>189412</v>
      </c>
      <c r="Q77" s="21" t="n">
        <v>189412</v>
      </c>
      <c r="R77" s="21">
        <f>IF(Q77="","",Q77*(1+in_GrowthRate)^(YEARFRAC(DATE(2025,6,30),in_AgeToDate)*IF(in_AgeToDate&lt;DATE(2025,6,30),-1,1)+1))</f>
        <v/>
      </c>
      <c r="S77" s="38" t="n">
        <v>0</v>
      </c>
      <c r="T77" s="43">
        <f>HYPERLINK("https://projects.propublica.org/nonprofits/organizations/830201971/202611279349302871/full","view filing")</f>
        <v/>
      </c>
    </row>
    <row r="78">
      <c r="A78" t="inlineStr">
        <is>
          <t>University Of Wyoming Foundation</t>
        </is>
      </c>
      <c r="B78" s="20" t="inlineStr">
        <is>
          <t>WY</t>
        </is>
      </c>
      <c r="C78" s="42" t="n">
        <v>0.88</v>
      </c>
      <c r="D78" t="inlineStr">
        <is>
          <t>Endowment</t>
        </is>
      </c>
      <c r="E78" s="20" t="n">
        <v>2024</v>
      </c>
      <c r="F78" s="20" t="inlineStr"/>
      <c r="G78" t="inlineStr">
        <is>
          <t>Brady Goyn</t>
        </is>
      </c>
      <c r="H78" t="inlineStr">
        <is>
          <t>PORTFOLIO MANAGER</t>
        </is>
      </c>
      <c r="I78" t="inlineStr">
        <is>
          <t>Portfolio Manager</t>
        </is>
      </c>
      <c r="J78" s="21" t="n">
        <v>120390</v>
      </c>
      <c r="K78" s="21" t="n"/>
      <c r="L78" s="21" t="n">
        <v>120390</v>
      </c>
      <c r="M78" s="21" t="n"/>
      <c r="N78" s="21" t="n">
        <v>15229</v>
      </c>
      <c r="O78" s="21" t="n">
        <v>30343</v>
      </c>
      <c r="P78" s="21" t="n">
        <v>165962</v>
      </c>
      <c r="Q78" s="21" t="n">
        <v>165962</v>
      </c>
      <c r="R78" s="21">
        <f>IF(Q78="","",Q78*(1+in_GrowthRate)^(YEARFRAC(DATE(2024,6,30),in_AgeToDate)*IF(in_AgeToDate&lt;DATE(2024,6,30),-1,1)+1))</f>
        <v/>
      </c>
      <c r="S78" s="38" t="n">
        <v>0</v>
      </c>
      <c r="T78" s="43">
        <f>HYPERLINK("https://projects.propublica.org/nonprofits/organizations/830201971/202510159349301696/full","view filing")</f>
        <v/>
      </c>
    </row>
    <row r="79">
      <c r="A79" t="inlineStr">
        <is>
          <t>University Of Wyoming Foundation</t>
        </is>
      </c>
      <c r="B79" s="20" t="inlineStr">
        <is>
          <t>WY</t>
        </is>
      </c>
      <c r="C79" s="42" t="n">
        <v>0.88</v>
      </c>
      <c r="D79" t="inlineStr">
        <is>
          <t>Endowment</t>
        </is>
      </c>
      <c r="E79" s="20" t="n">
        <v>2024</v>
      </c>
      <c r="F79" s="20" t="inlineStr"/>
      <c r="G79" t="inlineStr">
        <is>
          <t>Jose Briones</t>
        </is>
      </c>
      <c r="H79" t="inlineStr">
        <is>
          <t>PORTFOLIO MANAGER</t>
        </is>
      </c>
      <c r="I79" t="inlineStr">
        <is>
          <t>Portfolio Manager</t>
        </is>
      </c>
      <c r="J79" s="21" t="n">
        <v>124065</v>
      </c>
      <c r="K79" s="21" t="n"/>
      <c r="L79" s="21" t="n">
        <v>124065</v>
      </c>
      <c r="M79" s="21" t="n"/>
      <c r="N79" s="21" t="n">
        <v>15502</v>
      </c>
      <c r="O79" s="21" t="n">
        <v>30343</v>
      </c>
      <c r="P79" s="21" t="n">
        <v>169910</v>
      </c>
      <c r="Q79" s="21" t="n">
        <v>169910</v>
      </c>
      <c r="R79" s="21">
        <f>IF(Q79="","",Q79*(1+in_GrowthRate)^(YEARFRAC(DATE(2024,6,30),in_AgeToDate)*IF(in_AgeToDate&lt;DATE(2024,6,30),-1,1)+1))</f>
        <v/>
      </c>
      <c r="S79" s="38" t="n">
        <v>0</v>
      </c>
      <c r="T79" s="43">
        <f>HYPERLINK("https://projects.propublica.org/nonprofits/organizations/830201971/202510159349301696/full","view filing")</f>
        <v/>
      </c>
    </row>
    <row r="80">
      <c r="A80" t="inlineStr">
        <is>
          <t>Young Mens Christian Association Retirement Fund</t>
        </is>
      </c>
      <c r="B80" s="20" t="inlineStr">
        <is>
          <t>NY</t>
        </is>
      </c>
      <c r="C80" s="42" t="n">
        <v>9.75</v>
      </c>
      <c r="D80" t="inlineStr">
        <is>
          <t>Pension</t>
        </is>
      </c>
      <c r="E80" s="20" t="n">
        <v>2023</v>
      </c>
      <c r="F80" s="20" t="inlineStr"/>
      <c r="G80" t="inlineStr">
        <is>
          <t>Ivan Manolov</t>
        </is>
      </c>
      <c r="H80" t="inlineStr">
        <is>
          <t>SENIOR PORTFOLIO MANAGER</t>
        </is>
      </c>
      <c r="I80" t="inlineStr">
        <is>
          <t>Senior Portfolio Manager</t>
        </is>
      </c>
      <c r="J80" s="21" t="n">
        <v>450061</v>
      </c>
      <c r="K80" s="21" t="n">
        <v>321079</v>
      </c>
      <c r="L80" s="21" t="n">
        <v>771140</v>
      </c>
      <c r="M80" s="21" t="n">
        <v>345</v>
      </c>
      <c r="N80" s="21" t="n">
        <v>36600</v>
      </c>
      <c r="O80" s="21" t="n">
        <v>3127</v>
      </c>
      <c r="P80" s="21" t="n">
        <v>811212</v>
      </c>
      <c r="Q80" s="21" t="n">
        <v>811212</v>
      </c>
      <c r="R80" s="21">
        <f>IF(Q80="","",Q80*(1+in_GrowthRate)^(YEARFRAC(DATE(2023,6,30),in_AgeToDate)*IF(in_AgeToDate&lt;DATE(2023,6,30),-1,1)+1))</f>
        <v/>
      </c>
      <c r="S80" s="38" t="n">
        <v>0.7134121819042307</v>
      </c>
      <c r="T80" s="43">
        <f>HYPERLINK("https://projects.propublica.org/nonprofits/organizations/135562401/202303189349310585/full","view filing")</f>
        <v/>
      </c>
    </row>
    <row r="81">
      <c r="A81" t="inlineStr">
        <is>
          <t>Young Mens Christian Association Retirement Fund</t>
        </is>
      </c>
      <c r="B81" s="20" t="inlineStr">
        <is>
          <t>NY</t>
        </is>
      </c>
      <c r="C81" s="42" t="n">
        <v>9.75</v>
      </c>
      <c r="D81" t="inlineStr">
        <is>
          <t>Pension</t>
        </is>
      </c>
      <c r="E81" s="20" t="n">
        <v>2022</v>
      </c>
      <c r="F81" s="20" t="inlineStr"/>
      <c r="G81" t="inlineStr">
        <is>
          <t>Ivan Manolov</t>
        </is>
      </c>
      <c r="H81" t="inlineStr">
        <is>
          <t>SENIOR PORTFOLIO MANAGER</t>
        </is>
      </c>
      <c r="I81" t="inlineStr">
        <is>
          <t>Senior Portfolio Manager</t>
        </is>
      </c>
      <c r="J81" s="21" t="n">
        <v>430623</v>
      </c>
      <c r="K81" s="21" t="n">
        <v>202967</v>
      </c>
      <c r="L81" s="21" t="n">
        <v>633590</v>
      </c>
      <c r="M81" s="21" t="n">
        <v>373</v>
      </c>
      <c r="N81" s="21" t="n">
        <v>54300</v>
      </c>
      <c r="O81" s="21" t="n">
        <v>4112</v>
      </c>
      <c r="P81" s="21" t="n">
        <v>692375</v>
      </c>
      <c r="Q81" s="21" t="n">
        <v>692375</v>
      </c>
      <c r="R81" s="21">
        <f>IF(Q81="","",Q81*(1+in_GrowthRate)^(YEARFRAC(DATE(2022,6,30),in_AgeToDate)*IF(in_AgeToDate&lt;DATE(2022,6,30),-1,1)+1))</f>
        <v/>
      </c>
      <c r="S81" s="38" t="n">
        <v>0.4713333937109722</v>
      </c>
      <c r="T81" s="43">
        <f>HYPERLINK("https://projects.propublica.org/nonprofits/organizations/135562401/202243189349318819/full","view filing")</f>
        <v/>
      </c>
    </row>
    <row r="82">
      <c r="A82" t="inlineStr">
        <is>
          <t>Young Mens Christian Association Retirement Fund</t>
        </is>
      </c>
      <c r="B82" s="20" t="inlineStr">
        <is>
          <t>NY</t>
        </is>
      </c>
      <c r="C82" s="42" t="n">
        <v>9.75</v>
      </c>
      <c r="D82" t="inlineStr">
        <is>
          <t>Pension</t>
        </is>
      </c>
      <c r="E82" s="20" t="n">
        <v>2022</v>
      </c>
      <c r="F82" s="20" t="inlineStr"/>
      <c r="G82" t="inlineStr">
        <is>
          <t>Mark Sinni</t>
        </is>
      </c>
      <c r="H82" t="inlineStr">
        <is>
          <t>SENIOR PORTFOLIO MANAGER</t>
        </is>
      </c>
      <c r="I82" t="inlineStr">
        <is>
          <t>Senior Portfolio Manager</t>
        </is>
      </c>
      <c r="J82" s="21" t="n">
        <v>513154</v>
      </c>
      <c r="K82" s="21" t="n">
        <v>223900</v>
      </c>
      <c r="L82" s="21" t="n">
        <v>737054</v>
      </c>
      <c r="M82" s="21" t="n">
        <v>403</v>
      </c>
      <c r="N82" s="21" t="n">
        <v>54300</v>
      </c>
      <c r="O82" s="21" t="n">
        <v>13662</v>
      </c>
      <c r="P82" s="21" t="n">
        <v>805419</v>
      </c>
      <c r="Q82" s="21" t="n">
        <v>805419</v>
      </c>
      <c r="R82" s="21">
        <f>IF(Q82="","",Q82*(1+in_GrowthRate)^(YEARFRAC(DATE(2022,6,30),in_AgeToDate)*IF(in_AgeToDate&lt;DATE(2022,6,30),-1,1)+1))</f>
        <v/>
      </c>
      <c r="S82" s="38" t="n">
        <v>0.436321260284437</v>
      </c>
      <c r="T82" s="43">
        <f>HYPERLINK("https://projects.propublica.org/nonprofits/organizations/135562401/202243189349318819/full","view filing")</f>
        <v/>
      </c>
    </row>
    <row r="83">
      <c r="A83" t="inlineStr">
        <is>
          <t>Young Mens Christian Association Retirement Fund</t>
        </is>
      </c>
      <c r="B83" s="20" t="inlineStr">
        <is>
          <t>NY</t>
        </is>
      </c>
      <c r="C83" s="42" t="n">
        <v>9.75</v>
      </c>
      <c r="D83" t="inlineStr">
        <is>
          <t>Pension</t>
        </is>
      </c>
      <c r="E83" s="20" t="n">
        <v>2022</v>
      </c>
      <c r="F83" s="20" t="inlineStr"/>
      <c r="G83" t="inlineStr">
        <is>
          <t>Won Lee</t>
        </is>
      </c>
      <c r="H83" t="inlineStr">
        <is>
          <t>PORTFOLIO MANAGER</t>
        </is>
      </c>
      <c r="I83" t="inlineStr">
        <is>
          <t>Portfolio Manager</t>
        </is>
      </c>
      <c r="J83" s="21" t="n">
        <v>305093</v>
      </c>
      <c r="K83" s="21" t="n">
        <v>128552</v>
      </c>
      <c r="L83" s="21" t="n">
        <v>433645</v>
      </c>
      <c r="M83" s="21" t="n">
        <v>251</v>
      </c>
      <c r="N83" s="21" t="n">
        <v>50212</v>
      </c>
      <c r="O83" s="21" t="n">
        <v>38685</v>
      </c>
      <c r="P83" s="21" t="n">
        <v>522793</v>
      </c>
      <c r="Q83" s="21" t="n">
        <v>522793</v>
      </c>
      <c r="R83" s="21">
        <f>IF(Q83="","",Q83*(1+in_GrowthRate)^(YEARFRAC(DATE(2022,6,30),in_AgeToDate)*IF(in_AgeToDate&lt;DATE(2022,6,30),-1,1)+1))</f>
        <v/>
      </c>
      <c r="S83" s="38" t="n">
        <v>0.4213534889361604</v>
      </c>
      <c r="T83" s="43">
        <f>HYPERLINK("https://projects.propublica.org/nonprofits/organizations/135562401/202243189349318819/full","view filing")</f>
        <v/>
      </c>
    </row>
    <row r="84"/>
  </sheetData>
  <autoFilter ref="A24:T83"/>
  <printOptions horizontalCentered="1"/>
  <pageMargins left="0.75" right="0.75" top="1" bottom="1" header="0.5" footer="0.5"/>
  <pageSetup orientation="landscape" fitToHeight="0" fitToWidth="1"/>
  <headerFooter>
    <oddHeader/>
    <oddFooter>&amp;LMichael Oak Advisors&amp;R&amp;P of &amp;N</oddFooter>
    <evenHeader/>
    <evenFooter/>
    <firstHeader/>
    <firstFooter/>
  </headerFooter>
</worksheet>
</file>

<file path=xl/worksheets/sheet8.xml><?xml version="1.0" encoding="utf-8"?>
<worksheet xmlns="http://schemas.openxmlformats.org/spreadsheetml/2006/main">
  <sheetPr>
    <tabColor rgb="00BF8F00"/>
    <outlinePr summaryBelow="1" summaryRight="1"/>
    <pageSetUpPr fitToPage="1"/>
  </sheetPr>
  <dimension ref="A1:T106"/>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34" customWidth="1" min="1" max="1"/>
    <col width="15" customWidth="1" min="2" max="2"/>
    <col width="12" customWidth="1" min="3" max="3"/>
    <col width="14" customWidth="1" min="4" max="4"/>
    <col width="12" customWidth="1" min="5" max="5"/>
    <col width="12" customWidth="1" min="6" max="6"/>
    <col width="24" customWidth="1" min="7" max="7"/>
    <col width="32"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s>
  <sheetData>
    <row r="1">
      <c r="A1" s="1" t="inlineStr">
        <is>
          <t>COO (Investment Office)</t>
        </is>
      </c>
    </row>
    <row r="2">
      <c r="A2" s="19" t="inlineStr">
        <is>
          <t>Operations &amp; Control</t>
        </is>
      </c>
    </row>
    <row r="3">
      <c r="A3" s="19">
        <f>Summary!$A$5&amp;""</f>
        <v/>
      </c>
    </row>
    <row r="4">
      <c r="A4" s="2">
        <f>IF(Inputs!$B$21="","Select your organization on Inputs to compare.","Your organization: "&amp;Inputs!$B$21&amp;", excluded from the market columns.")</f>
        <v/>
      </c>
    </row>
    <row r="5">
      <c r="A5" s="34">
        <f>IF($I13&gt;=2,"","Too few people for a market statistic at this filter: "&amp;$I13&amp;" at "&amp;$H13&amp;" organization(s). Records below.")</f>
        <v/>
      </c>
      <c r="C5" s="2" t="inlineStr">
        <is>
          <t>Market</t>
        </is>
      </c>
      <c r="J5" s="2" t="inlineStr">
        <is>
          <t>Your organization</t>
        </is>
      </c>
      <c r="N5" s="2" t="inlineStr">
        <is>
          <t>Estimated (1)</t>
        </is>
      </c>
    </row>
    <row r="6" ht="20" customHeight="1">
      <c r="A6" s="35" t="inlineStr"/>
      <c r="B6" s="35" t="inlineStr">
        <is>
          <t>basis</t>
        </is>
      </c>
      <c r="C6" s="35" t="inlineStr">
        <is>
          <t>P25</t>
        </is>
      </c>
      <c r="D6" s="35" t="inlineStr">
        <is>
          <t>P50</t>
        </is>
      </c>
      <c r="E6" s="35" t="inlineStr">
        <is>
          <t>P75</t>
        </is>
      </c>
      <c r="F6" s="35" t="inlineStr">
        <is>
          <t>P90</t>
        </is>
      </c>
      <c r="G6" s="35" t="inlineStr">
        <is>
          <t>Average</t>
        </is>
      </c>
      <c r="H6" s="35" t="inlineStr">
        <is>
          <t>#Orgs</t>
        </is>
      </c>
      <c r="I6" s="35" t="inlineStr">
        <is>
          <t>#People</t>
        </is>
      </c>
      <c r="J6" s="36" t="inlineStr">
        <is>
          <t>Value</t>
        </is>
      </c>
      <c r="K6" s="36" t="inlineStr">
        <is>
          <t>vs P50</t>
        </is>
      </c>
      <c r="L6" s="36" t="inlineStr">
        <is>
          <t>Percentile</t>
        </is>
      </c>
      <c r="M6" s="36" t="inlineStr">
        <is>
          <t>#People</t>
        </is>
      </c>
      <c r="N6" s="35" t="inlineStr">
        <is>
          <t>Est. P25</t>
        </is>
      </c>
      <c r="O6" s="35" t="inlineStr">
        <is>
          <t>Est. P75</t>
        </is>
      </c>
      <c r="P6" s="35" t="inlineStr">
        <is>
          <t>Est. P90</t>
        </is>
      </c>
    </row>
    <row r="7">
      <c r="A7" s="2" t="inlineStr">
        <is>
          <t>Base salary</t>
        </is>
      </c>
      <c r="B7" s="19" t="inlineStr">
        <is>
          <t>Schedule J only</t>
        </is>
      </c>
      <c r="C7" s="21">
        <f>IF($I7&gt;=k_MinQuartile,MROUND(_xlfn.PERCENTILE.INC(_xlfn._xlws.FILTER(Records[(B)(i) Base],(Records[Role Group]="COO (Investment Office)")*(Records[Include]="Y")*(Records[Total Cash]&lt;&gt;"")),0.25),k_RoundTo),"")</f>
        <v/>
      </c>
      <c r="D7" s="22">
        <f>IF($I7&gt;=k_MinMedian,MROUND(_xlfn.PERCENTILE.INC(_xlfn._xlws.FILTER(Records[(B)(i) Base],(Records[Role Group]="COO (Investment Office)")*(Records[Include]="Y")*(Records[Total Cash]&lt;&gt;"")),0.5),k_RoundTo),"")</f>
        <v/>
      </c>
      <c r="E7" s="21">
        <f>IF($I7&gt;=k_MinQuartile,MROUND(_xlfn.PERCENTILE.INC(_xlfn._xlws.FILTER(Records[(B)(i) Base],(Records[Role Group]="COO (Investment Office)")*(Records[Include]="Y")*(Records[Total Cash]&lt;&gt;"")),0.75),k_RoundTo),"")</f>
        <v/>
      </c>
      <c r="F7" s="21">
        <f>IF($I7&gt;=k_MinQuartile,MROUND(_xlfn.PERCENTILE.INC(_xlfn._xlws.FILTER(Records[(B)(i) Base],(Records[Role Group]="COO (Investment Office)")*(Records[Include]="Y")*(Records[Total Cash]&lt;&gt;"")),0.9),k_RoundTo),"")</f>
        <v/>
      </c>
      <c r="G7" s="21">
        <f>IF($I7&gt;=k_MinMedian,MROUND(AVERAGE(_xlfn._xlws.FILTER(Records[(B)(i) Base],(Records[Role Group]="COO (Investment Office)")*(Records[Include]="Y")*(Records[Total Cash]&lt;&gt;""))),k_RoundTo),"")</f>
        <v/>
      </c>
      <c r="H7" s="20">
        <f>IFERROR(SUMPRODUCT(((Records[Role Group]="COO (Investment Office)")*(Records[Include]="Y")*(Records[Total Cash]&lt;&gt;""))/(COUNTIFS(Records[Organization],Records[Organization]&amp;"",Records[Role Group],"COO (Investment Office)",Records[Include],"Y")+(COUNTIFS(Records[Organization],Records[Organization]&amp;"",Records[Role Group],"COO (Investment Office)",Records[Include],"Y")=0))),0)</f>
        <v/>
      </c>
      <c r="I7" s="20">
        <f>SUMPRODUCT((Records[Role Group]="COO (Investment Office)")*(Records[Include]="Y")*(Records[Total Cash]&lt;&gt;""))</f>
        <v/>
      </c>
      <c r="J7" s="23">
        <f>IF(Inputs!$B$21="","",IFERROR(MAX(_xlfn._xlws.FILTER(Records[(B)(i) Base],(Records[Role Group]="COO (Investment Office)")*(Records[Organization]=Inputs!$B$21)*(Records[Most Recent]="Y")*(Records[Total Cash]&lt;&gt;""))),""))</f>
        <v/>
      </c>
      <c r="K7" s="24">
        <f>IF(OR($J7="",$D7=""),"",$J7/$D7-1)</f>
        <v/>
      </c>
      <c r="L7" s="25">
        <f>IF($I7&gt;=k_MinQuartile,IF(OR($J7="",$J7=0),"",IFERROR(PERCENTRANK.INC(_xlfn._xlws.FILTER(Records[(B)(i) Base],(Records[Role Group]="COO (Investment Office)")*(Records[Include]="Y")*(Records[Total Cash]&lt;&gt;"")),$J7,4),"")),"")</f>
        <v/>
      </c>
      <c r="M7" s="37">
        <f>IF(Inputs!$B$21="","",SUMPRODUCT((Records[Role Group]="COO (Investment Office)")*(Records[Organization]=Inputs!$B$21)*(Records[Most Recent]="Y")*(Records[Total Cash]&lt;&gt;"")))</f>
        <v/>
      </c>
      <c r="N7" s="26">
        <f>IF(AND($I7&gt;=k_MinMedian,$I7&lt;k_MinQuartile,$D7&lt;&gt;""),MROUND($D7*k_Est_base_heads_25,k_RoundTo),"")</f>
        <v/>
      </c>
      <c r="O7" s="26">
        <f>IF(AND($I7&gt;=k_MinMedian,$I7&lt;k_MinQuartile,$D7&lt;&gt;""),MROUND($D7*k_Est_base_heads_75,k_RoundTo),"")</f>
        <v/>
      </c>
      <c r="P7" s="26">
        <f>IF(AND($I7&gt;=k_MinMedian,$I7&lt;k_MinQuartile,$D7&lt;&gt;""),MROUND($D7*k_Est_base_heads_90,k_RoundTo),"")</f>
        <v/>
      </c>
    </row>
    <row r="8">
      <c r="A8" s="2" t="inlineStr">
        <is>
          <t>Incentive / bonus</t>
        </is>
      </c>
      <c r="B8" s="19" t="inlineStr">
        <is>
          <t>Schedule J only</t>
        </is>
      </c>
      <c r="C8" s="21">
        <f>IF($I8&gt;=k_MinQuartile,MROUND(_xlfn.PERCENTILE.INC(_xlfn._xlws.FILTER(Records[(B)(ii) Bonus],(Records[Role Group]="COO (Investment Office)")*(Records[Include]="Y")*(Records[Total Cash]&lt;&gt;"")),0.25),k_RoundTo),"")</f>
        <v/>
      </c>
      <c r="D8" s="22">
        <f>IF($I8&gt;=k_MinMedian,MROUND(_xlfn.PERCENTILE.INC(_xlfn._xlws.FILTER(Records[(B)(ii) Bonus],(Records[Role Group]="COO (Investment Office)")*(Records[Include]="Y")*(Records[Total Cash]&lt;&gt;"")),0.5),k_RoundTo),"")</f>
        <v/>
      </c>
      <c r="E8" s="21">
        <f>IF($I8&gt;=k_MinQuartile,MROUND(_xlfn.PERCENTILE.INC(_xlfn._xlws.FILTER(Records[(B)(ii) Bonus],(Records[Role Group]="COO (Investment Office)")*(Records[Include]="Y")*(Records[Total Cash]&lt;&gt;"")),0.75),k_RoundTo),"")</f>
        <v/>
      </c>
      <c r="F8" s="21">
        <f>IF($I8&gt;=k_MinQuartile,MROUND(_xlfn.PERCENTILE.INC(_xlfn._xlws.FILTER(Records[(B)(ii) Bonus],(Records[Role Group]="COO (Investment Office)")*(Records[Include]="Y")*(Records[Total Cash]&lt;&gt;"")),0.9),k_RoundTo),"")</f>
        <v/>
      </c>
      <c r="G8" s="21">
        <f>IF($I8&gt;=k_MinMedian,MROUND(AVERAGE(_xlfn._xlws.FILTER(Records[(B)(ii) Bonus],(Records[Role Group]="COO (Investment Office)")*(Records[Include]="Y")*(Records[Total Cash]&lt;&gt;""))),k_RoundTo),"")</f>
        <v/>
      </c>
      <c r="H8" s="20">
        <f>IFERROR(SUMPRODUCT(((Records[Role Group]="COO (Investment Office)")*(Records[Include]="Y")*(Records[Total Cash]&lt;&gt;""))/(COUNTIFS(Records[Organization],Records[Organization]&amp;"",Records[Role Group],"COO (Investment Office)",Records[Include],"Y")+(COUNTIFS(Records[Organization],Records[Organization]&amp;"",Records[Role Group],"COO (Investment Office)",Records[Include],"Y")=0))),0)</f>
        <v/>
      </c>
      <c r="I8" s="20">
        <f>SUMPRODUCT((Records[Role Group]="COO (Investment Office)")*(Records[Include]="Y")*(Records[Total Cash]&lt;&gt;""))</f>
        <v/>
      </c>
      <c r="J8" s="23">
        <f>IF(Inputs!$B$21="","",IFERROR(MAX(_xlfn._xlws.FILTER(Records[(B)(ii) Bonus],(Records[Role Group]="COO (Investment Office)")*(Records[Organization]=Inputs!$B$21)*(Records[Most Recent]="Y")*(Records[Total Cash]&lt;&gt;""))),""))</f>
        <v/>
      </c>
      <c r="K8" s="24">
        <f>IF(OR($J8="",$D8=""),"",$J8/$D8-1)</f>
        <v/>
      </c>
      <c r="L8" s="25">
        <f>IF($I8&gt;=k_MinQuartile,IF(OR($J8="",$J8=0),"",IFERROR(PERCENTRANK.INC(_xlfn._xlws.FILTER(Records[(B)(ii) Bonus],(Records[Role Group]="COO (Investment Office)")*(Records[Include]="Y")*(Records[Total Cash]&lt;&gt;"")),$J8,4),"")),"")</f>
        <v/>
      </c>
      <c r="M8" s="37">
        <f>IF(Inputs!$B$21="","",SUMPRODUCT((Records[Role Group]="COO (Investment Office)")*(Records[Organization]=Inputs!$B$21)*(Records[Most Recent]="Y")*(Records[Total Cash]&lt;&gt;"")))</f>
        <v/>
      </c>
    </row>
    <row r="9">
      <c r="A9" s="2" t="inlineStr">
        <is>
          <t>Total cash</t>
        </is>
      </c>
      <c r="B9" s="19" t="inlineStr">
        <is>
          <t>all filers</t>
        </is>
      </c>
      <c r="C9" s="21">
        <f>IF($I9&gt;=k_MinQuartile,MROUND(_xlfn.PERCENTILE.INC(_xlfn._xlws.FILTER(Records[Total Cash],(Records[Role Group]="COO (Investment Office)")*(Records[Include]="Y")*(Records[Total Cash]&gt;0)),0.25),k_RoundTo),"")</f>
        <v/>
      </c>
      <c r="D9" s="22">
        <f>IF($I9&gt;=k_MinMedian,MROUND(_xlfn.PERCENTILE.INC(_xlfn._xlws.FILTER(Records[Total Cash],(Records[Role Group]="COO (Investment Office)")*(Records[Include]="Y")*(Records[Total Cash]&gt;0)),0.5),k_RoundTo),"")</f>
        <v/>
      </c>
      <c r="E9" s="21">
        <f>IF($I9&gt;=k_MinQuartile,MROUND(_xlfn.PERCENTILE.INC(_xlfn._xlws.FILTER(Records[Total Cash],(Records[Role Group]="COO (Investment Office)")*(Records[Include]="Y")*(Records[Total Cash]&gt;0)),0.75),k_RoundTo),"")</f>
        <v/>
      </c>
      <c r="F9" s="21">
        <f>IF($I9&gt;=k_MinQuartile,MROUND(_xlfn.PERCENTILE.INC(_xlfn._xlws.FILTER(Records[Total Cash],(Records[Role Group]="COO (Investment Office)")*(Records[Include]="Y")*(Records[Total Cash]&gt;0)),0.9),k_RoundTo),"")</f>
        <v/>
      </c>
      <c r="G9" s="21">
        <f>IF($I9&gt;=k_MinMedian,MROUND(AVERAGE(_xlfn._xlws.FILTER(Records[Total Cash],(Records[Role Group]="COO (Investment Office)")*(Records[Include]="Y")*(Records[Total Cash]&gt;0))),k_RoundTo),"")</f>
        <v/>
      </c>
      <c r="H9" s="20">
        <f>IFERROR(SUMPRODUCT(((Records[Role Group]="COO (Investment Office)")*(Records[Include]="Y")*(Records[Total Cash]&gt;0))/(COUNTIFS(Records[Organization],Records[Organization]&amp;"",Records[Role Group],"COO (Investment Office)",Records[Include],"Y")+(COUNTIFS(Records[Organization],Records[Organization]&amp;"",Records[Role Group],"COO (Investment Office)",Records[Include],"Y")=0))),0)</f>
        <v/>
      </c>
      <c r="I9" s="20">
        <f>SUMPRODUCT((Records[Role Group]="COO (Investment Office)")*(Records[Include]="Y")*(Records[Total Cash]&gt;0))</f>
        <v/>
      </c>
      <c r="J9" s="23">
        <f>IF(Inputs!$B$21="","",IFERROR(MAX(_xlfn._xlws.FILTER(Records[Total Cash],(Records[Role Group]="COO (Investment Office)")*(Records[Organization]=Inputs!$B$21)*(Records[Most Recent]="Y")*(Records[Total Cash]&gt;0))),""))</f>
        <v/>
      </c>
      <c r="K9" s="24">
        <f>IF(OR($J9="",$D9=""),"",$J9/$D9-1)</f>
        <v/>
      </c>
      <c r="L9" s="25">
        <f>IF($I9&gt;=k_MinQuartile,IF(OR($J9="",$J9=0),"",IFERROR(PERCENTRANK.INC(_xlfn._xlws.FILTER(Records[Total Cash],(Records[Role Group]="COO (Investment Office)")*(Records[Include]="Y")*(Records[Total Cash]&gt;0)),$J9,4),"")),"")</f>
        <v/>
      </c>
      <c r="M9" s="37">
        <f>IF(Inputs!$B$21="","",SUMPRODUCT((Records[Role Group]="COO (Investment Office)")*(Records[Organization]=Inputs!$B$21)*(Records[Most Recent]="Y")*(Records[Total Cash]&gt;0)))</f>
        <v/>
      </c>
    </row>
    <row r="10">
      <c r="A10" s="2" t="inlineStr">
        <is>
          <t>Other reportable</t>
        </is>
      </c>
      <c r="B10" s="19" t="inlineStr">
        <is>
          <t>Schedule J only</t>
        </is>
      </c>
      <c r="C10" s="21">
        <f>IF($I10&gt;=k_MinQuartile,MROUND(_xlfn.PERCENTILE.INC(_xlfn._xlws.FILTER(Records[(B)(iii) Other],(Records[Role Group]="COO (Investment Office)")*(Records[Include]="Y")*(Records[Total Cash]&lt;&gt;"")),0.25),k_RoundTo),"")</f>
        <v/>
      </c>
      <c r="D10" s="22">
        <f>IF($I10&gt;=k_MinMedian,MROUND(_xlfn.PERCENTILE.INC(_xlfn._xlws.FILTER(Records[(B)(iii) Other],(Records[Role Group]="COO (Investment Office)")*(Records[Include]="Y")*(Records[Total Cash]&lt;&gt;"")),0.5),k_RoundTo),"")</f>
        <v/>
      </c>
      <c r="E10" s="21">
        <f>IF($I10&gt;=k_MinQuartile,MROUND(_xlfn.PERCENTILE.INC(_xlfn._xlws.FILTER(Records[(B)(iii) Other],(Records[Role Group]="COO (Investment Office)")*(Records[Include]="Y")*(Records[Total Cash]&lt;&gt;"")),0.75),k_RoundTo),"")</f>
        <v/>
      </c>
      <c r="F10" s="21">
        <f>IF($I10&gt;=k_MinQuartile,MROUND(_xlfn.PERCENTILE.INC(_xlfn._xlws.FILTER(Records[(B)(iii) Other],(Records[Role Group]="COO (Investment Office)")*(Records[Include]="Y")*(Records[Total Cash]&lt;&gt;"")),0.9),k_RoundTo),"")</f>
        <v/>
      </c>
      <c r="G10" s="21">
        <f>IF($I10&gt;=k_MinMedian,MROUND(AVERAGE(_xlfn._xlws.FILTER(Records[(B)(iii) Other],(Records[Role Group]="COO (Investment Office)")*(Records[Include]="Y")*(Records[Total Cash]&lt;&gt;""))),k_RoundTo),"")</f>
        <v/>
      </c>
      <c r="H10" s="20">
        <f>IFERROR(SUMPRODUCT(((Records[Role Group]="COO (Investment Office)")*(Records[Include]="Y")*(Records[Total Cash]&lt;&gt;""))/(COUNTIFS(Records[Organization],Records[Organization]&amp;"",Records[Role Group],"COO (Investment Office)",Records[Include],"Y")+(COUNTIFS(Records[Organization],Records[Organization]&amp;"",Records[Role Group],"COO (Investment Office)",Records[Include],"Y")=0))),0)</f>
        <v/>
      </c>
      <c r="I10" s="20">
        <f>SUMPRODUCT((Records[Role Group]="COO (Investment Office)")*(Records[Include]="Y")*(Records[Total Cash]&lt;&gt;""))</f>
        <v/>
      </c>
      <c r="J10" s="23">
        <f>IF(Inputs!$B$21="","",IFERROR(MAX(_xlfn._xlws.FILTER(Records[(B)(iii) Other],(Records[Role Group]="COO (Investment Office)")*(Records[Organization]=Inputs!$B$21)*(Records[Most Recent]="Y")*(Records[Total Cash]&lt;&gt;""))),""))</f>
        <v/>
      </c>
      <c r="K10" s="24">
        <f>IF(OR($J10="",$D10=""),"",$J10/$D10-1)</f>
        <v/>
      </c>
      <c r="L10" s="25">
        <f>IF($I10&gt;=k_MinQuartile,IF(OR($J10="",$J10=0),"",IFERROR(PERCENTRANK.INC(_xlfn._xlws.FILTER(Records[(B)(iii) Other],(Records[Role Group]="COO (Investment Office)")*(Records[Include]="Y")*(Records[Total Cash]&lt;&gt;"")),$J10,4),"")),"")</f>
        <v/>
      </c>
      <c r="M10" s="37">
        <f>IF(Inputs!$B$21="","",SUMPRODUCT((Records[Role Group]="COO (Investment Office)")*(Records[Organization]=Inputs!$B$21)*(Records[Most Recent]="Y")*(Records[Total Cash]&lt;&gt;"")))</f>
        <v/>
      </c>
    </row>
    <row r="11">
      <c r="A11" s="2" t="inlineStr">
        <is>
          <t>Deferred</t>
        </is>
      </c>
      <c r="B11" s="19" t="inlineStr">
        <is>
          <t>Schedule J only</t>
        </is>
      </c>
      <c r="C11" s="21">
        <f>IF($I11&gt;=k_MinQuartile,MROUND(_xlfn.PERCENTILE.INC(_xlfn._xlws.FILTER(Records[(C) Deferred],(Records[Role Group]="COO (Investment Office)")*(Records[Include]="Y")*(Records[Total Cash]&lt;&gt;"")),0.25),k_RoundTo),"")</f>
        <v/>
      </c>
      <c r="D11" s="22">
        <f>IF($I11&gt;=k_MinMedian,MROUND(_xlfn.PERCENTILE.INC(_xlfn._xlws.FILTER(Records[(C) Deferred],(Records[Role Group]="COO (Investment Office)")*(Records[Include]="Y")*(Records[Total Cash]&lt;&gt;"")),0.5),k_RoundTo),"")</f>
        <v/>
      </c>
      <c r="E11" s="21">
        <f>IF($I11&gt;=k_MinQuartile,MROUND(_xlfn.PERCENTILE.INC(_xlfn._xlws.FILTER(Records[(C) Deferred],(Records[Role Group]="COO (Investment Office)")*(Records[Include]="Y")*(Records[Total Cash]&lt;&gt;"")),0.75),k_RoundTo),"")</f>
        <v/>
      </c>
      <c r="F11" s="21">
        <f>IF($I11&gt;=k_MinQuartile,MROUND(_xlfn.PERCENTILE.INC(_xlfn._xlws.FILTER(Records[(C) Deferred],(Records[Role Group]="COO (Investment Office)")*(Records[Include]="Y")*(Records[Total Cash]&lt;&gt;"")),0.9),k_RoundTo),"")</f>
        <v/>
      </c>
      <c r="G11" s="21">
        <f>IF($I11&gt;=k_MinMedian,MROUND(AVERAGE(_xlfn._xlws.FILTER(Records[(C) Deferred],(Records[Role Group]="COO (Investment Office)")*(Records[Include]="Y")*(Records[Total Cash]&lt;&gt;""))),k_RoundTo),"")</f>
        <v/>
      </c>
      <c r="H11" s="20">
        <f>IFERROR(SUMPRODUCT(((Records[Role Group]="COO (Investment Office)")*(Records[Include]="Y")*(Records[Total Cash]&lt;&gt;""))/(COUNTIFS(Records[Organization],Records[Organization]&amp;"",Records[Role Group],"COO (Investment Office)",Records[Include],"Y")+(COUNTIFS(Records[Organization],Records[Organization]&amp;"",Records[Role Group],"COO (Investment Office)",Records[Include],"Y")=0))),0)</f>
        <v/>
      </c>
      <c r="I11" s="20">
        <f>SUMPRODUCT((Records[Role Group]="COO (Investment Office)")*(Records[Include]="Y")*(Records[Total Cash]&lt;&gt;""))</f>
        <v/>
      </c>
      <c r="J11" s="23">
        <f>IF(Inputs!$B$21="","",IFERROR(MAX(_xlfn._xlws.FILTER(Records[(C) Deferred],(Records[Role Group]="COO (Investment Office)")*(Records[Organization]=Inputs!$B$21)*(Records[Most Recent]="Y")*(Records[Total Cash]&lt;&gt;""))),""))</f>
        <v/>
      </c>
      <c r="K11" s="24">
        <f>IF(OR($J11="",$D11=""),"",$J11/$D11-1)</f>
        <v/>
      </c>
      <c r="L11" s="25">
        <f>IF($I11&gt;=k_MinQuartile,IF(OR($J11="",$J11=0),"",IFERROR(PERCENTRANK.INC(_xlfn._xlws.FILTER(Records[(C) Deferred],(Records[Role Group]="COO (Investment Office)")*(Records[Include]="Y")*(Records[Total Cash]&lt;&gt;"")),$J11,4),"")),"")</f>
        <v/>
      </c>
      <c r="M11" s="37">
        <f>IF(Inputs!$B$21="","",SUMPRODUCT((Records[Role Group]="COO (Investment Office)")*(Records[Organization]=Inputs!$B$21)*(Records[Most Recent]="Y")*(Records[Total Cash]&lt;&gt;"")))</f>
        <v/>
      </c>
    </row>
    <row r="12">
      <c r="A12" s="2" t="inlineStr">
        <is>
          <t>Nontaxable benefits</t>
        </is>
      </c>
      <c r="B12" s="19" t="inlineStr">
        <is>
          <t>Schedule J only</t>
        </is>
      </c>
      <c r="C12" s="21">
        <f>IF($I12&gt;=k_MinQuartile,MROUND(_xlfn.PERCENTILE.INC(_xlfn._xlws.FILTER(Records[(D) Nontax Benefits],(Records[Role Group]="COO (Investment Office)")*(Records[Include]="Y")*(Records[Total Cash]&lt;&gt;"")),0.25),k_RoundTo),"")</f>
        <v/>
      </c>
      <c r="D12" s="22">
        <f>IF($I12&gt;=k_MinMedian,MROUND(_xlfn.PERCENTILE.INC(_xlfn._xlws.FILTER(Records[(D) Nontax Benefits],(Records[Role Group]="COO (Investment Office)")*(Records[Include]="Y")*(Records[Total Cash]&lt;&gt;"")),0.5),k_RoundTo),"")</f>
        <v/>
      </c>
      <c r="E12" s="21">
        <f>IF($I12&gt;=k_MinQuartile,MROUND(_xlfn.PERCENTILE.INC(_xlfn._xlws.FILTER(Records[(D) Nontax Benefits],(Records[Role Group]="COO (Investment Office)")*(Records[Include]="Y")*(Records[Total Cash]&lt;&gt;"")),0.75),k_RoundTo),"")</f>
        <v/>
      </c>
      <c r="F12" s="21">
        <f>IF($I12&gt;=k_MinQuartile,MROUND(_xlfn.PERCENTILE.INC(_xlfn._xlws.FILTER(Records[(D) Nontax Benefits],(Records[Role Group]="COO (Investment Office)")*(Records[Include]="Y")*(Records[Total Cash]&lt;&gt;"")),0.9),k_RoundTo),"")</f>
        <v/>
      </c>
      <c r="G12" s="21">
        <f>IF($I12&gt;=k_MinMedian,MROUND(AVERAGE(_xlfn._xlws.FILTER(Records[(D) Nontax Benefits],(Records[Role Group]="COO (Investment Office)")*(Records[Include]="Y")*(Records[Total Cash]&lt;&gt;""))),k_RoundTo),"")</f>
        <v/>
      </c>
      <c r="H12" s="20">
        <f>IFERROR(SUMPRODUCT(((Records[Role Group]="COO (Investment Office)")*(Records[Include]="Y")*(Records[Total Cash]&lt;&gt;""))/(COUNTIFS(Records[Organization],Records[Organization]&amp;"",Records[Role Group],"COO (Investment Office)",Records[Include],"Y")+(COUNTIFS(Records[Organization],Records[Organization]&amp;"",Records[Role Group],"COO (Investment Office)",Records[Include],"Y")=0))),0)</f>
        <v/>
      </c>
      <c r="I12" s="20">
        <f>SUMPRODUCT((Records[Role Group]="COO (Investment Office)")*(Records[Include]="Y")*(Records[Total Cash]&lt;&gt;""))</f>
        <v/>
      </c>
      <c r="J12" s="23">
        <f>IF(Inputs!$B$21="","",IFERROR(MAX(_xlfn._xlws.FILTER(Records[(D) Nontax Benefits],(Records[Role Group]="COO (Investment Office)")*(Records[Organization]=Inputs!$B$21)*(Records[Most Recent]="Y")*(Records[Total Cash]&lt;&gt;""))),""))</f>
        <v/>
      </c>
      <c r="K12" s="24">
        <f>IF(OR($J12="",$D12=""),"",$J12/$D12-1)</f>
        <v/>
      </c>
      <c r="L12" s="25">
        <f>IF($I12&gt;=k_MinQuartile,IF(OR($J12="",$J12=0),"",IFERROR(PERCENTRANK.INC(_xlfn._xlws.FILTER(Records[(D) Nontax Benefits],(Records[Role Group]="COO (Investment Office)")*(Records[Include]="Y")*(Records[Total Cash]&lt;&gt;"")),$J12,4),"")),"")</f>
        <v/>
      </c>
      <c r="M12" s="37">
        <f>IF(Inputs!$B$21="","",SUMPRODUCT((Records[Role Group]="COO (Investment Office)")*(Records[Organization]=Inputs!$B$21)*(Records[Most Recent]="Y")*(Records[Total Cash]&lt;&gt;"")))</f>
        <v/>
      </c>
    </row>
    <row r="13">
      <c r="A13" s="2" t="inlineStr">
        <is>
          <t>Total compensation</t>
        </is>
      </c>
      <c r="B13" s="19" t="inlineStr">
        <is>
          <t>all filers</t>
        </is>
      </c>
      <c r="C13" s="21">
        <f>IF($I13&gt;=k_MinQuartile,MROUND(_xlfn.PERCENTILE.INC(_xlfn._xlws.FILTER(Records[(E) Total Comp],(Records[Role Group]="COO (Investment Office)")*(Records[Include]="Y")*(Records[(E) Total Comp]&gt;0)),0.25),k_RoundTo),"")</f>
        <v/>
      </c>
      <c r="D13" s="22">
        <f>IF($I13&gt;=k_MinMedian,MROUND(_xlfn.PERCENTILE.INC(_xlfn._xlws.FILTER(Records[(E) Total Comp],(Records[Role Group]="COO (Investment Office)")*(Records[Include]="Y")*(Records[(E) Total Comp]&gt;0)),0.5),k_RoundTo),"")</f>
        <v/>
      </c>
      <c r="E13" s="21">
        <f>IF($I13&gt;=k_MinQuartile,MROUND(_xlfn.PERCENTILE.INC(_xlfn._xlws.FILTER(Records[(E) Total Comp],(Records[Role Group]="COO (Investment Office)")*(Records[Include]="Y")*(Records[(E) Total Comp]&gt;0)),0.75),k_RoundTo),"")</f>
        <v/>
      </c>
      <c r="F13" s="21">
        <f>IF($I13&gt;=k_MinQuartile,MROUND(_xlfn.PERCENTILE.INC(_xlfn._xlws.FILTER(Records[(E) Total Comp],(Records[Role Group]="COO (Investment Office)")*(Records[Include]="Y")*(Records[(E) Total Comp]&gt;0)),0.9),k_RoundTo),"")</f>
        <v/>
      </c>
      <c r="G13" s="21">
        <f>IF($I13&gt;=k_MinMedian,MROUND(AVERAGE(_xlfn._xlws.FILTER(Records[(E) Total Comp],(Records[Role Group]="COO (Investment Office)")*(Records[Include]="Y")*(Records[(E) Total Comp]&gt;0))),k_RoundTo),"")</f>
        <v/>
      </c>
      <c r="H13" s="20">
        <f>IFERROR(SUMPRODUCT(((Records[Role Group]="COO (Investment Office)")*(Records[Include]="Y")*(Records[(E) Total Comp]&gt;0))/(COUNTIFS(Records[Organization],Records[Organization]&amp;"",Records[Role Group],"COO (Investment Office)",Records[Include],"Y")+(COUNTIFS(Records[Organization],Records[Organization]&amp;"",Records[Role Group],"COO (Investment Office)",Records[Include],"Y")=0))),0)</f>
        <v/>
      </c>
      <c r="I13" s="20">
        <f>SUMPRODUCT((Records[Role Group]="COO (Investment Office)")*(Records[Include]="Y")*(Records[(E) Total Comp]&gt;0))</f>
        <v/>
      </c>
      <c r="J13" s="23">
        <f>IF(Inputs!$B$21="","",IFERROR(MAX(_xlfn._xlws.FILTER(Records[(E) Total Comp],(Records[Role Group]="COO (Investment Office)")*(Records[Organization]=Inputs!$B$21)*(Records[Most Recent]="Y")*(Records[(E) Total Comp]&gt;0))),""))</f>
        <v/>
      </c>
      <c r="K13" s="24">
        <f>IF(OR($J13="",$D13=""),"",$J13/$D13-1)</f>
        <v/>
      </c>
      <c r="L13" s="25">
        <f>IF($I13&gt;=k_MinQuartile,IF(OR($J13="",$J13=0),"",IFERROR(PERCENTRANK.INC(_xlfn._xlws.FILTER(Records[(E) Total Comp],(Records[Role Group]="COO (Investment Office)")*(Records[Include]="Y")*(Records[(E) Total Comp]&gt;0)),$J13,4),"")),"")</f>
        <v/>
      </c>
      <c r="M13" s="37">
        <f>IF(Inputs!$B$21="","",SUMPRODUCT((Records[Role Group]="COO (Investment Office)")*(Records[Organization]=Inputs!$B$21)*(Records[Most Recent]="Y")*(Records[(E) Total Comp]&gt;0)))</f>
        <v/>
      </c>
    </row>
    <row r="14">
      <c r="A14" s="2" t="inlineStr">
        <is>
          <t>Adjusted total</t>
        </is>
      </c>
      <c r="B14" s="19" t="inlineStr">
        <is>
          <t>all filers</t>
        </is>
      </c>
      <c r="C14" s="21">
        <f>IF($I14&gt;=k_MinQuartile,MROUND(_xlfn.PERCENTILE.INC(_xlfn._xlws.FILTER(Records[Adj Total],(Records[Role Group]="COO (Investment Office)")*(Records[Include]="Y")*(Records[Adj Total]&gt;0)),0.25),k_RoundTo),"")</f>
        <v/>
      </c>
      <c r="D14" s="22">
        <f>IF($I14&gt;=k_MinMedian,MROUND(_xlfn.PERCENTILE.INC(_xlfn._xlws.FILTER(Records[Adj Total],(Records[Role Group]="COO (Investment Office)")*(Records[Include]="Y")*(Records[Adj Total]&gt;0)),0.5),k_RoundTo),"")</f>
        <v/>
      </c>
      <c r="E14" s="21">
        <f>IF($I14&gt;=k_MinQuartile,MROUND(_xlfn.PERCENTILE.INC(_xlfn._xlws.FILTER(Records[Adj Total],(Records[Role Group]="COO (Investment Office)")*(Records[Include]="Y")*(Records[Adj Total]&gt;0)),0.75),k_RoundTo),"")</f>
        <v/>
      </c>
      <c r="F14" s="21">
        <f>IF($I14&gt;=k_MinQuartile,MROUND(_xlfn.PERCENTILE.INC(_xlfn._xlws.FILTER(Records[Adj Total],(Records[Role Group]="COO (Investment Office)")*(Records[Include]="Y")*(Records[Adj Total]&gt;0)),0.9),k_RoundTo),"")</f>
        <v/>
      </c>
      <c r="G14" s="21">
        <f>IF($I14&gt;=k_MinMedian,MROUND(AVERAGE(_xlfn._xlws.FILTER(Records[Adj Total],(Records[Role Group]="COO (Investment Office)")*(Records[Include]="Y")*(Records[Adj Total]&gt;0))),k_RoundTo),"")</f>
        <v/>
      </c>
      <c r="H14" s="20">
        <f>IFERROR(SUMPRODUCT(((Records[Role Group]="COO (Investment Office)")*(Records[Include]="Y")*(Records[Adj Total]&gt;0))/(COUNTIFS(Records[Organization],Records[Organization]&amp;"",Records[Role Group],"COO (Investment Office)",Records[Include],"Y")+(COUNTIFS(Records[Organization],Records[Organization]&amp;"",Records[Role Group],"COO (Investment Office)",Records[Include],"Y")=0))),0)</f>
        <v/>
      </c>
      <c r="I14" s="20">
        <f>SUMPRODUCT((Records[Role Group]="COO (Investment Office)")*(Records[Include]="Y")*(Records[Adj Total]&gt;0))</f>
        <v/>
      </c>
      <c r="J14" s="23">
        <f>IF(Inputs!$B$21="","",IFERROR(MAX(_xlfn._xlws.FILTER(Records[Adj Total],(Records[Role Group]="COO (Investment Office)")*(Records[Organization]=Inputs!$B$21)*(Records[Most Recent]="Y")*(Records[Adj Total]&gt;0))),""))</f>
        <v/>
      </c>
      <c r="K14" s="24">
        <f>IF(OR($J14="",$D14=""),"",$J14/$D14-1)</f>
        <v/>
      </c>
      <c r="L14" s="25">
        <f>IF($I14&gt;=k_MinQuartile,IF(OR($J14="",$J14=0),"",IFERROR(PERCENTRANK.INC(_xlfn._xlws.FILTER(Records[Adj Total],(Records[Role Group]="COO (Investment Office)")*(Records[Include]="Y")*(Records[Adj Total]&gt;0)),$J14,4),"")),"")</f>
        <v/>
      </c>
      <c r="M14" s="37">
        <f>IF(Inputs!$B$21="","",SUMPRODUCT((Records[Role Group]="COO (Investment Office)")*(Records[Organization]=Inputs!$B$21)*(Records[Most Recent]="Y")*(Records[Adj Total]&gt;0)))</f>
        <v/>
      </c>
      <c r="N14" s="26">
        <f>IF(AND($I14&gt;=k_MinMedian,$I14&lt;k_MinQuartile,$D14&lt;&gt;""),MROUND($D14*k_Est_adj_heads_25,k_RoundTo),"")</f>
        <v/>
      </c>
      <c r="O14" s="26">
        <f>IF(AND($I14&gt;=k_MinMedian,$I14&lt;k_MinQuartile,$D14&lt;&gt;""),MROUND($D14*k_Est_adj_heads_75,k_RoundTo),"")</f>
        <v/>
      </c>
      <c r="P14" s="26">
        <f>IF(AND($I14&gt;=k_MinMedian,$I14&lt;k_MinQuartile,$D14&lt;&gt;""),MROUND($D14*k_Est_adj_heads_90,k_RoundTo),"")</f>
        <v/>
      </c>
    </row>
    <row r="15">
      <c r="A15" s="2" t="inlineStr">
        <is>
          <t>Adjusted total, aged</t>
        </is>
      </c>
      <c r="B15" s="19" t="inlineStr">
        <is>
          <t>all filers</t>
        </is>
      </c>
      <c r="C15" s="21">
        <f>IF($I15&gt;=k_MinQuartile,MROUND(_xlfn.PERCENTILE.INC(_xlfn._xlws.FILTER(Records[Aged Adj Total],(Records[Role Group]="COO (Investment Office)")*(Records[Include]="Y")*(Records[Aged Adj Total]&gt;0)),0.25),k_RoundTo),"")</f>
        <v/>
      </c>
      <c r="D15" s="22">
        <f>IF($I15&gt;=k_MinMedian,MROUND(_xlfn.PERCENTILE.INC(_xlfn._xlws.FILTER(Records[Aged Adj Total],(Records[Role Group]="COO (Investment Office)")*(Records[Include]="Y")*(Records[Aged Adj Total]&gt;0)),0.5),k_RoundTo),"")</f>
        <v/>
      </c>
      <c r="E15" s="21">
        <f>IF($I15&gt;=k_MinQuartile,MROUND(_xlfn.PERCENTILE.INC(_xlfn._xlws.FILTER(Records[Aged Adj Total],(Records[Role Group]="COO (Investment Office)")*(Records[Include]="Y")*(Records[Aged Adj Total]&gt;0)),0.75),k_RoundTo),"")</f>
        <v/>
      </c>
      <c r="F15" s="21">
        <f>IF($I15&gt;=k_MinQuartile,MROUND(_xlfn.PERCENTILE.INC(_xlfn._xlws.FILTER(Records[Aged Adj Total],(Records[Role Group]="COO (Investment Office)")*(Records[Include]="Y")*(Records[Aged Adj Total]&gt;0)),0.9),k_RoundTo),"")</f>
        <v/>
      </c>
      <c r="G15" s="21">
        <f>IF($I15&gt;=k_MinMedian,MROUND(AVERAGE(_xlfn._xlws.FILTER(Records[Aged Adj Total],(Records[Role Group]="COO (Investment Office)")*(Records[Include]="Y")*(Records[Aged Adj Total]&gt;0))),k_RoundTo),"")</f>
        <v/>
      </c>
      <c r="H15" s="20">
        <f>IFERROR(SUMPRODUCT(((Records[Role Group]="COO (Investment Office)")*(Records[Include]="Y")*(Records[Aged Adj Total]&gt;0))/(COUNTIFS(Records[Organization],Records[Organization]&amp;"",Records[Role Group],"COO (Investment Office)",Records[Include],"Y")+(COUNTIFS(Records[Organization],Records[Organization]&amp;"",Records[Role Group],"COO (Investment Office)",Records[Include],"Y")=0))),0)</f>
        <v/>
      </c>
      <c r="I15" s="20">
        <f>SUMPRODUCT((Records[Role Group]="COO (Investment Office)")*(Records[Include]="Y")*(Records[Aged Adj Total]&gt;0))</f>
        <v/>
      </c>
      <c r="J15" s="23">
        <f>IF(Inputs!$B$21="","",IFERROR(MAX(_xlfn._xlws.FILTER(Records[Aged Adj Total],(Records[Role Group]="COO (Investment Office)")*(Records[Organization]=Inputs!$B$21)*(Records[Most Recent]="Y")*(Records[Aged Adj Total]&gt;0))),""))</f>
        <v/>
      </c>
      <c r="K15" s="24">
        <f>IF(OR($J15="",$D15=""),"",$J15/$D15-1)</f>
        <v/>
      </c>
      <c r="L15" s="25">
        <f>IF($I15&gt;=k_MinQuartile,IF(OR($J15="",$J15=0),"",IFERROR(PERCENTRANK.INC(_xlfn._xlws.FILTER(Records[Aged Adj Total],(Records[Role Group]="COO (Investment Office)")*(Records[Include]="Y")*(Records[Aged Adj Total]&gt;0)),$J15,4),"")),"")</f>
        <v/>
      </c>
      <c r="M15" s="37">
        <f>IF(Inputs!$B$21="","",SUMPRODUCT((Records[Role Group]="COO (Investment Office)")*(Records[Organization]=Inputs!$B$21)*(Records[Most Recent]="Y")*(Records[Aged Adj Total]&gt;0)))</f>
        <v/>
      </c>
      <c r="N15" s="26">
        <f>IF(AND($I15&gt;=k_MinMedian,$I15&lt;k_MinQuartile,$D15&lt;&gt;""),MROUND($D15*k_Est_adj_heads_25,k_RoundTo),"")</f>
        <v/>
      </c>
      <c r="O15" s="26">
        <f>IF(AND($I15&gt;=k_MinMedian,$I15&lt;k_MinQuartile,$D15&lt;&gt;""),MROUND($D15*k_Est_adj_heads_75,k_RoundTo),"")</f>
        <v/>
      </c>
      <c r="P15" s="26">
        <f>IF(AND($I15&gt;=k_MinMedian,$I15&lt;k_MinQuartile,$D15&lt;&gt;""),MROUND($D15*k_Est_adj_heads_90,k_RoundTo),"")</f>
        <v/>
      </c>
    </row>
    <row r="16">
      <c r="A16" s="2" t="inlineStr">
        <is>
          <t>Incentive as % of base</t>
        </is>
      </c>
      <c r="B16" s="19" t="inlineStr">
        <is>
          <t>Schedule J only</t>
        </is>
      </c>
      <c r="C16" s="38">
        <f>IF($I16&gt;=k_MinQuartile,_xlfn.PERCENTILE.INC(_xlfn._xlws.FILTER(Records[Incentive % of Base],(Records[Role Group]="COO (Investment Office)")*(Records[Include]="Y")*(Records[Total Cash]&lt;&gt;"")),0.25),"")</f>
        <v/>
      </c>
      <c r="D16" s="39">
        <f>IF($I16&gt;=k_MinMedian,_xlfn.PERCENTILE.INC(_xlfn._xlws.FILTER(Records[Incentive % of Base],(Records[Role Group]="COO (Investment Office)")*(Records[Include]="Y")*(Records[Total Cash]&lt;&gt;"")),0.5),"")</f>
        <v/>
      </c>
      <c r="E16" s="38">
        <f>IF($I16&gt;=k_MinQuartile,_xlfn.PERCENTILE.INC(_xlfn._xlws.FILTER(Records[Incentive % of Base],(Records[Role Group]="COO (Investment Office)")*(Records[Include]="Y")*(Records[Total Cash]&lt;&gt;"")),0.75),"")</f>
        <v/>
      </c>
      <c r="F16" s="38">
        <f>IF($I16&gt;=k_MinQuartile,_xlfn.PERCENTILE.INC(_xlfn._xlws.FILTER(Records[Incentive % of Base],(Records[Role Group]="COO (Investment Office)")*(Records[Include]="Y")*(Records[Total Cash]&lt;&gt;"")),0.9),"")</f>
        <v/>
      </c>
      <c r="G16" s="38">
        <f>IF($I16&gt;=k_MinMedian,AVERAGE(_xlfn._xlws.FILTER(Records[Incentive % of Base],(Records[Role Group]="COO (Investment Office)")*(Records[Include]="Y")*(Records[Total Cash]&lt;&gt;""))),"")</f>
        <v/>
      </c>
      <c r="H16" s="20">
        <f>IFERROR(SUMPRODUCT(((Records[Role Group]="COO (Investment Office)")*(Records[Include]="Y")*(Records[Total Cash]&lt;&gt;""))/(COUNTIFS(Records[Organization],Records[Organization]&amp;"",Records[Role Group],"COO (Investment Office)",Records[Include],"Y")+(COUNTIFS(Records[Organization],Records[Organization]&amp;"",Records[Role Group],"COO (Investment Office)",Records[Include],"Y")=0))),0)</f>
        <v/>
      </c>
      <c r="I16" s="20">
        <f>SUMPRODUCT((Records[Role Group]="COO (Investment Office)")*(Records[Include]="Y")*(Records[Total Cash]&lt;&gt;""))</f>
        <v/>
      </c>
      <c r="J16" s="40">
        <f>IF(Inputs!$B$21="","",IFERROR(MAX(_xlfn._xlws.FILTER(Records[Incentive % of Base],(Records[Role Group]="COO (Investment Office)")*(Records[Organization]=Inputs!$B$21)*(Records[Most Recent]="Y")*(Records[Total Cash]&lt;&gt;""))),""))</f>
        <v/>
      </c>
      <c r="K16" s="41">
        <f>IF(OR($J16="",$D16=""),"",$J16-$D16)</f>
        <v/>
      </c>
      <c r="L16" s="25">
        <f>IF($I16&gt;=k_MinQuartile,IF(OR($J16="",$J16=0),"",IFERROR(PERCENTRANK.INC(_xlfn._xlws.FILTER(Records[Incentive % of Base],(Records[Role Group]="COO (Investment Office)")*(Records[Include]="Y")*(Records[Total Cash]&lt;&gt;"")),$J16,4),"")),"")</f>
        <v/>
      </c>
      <c r="M16" s="37">
        <f>IF(Inputs!$B$21="","",SUMPRODUCT((Records[Role Group]="COO (Investment Office)")*(Records[Organization]=Inputs!$B$21)*(Records[Most Recent]="Y")*(Records[Total Cash]&lt;&gt;"")))</f>
        <v/>
      </c>
    </row>
    <row r="17"/>
    <row r="18">
      <c r="A18" s="19" t="inlineStr">
        <is>
          <t>Blank = too few people, not zero. Median 2+, quartiles 5+.</t>
        </is>
      </c>
    </row>
    <row r="19">
      <c r="A19" s="19" t="inlineStr">
        <is>
          <t>(1) Est. columns, italic: where the median exists but fewer than 5 people, the median times the ratio measured on endowments and foundations at $2b+ (Methodology). Never the median; not a measured figure.</t>
        </is>
      </c>
    </row>
    <row r="20"/>
    <row r="21">
      <c r="A21" s="1" t="inlineStr">
        <is>
          <t>Peer records</t>
        </is>
      </c>
    </row>
    <row r="22">
      <c r="A22" s="19" t="inlineStr">
        <is>
          <t>Filter Include = "Y" for the peer set.</t>
        </is>
      </c>
    </row>
    <row r="23"/>
    <row r="24" ht="30" customHeight="1">
      <c r="A24" s="35" t="inlineStr">
        <is>
          <t>Organization</t>
        </is>
      </c>
      <c r="B24" s="35" t="inlineStr">
        <is>
          <t>State</t>
        </is>
      </c>
      <c r="C24" s="35" t="inlineStr">
        <is>
          <t>AUM ($B)</t>
        </is>
      </c>
      <c r="D24" s="35" t="inlineStr">
        <is>
          <t>Institution Type</t>
        </is>
      </c>
      <c r="E24" s="35" t="inlineStr">
        <is>
          <t>Year</t>
        </is>
      </c>
      <c r="F24" s="35" t="inlineStr">
        <is>
          <t>Include</t>
        </is>
      </c>
      <c r="G24" s="35" t="inlineStr">
        <is>
          <t>Name</t>
        </is>
      </c>
      <c r="H24" s="35" t="inlineStr">
        <is>
          <t>Raw Title</t>
        </is>
      </c>
      <c r="I24" s="35" t="inlineStr">
        <is>
          <t>Standardized Title</t>
        </is>
      </c>
      <c r="J24" s="35" t="inlineStr">
        <is>
          <t>(B)(i) Base</t>
        </is>
      </c>
      <c r="K24" s="35" t="inlineStr">
        <is>
          <t>(B)(ii) Bonus</t>
        </is>
      </c>
      <c r="L24" s="35" t="inlineStr">
        <is>
          <t>Total Cash</t>
        </is>
      </c>
      <c r="M24" s="35" t="inlineStr">
        <is>
          <t>(B)(iii) Other</t>
        </is>
      </c>
      <c r="N24" s="35" t="inlineStr">
        <is>
          <t>(C) Deferred</t>
        </is>
      </c>
      <c r="O24" s="35" t="inlineStr">
        <is>
          <t>(D) Nontax Benefits</t>
        </is>
      </c>
      <c r="P24" s="35" t="inlineStr">
        <is>
          <t>(E) Total Comp</t>
        </is>
      </c>
      <c r="Q24" s="35" t="inlineStr">
        <is>
          <t>Adj Total</t>
        </is>
      </c>
      <c r="R24" s="35" t="inlineStr">
        <is>
          <t>Aged Adj Total</t>
        </is>
      </c>
      <c r="S24" s="35" t="inlineStr">
        <is>
          <t>Incentive % of Base</t>
        </is>
      </c>
      <c r="T24" s="35" t="inlineStr">
        <is>
          <t>Filing</t>
        </is>
      </c>
    </row>
    <row r="25">
      <c r="A25" t="inlineStr">
        <is>
          <t>Bowdoin College</t>
        </is>
      </c>
      <c r="B25" s="20" t="inlineStr">
        <is>
          <t>ME</t>
        </is>
      </c>
      <c r="C25" s="42" t="n">
        <v>2.92</v>
      </c>
      <c r="D25" t="inlineStr">
        <is>
          <t>Endowment</t>
        </is>
      </c>
      <c r="E25" s="20" t="n">
        <v>2025</v>
      </c>
      <c r="F25" s="20">
        <f>IF(AND(OR(in_Mode="All Funds",AND(C25&gt;=in_BandFloor,C25&lt;=in_BandCeiling,OR(in_Geography="National",COUNTIFS(lst_GeoPreset,in_Geography,lst_GeoState,B25)&gt;0,AND(in_Geography="Custom",ISNUMBER(SEARCH(B25,SUBSTITUTE(in_CustomStates," ",""))))),OR(AND(D25="Endowment",Inputs!$B$14="Y"),AND(D25="Foundation",Inputs!$B$15="Y"),AND(D25="Healthcare",Inputs!$B$16="Y"),AND(D25="Pension",Inputs!$B$17="Y"),AND(D25="OCIO",Inputs!$B$18="Y"),AND(D25="Other",Inputs!$B$19="Y")))),A25&lt;&gt;in_ClientOrg,NOT(AND(in_ExclHarvard="Y",ISNUMBER(SEARCH("Harvard",A25))))),"Y","")</f>
        <v/>
      </c>
      <c r="G25" t="inlineStr">
        <is>
          <t>Ashley Conrad</t>
        </is>
      </c>
      <c r="H25" t="inlineStr">
        <is>
          <t>ENDOWMENT CHIEF OP OFFICER</t>
        </is>
      </c>
      <c r="I25" t="inlineStr">
        <is>
          <t>COO (Inv Entity)</t>
        </is>
      </c>
      <c r="J25" s="21" t="n">
        <v>279638</v>
      </c>
      <c r="K25" s="21" t="n">
        <v>190725</v>
      </c>
      <c r="L25" s="21" t="n">
        <v>470363</v>
      </c>
      <c r="M25" s="21" t="n">
        <v>1088</v>
      </c>
      <c r="N25" s="21" t="n">
        <v>44882</v>
      </c>
      <c r="O25" s="21" t="n">
        <v>27646</v>
      </c>
      <c r="P25" s="21" t="n">
        <v>543979</v>
      </c>
      <c r="Q25" s="21" t="n">
        <v>543979</v>
      </c>
      <c r="R25" s="21">
        <f>IF(Q25="","",Q25*(1+in_GrowthRate)^(YEARFRAC(DATE(2025,6,30),in_AgeToDate)*IF(in_AgeToDate&lt;DATE(2025,6,30),-1,1)+1))</f>
        <v/>
      </c>
      <c r="S25" s="38" t="n">
        <v>0.6820424978007281</v>
      </c>
      <c r="T25" s="43">
        <f>HYPERLINK("https://projects.propublica.org/nonprofits/organizations/10215213/202611329349306966/full","view filing")</f>
        <v/>
      </c>
    </row>
    <row r="26">
      <c r="A26" t="inlineStr">
        <is>
          <t>Bowdoin College</t>
        </is>
      </c>
      <c r="B26" s="20" t="inlineStr">
        <is>
          <t>ME</t>
        </is>
      </c>
      <c r="C26" s="42" t="n">
        <v>2.92</v>
      </c>
      <c r="D26" t="inlineStr">
        <is>
          <t>Endowment</t>
        </is>
      </c>
      <c r="E26" s="20" t="n">
        <v>2024</v>
      </c>
      <c r="F26" s="20" t="inlineStr"/>
      <c r="G26" t="inlineStr">
        <is>
          <t>Ashley Labreck</t>
        </is>
      </c>
      <c r="H26" t="inlineStr">
        <is>
          <t>ENDOWMENT CHIEF OP OFFICER</t>
        </is>
      </c>
      <c r="I26" t="inlineStr">
        <is>
          <t>COO (Inv Entity)</t>
        </is>
      </c>
      <c r="J26" s="21" t="n">
        <v>266304</v>
      </c>
      <c r="K26" s="21" t="n">
        <v>184275</v>
      </c>
      <c r="L26" s="21" t="n">
        <v>450579</v>
      </c>
      <c r="M26" s="21" t="n">
        <v>1023</v>
      </c>
      <c r="N26" s="21" t="n">
        <v>42880</v>
      </c>
      <c r="O26" s="21" t="n">
        <v>32794</v>
      </c>
      <c r="P26" s="21" t="n">
        <v>527276</v>
      </c>
      <c r="Q26" s="21" t="n">
        <v>527276</v>
      </c>
      <c r="R26" s="21">
        <f>IF(Q26="","",Q26*(1+in_GrowthRate)^(YEARFRAC(DATE(2024,6,30),in_AgeToDate)*IF(in_AgeToDate&lt;DATE(2024,6,30),-1,1)+1))</f>
        <v/>
      </c>
      <c r="S26" s="38" t="n">
        <v>0.6919723323720259</v>
      </c>
      <c r="T26" s="43">
        <f>HYPERLINK("https://projects.propublica.org/nonprofits/organizations/10215213/202531329349302018/full","view filing")</f>
        <v/>
      </c>
    </row>
    <row r="27">
      <c r="A27" t="inlineStr">
        <is>
          <t>Bowdoin College</t>
        </is>
      </c>
      <c r="B27" s="20" t="inlineStr">
        <is>
          <t>ME</t>
        </is>
      </c>
      <c r="C27" s="42" t="n">
        <v>2.92</v>
      </c>
      <c r="D27" t="inlineStr">
        <is>
          <t>Endowment</t>
        </is>
      </c>
      <c r="E27" s="20" t="n">
        <v>2023</v>
      </c>
      <c r="F27" s="20" t="inlineStr"/>
      <c r="G27" t="inlineStr">
        <is>
          <t>Ashley Labreck</t>
        </is>
      </c>
      <c r="H27" t="inlineStr">
        <is>
          <t>ENDOWMENT CHIEF OP OFFICER</t>
        </is>
      </c>
      <c r="I27" t="inlineStr">
        <is>
          <t>COO (Inv Entity)</t>
        </is>
      </c>
      <c r="J27" s="21" t="n">
        <v>190664</v>
      </c>
      <c r="K27" s="21" t="n">
        <v>175500</v>
      </c>
      <c r="L27" s="21" t="n">
        <v>366164</v>
      </c>
      <c r="M27" s="21" t="n">
        <v>684</v>
      </c>
      <c r="N27" s="21" t="n">
        <v>49922</v>
      </c>
      <c r="O27" s="21" t="n">
        <v>29730</v>
      </c>
      <c r="P27" s="21" t="n">
        <v>446500</v>
      </c>
      <c r="Q27" s="21" t="n">
        <v>446500</v>
      </c>
      <c r="R27" s="21">
        <f>IF(Q27="","",Q27*(1+in_GrowthRate)^(YEARFRAC(DATE(2023,6,30),in_AgeToDate)*IF(in_AgeToDate&lt;DATE(2023,6,30),-1,1)+1))</f>
        <v/>
      </c>
      <c r="S27" s="38" t="n">
        <v>0.9204674191247431</v>
      </c>
      <c r="T27" s="43">
        <f>HYPERLINK("https://projects.propublica.org/nonprofits/organizations/10215213/202411359349306506/full","view filing")</f>
        <v/>
      </c>
    </row>
    <row r="28">
      <c r="A28" t="inlineStr">
        <is>
          <t>Brown University Of Providence</t>
        </is>
      </c>
      <c r="B28" s="20" t="inlineStr">
        <is>
          <t>RI</t>
        </is>
      </c>
      <c r="C28" s="42" t="n">
        <v>7.28</v>
      </c>
      <c r="D28" t="inlineStr">
        <is>
          <t>Endowment</t>
        </is>
      </c>
      <c r="E28" s="20" t="n">
        <v>2025</v>
      </c>
      <c r="F28" s="20">
        <f>IF(AND(OR(in_Mode="All Funds",AND(C28&gt;=in_BandFloor,C28&lt;=in_BandCeiling,OR(in_Geography="National",COUNTIFS(lst_GeoPreset,in_Geography,lst_GeoState,B28)&gt;0,AND(in_Geography="Custom",ISNUMBER(SEARCH(B28,SUBSTITUTE(in_CustomStates," ",""))))),OR(AND(D28="Endowment",Inputs!$B$14="Y"),AND(D28="Foundation",Inputs!$B$15="Y"),AND(D28="Healthcare",Inputs!$B$16="Y"),AND(D28="Pension",Inputs!$B$17="Y"),AND(D28="OCIO",Inputs!$B$18="Y"),AND(D28="Other",Inputs!$B$19="Y")))),A28&lt;&gt;in_ClientOrg,NOT(AND(in_ExclHarvard="Y",ISNUMBER(SEARCH("Harvard",A28))))),"Y","")</f>
        <v/>
      </c>
      <c r="G28" t="inlineStr">
        <is>
          <t>Erica Nourjian</t>
        </is>
      </c>
      <c r="H28" t="inlineStr">
        <is>
          <t>HEAD OF OPERATIONS-INVESTMENTS</t>
        </is>
      </c>
      <c r="I28" t="inlineStr">
        <is>
          <t>Head of Inv Ops (Inv Entity)</t>
        </is>
      </c>
      <c r="J28" s="21" t="n">
        <v>438914</v>
      </c>
      <c r="K28" s="21" t="n">
        <v>500000</v>
      </c>
      <c r="L28" s="21" t="n">
        <v>938914</v>
      </c>
      <c r="M28" s="21" t="n">
        <v>127600</v>
      </c>
      <c r="N28" s="21" t="n">
        <v>110933</v>
      </c>
      <c r="O28" s="21" t="n">
        <v>30266</v>
      </c>
      <c r="P28" s="21" t="n">
        <v>1207713</v>
      </c>
      <c r="Q28" s="21" t="n">
        <v>1174380</v>
      </c>
      <c r="R28" s="21">
        <f>IF(Q28="","",Q28*(1+in_GrowthRate)^(YEARFRAC(DATE(2025,6,30),in_AgeToDate)*IF(in_AgeToDate&lt;DATE(2025,6,30),-1,1)+1))</f>
        <v/>
      </c>
      <c r="S28" s="38" t="n">
        <v>1.139175328196412</v>
      </c>
      <c r="T28" s="43">
        <f>HYPERLINK("https://projects.propublica.org/nonprofits/organizations/50258809/202631319349306043/full","view filing")</f>
        <v/>
      </c>
    </row>
    <row r="29">
      <c r="A29" t="inlineStr">
        <is>
          <t>Brown University Of Providence</t>
        </is>
      </c>
      <c r="B29" s="20" t="inlineStr">
        <is>
          <t>RI</t>
        </is>
      </c>
      <c r="C29" s="42" t="n">
        <v>7.28</v>
      </c>
      <c r="D29" t="inlineStr">
        <is>
          <t>Endowment</t>
        </is>
      </c>
      <c r="E29" s="20" t="n">
        <v>2024</v>
      </c>
      <c r="F29" s="20" t="inlineStr"/>
      <c r="G29" t="inlineStr">
        <is>
          <t>Erica Nourjian</t>
        </is>
      </c>
      <c r="H29" t="inlineStr">
        <is>
          <t>HEAD OF OPERATIONS-INVESTMENTS</t>
        </is>
      </c>
      <c r="I29" t="inlineStr">
        <is>
          <t>Head of Inv Ops (Inv Entity)</t>
        </is>
      </c>
      <c r="J29" s="21" t="n">
        <v>424912</v>
      </c>
      <c r="K29" s="21" t="n">
        <v>450000</v>
      </c>
      <c r="L29" s="21" t="n">
        <v>874912</v>
      </c>
      <c r="M29" s="21" t="n">
        <v>26400</v>
      </c>
      <c r="N29" s="21" t="n">
        <v>109233</v>
      </c>
      <c r="O29" s="21" t="n">
        <v>29592</v>
      </c>
      <c r="P29" s="21" t="n">
        <v>1040137</v>
      </c>
      <c r="Q29" s="21" t="n">
        <v>1040137</v>
      </c>
      <c r="R29" s="21">
        <f>IF(Q29="","",Q29*(1+in_GrowthRate)^(YEARFRAC(DATE(2024,6,30),in_AgeToDate)*IF(in_AgeToDate&lt;DATE(2024,6,30),-1,1)+1))</f>
        <v/>
      </c>
      <c r="S29" s="38" t="n">
        <v>1.05904281357081</v>
      </c>
      <c r="T29" s="43">
        <f>HYPERLINK("https://projects.propublica.org/nonprofits/organizations/50258809/202541359349309534/full","view filing")</f>
        <v/>
      </c>
    </row>
    <row r="30">
      <c r="A30" t="inlineStr">
        <is>
          <t>Brown University Of Providence</t>
        </is>
      </c>
      <c r="B30" s="20" t="inlineStr">
        <is>
          <t>RI</t>
        </is>
      </c>
      <c r="C30" s="42" t="n">
        <v>7.28</v>
      </c>
      <c r="D30" t="inlineStr">
        <is>
          <t>Endowment</t>
        </is>
      </c>
      <c r="E30" s="20" t="n">
        <v>2023</v>
      </c>
      <c r="F30" s="20" t="inlineStr"/>
      <c r="G30" t="inlineStr">
        <is>
          <t>Erica Nourjian</t>
        </is>
      </c>
      <c r="H30" t="inlineStr">
        <is>
          <t>HEAD OF OPERATIONS-INVESTMENTS</t>
        </is>
      </c>
      <c r="I30" t="inlineStr">
        <is>
          <t>Head of Inv Ops (Inv Entity)</t>
        </is>
      </c>
      <c r="J30" s="21" t="n">
        <v>413804</v>
      </c>
      <c r="K30" s="21" t="n">
        <v>454500</v>
      </c>
      <c r="L30" s="21" t="n">
        <v>868304</v>
      </c>
      <c r="M30" s="21" t="n">
        <v>24400</v>
      </c>
      <c r="N30" s="21" t="n">
        <v>24400</v>
      </c>
      <c r="O30" s="21" t="n">
        <v>26744</v>
      </c>
      <c r="P30" s="21" t="n">
        <v>943848</v>
      </c>
      <c r="Q30" s="21" t="n">
        <v>943848</v>
      </c>
      <c r="R30" s="21">
        <f>IF(Q30="","",Q30*(1+in_GrowthRate)^(YEARFRAC(DATE(2023,6,30),in_AgeToDate)*IF(in_AgeToDate&lt;DATE(2023,6,30),-1,1)+1))</f>
        <v/>
      </c>
      <c r="S30" s="38" t="n">
        <v>1.098346076886642</v>
      </c>
      <c r="T30" s="43">
        <f>HYPERLINK("https://projects.propublica.org/nonprofits/organizations/50258809/202401319349305030/full","view filing")</f>
        <v/>
      </c>
    </row>
    <row r="31">
      <c r="A31" t="inlineStr">
        <is>
          <t>Brown University Of Providence</t>
        </is>
      </c>
      <c r="B31" s="20" t="inlineStr">
        <is>
          <t>RI</t>
        </is>
      </c>
      <c r="C31" s="42" t="n">
        <v>7.28</v>
      </c>
      <c r="D31" t="inlineStr">
        <is>
          <t>Endowment</t>
        </is>
      </c>
      <c r="E31" s="20" t="n">
        <v>2022</v>
      </c>
      <c r="F31" s="20" t="inlineStr"/>
      <c r="G31" t="inlineStr">
        <is>
          <t>Erica Nourjian</t>
        </is>
      </c>
      <c r="H31" t="inlineStr">
        <is>
          <t>HEAD OF OPERATIONS-INVESTMENTS</t>
        </is>
      </c>
      <c r="I31" t="inlineStr">
        <is>
          <t>Head of Inv Ops (Inv Entity)</t>
        </is>
      </c>
      <c r="J31" s="21" t="n">
        <v>372701</v>
      </c>
      <c r="K31" s="21" t="n">
        <v>500000</v>
      </c>
      <c r="L31" s="21" t="n">
        <v>872701</v>
      </c>
      <c r="M31" s="21" t="n"/>
      <c r="N31" s="21" t="n">
        <v>19969</v>
      </c>
      <c r="O31" s="21" t="n">
        <v>25305</v>
      </c>
      <c r="P31" s="21" t="n">
        <v>917975</v>
      </c>
      <c r="Q31" s="21" t="n">
        <v>917975</v>
      </c>
      <c r="R31" s="21">
        <f>IF(Q31="","",Q31*(1+in_GrowthRate)^(YEARFRAC(DATE(2022,6,30),in_AgeToDate)*IF(in_AgeToDate&lt;DATE(2022,6,30),-1,1)+1))</f>
        <v/>
      </c>
      <c r="S31" s="38" t="n">
        <v>1.34155797811114</v>
      </c>
      <c r="T31" s="43">
        <f>HYPERLINK("https://projects.propublica.org/nonprofits/organizations/50258809/202341319349306579/full","view filing")</f>
        <v/>
      </c>
    </row>
    <row r="32">
      <c r="A32" t="inlineStr">
        <is>
          <t>Bryn Mawr College</t>
        </is>
      </c>
      <c r="B32" s="20" t="inlineStr">
        <is>
          <t>PA</t>
        </is>
      </c>
      <c r="C32" s="42" t="n">
        <v>1.34</v>
      </c>
      <c r="D32" t="inlineStr">
        <is>
          <t>Endowment</t>
        </is>
      </c>
      <c r="E32" s="20" t="n">
        <v>2024</v>
      </c>
      <c r="F32" s="20" t="inlineStr"/>
      <c r="G32" t="inlineStr">
        <is>
          <t>Henry Phan</t>
        </is>
      </c>
      <c r="H32" t="inlineStr">
        <is>
          <t>DIR. OF INVESTMENT OPERATIONS AND RISK MANAGEM</t>
        </is>
      </c>
      <c r="I32" t="inlineStr">
        <is>
          <t>Head of Inv Ops (Inv Entity)</t>
        </is>
      </c>
      <c r="J32" s="21" t="n">
        <v>270372</v>
      </c>
      <c r="K32" s="21" t="n">
        <v>29600</v>
      </c>
      <c r="L32" s="21" t="n">
        <v>299972</v>
      </c>
      <c r="M32" s="21" t="n"/>
      <c r="N32" s="21" t="n">
        <v>31250</v>
      </c>
      <c r="O32" s="21" t="n">
        <v>32606</v>
      </c>
      <c r="P32" s="21" t="n">
        <v>363828</v>
      </c>
      <c r="Q32" s="21" t="n">
        <v>363828</v>
      </c>
      <c r="R32" s="21">
        <f>IF(Q32="","",Q32*(1+in_GrowthRate)^(YEARFRAC(DATE(2024,5,31),in_AgeToDate)*IF(in_AgeToDate&lt;DATE(2024,5,31),-1,1)+1))</f>
        <v/>
      </c>
      <c r="S32" s="38" t="n">
        <v>0.1094787921826225</v>
      </c>
      <c r="T32" s="43">
        <f>HYPERLINK("https://projects.propublica.org/nonprofits/organizations/231352621/202521059349301247/full","view filing")</f>
        <v/>
      </c>
    </row>
    <row r="33">
      <c r="A33" t="inlineStr">
        <is>
          <t>California Institute Of Technology</t>
        </is>
      </c>
      <c r="B33" s="20" t="inlineStr">
        <is>
          <t>CA</t>
        </is>
      </c>
      <c r="C33" s="42" t="n">
        <v>4.32</v>
      </c>
      <c r="D33" t="inlineStr">
        <is>
          <t>Endowment</t>
        </is>
      </c>
      <c r="E33" s="20" t="n">
        <v>2024</v>
      </c>
      <c r="F33" s="20" t="inlineStr"/>
      <c r="G33" t="inlineStr">
        <is>
          <t>Kirk Kawasawa</t>
        </is>
      </c>
      <c r="H33" t="inlineStr">
        <is>
          <t>SR MNG DIR INVESTMENT OPS</t>
        </is>
      </c>
      <c r="I33" t="inlineStr">
        <is>
          <t>Managing Director</t>
        </is>
      </c>
      <c r="J33" s="21" t="n">
        <v>349846</v>
      </c>
      <c r="K33" s="21" t="n">
        <v>248190</v>
      </c>
      <c r="L33" s="21" t="n">
        <v>598036</v>
      </c>
      <c r="M33" s="21" t="n">
        <v>15609</v>
      </c>
      <c r="N33" s="21" t="n">
        <v>130269</v>
      </c>
      <c r="O33" s="21" t="n">
        <v>38174</v>
      </c>
      <c r="P33" s="21" t="n">
        <v>782088</v>
      </c>
      <c r="Q33" s="21" t="n">
        <v>677898</v>
      </c>
      <c r="R33" s="21">
        <f>IF(Q33="","",Q33*(1+in_GrowthRate)^(YEARFRAC(DATE(2024,9,30),in_AgeToDate)*IF(in_AgeToDate&lt;DATE(2024,9,30),-1,1)+1))</f>
        <v/>
      </c>
      <c r="S33" s="38" t="n">
        <v>0.7094264333449575</v>
      </c>
      <c r="T33" s="43">
        <f>HYPERLINK("https://projects.propublica.org/nonprofits/organizations/951643307/202512239349302301/full","view filing")</f>
        <v/>
      </c>
    </row>
    <row r="34">
      <c r="A34" t="inlineStr">
        <is>
          <t>California Institute Of Technology</t>
        </is>
      </c>
      <c r="B34" s="20" t="inlineStr">
        <is>
          <t>CA</t>
        </is>
      </c>
      <c r="C34" s="42" t="n">
        <v>4.32</v>
      </c>
      <c r="D34" t="inlineStr">
        <is>
          <t>Endowment</t>
        </is>
      </c>
      <c r="E34" s="20" t="n">
        <v>2022</v>
      </c>
      <c r="F34" s="20" t="inlineStr"/>
      <c r="G34" t="inlineStr">
        <is>
          <t>Kirk Kawasawa</t>
        </is>
      </c>
      <c r="H34" t="inlineStr">
        <is>
          <t>SR MG DIRECTOR, INVESTMENT OPS</t>
        </is>
      </c>
      <c r="I34" t="inlineStr">
        <is>
          <t>Managing Director</t>
        </is>
      </c>
      <c r="J34" s="21" t="n">
        <v>289665</v>
      </c>
      <c r="K34" s="21" t="n">
        <v>465574</v>
      </c>
      <c r="L34" s="21" t="n">
        <v>755239</v>
      </c>
      <c r="M34" s="21" t="n">
        <v>1721</v>
      </c>
      <c r="N34" s="21" t="n">
        <v>147342</v>
      </c>
      <c r="O34" s="21" t="n">
        <v>26291</v>
      </c>
      <c r="P34" s="21" t="n">
        <v>930593</v>
      </c>
      <c r="Q34" s="21" t="n">
        <v>930593</v>
      </c>
      <c r="R34" s="21">
        <f>IF(Q34="","",Q34*(1+in_GrowthRate)^(YEARFRAC(DATE(2022,9,30),in_AgeToDate)*IF(in_AgeToDate&lt;DATE(2022,9,30),-1,1)+1))</f>
        <v/>
      </c>
      <c r="S34" s="38" t="n">
        <v>1.607284276664423</v>
      </c>
      <c r="T34" s="43">
        <f>HYPERLINK("https://projects.propublica.org/nonprofits/organizations/951643307/202342239349301844/full","view filing")</f>
        <v/>
      </c>
    </row>
    <row r="35">
      <c r="A35" t="inlineStr">
        <is>
          <t>Cleveland Clinic Foundation</t>
        </is>
      </c>
      <c r="B35" s="20" t="inlineStr">
        <is>
          <t>OH</t>
        </is>
      </c>
      <c r="C35" s="42" t="n">
        <v>14.26</v>
      </c>
      <c r="D35" t="inlineStr">
        <is>
          <t>Healthcare</t>
        </is>
      </c>
      <c r="E35" s="20" t="n">
        <v>2023</v>
      </c>
      <c r="F35" s="20" t="inlineStr"/>
      <c r="G35" t="inlineStr">
        <is>
          <t>Vidmar Erick</t>
        </is>
      </c>
      <c r="H35" t="inlineStr">
        <is>
          <t>SR. DIR OF OPERATIONS - CC NV</t>
        </is>
      </c>
      <c r="I35" t="inlineStr">
        <is>
          <t>Head of Inv Ops (Inv Entity)</t>
        </is>
      </c>
      <c r="J35" s="21" t="n">
        <v>222964</v>
      </c>
      <c r="K35" s="21" t="n"/>
      <c r="L35" s="21" t="n">
        <v>222964</v>
      </c>
      <c r="M35" s="21" t="n">
        <v>6041</v>
      </c>
      <c r="N35" s="21" t="n">
        <v>8824</v>
      </c>
      <c r="O35" s="21" t="n">
        <v>17679</v>
      </c>
      <c r="P35" s="21" t="n">
        <v>255508</v>
      </c>
      <c r="Q35" s="21" t="n">
        <v>255508</v>
      </c>
      <c r="R35" s="21">
        <f>IF(Q35="","",Q35*(1+in_GrowthRate)^(YEARFRAC(DATE(2023,12,31),in_AgeToDate)*IF(in_AgeToDate&lt;DATE(2023,12,31),-1,1)+1))</f>
        <v/>
      </c>
      <c r="S35" s="38" t="n">
        <v>0</v>
      </c>
      <c r="T35" s="43">
        <f>HYPERLINK("https://projects.propublica.org/nonprofits/organizations/912153073/202433199349303353/full","view filing")</f>
        <v/>
      </c>
    </row>
    <row r="36">
      <c r="A36" t="inlineStr">
        <is>
          <t>Cystic Fibrosis Foundation</t>
        </is>
      </c>
      <c r="B36" s="20" t="inlineStr">
        <is>
          <t>MD</t>
        </is>
      </c>
      <c r="C36" s="42" t="n">
        <v>4.78</v>
      </c>
      <c r="D36" t="inlineStr">
        <is>
          <t>Foundation</t>
        </is>
      </c>
      <c r="E36" s="20" t="n">
        <v>2024</v>
      </c>
      <c r="F36" s="20">
        <f>IF(AND(OR(in_Mode="All Funds",AND(C36&gt;=in_BandFloor,C36&lt;=in_BandCeiling,OR(in_Geography="National",COUNTIFS(lst_GeoPreset,in_Geography,lst_GeoState,B36)&gt;0,AND(in_Geography="Custom",ISNUMBER(SEARCH(B36,SUBSTITUTE(in_CustomStates," ",""))))),OR(AND(D36="Endowment",Inputs!$B$14="Y"),AND(D36="Foundation",Inputs!$B$15="Y"),AND(D36="Healthcare",Inputs!$B$16="Y"),AND(D36="Pension",Inputs!$B$17="Y"),AND(D36="OCIO",Inputs!$B$18="Y"),AND(D36="Other",Inputs!$B$19="Y")))),A36&lt;&gt;in_ClientOrg,NOT(AND(in_ExclHarvard="Y",ISNUMBER(SEARCH("Harvard",A36))))),"Y","")</f>
        <v/>
      </c>
      <c r="G36" t="inlineStr">
        <is>
          <t>Gentiana S Arovas</t>
        </is>
      </c>
      <c r="H36" t="inlineStr">
        <is>
          <t>MANAGING DIRECTOR, INVESTMENTS OPERATIONS</t>
        </is>
      </c>
      <c r="I36" t="inlineStr">
        <is>
          <t>Managing Director</t>
        </is>
      </c>
      <c r="J36" s="21" t="n">
        <v>478673</v>
      </c>
      <c r="K36" s="21" t="n">
        <v>161598</v>
      </c>
      <c r="L36" s="21" t="n">
        <v>640271</v>
      </c>
      <c r="M36" s="21" t="n">
        <v>2261</v>
      </c>
      <c r="N36" s="21" t="n">
        <v>122786</v>
      </c>
      <c r="O36" s="21" t="n">
        <v>54341</v>
      </c>
      <c r="P36" s="21" t="n">
        <v>819659</v>
      </c>
      <c r="Q36" s="21" t="n">
        <v>766438</v>
      </c>
      <c r="R36" s="21">
        <f>IF(Q36="","",Q36*(1+in_GrowthRate)^(YEARFRAC(DATE(2024,12,31),in_AgeToDate)*IF(in_AgeToDate&lt;DATE(2024,12,31),-1,1)+1))</f>
        <v/>
      </c>
      <c r="S36" s="38" t="n">
        <v>0.3375958117545799</v>
      </c>
      <c r="T36" s="43">
        <f>HYPERLINK("https://projects.propublica.org/nonprofits/organizations/131930701/202533189349311948/full","view filing")</f>
        <v/>
      </c>
    </row>
    <row r="37">
      <c r="A37" t="inlineStr">
        <is>
          <t>Duke University</t>
        </is>
      </c>
      <c r="B37" s="20" t="inlineStr">
        <is>
          <t>NC</t>
        </is>
      </c>
      <c r="C37" s="42" t="n">
        <v>21.16</v>
      </c>
      <c r="D37" t="inlineStr">
        <is>
          <t>Endowment</t>
        </is>
      </c>
      <c r="E37" s="20" t="n">
        <v>2024</v>
      </c>
      <c r="F37" s="20" t="inlineStr"/>
      <c r="G37" t="inlineStr">
        <is>
          <t>Anil Madhok</t>
        </is>
      </c>
      <c r="H37" t="inlineStr">
        <is>
          <t>CHIEF OPERATING OFFICER DUMAC</t>
        </is>
      </c>
      <c r="I37" t="inlineStr">
        <is>
          <t>COO (Inv Entity)</t>
        </is>
      </c>
      <c r="J37" s="21" t="n">
        <v>371269</v>
      </c>
      <c r="K37" s="21" t="n">
        <v>1062591</v>
      </c>
      <c r="L37" s="21" t="n">
        <v>1433860</v>
      </c>
      <c r="M37" s="21" t="n">
        <v>157700</v>
      </c>
      <c r="N37" s="21" t="n">
        <v>274856</v>
      </c>
      <c r="O37" s="21" t="n">
        <v>22353</v>
      </c>
      <c r="P37" s="21" t="n">
        <v>1888769</v>
      </c>
      <c r="Q37" s="21" t="n">
        <v>1753569</v>
      </c>
      <c r="R37" s="21">
        <f>IF(Q37="","",Q37*(1+in_GrowthRate)^(YEARFRAC(DATE(2024,6,30),in_AgeToDate)*IF(in_AgeToDate&lt;DATE(2024,6,30),-1,1)+1))</f>
        <v/>
      </c>
      <c r="S37" s="38" t="n">
        <v>2.86205150443479</v>
      </c>
      <c r="T37" s="43">
        <f>HYPERLINK("https://projects.propublica.org/nonprofits/organizations/560532129/202501359349302225/full","view filing")</f>
        <v/>
      </c>
    </row>
    <row r="38">
      <c r="A38" t="inlineStr">
        <is>
          <t>Harvard Management Company Inc</t>
        </is>
      </c>
      <c r="B38" s="20" t="inlineStr">
        <is>
          <t>MA</t>
        </is>
      </c>
      <c r="C38" s="42" t="n">
        <v>53.2</v>
      </c>
      <c r="D38" t="inlineStr">
        <is>
          <t>Endowment</t>
        </is>
      </c>
      <c r="E38" s="20" t="n">
        <v>2025</v>
      </c>
      <c r="F38" s="20">
        <f>IF(AND(OR(in_Mode="All Funds",AND(C38&gt;=in_BandFloor,C38&lt;=in_BandCeiling,OR(in_Geography="National",COUNTIFS(lst_GeoPreset,in_Geography,lst_GeoState,B38)&gt;0,AND(in_Geography="Custom",ISNUMBER(SEARCH(B38,SUBSTITUTE(in_CustomStates," ",""))))),OR(AND(D38="Endowment",Inputs!$B$14="Y"),AND(D38="Foundation",Inputs!$B$15="Y"),AND(D38="Healthcare",Inputs!$B$16="Y"),AND(D38="Pension",Inputs!$B$17="Y"),AND(D38="OCIO",Inputs!$B$18="Y"),AND(D38="Other",Inputs!$B$19="Y")))),A38&lt;&gt;in_ClientOrg,NOT(AND(in_ExclHarvard="Y",ISNUMBER(SEARCH("Harvard",A38))))),"Y","")</f>
        <v/>
      </c>
      <c r="G38" t="inlineStr">
        <is>
          <t>Sanjeev Daga</t>
        </is>
      </c>
      <c r="H38" t="inlineStr">
        <is>
          <t>MD - COO/CFO &amp; Treasurer</t>
        </is>
      </c>
      <c r="I38" t="inlineStr">
        <is>
          <t>COO (Inv Entity)</t>
        </is>
      </c>
      <c r="J38" s="21" t="n">
        <v>773242</v>
      </c>
      <c r="K38" s="21" t="n">
        <v>4169385</v>
      </c>
      <c r="L38" s="21" t="n">
        <v>4942627</v>
      </c>
      <c r="M38" s="21" t="n">
        <v>25322</v>
      </c>
      <c r="N38" s="21" t="n">
        <v>113519</v>
      </c>
      <c r="O38" s="21" t="n">
        <v>39051</v>
      </c>
      <c r="P38" s="21" t="n">
        <v>5120519</v>
      </c>
      <c r="Q38" s="21" t="n">
        <v>5044057</v>
      </c>
      <c r="R38" s="21">
        <f>IF(Q38="","",Q38*(1+in_GrowthRate)^(YEARFRAC(DATE(2025,6,30),in_AgeToDate)*IF(in_AgeToDate&lt;DATE(2025,6,30),-1,1)+1))</f>
        <v/>
      </c>
      <c r="S38" s="38" t="n">
        <v>5.392082944278764</v>
      </c>
      <c r="T38" s="43">
        <f>HYPERLINK("https://projects.propublica.org/nonprofits/organizations/237361259/202641329349302354/full","view filing")</f>
        <v/>
      </c>
    </row>
    <row r="39">
      <c r="A39" t="inlineStr">
        <is>
          <t>Harvard Management Company Inc</t>
        </is>
      </c>
      <c r="B39" s="20" t="inlineStr">
        <is>
          <t>MA</t>
        </is>
      </c>
      <c r="C39" s="42" t="n">
        <v>53.2</v>
      </c>
      <c r="D39" t="inlineStr">
        <is>
          <t>Endowment</t>
        </is>
      </c>
      <c r="E39" s="20" t="n">
        <v>2024</v>
      </c>
      <c r="F39" s="20" t="inlineStr"/>
      <c r="G39" t="inlineStr">
        <is>
          <t>Sanjeev Daga</t>
        </is>
      </c>
      <c r="H39" t="inlineStr">
        <is>
          <t>MD - COO &amp; Treasurer</t>
        </is>
      </c>
      <c r="I39" t="inlineStr">
        <is>
          <t>COO (Inv Entity)</t>
        </is>
      </c>
      <c r="J39" s="21" t="n">
        <v>775449</v>
      </c>
      <c r="K39" s="21" t="n">
        <v>4049578</v>
      </c>
      <c r="L39" s="21" t="n">
        <v>4825027</v>
      </c>
      <c r="M39" s="21" t="n">
        <v>24822</v>
      </c>
      <c r="N39" s="21" t="n">
        <v>109462</v>
      </c>
      <c r="O39" s="21" t="n">
        <v>36388</v>
      </c>
      <c r="P39" s="21" t="n">
        <v>4995699</v>
      </c>
      <c r="Q39" s="21" t="n">
        <v>4995699</v>
      </c>
      <c r="R39" s="21">
        <f>IF(Q39="","",Q39*(1+in_GrowthRate)^(YEARFRAC(DATE(2024,6,30),in_AgeToDate)*IF(in_AgeToDate&lt;DATE(2024,6,30),-1,1)+1))</f>
        <v/>
      </c>
      <c r="S39" s="38" t="n">
        <v>5.22223640755227</v>
      </c>
      <c r="T39" s="43">
        <f>HYPERLINK("https://projects.propublica.org/nonprofits/organizations/237361259/202541349349310119/full","view filing")</f>
        <v/>
      </c>
    </row>
    <row r="40">
      <c r="A40" t="inlineStr">
        <is>
          <t>Harvard Management Company Inc</t>
        </is>
      </c>
      <c r="B40" s="20" t="inlineStr">
        <is>
          <t>MA</t>
        </is>
      </c>
      <c r="C40" s="42" t="n">
        <v>53.2</v>
      </c>
      <c r="D40" t="inlineStr">
        <is>
          <t>Endowment</t>
        </is>
      </c>
      <c r="E40" s="20" t="n">
        <v>2023</v>
      </c>
      <c r="F40" s="20" t="inlineStr"/>
      <c r="G40" t="inlineStr">
        <is>
          <t>Sanjeev Daga</t>
        </is>
      </c>
      <c r="H40" t="inlineStr">
        <is>
          <t>MD - COO &amp; Treasurer</t>
        </is>
      </c>
      <c r="I40" t="inlineStr">
        <is>
          <t>COO (Inv Entity)</t>
        </is>
      </c>
      <c r="J40" s="21" t="n">
        <v>777454</v>
      </c>
      <c r="K40" s="21" t="n">
        <v>3115500</v>
      </c>
      <c r="L40" s="21" t="n">
        <v>3892954</v>
      </c>
      <c r="M40" s="21" t="n">
        <v>22822</v>
      </c>
      <c r="N40" s="21" t="n">
        <v>30500</v>
      </c>
      <c r="O40" s="21" t="n">
        <v>36597</v>
      </c>
      <c r="P40" s="21" t="n">
        <v>3982873</v>
      </c>
      <c r="Q40" s="21" t="n">
        <v>3982873</v>
      </c>
      <c r="R40" s="21">
        <f>IF(Q40="","",Q40*(1+in_GrowthRate)^(YEARFRAC(DATE(2023,6,30),in_AgeToDate)*IF(in_AgeToDate&lt;DATE(2023,6,30),-1,1)+1))</f>
        <v/>
      </c>
      <c r="S40" s="38" t="n">
        <v>4.007311043482958</v>
      </c>
      <c r="T40" s="43">
        <f>HYPERLINK("https://projects.propublica.org/nonprofits/organizations/237361259/202411319349301026/full","view filing")</f>
        <v/>
      </c>
    </row>
    <row r="41">
      <c r="A41" t="inlineStr">
        <is>
          <t>Harvard Management Company Inc</t>
        </is>
      </c>
      <c r="B41" s="20" t="inlineStr">
        <is>
          <t>MA</t>
        </is>
      </c>
      <c r="C41" s="42" t="n">
        <v>53.2</v>
      </c>
      <c r="D41" t="inlineStr">
        <is>
          <t>Endowment</t>
        </is>
      </c>
      <c r="E41" s="20" t="n">
        <v>2022</v>
      </c>
      <c r="F41" s="20" t="inlineStr"/>
      <c r="G41" t="inlineStr">
        <is>
          <t>Sanjeev Daga</t>
        </is>
      </c>
      <c r="H41" t="inlineStr">
        <is>
          <t>MD - COO &amp; Treasurer</t>
        </is>
      </c>
      <c r="I41" t="inlineStr">
        <is>
          <t>COO (Inv Entity)</t>
        </is>
      </c>
      <c r="J41" s="21" t="n">
        <v>779963</v>
      </c>
      <c r="K41" s="21" t="n">
        <v>1520000</v>
      </c>
      <c r="L41" s="21" t="n">
        <v>2299963</v>
      </c>
      <c r="M41" s="21" t="n">
        <v>3221822</v>
      </c>
      <c r="N41" s="21" t="n">
        <v>29000</v>
      </c>
      <c r="O41" s="21" t="n">
        <v>34765</v>
      </c>
      <c r="P41" s="21" t="n">
        <v>5585550</v>
      </c>
      <c r="Q41" s="21" t="n">
        <v>3422170</v>
      </c>
      <c r="R41" s="21">
        <f>IF(Q41="","",Q41*(1+in_GrowthRate)^(YEARFRAC(DATE(2022,6,30),in_AgeToDate)*IF(in_AgeToDate&lt;DATE(2022,6,30),-1,1)+1))</f>
        <v/>
      </c>
      <c r="S41" s="38" t="n">
        <v>1.948810392287839</v>
      </c>
      <c r="T41" s="43">
        <f>HYPERLINK("https://projects.propublica.org/nonprofits/organizations/237361259/202311319349303021/full","view filing")</f>
        <v/>
      </c>
    </row>
    <row r="42">
      <c r="A42" t="inlineStr">
        <is>
          <t>Howard Hughes Medical Institute</t>
        </is>
      </c>
      <c r="B42" s="20" t="inlineStr">
        <is>
          <t>MD</t>
        </is>
      </c>
      <c r="C42" s="42" t="n">
        <v>27.97</v>
      </c>
      <c r="D42" t="inlineStr">
        <is>
          <t>Other</t>
        </is>
      </c>
      <c r="E42" s="20" t="n">
        <v>2025</v>
      </c>
      <c r="F42" s="20">
        <f>IF(AND(OR(in_Mode="All Funds",AND(C42&gt;=in_BandFloor,C42&lt;=in_BandCeiling,OR(in_Geography="National",COUNTIFS(lst_GeoPreset,in_Geography,lst_GeoState,B42)&gt;0,AND(in_Geography="Custom",ISNUMBER(SEARCH(B42,SUBSTITUTE(in_CustomStates," ",""))))),OR(AND(D42="Endowment",Inputs!$B$14="Y"),AND(D42="Foundation",Inputs!$B$15="Y"),AND(D42="Healthcare",Inputs!$B$16="Y"),AND(D42="Pension",Inputs!$B$17="Y"),AND(D42="OCIO",Inputs!$B$18="Y"),AND(D42="Other",Inputs!$B$19="Y")))),A42&lt;&gt;in_ClientOrg,NOT(AND(in_ExclHarvard="Y",ISNUMBER(SEARCH("Harvard",A42))))),"Y","")</f>
        <v/>
      </c>
      <c r="G42" t="inlineStr">
        <is>
          <t>Glen Zwicker</t>
        </is>
      </c>
      <c r="H42" t="inlineStr">
        <is>
          <t>MANAGING DIRECTOR &amp; HEAD OF INVESTMENT OPERATIONS</t>
        </is>
      </c>
      <c r="I42" t="inlineStr">
        <is>
          <t>Managing Director</t>
        </is>
      </c>
      <c r="J42" s="21" t="n">
        <v>546919</v>
      </c>
      <c r="K42" s="21" t="n">
        <v>472358</v>
      </c>
      <c r="L42" s="21" t="n">
        <v>1019277</v>
      </c>
      <c r="M42" s="21" t="n">
        <v>24412</v>
      </c>
      <c r="N42" s="21" t="n">
        <v>34500</v>
      </c>
      <c r="O42" s="21" t="n">
        <v>40335</v>
      </c>
      <c r="P42" s="21" t="n">
        <v>1118524</v>
      </c>
      <c r="Q42" s="21" t="n">
        <v>1118524</v>
      </c>
      <c r="R42" s="21">
        <f>IF(Q42="","",Q42*(1+in_GrowthRate)^(YEARFRAC(DATE(2025,8,31),in_AgeToDate)*IF(in_AgeToDate&lt;DATE(2025,8,31),-1,1)+1))</f>
        <v/>
      </c>
      <c r="S42" s="38" t="n">
        <v>0.8636708543678314</v>
      </c>
      <c r="T42" s="43">
        <f>HYPERLINK("https://projects.propublica.org/nonprofits/organizations/590735717/202640419349301864/full","view filing")</f>
        <v/>
      </c>
    </row>
    <row r="43">
      <c r="A43" t="inlineStr">
        <is>
          <t>Howard Hughes Medical Institute</t>
        </is>
      </c>
      <c r="B43" s="20" t="inlineStr">
        <is>
          <t>MD</t>
        </is>
      </c>
      <c r="C43" s="42" t="n">
        <v>27.97</v>
      </c>
      <c r="D43" t="inlineStr">
        <is>
          <t>Other</t>
        </is>
      </c>
      <c r="E43" s="20" t="n">
        <v>2024</v>
      </c>
      <c r="F43" s="20" t="inlineStr"/>
      <c r="G43" t="inlineStr">
        <is>
          <t>Glen Zwicker</t>
        </is>
      </c>
      <c r="H43" t="inlineStr">
        <is>
          <t>MANAGING DIRECTOR &amp; HEAD OF INVESTMENT OPERATIONS</t>
        </is>
      </c>
      <c r="I43" t="inlineStr">
        <is>
          <t>Managing Director</t>
        </is>
      </c>
      <c r="J43" s="21" t="n">
        <v>530316</v>
      </c>
      <c r="K43" s="21" t="n">
        <v>897639</v>
      </c>
      <c r="L43" s="21" t="n">
        <v>1427955</v>
      </c>
      <c r="M43" s="21" t="n">
        <v>26357</v>
      </c>
      <c r="N43" s="21" t="n">
        <v>33000</v>
      </c>
      <c r="O43" s="21" t="n">
        <v>37597</v>
      </c>
      <c r="P43" s="21" t="n">
        <v>1524909</v>
      </c>
      <c r="Q43" s="21" t="n">
        <v>1524909</v>
      </c>
      <c r="R43" s="21">
        <f>IF(Q43="","",Q43*(1+in_GrowthRate)^(YEARFRAC(DATE(2024,8,31),in_AgeToDate)*IF(in_AgeToDate&lt;DATE(2024,8,31),-1,1)+1))</f>
        <v/>
      </c>
      <c r="S43" s="38" t="n">
        <v>1.692649288348834</v>
      </c>
      <c r="T43" s="43">
        <f>HYPERLINK("https://projects.propublica.org/nonprofits/organizations/590735717/202510459349301966/full","view filing")</f>
        <v/>
      </c>
    </row>
    <row r="44">
      <c r="A44" t="inlineStr">
        <is>
          <t>Howard Hughes Medical Institute</t>
        </is>
      </c>
      <c r="B44" s="20" t="inlineStr">
        <is>
          <t>MD</t>
        </is>
      </c>
      <c r="C44" s="42" t="n">
        <v>27.97</v>
      </c>
      <c r="D44" t="inlineStr">
        <is>
          <t>Other</t>
        </is>
      </c>
      <c r="E44" s="20" t="n">
        <v>2023</v>
      </c>
      <c r="F44" s="20" t="inlineStr"/>
      <c r="G44" t="inlineStr">
        <is>
          <t>Glen Zwicker</t>
        </is>
      </c>
      <c r="H44" t="inlineStr">
        <is>
          <t>MANAGING DIRECTOR &amp; HEAD OF INVESTMENT OPS</t>
        </is>
      </c>
      <c r="I44" t="inlineStr">
        <is>
          <t>Managing Director</t>
        </is>
      </c>
      <c r="J44" s="21" t="n">
        <v>510082</v>
      </c>
      <c r="K44" s="21" t="n">
        <v>833214</v>
      </c>
      <c r="L44" s="21" t="n">
        <v>1343296</v>
      </c>
      <c r="M44" s="21" t="n">
        <v>26795</v>
      </c>
      <c r="N44" s="21" t="n">
        <v>30500</v>
      </c>
      <c r="O44" s="21" t="n">
        <v>37263</v>
      </c>
      <c r="P44" s="21" t="n">
        <v>1437854</v>
      </c>
      <c r="Q44" s="21" t="n">
        <v>1437854</v>
      </c>
      <c r="R44" s="21">
        <f>IF(Q44="","",Q44*(1+in_GrowthRate)^(YEARFRAC(DATE(2023,8,31),in_AgeToDate)*IF(in_AgeToDate&lt;DATE(2023,8,31),-1,1)+1))</f>
        <v/>
      </c>
      <c r="S44" s="38" t="n">
        <v>1.633490301559357</v>
      </c>
      <c r="T44" s="43">
        <f>HYPERLINK("https://projects.propublica.org/nonprofits/organizations/590735717/202420529349301717/full","view filing")</f>
        <v/>
      </c>
    </row>
    <row r="45">
      <c r="A45" t="inlineStr">
        <is>
          <t>Howard Hughes Medical Institute</t>
        </is>
      </c>
      <c r="B45" s="20" t="inlineStr">
        <is>
          <t>MD</t>
        </is>
      </c>
      <c r="C45" s="42" t="n">
        <v>27.97</v>
      </c>
      <c r="D45" t="inlineStr">
        <is>
          <t>Other</t>
        </is>
      </c>
      <c r="E45" s="20" t="n">
        <v>2022</v>
      </c>
      <c r="F45" s="20" t="inlineStr"/>
      <c r="G45" t="inlineStr">
        <is>
          <t>Glen Zwicker</t>
        </is>
      </c>
      <c r="H45" t="inlineStr">
        <is>
          <t>MANAGING DIRECTOR &amp; HEAD OF INVESTMENT OPS</t>
        </is>
      </c>
      <c r="I45" t="inlineStr">
        <is>
          <t>Managing Director</t>
        </is>
      </c>
      <c r="J45" s="21" t="n">
        <v>490350</v>
      </c>
      <c r="K45" s="21" t="n">
        <v>468463</v>
      </c>
      <c r="L45" s="21" t="n">
        <v>958813</v>
      </c>
      <c r="M45" s="21" t="n">
        <v>38030</v>
      </c>
      <c r="N45" s="21" t="n">
        <v>29000</v>
      </c>
      <c r="O45" s="21" t="n">
        <v>38298</v>
      </c>
      <c r="P45" s="21" t="n">
        <v>1064141</v>
      </c>
      <c r="Q45" s="21" t="n">
        <v>1064141</v>
      </c>
      <c r="R45" s="21">
        <f>IF(Q45="","",Q45*(1+in_GrowthRate)^(YEARFRAC(DATE(2022,8,31),in_AgeToDate)*IF(in_AgeToDate&lt;DATE(2022,8,31),-1,1)+1))</f>
        <v/>
      </c>
      <c r="S45" s="38" t="n">
        <v>0.9553645355358418</v>
      </c>
      <c r="T45" s="43">
        <f>HYPERLINK("https://projects.propublica.org/nonprofits/organizations/590735717/202330539349300943/full","view filing")</f>
        <v/>
      </c>
    </row>
    <row r="46">
      <c r="A46" t="inlineStr">
        <is>
          <t>Inatai Foundation</t>
        </is>
      </c>
      <c r="B46" s="20" t="inlineStr">
        <is>
          <t>WA</t>
        </is>
      </c>
      <c r="C46" s="42" t="n">
        <v>2.35</v>
      </c>
      <c r="D46" t="inlineStr">
        <is>
          <t>Foundation</t>
        </is>
      </c>
      <c r="E46" s="20" t="n">
        <v>2023</v>
      </c>
      <c r="F46" s="20" t="inlineStr"/>
      <c r="G46" t="inlineStr">
        <is>
          <t>Dawn Wilson</t>
        </is>
      </c>
      <c r="H46" t="inlineStr">
        <is>
          <t>INVESTMENT OPERATIONS DIRECTOR</t>
        </is>
      </c>
      <c r="I46" t="inlineStr">
        <is>
          <t>Head of Inv Ops (Inv Entity)</t>
        </is>
      </c>
      <c r="J46" s="21" t="n">
        <v>244791</v>
      </c>
      <c r="K46" s="21" t="n">
        <v>151667</v>
      </c>
      <c r="L46" s="21" t="n">
        <v>396458</v>
      </c>
      <c r="M46" s="21" t="n">
        <v>7336</v>
      </c>
      <c r="N46" s="21" t="n">
        <v>37025</v>
      </c>
      <c r="O46" s="21" t="n">
        <v>14973</v>
      </c>
      <c r="P46" s="21" t="n">
        <v>455792</v>
      </c>
      <c r="Q46" s="21" t="n">
        <v>455792</v>
      </c>
      <c r="R46" s="21">
        <f>IF(Q46="","",Q46*(1+in_GrowthRate)^(YEARFRAC(DATE(2023,12,31),in_AgeToDate)*IF(in_AgeToDate&lt;DATE(2023,12,31),-1,1)+1))</f>
        <v/>
      </c>
      <c r="S46" s="38" t="n">
        <v>0.6195775171472807</v>
      </c>
      <c r="T46" s="43">
        <f>HYPERLINK("https://projects.propublica.org/nonprofits/organizations/300889914/202443189349307024/full","view filing")</f>
        <v/>
      </c>
    </row>
    <row r="47">
      <c r="A47" t="inlineStr">
        <is>
          <t>Inatai Foundation</t>
        </is>
      </c>
      <c r="B47" s="20" t="inlineStr">
        <is>
          <t>WA</t>
        </is>
      </c>
      <c r="C47" s="42" t="n">
        <v>2.35</v>
      </c>
      <c r="D47" t="inlineStr">
        <is>
          <t>Foundation</t>
        </is>
      </c>
      <c r="E47" s="20" t="n">
        <v>2022</v>
      </c>
      <c r="F47" s="20" t="inlineStr"/>
      <c r="G47" t="inlineStr">
        <is>
          <t>Dawn Wilson</t>
        </is>
      </c>
      <c r="H47" t="inlineStr">
        <is>
          <t>INVESTMENT OPERATIONS DIRECTOR</t>
        </is>
      </c>
      <c r="I47" t="inlineStr">
        <is>
          <t>Head of Inv Ops (Inv Entity)</t>
        </is>
      </c>
      <c r="J47" s="21" t="n">
        <v>258037</v>
      </c>
      <c r="K47" s="21" t="n">
        <v>140000</v>
      </c>
      <c r="L47" s="21" t="n">
        <v>398037</v>
      </c>
      <c r="M47" s="21" t="n">
        <v>10012</v>
      </c>
      <c r="N47" s="21" t="n">
        <v>30168</v>
      </c>
      <c r="O47" s="21" t="n">
        <v>14646</v>
      </c>
      <c r="P47" s="21" t="n">
        <v>452863</v>
      </c>
      <c r="Q47" s="21" t="n">
        <v>452863</v>
      </c>
      <c r="R47" s="21">
        <f>IF(Q47="","",Q47*(1+in_GrowthRate)^(YEARFRAC(DATE(2022,12,31),in_AgeToDate)*IF(in_AgeToDate&lt;DATE(2022,12,31),-1,1)+1))</f>
        <v/>
      </c>
      <c r="S47" s="38" t="n">
        <v>0.5425578502307808</v>
      </c>
      <c r="T47" s="43">
        <f>HYPERLINK("https://projects.propublica.org/nonprofits/organizations/300889914/202313189349305281/full","view filing")</f>
        <v/>
      </c>
    </row>
    <row r="48">
      <c r="A48" t="inlineStr">
        <is>
          <t>Lynde And Harry Bradley Foundation Inc</t>
        </is>
      </c>
      <c r="B48" s="20" t="inlineStr">
        <is>
          <t>WI</t>
        </is>
      </c>
      <c r="C48" s="42" t="n">
        <v>0.95</v>
      </c>
      <c r="D48" t="inlineStr">
        <is>
          <t>Foundation</t>
        </is>
      </c>
      <c r="E48" s="20" t="n">
        <v>2024</v>
      </c>
      <c r="F48" s="20">
        <f>IF(AND(OR(in_Mode="All Funds",AND(C48&gt;=in_BandFloor,C48&lt;=in_BandCeiling,OR(in_Geography="National",COUNTIFS(lst_GeoPreset,in_Geography,lst_GeoState,B48)&gt;0,AND(in_Geography="Custom",ISNUMBER(SEARCH(B48,SUBSTITUTE(in_CustomStates," ",""))))),OR(AND(D48="Endowment",Inputs!$B$14="Y"),AND(D48="Foundation",Inputs!$B$15="Y"),AND(D48="Healthcare",Inputs!$B$16="Y"),AND(D48="Pension",Inputs!$B$17="Y"),AND(D48="OCIO",Inputs!$B$18="Y"),AND(D48="Other",Inputs!$B$19="Y")))),A48&lt;&gt;in_ClientOrg,NOT(AND(in_ExclHarvard="Y",ISNUMBER(SEARCH("Harvard",A48))))),"Y","")</f>
        <v/>
      </c>
      <c r="G48" t="inlineStr">
        <is>
          <t>Dionne King</t>
        </is>
      </c>
      <c r="H48" t="inlineStr">
        <is>
          <t>Dir. of Operations</t>
        </is>
      </c>
      <c r="I48" t="inlineStr">
        <is>
          <t>Head of Inv Ops (Inv Entity)</t>
        </is>
      </c>
      <c r="J48" s="21" t="n"/>
      <c r="K48" s="21" t="n"/>
      <c r="L48" s="21" t="n"/>
      <c r="M48" s="21" t="n"/>
      <c r="N48" s="21" t="n"/>
      <c r="O48" s="21" t="n">
        <v>45105</v>
      </c>
      <c r="P48" s="21" t="n">
        <v>184560</v>
      </c>
      <c r="Q48" s="21" t="n">
        <v>184560</v>
      </c>
      <c r="R48" s="21">
        <f>IF(Q48="","",Q48*(1+in_GrowthRate)^(YEARFRAC(DATE(2024,12,31),in_AgeToDate)*IF(in_AgeToDate&lt;DATE(2024,12,31),-1,1)+1))</f>
        <v/>
      </c>
      <c r="S48" s="38" t="n"/>
      <c r="T48" s="43">
        <f>HYPERLINK("https://projects.propublica.org/nonprofits/organizations/396037928/202523219349106577/full","view filing")</f>
        <v/>
      </c>
    </row>
    <row r="49">
      <c r="A49" t="inlineStr">
        <is>
          <t>Lynde And Harry Bradley Foundation Inc</t>
        </is>
      </c>
      <c r="B49" s="20" t="inlineStr">
        <is>
          <t>WI</t>
        </is>
      </c>
      <c r="C49" s="42" t="n">
        <v>0.95</v>
      </c>
      <c r="D49" t="inlineStr">
        <is>
          <t>Foundation</t>
        </is>
      </c>
      <c r="E49" s="20" t="n">
        <v>2023</v>
      </c>
      <c r="F49" s="20" t="inlineStr"/>
      <c r="G49" t="inlineStr">
        <is>
          <t>Dionne King</t>
        </is>
      </c>
      <c r="H49" t="inlineStr">
        <is>
          <t>Dir. of Operations</t>
        </is>
      </c>
      <c r="I49" t="inlineStr">
        <is>
          <t>Head of Inv Ops (Inv Entity)</t>
        </is>
      </c>
      <c r="J49" s="21" t="n"/>
      <c r="K49" s="21" t="n"/>
      <c r="L49" s="21" t="n"/>
      <c r="M49" s="21" t="n"/>
      <c r="N49" s="21" t="n"/>
      <c r="O49" s="21" t="n"/>
      <c r="P49" s="21" t="n">
        <v>123360</v>
      </c>
      <c r="Q49" s="21" t="n">
        <v>123360</v>
      </c>
      <c r="R49" s="21">
        <f>IF(Q49="","",Q49*(1+in_GrowthRate)^(YEARFRAC(DATE(2023,12,31),in_AgeToDate)*IF(in_AgeToDate&lt;DATE(2023,12,31),-1,1)+1))</f>
        <v/>
      </c>
      <c r="S49" s="38" t="n"/>
      <c r="T49" s="43">
        <f>HYPERLINK("https://projects.propublica.org/nonprofits/organizations/396037928/202403209349104125/full","view filing")</f>
        <v/>
      </c>
    </row>
    <row r="50">
      <c r="A50" t="inlineStr">
        <is>
          <t>Marguerite Casey Foundation</t>
        </is>
      </c>
      <c r="B50" s="20" t="inlineStr">
        <is>
          <t>WA</t>
        </is>
      </c>
      <c r="C50" s="42" t="n">
        <v>0.83</v>
      </c>
      <c r="D50" t="inlineStr">
        <is>
          <t>Foundation</t>
        </is>
      </c>
      <c r="E50" s="20" t="n">
        <v>2024</v>
      </c>
      <c r="F50" s="20">
        <f>IF(AND(OR(in_Mode="All Funds",AND(C50&gt;=in_BandFloor,C50&lt;=in_BandCeiling,OR(in_Geography="National",COUNTIFS(lst_GeoPreset,in_Geography,lst_GeoState,B50)&gt;0,AND(in_Geography="Custom",ISNUMBER(SEARCH(B50,SUBSTITUTE(in_CustomStates," ",""))))),OR(AND(D50="Endowment",Inputs!$B$14="Y"),AND(D50="Foundation",Inputs!$B$15="Y"),AND(D50="Healthcare",Inputs!$B$16="Y"),AND(D50="Pension",Inputs!$B$17="Y"),AND(D50="OCIO",Inputs!$B$18="Y"),AND(D50="Other",Inputs!$B$19="Y")))),A50&lt;&gt;in_ClientOrg,NOT(AND(in_ExclHarvard="Y",ISNUMBER(SEARCH("Harvard",A50))))),"Y","")</f>
        <v/>
      </c>
      <c r="G50" t="inlineStr">
        <is>
          <t>Daniel Gould</t>
        </is>
      </c>
      <c r="H50" t="inlineStr">
        <is>
          <t>VP OF INVESTMENTS &amp; OPERATIONS</t>
        </is>
      </c>
      <c r="I50" t="inlineStr">
        <is>
          <t>Director of Investments</t>
        </is>
      </c>
      <c r="J50" s="21" t="n"/>
      <c r="K50" s="21" t="n"/>
      <c r="L50" s="21" t="n"/>
      <c r="M50" s="21" t="n"/>
      <c r="N50" s="21" t="n"/>
      <c r="O50" s="21" t="n">
        <v>81059</v>
      </c>
      <c r="P50" s="21" t="n">
        <v>567938</v>
      </c>
      <c r="Q50" s="21" t="n">
        <v>567938</v>
      </c>
      <c r="R50" s="21">
        <f>IF(Q50="","",Q50*(1+in_GrowthRate)^(YEARFRAC(DATE(2024,12,31),in_AgeToDate)*IF(in_AgeToDate&lt;DATE(2024,12,31),-1,1)+1))</f>
        <v/>
      </c>
      <c r="S50" s="38" t="n"/>
      <c r="T50" s="43">
        <f>HYPERLINK("https://projects.propublica.org/nonprofits/organizations/912062197/202513189349105326/full","view filing")</f>
        <v/>
      </c>
    </row>
    <row r="51">
      <c r="A51" t="inlineStr">
        <is>
          <t>Marguerite Casey Foundation</t>
        </is>
      </c>
      <c r="B51" s="20" t="inlineStr">
        <is>
          <t>WA</t>
        </is>
      </c>
      <c r="C51" s="42" t="n">
        <v>0.83</v>
      </c>
      <c r="D51" t="inlineStr">
        <is>
          <t>Foundation</t>
        </is>
      </c>
      <c r="E51" s="20" t="n">
        <v>2023</v>
      </c>
      <c r="F51" s="20" t="inlineStr"/>
      <c r="G51" t="inlineStr">
        <is>
          <t>Daniel Gould</t>
        </is>
      </c>
      <c r="H51" t="inlineStr">
        <is>
          <t>VP OF INVESTMENTS &amp; OPERATIONS</t>
        </is>
      </c>
      <c r="I51" t="inlineStr">
        <is>
          <t>Director of Investments</t>
        </is>
      </c>
      <c r="J51" s="21" t="n"/>
      <c r="K51" s="21" t="n"/>
      <c r="L51" s="21" t="n"/>
      <c r="M51" s="21" t="n"/>
      <c r="N51" s="21" t="n"/>
      <c r="O51" s="21" t="n">
        <v>65015</v>
      </c>
      <c r="P51" s="21" t="n">
        <v>451639</v>
      </c>
      <c r="Q51" s="21" t="n">
        <v>451639</v>
      </c>
      <c r="R51" s="21">
        <f>IF(Q51="","",Q51*(1+in_GrowthRate)^(YEARFRAC(DATE(2023,12,31),in_AgeToDate)*IF(in_AgeToDate&lt;DATE(2023,12,31),-1,1)+1))</f>
        <v/>
      </c>
      <c r="S51" s="38" t="n"/>
      <c r="T51" s="43">
        <f>HYPERLINK("https://projects.propublica.org/nonprofits/organizations/912062197/202423209349100302/full","view filing")</f>
        <v/>
      </c>
    </row>
    <row r="52">
      <c r="A52" t="inlineStr">
        <is>
          <t>Meyer Memorial Trust</t>
        </is>
      </c>
      <c r="B52" s="20" t="inlineStr">
        <is>
          <t>OR</t>
        </is>
      </c>
      <c r="C52" s="42" t="n">
        <v>0.88</v>
      </c>
      <c r="D52" t="inlineStr">
        <is>
          <t>Foundation</t>
        </is>
      </c>
      <c r="E52" s="20" t="n">
        <v>2022</v>
      </c>
      <c r="F52" s="20" t="inlineStr"/>
      <c r="G52" t="inlineStr">
        <is>
          <t>Sohel Hussain</t>
        </is>
      </c>
      <c r="H52" t="inlineStr">
        <is>
          <t>Dir Invt Operations</t>
        </is>
      </c>
      <c r="I52" t="inlineStr">
        <is>
          <t>Head of Inv Ops (Inv Entity)</t>
        </is>
      </c>
      <c r="J52" s="21" t="n"/>
      <c r="K52" s="21" t="n"/>
      <c r="L52" s="21" t="n"/>
      <c r="M52" s="21" t="n"/>
      <c r="N52" s="21" t="n"/>
      <c r="O52" s="21" t="n"/>
      <c r="P52" s="21" t="n">
        <v>256289</v>
      </c>
      <c r="Q52" s="21" t="n">
        <v>256289</v>
      </c>
      <c r="R52" s="21">
        <f>IF(Q52="","",Q52*(1+in_GrowthRate)^(YEARFRAC(DATE(2022,3,31),in_AgeToDate)*IF(in_AgeToDate&lt;DATE(2022,3,31),-1,1)+1))</f>
        <v/>
      </c>
      <c r="S52" s="38" t="n"/>
      <c r="T52" s="43">
        <f>HYPERLINK("https://projects.propublica.org/nonprofits/organizations/930806316/202340399349100719/full","view filing")</f>
        <v/>
      </c>
    </row>
    <row r="53">
      <c r="A53" t="inlineStr">
        <is>
          <t>President &amp; Trustees Of Colby College</t>
        </is>
      </c>
      <c r="B53" s="20" t="inlineStr">
        <is>
          <t>ME</t>
        </is>
      </c>
      <c r="C53" s="42" t="n">
        <v>1.16</v>
      </c>
      <c r="D53" t="inlineStr">
        <is>
          <t>Endowment</t>
        </is>
      </c>
      <c r="E53" s="20" t="n">
        <v>2025</v>
      </c>
      <c r="F53" s="20">
        <f>IF(AND(OR(in_Mode="All Funds",AND(C53&gt;=in_BandFloor,C53&lt;=in_BandCeiling,OR(in_Geography="National",COUNTIFS(lst_GeoPreset,in_Geography,lst_GeoState,B53)&gt;0,AND(in_Geography="Custom",ISNUMBER(SEARCH(B53,SUBSTITUTE(in_CustomStates," ",""))))),OR(AND(D53="Endowment",Inputs!$B$14="Y"),AND(D53="Foundation",Inputs!$B$15="Y"),AND(D53="Healthcare",Inputs!$B$16="Y"),AND(D53="Pension",Inputs!$B$17="Y"),AND(D53="OCIO",Inputs!$B$18="Y"),AND(D53="Other",Inputs!$B$19="Y")))),A53&lt;&gt;in_ClientOrg,NOT(AND(in_ExclHarvard="Y",ISNUMBER(SEARCH("Harvard",A53))))),"Y","")</f>
        <v/>
      </c>
      <c r="G53" t="inlineStr">
        <is>
          <t>Alexander Gentilli</t>
        </is>
      </c>
      <c r="H53" t="inlineStr">
        <is>
          <t>Director of Investment Operations</t>
        </is>
      </c>
      <c r="I53" t="inlineStr">
        <is>
          <t>Head of Inv Ops (Inv Entity)</t>
        </is>
      </c>
      <c r="J53" s="21" t="n">
        <v>219013</v>
      </c>
      <c r="K53" s="21" t="n">
        <v>33750</v>
      </c>
      <c r="L53" s="21" t="n">
        <v>252763</v>
      </c>
      <c r="M53" s="21" t="n">
        <v>960</v>
      </c>
      <c r="N53" s="21" t="n">
        <v>11427</v>
      </c>
      <c r="O53" s="21" t="n"/>
      <c r="P53" s="21" t="n">
        <v>265150</v>
      </c>
      <c r="Q53" s="21" t="n">
        <v>265150</v>
      </c>
      <c r="R53" s="21">
        <f>IF(Q53="","",Q53*(1+in_GrowthRate)^(YEARFRAC(DATE(2025,6,30),in_AgeToDate)*IF(in_AgeToDate&lt;DATE(2025,6,30),-1,1)+1))</f>
        <v/>
      </c>
      <c r="S53" s="38" t="n">
        <v>0.1541004415263021</v>
      </c>
      <c r="T53" s="43">
        <f>HYPERLINK("https://projects.propublica.org/nonprofits/organizations/10211497/202631319349303008/full","view filing")</f>
        <v/>
      </c>
    </row>
    <row r="54">
      <c r="A54" t="inlineStr">
        <is>
          <t>Princeton University</t>
        </is>
      </c>
      <c r="B54" s="20" t="inlineStr">
        <is>
          <t>NJ</t>
        </is>
      </c>
      <c r="C54" s="42" t="n">
        <v>36.42</v>
      </c>
      <c r="D54" t="inlineStr">
        <is>
          <t>Endowment</t>
        </is>
      </c>
      <c r="E54" s="20" t="n">
        <v>2025</v>
      </c>
      <c r="F54" s="20">
        <f>IF(AND(OR(in_Mode="All Funds",AND(C54&gt;=in_BandFloor,C54&lt;=in_BandCeiling,OR(in_Geography="National",COUNTIFS(lst_GeoPreset,in_Geography,lst_GeoState,B54)&gt;0,AND(in_Geography="Custom",ISNUMBER(SEARCH(B54,SUBSTITUTE(in_CustomStates," ",""))))),OR(AND(D54="Endowment",Inputs!$B$14="Y"),AND(D54="Foundation",Inputs!$B$15="Y"),AND(D54="Healthcare",Inputs!$B$16="Y"),AND(D54="Pension",Inputs!$B$17="Y"),AND(D54="OCIO",Inputs!$B$18="Y"),AND(D54="Other",Inputs!$B$19="Y")))),A54&lt;&gt;in_ClientOrg,NOT(AND(in_ExclHarvard="Y",ISNUMBER(SEARCH("Harvard",A54))))),"Y","")</f>
        <v/>
      </c>
      <c r="G54" t="inlineStr">
        <is>
          <t>Jennifer Birmingham</t>
        </is>
      </c>
      <c r="H54" t="inlineStr">
        <is>
          <t>managing director of PRINCO</t>
        </is>
      </c>
      <c r="I54" t="inlineStr">
        <is>
          <t>Managing Director</t>
        </is>
      </c>
      <c r="J54" s="21" t="n">
        <v>864987</v>
      </c>
      <c r="K54" s="21" t="n">
        <v>1048199</v>
      </c>
      <c r="L54" s="21" t="n">
        <v>1913186</v>
      </c>
      <c r="M54" s="21" t="n">
        <v>89620</v>
      </c>
      <c r="N54" s="21" t="n">
        <v>500184</v>
      </c>
      <c r="O54" s="21" t="n">
        <v>72729</v>
      </c>
      <c r="P54" s="21" t="n">
        <v>2575719</v>
      </c>
      <c r="Q54" s="21" t="n">
        <v>1710426</v>
      </c>
      <c r="R54" s="21">
        <f>IF(Q54="","",Q54*(1+in_GrowthRate)^(YEARFRAC(DATE(2025,6,30),in_AgeToDate)*IF(in_AgeToDate&lt;DATE(2025,6,30),-1,1)+1))</f>
        <v/>
      </c>
      <c r="S54" s="38" t="n">
        <v>1.211808963602921</v>
      </c>
      <c r="T54" s="43">
        <f>HYPERLINK("https://projects.propublica.org/nonprofits/organizations/210634501/202611349349307136/full","view filing")</f>
        <v/>
      </c>
    </row>
    <row r="55">
      <c r="A55" t="inlineStr">
        <is>
          <t>Princeton University</t>
        </is>
      </c>
      <c r="B55" s="20" t="inlineStr">
        <is>
          <t>NJ</t>
        </is>
      </c>
      <c r="C55" s="42" t="n">
        <v>36.42</v>
      </c>
      <c r="D55" t="inlineStr">
        <is>
          <t>Endowment</t>
        </is>
      </c>
      <c r="E55" s="20" t="n">
        <v>2024</v>
      </c>
      <c r="F55" s="20" t="inlineStr"/>
      <c r="G55" t="inlineStr">
        <is>
          <t>Jennifer Birmingham</t>
        </is>
      </c>
      <c r="H55" t="inlineStr">
        <is>
          <t>managing director of PRINCO</t>
        </is>
      </c>
      <c r="I55" t="inlineStr">
        <is>
          <t>Managing Director</t>
        </is>
      </c>
      <c r="J55" s="21" t="n">
        <v>781095</v>
      </c>
      <c r="K55" s="21" t="n">
        <v>1003580</v>
      </c>
      <c r="L55" s="21" t="n">
        <v>1784675</v>
      </c>
      <c r="M55" s="21" t="n">
        <v>77905</v>
      </c>
      <c r="N55" s="21" t="n">
        <v>463235</v>
      </c>
      <c r="O55" s="21" t="n">
        <v>49623</v>
      </c>
      <c r="P55" s="21" t="n">
        <v>2375438</v>
      </c>
      <c r="Q55" s="21" t="n">
        <v>1455358</v>
      </c>
      <c r="R55" s="21">
        <f>IF(Q55="","",Q55*(1+in_GrowthRate)^(YEARFRAC(DATE(2024,6,30),in_AgeToDate)*IF(in_AgeToDate&lt;DATE(2024,6,30),-1,1)+1))</f>
        <v/>
      </c>
      <c r="S55" s="38" t="n">
        <v>1.284837311722646</v>
      </c>
      <c r="T55" s="43">
        <f>HYPERLINK("https://projects.propublica.org/nonprofits/organizations/210634501/202511349349305891/full","view filing")</f>
        <v/>
      </c>
    </row>
    <row r="56">
      <c r="A56" t="inlineStr">
        <is>
          <t>Princeton University</t>
        </is>
      </c>
      <c r="B56" s="20" t="inlineStr">
        <is>
          <t>NJ</t>
        </is>
      </c>
      <c r="C56" s="42" t="n">
        <v>36.42</v>
      </c>
      <c r="D56" t="inlineStr">
        <is>
          <t>Endowment</t>
        </is>
      </c>
      <c r="E56" s="20" t="n">
        <v>2023</v>
      </c>
      <c r="F56" s="20" t="inlineStr"/>
      <c r="G56" t="inlineStr">
        <is>
          <t>Jennifer Birmingham</t>
        </is>
      </c>
      <c r="H56" t="inlineStr">
        <is>
          <t>managing director of PRINCO</t>
        </is>
      </c>
      <c r="I56" t="inlineStr">
        <is>
          <t>Managing Director</t>
        </is>
      </c>
      <c r="J56" s="21" t="n">
        <v>710863</v>
      </c>
      <c r="K56" s="21" t="n">
        <v>1083040</v>
      </c>
      <c r="L56" s="21" t="n">
        <v>1793903</v>
      </c>
      <c r="M56" s="21" t="n">
        <v>70447</v>
      </c>
      <c r="N56" s="21" t="n">
        <v>862323</v>
      </c>
      <c r="O56" s="21" t="n">
        <v>43607</v>
      </c>
      <c r="P56" s="21" t="n">
        <v>2770280</v>
      </c>
      <c r="Q56" s="21" t="n">
        <v>1961240</v>
      </c>
      <c r="R56" s="21">
        <f>IF(Q56="","",Q56*(1+in_GrowthRate)^(YEARFRAC(DATE(2023,6,30),in_AgeToDate)*IF(in_AgeToDate&lt;DATE(2023,6,30),-1,1)+1))</f>
        <v/>
      </c>
      <c r="S56" s="38" t="n">
        <v>1.523556578412437</v>
      </c>
      <c r="T56" s="43">
        <f>HYPERLINK("https://projects.propublica.org/nonprofits/organizations/210634501/202441369349303904/full","view filing")</f>
        <v/>
      </c>
    </row>
    <row r="57">
      <c r="A57" t="inlineStr">
        <is>
          <t>Princeton University</t>
        </is>
      </c>
      <c r="B57" s="20" t="inlineStr">
        <is>
          <t>NJ</t>
        </is>
      </c>
      <c r="C57" s="42" t="n">
        <v>36.42</v>
      </c>
      <c r="D57" t="inlineStr">
        <is>
          <t>Endowment</t>
        </is>
      </c>
      <c r="E57" s="20" t="n">
        <v>2022</v>
      </c>
      <c r="F57" s="20" t="inlineStr"/>
      <c r="G57" t="inlineStr">
        <is>
          <t>Jennifer Birmingham</t>
        </is>
      </c>
      <c r="H57" t="inlineStr">
        <is>
          <t>managing director of PRINCO</t>
        </is>
      </c>
      <c r="I57" t="inlineStr">
        <is>
          <t>Managing Director</t>
        </is>
      </c>
      <c r="J57" s="21" t="n">
        <v>641019</v>
      </c>
      <c r="K57" s="21" t="n">
        <v>1156389</v>
      </c>
      <c r="L57" s="21" t="n">
        <v>1797408</v>
      </c>
      <c r="M57" s="21" t="n">
        <v>61854</v>
      </c>
      <c r="N57" s="21" t="n">
        <v>806500</v>
      </c>
      <c r="O57" s="21" t="n">
        <v>29112</v>
      </c>
      <c r="P57" s="21" t="n">
        <v>2694874</v>
      </c>
      <c r="Q57" s="21" t="n">
        <v>1798485</v>
      </c>
      <c r="R57" s="21">
        <f>IF(Q57="","",Q57*(1+in_GrowthRate)^(YEARFRAC(DATE(2022,6,30),in_AgeToDate)*IF(in_AgeToDate&lt;DATE(2022,6,30),-1,1)+1))</f>
        <v/>
      </c>
      <c r="S57" s="38" t="n">
        <v>1.803985529290083</v>
      </c>
      <c r="T57" s="43">
        <f>HYPERLINK("https://projects.propublica.org/nonprofits/organizations/210634501/202341359349301724/full","view filing")</f>
        <v/>
      </c>
    </row>
    <row r="58">
      <c r="A58" t="inlineStr">
        <is>
          <t>The Trustees Of Grinnell College</t>
        </is>
      </c>
      <c r="B58" s="20" t="inlineStr">
        <is>
          <t>IA</t>
        </is>
      </c>
      <c r="C58" s="42" t="n">
        <v>2.85</v>
      </c>
      <c r="D58" t="inlineStr">
        <is>
          <t>Endowment</t>
        </is>
      </c>
      <c r="E58" s="20" t="n">
        <v>2025</v>
      </c>
      <c r="F58" s="20">
        <f>IF(AND(OR(in_Mode="All Funds",AND(C58&gt;=in_BandFloor,C58&lt;=in_BandCeiling,OR(in_Geography="National",COUNTIFS(lst_GeoPreset,in_Geography,lst_GeoState,B58)&gt;0,AND(in_Geography="Custom",ISNUMBER(SEARCH(B58,SUBSTITUTE(in_CustomStates," ",""))))),OR(AND(D58="Endowment",Inputs!$B$14="Y"),AND(D58="Foundation",Inputs!$B$15="Y"),AND(D58="Healthcare",Inputs!$B$16="Y"),AND(D58="Pension",Inputs!$B$17="Y"),AND(D58="OCIO",Inputs!$B$18="Y"),AND(D58="Other",Inputs!$B$19="Y")))),A58&lt;&gt;in_ClientOrg,NOT(AND(in_ExclHarvard="Y",ISNUMBER(SEARCH("Harvard",A58))))),"Y","")</f>
        <v/>
      </c>
      <c r="G58" t="inlineStr">
        <is>
          <t>Kerri Gandin</t>
        </is>
      </c>
      <c r="H58" t="inlineStr">
        <is>
          <t>MANAGING DIRECTOR, INVEST. OPERATIONS</t>
        </is>
      </c>
      <c r="I58" t="inlineStr">
        <is>
          <t>Managing Director</t>
        </is>
      </c>
      <c r="J58" s="21" t="n">
        <v>370486</v>
      </c>
      <c r="K58" s="21" t="n">
        <v>150000</v>
      </c>
      <c r="L58" s="21" t="n">
        <v>520486</v>
      </c>
      <c r="M58" s="21" t="n">
        <v>95</v>
      </c>
      <c r="N58" s="21" t="n">
        <v>34500</v>
      </c>
      <c r="O58" s="21" t="n">
        <v>31592</v>
      </c>
      <c r="P58" s="21" t="n">
        <v>586673</v>
      </c>
      <c r="Q58" s="21" t="n">
        <v>586673</v>
      </c>
      <c r="R58" s="21">
        <f>IF(Q58="","",Q58*(1+in_GrowthRate)^(YEARFRAC(DATE(2025,6,30),in_AgeToDate)*IF(in_AgeToDate&lt;DATE(2025,6,30),-1,1)+1))</f>
        <v/>
      </c>
      <c r="S58" s="38" t="n">
        <v>0.40487359846256</v>
      </c>
      <c r="T58" s="43">
        <f>HYPERLINK("https://projects.propublica.org/nonprofits/organizations/420680387/202631269349301868/full","view filing")</f>
        <v/>
      </c>
    </row>
    <row r="59">
      <c r="A59" t="inlineStr">
        <is>
          <t>The Trustees Of Grinnell College</t>
        </is>
      </c>
      <c r="B59" s="20" t="inlineStr">
        <is>
          <t>IA</t>
        </is>
      </c>
      <c r="C59" s="42" t="n">
        <v>2.85</v>
      </c>
      <c r="D59" t="inlineStr">
        <is>
          <t>Endowment</t>
        </is>
      </c>
      <c r="E59" s="20" t="n">
        <v>2022</v>
      </c>
      <c r="F59" s="20" t="inlineStr"/>
      <c r="G59" t="inlineStr">
        <is>
          <t>Kelly Sandquist</t>
        </is>
      </c>
      <c r="H59" t="inlineStr">
        <is>
          <t>DIRECTOR OF INVESTMENT OPERATIONS</t>
        </is>
      </c>
      <c r="I59" t="inlineStr">
        <is>
          <t>Head of Inv Ops (Inv Entity)</t>
        </is>
      </c>
      <c r="J59" s="21" t="n">
        <v>160250</v>
      </c>
      <c r="K59" s="21" t="n">
        <v>43876</v>
      </c>
      <c r="L59" s="21" t="n">
        <v>204126</v>
      </c>
      <c r="M59" s="21" t="n">
        <v>196</v>
      </c>
      <c r="N59" s="21" t="n">
        <v>20438</v>
      </c>
      <c r="O59" s="21" t="n">
        <v>2245</v>
      </c>
      <c r="P59" s="21" t="n">
        <v>227005</v>
      </c>
      <c r="Q59" s="21" t="n">
        <v>227005</v>
      </c>
      <c r="R59" s="21">
        <f>IF(Q59="","",Q59*(1+in_GrowthRate)^(YEARFRAC(DATE(2022,6,30),in_AgeToDate)*IF(in_AgeToDate&lt;DATE(2022,6,30),-1,1)+1))</f>
        <v/>
      </c>
      <c r="S59" s="38" t="n">
        <v>0.2737971918876755</v>
      </c>
      <c r="T59" s="43">
        <f>HYPERLINK("https://projects.propublica.org/nonprofits/organizations/420680387/202311329349303386/full","view filing")</f>
        <v/>
      </c>
    </row>
    <row r="60">
      <c r="A60" t="inlineStr">
        <is>
          <t>The University Of Texas Texas A M Investment Management Company</t>
        </is>
      </c>
      <c r="B60" s="20" t="inlineStr">
        <is>
          <t>TX</t>
        </is>
      </c>
      <c r="C60" s="42" t="n">
        <v>67.84</v>
      </c>
      <c r="D60" t="inlineStr">
        <is>
          <t>Endowment</t>
        </is>
      </c>
      <c r="E60" s="20" t="n">
        <v>2025</v>
      </c>
      <c r="F60" s="20">
        <f>IF(AND(OR(in_Mode="All Funds",AND(C60&gt;=in_BandFloor,C60&lt;=in_BandCeiling,OR(in_Geography="National",COUNTIFS(lst_GeoPreset,in_Geography,lst_GeoState,B60)&gt;0,AND(in_Geography="Custom",ISNUMBER(SEARCH(B60,SUBSTITUTE(in_CustomStates," ",""))))),OR(AND(D60="Endowment",Inputs!$B$14="Y"),AND(D60="Foundation",Inputs!$B$15="Y"),AND(D60="Healthcare",Inputs!$B$16="Y"),AND(D60="Pension",Inputs!$B$17="Y"),AND(D60="OCIO",Inputs!$B$18="Y"),AND(D60="Other",Inputs!$B$19="Y")))),A60&lt;&gt;in_ClientOrg,NOT(AND(in_ExclHarvard="Y",ISNUMBER(SEARCH("Harvard",A60))))),"Y","")</f>
        <v/>
      </c>
      <c r="G60" t="inlineStr">
        <is>
          <t>Joan Moeller</t>
        </is>
      </c>
      <c r="H60" t="inlineStr">
        <is>
          <t>COO, CORP. SECRETARY &amp; TREASURER</t>
        </is>
      </c>
      <c r="I60" t="inlineStr">
        <is>
          <t>COO (Inv Entity)</t>
        </is>
      </c>
      <c r="J60" s="21" t="n">
        <v>467350</v>
      </c>
      <c r="K60" s="21" t="n">
        <v>287953</v>
      </c>
      <c r="L60" s="21" t="n">
        <v>755303</v>
      </c>
      <c r="M60" s="21" t="n">
        <v>2444</v>
      </c>
      <c r="N60" s="21" t="n">
        <v>806165</v>
      </c>
      <c r="O60" s="21" t="n">
        <v>12607</v>
      </c>
      <c r="P60" s="21" t="n">
        <v>1576519</v>
      </c>
      <c r="Q60" s="21" t="n">
        <v>1288566</v>
      </c>
      <c r="R60" s="21">
        <f>IF(Q60="","",Q60*(1+in_GrowthRate)^(YEARFRAC(DATE(2025,8,31),in_AgeToDate)*IF(in_AgeToDate&lt;DATE(2025,8,31),-1,1)+1))</f>
        <v/>
      </c>
      <c r="S60" s="38" t="n">
        <v>0.6161399379480047</v>
      </c>
      <c r="T60" s="43">
        <f>HYPERLINK("https://projects.propublica.org/nonprofits/organizations/742765082/202641829349300024/full","view filing")</f>
        <v/>
      </c>
    </row>
    <row r="61">
      <c r="A61" t="inlineStr">
        <is>
          <t>The University Of Texas Texas A M Investment Management Company</t>
        </is>
      </c>
      <c r="B61" s="20" t="inlineStr">
        <is>
          <t>TX</t>
        </is>
      </c>
      <c r="C61" s="42" t="n">
        <v>67.84</v>
      </c>
      <c r="D61" t="inlineStr">
        <is>
          <t>Endowment</t>
        </is>
      </c>
      <c r="E61" s="20" t="n">
        <v>2024</v>
      </c>
      <c r="F61" s="20" t="inlineStr"/>
      <c r="G61" t="inlineStr">
        <is>
          <t>Joan Moeller</t>
        </is>
      </c>
      <c r="H61" t="inlineStr">
        <is>
          <t>COO, CORP. SECRETARY &amp; TREASURER</t>
        </is>
      </c>
      <c r="I61" t="inlineStr">
        <is>
          <t>COO (Inv Entity)</t>
        </is>
      </c>
      <c r="J61" s="21" t="n">
        <v>435317</v>
      </c>
      <c r="K61" s="21" t="n">
        <v>303261</v>
      </c>
      <c r="L61" s="21" t="n">
        <v>738578</v>
      </c>
      <c r="M61" s="21" t="n">
        <v>2855</v>
      </c>
      <c r="N61" s="21" t="n">
        <v>316003</v>
      </c>
      <c r="O61" s="21" t="n">
        <v>12403</v>
      </c>
      <c r="P61" s="21" t="n">
        <v>1069839</v>
      </c>
      <c r="Q61" s="21" t="n">
        <v>766578</v>
      </c>
      <c r="R61" s="21">
        <f>IF(Q61="","",Q61*(1+in_GrowthRate)^(YEARFRAC(DATE(2024,8,31),in_AgeToDate)*IF(in_AgeToDate&lt;DATE(2024,8,31),-1,1)+1))</f>
        <v/>
      </c>
      <c r="S61" s="38" t="n">
        <v>0.6966440547922549</v>
      </c>
      <c r="T61" s="43">
        <f>HYPERLINK("https://projects.propublica.org/nonprofits/organizations/742765082/202541899349300034/full","view filing")</f>
        <v/>
      </c>
    </row>
    <row r="62">
      <c r="A62" t="inlineStr">
        <is>
          <t>The University Of Texas Texas A M Investment Management Company</t>
        </is>
      </c>
      <c r="B62" s="20" t="inlineStr">
        <is>
          <t>TX</t>
        </is>
      </c>
      <c r="C62" s="42" t="n">
        <v>67.84</v>
      </c>
      <c r="D62" t="inlineStr">
        <is>
          <t>Endowment</t>
        </is>
      </c>
      <c r="E62" s="20" t="n">
        <v>2023</v>
      </c>
      <c r="F62" s="20" t="inlineStr"/>
      <c r="G62" t="inlineStr">
        <is>
          <t>Joan Moeller</t>
        </is>
      </c>
      <c r="H62" t="inlineStr">
        <is>
          <t>COO, CORP. SECRETARY &amp; TREASURER</t>
        </is>
      </c>
      <c r="I62" t="inlineStr">
        <is>
          <t>COO (Inv Entity)</t>
        </is>
      </c>
      <c r="J62" s="21" t="n">
        <v>412567</v>
      </c>
      <c r="K62" s="21" t="n">
        <v>313281</v>
      </c>
      <c r="L62" s="21" t="n">
        <v>725848</v>
      </c>
      <c r="M62" s="21" t="n">
        <v>2639</v>
      </c>
      <c r="N62" s="21" t="n">
        <v>329186</v>
      </c>
      <c r="O62" s="21" t="n">
        <v>12311</v>
      </c>
      <c r="P62" s="21" t="n">
        <v>1069984</v>
      </c>
      <c r="Q62" s="21" t="n">
        <v>756703</v>
      </c>
      <c r="R62" s="21">
        <f>IF(Q62="","",Q62*(1+in_GrowthRate)^(YEARFRAC(DATE(2023,8,31),in_AgeToDate)*IF(in_AgeToDate&lt;DATE(2023,8,31),-1,1)+1))</f>
        <v/>
      </c>
      <c r="S62" s="38" t="n">
        <v>0.7593457547501375</v>
      </c>
      <c r="T62" s="43">
        <f>HYPERLINK("https://projects.propublica.org/nonprofits/organizations/742765082/202421919349300237/full","view filing")</f>
        <v/>
      </c>
    </row>
    <row r="63">
      <c r="A63" t="inlineStr">
        <is>
          <t>The University Of Texas Texas A M Investment Management Company</t>
        </is>
      </c>
      <c r="B63" s="20" t="inlineStr">
        <is>
          <t>TX</t>
        </is>
      </c>
      <c r="C63" s="42" t="n">
        <v>67.84</v>
      </c>
      <c r="D63" t="inlineStr">
        <is>
          <t>Endowment</t>
        </is>
      </c>
      <c r="E63" s="20" t="n">
        <v>2022</v>
      </c>
      <c r="F63" s="20" t="inlineStr"/>
      <c r="G63" t="inlineStr">
        <is>
          <t>Joan Moeller</t>
        </is>
      </c>
      <c r="H63" t="inlineStr">
        <is>
          <t>COO, CORP. SECRETARY &amp; TREASURER</t>
        </is>
      </c>
      <c r="I63" t="inlineStr">
        <is>
          <t>COO (Inv Entity)</t>
        </is>
      </c>
      <c r="J63" s="21" t="n">
        <v>397508</v>
      </c>
      <c r="K63" s="21" t="n">
        <v>335364</v>
      </c>
      <c r="L63" s="21" t="n">
        <v>732872</v>
      </c>
      <c r="M63" s="21" t="n">
        <v>2939</v>
      </c>
      <c r="N63" s="21" t="n">
        <v>337931</v>
      </c>
      <c r="O63" s="21" t="n">
        <v>11904</v>
      </c>
      <c r="P63" s="21" t="n">
        <v>1085646</v>
      </c>
      <c r="Q63" s="21" t="n">
        <v>750282</v>
      </c>
      <c r="R63" s="21">
        <f>IF(Q63="","",Q63*(1+in_GrowthRate)^(YEARFRAC(DATE(2022,8,31),in_AgeToDate)*IF(in_AgeToDate&lt;DATE(2022,8,31),-1,1)+1))</f>
        <v/>
      </c>
      <c r="S63" s="38" t="n">
        <v>0.8436660394256216</v>
      </c>
      <c r="T63" s="43">
        <f>HYPERLINK("https://projects.propublica.org/nonprofits/organizations/742765082/202331879349300948/full","view filing")</f>
        <v/>
      </c>
    </row>
    <row r="64">
      <c r="A64" t="inlineStr">
        <is>
          <t>Trustees Of Amherst College</t>
        </is>
      </c>
      <c r="B64" s="20" t="inlineStr">
        <is>
          <t>MA</t>
        </is>
      </c>
      <c r="C64" s="42" t="n">
        <v>3.9</v>
      </c>
      <c r="D64" t="inlineStr">
        <is>
          <t>Endowment</t>
        </is>
      </c>
      <c r="E64" s="20" t="n">
        <v>2025</v>
      </c>
      <c r="F64" s="20">
        <f>IF(AND(OR(in_Mode="All Funds",AND(C64&gt;=in_BandFloor,C64&lt;=in_BandCeiling,OR(in_Geography="National",COUNTIFS(lst_GeoPreset,in_Geography,lst_GeoState,B64)&gt;0,AND(in_Geography="Custom",ISNUMBER(SEARCH(B64,SUBSTITUTE(in_CustomStates," ",""))))),OR(AND(D64="Endowment",Inputs!$B$14="Y"),AND(D64="Foundation",Inputs!$B$15="Y"),AND(D64="Healthcare",Inputs!$B$16="Y"),AND(D64="Pension",Inputs!$B$17="Y"),AND(D64="OCIO",Inputs!$B$18="Y"),AND(D64="Other",Inputs!$B$19="Y")))),A64&lt;&gt;in_ClientOrg,NOT(AND(in_ExclHarvard="Y",ISNUMBER(SEARCH("Harvard",A64))))),"Y","")</f>
        <v/>
      </c>
      <c r="G64" t="inlineStr">
        <is>
          <t>Dawn Bates</t>
        </is>
      </c>
      <c r="H64" t="inlineStr">
        <is>
          <t>DIRECTOR OF OPERATIONS</t>
        </is>
      </c>
      <c r="I64" t="inlineStr">
        <is>
          <t>Head of Inv Ops (Inv Entity)</t>
        </is>
      </c>
      <c r="J64" s="21" t="n">
        <v>233110</v>
      </c>
      <c r="K64" s="21" t="n">
        <v>242000</v>
      </c>
      <c r="L64" s="21" t="n">
        <v>475110</v>
      </c>
      <c r="M64" s="21" t="n">
        <v>856</v>
      </c>
      <c r="N64" s="21" t="n">
        <v>15305</v>
      </c>
      <c r="O64" s="21" t="n">
        <v>27649</v>
      </c>
      <c r="P64" s="21" t="n">
        <v>518920</v>
      </c>
      <c r="Q64" s="21" t="n">
        <v>518920</v>
      </c>
      <c r="R64" s="21">
        <f>IF(Q64="","",Q64*(1+in_GrowthRate)^(YEARFRAC(DATE(2025,6,30),in_AgeToDate)*IF(in_AgeToDate&lt;DATE(2025,6,30),-1,1)+1))</f>
        <v/>
      </c>
      <c r="S64" s="38" t="n">
        <v>1.038136502080563</v>
      </c>
      <c r="T64" s="43">
        <f>HYPERLINK("https://projects.propublica.org/nonprofits/organizations/42103542/202631329349302793/full","view filing")</f>
        <v/>
      </c>
    </row>
    <row r="65">
      <c r="A65" t="inlineStr">
        <is>
          <t>Trustees Of Amherst College</t>
        </is>
      </c>
      <c r="B65" s="20" t="inlineStr">
        <is>
          <t>MA</t>
        </is>
      </c>
      <c r="C65" s="42" t="n">
        <v>3.9</v>
      </c>
      <c r="D65" t="inlineStr">
        <is>
          <t>Endowment</t>
        </is>
      </c>
      <c r="E65" s="20" t="n">
        <v>2024</v>
      </c>
      <c r="F65" s="20" t="inlineStr"/>
      <c r="G65" t="inlineStr">
        <is>
          <t>Dawn Bates</t>
        </is>
      </c>
      <c r="H65" t="inlineStr">
        <is>
          <t>DIRECTOR OF OPERATIONS</t>
        </is>
      </c>
      <c r="I65" t="inlineStr">
        <is>
          <t>Head of Inv Ops (Inv Entity)</t>
        </is>
      </c>
      <c r="J65" s="21" t="n">
        <v>214344</v>
      </c>
      <c r="K65" s="21" t="n">
        <v>229000</v>
      </c>
      <c r="L65" s="21" t="n">
        <v>443344</v>
      </c>
      <c r="M65" s="21" t="n">
        <v>955</v>
      </c>
      <c r="N65" s="21" t="n">
        <v>16082</v>
      </c>
      <c r="O65" s="21" t="n">
        <v>6905</v>
      </c>
      <c r="P65" s="21" t="n">
        <v>467286</v>
      </c>
      <c r="Q65" s="21" t="n">
        <v>467286</v>
      </c>
      <c r="R65" s="21">
        <f>IF(Q65="","",Q65*(1+in_GrowthRate)^(YEARFRAC(DATE(2024,6,30),in_AgeToDate)*IF(in_AgeToDate&lt;DATE(2024,6,30),-1,1)+1))</f>
        <v/>
      </c>
      <c r="S65" s="38" t="n">
        <v>1.068376068376068</v>
      </c>
      <c r="T65" s="43">
        <f>HYPERLINK("https://projects.propublica.org/nonprofits/organizations/42103542/202521359349303002/full","view filing")</f>
        <v/>
      </c>
    </row>
    <row r="66">
      <c r="A66" t="inlineStr">
        <is>
          <t>Trustees Of Amherst College</t>
        </is>
      </c>
      <c r="B66" s="20" t="inlineStr">
        <is>
          <t>MA</t>
        </is>
      </c>
      <c r="C66" s="42" t="n">
        <v>3.9</v>
      </c>
      <c r="D66" t="inlineStr">
        <is>
          <t>Endowment</t>
        </is>
      </c>
      <c r="E66" s="20" t="n">
        <v>2023</v>
      </c>
      <c r="F66" s="20" t="inlineStr"/>
      <c r="G66" t="inlineStr">
        <is>
          <t>Dawn Bates</t>
        </is>
      </c>
      <c r="H66" t="inlineStr">
        <is>
          <t>DIRECTOR OF OPERATIONS-INVESTMENTS</t>
        </is>
      </c>
      <c r="I66" t="inlineStr">
        <is>
          <t>Head of Inv Ops (Inv Entity)</t>
        </is>
      </c>
      <c r="J66" s="21" t="n">
        <v>218075</v>
      </c>
      <c r="K66" s="21" t="n">
        <v>188380</v>
      </c>
      <c r="L66" s="21" t="n">
        <v>406455</v>
      </c>
      <c r="M66" s="21" t="n">
        <v>1137</v>
      </c>
      <c r="N66" s="21" t="n">
        <v>25186</v>
      </c>
      <c r="O66" s="21" t="n">
        <v>2921</v>
      </c>
      <c r="P66" s="21" t="n">
        <v>435699</v>
      </c>
      <c r="Q66" s="21" t="n">
        <v>435699</v>
      </c>
      <c r="R66" s="21">
        <f>IF(Q66="","",Q66*(1+in_GrowthRate)^(YEARFRAC(DATE(2023,6,30),in_AgeToDate)*IF(in_AgeToDate&lt;DATE(2023,6,30),-1,1)+1))</f>
        <v/>
      </c>
      <c r="S66" s="38" t="n">
        <v>0.8638312507164966</v>
      </c>
      <c r="T66" s="43">
        <f>HYPERLINK("https://projects.propublica.org/nonprofits/organizations/42103542/202401369349308800/full","view filing")</f>
        <v/>
      </c>
    </row>
    <row r="67">
      <c r="A67" t="inlineStr">
        <is>
          <t>Trustees Of The Smith College</t>
        </is>
      </c>
      <c r="B67" s="20" t="inlineStr">
        <is>
          <t>MA</t>
        </is>
      </c>
      <c r="C67" s="42" t="n">
        <v>2.71</v>
      </c>
      <c r="D67" t="inlineStr">
        <is>
          <t>Endowment</t>
        </is>
      </c>
      <c r="E67" s="20" t="n">
        <v>2025</v>
      </c>
      <c r="F67" s="20">
        <f>IF(AND(OR(in_Mode="All Funds",AND(C67&gt;=in_BandFloor,C67&lt;=in_BandCeiling,OR(in_Geography="National",COUNTIFS(lst_GeoPreset,in_Geography,lst_GeoState,B67)&gt;0,AND(in_Geography="Custom",ISNUMBER(SEARCH(B67,SUBSTITUTE(in_CustomStates," ",""))))),OR(AND(D67="Endowment",Inputs!$B$14="Y"),AND(D67="Foundation",Inputs!$B$15="Y"),AND(D67="Healthcare",Inputs!$B$16="Y"),AND(D67="Pension",Inputs!$B$17="Y"),AND(D67="OCIO",Inputs!$B$18="Y"),AND(D67="Other",Inputs!$B$19="Y")))),A67&lt;&gt;in_ClientOrg,NOT(AND(in_ExclHarvard="Y",ISNUMBER(SEARCH("Harvard",A67))))),"Y","")</f>
        <v/>
      </c>
      <c r="G67" t="inlineStr">
        <is>
          <t>Brian John Dwyer</t>
        </is>
      </c>
      <c r="H67" t="inlineStr">
        <is>
          <t>DIRECTOR OPERATIONS INVESTMENT</t>
        </is>
      </c>
      <c r="I67" t="inlineStr">
        <is>
          <t>Head of Inv Ops (Inv Entity)</t>
        </is>
      </c>
      <c r="J67" s="21" t="n">
        <v>232854</v>
      </c>
      <c r="K67" s="21" t="n">
        <v>75000</v>
      </c>
      <c r="L67" s="21" t="n">
        <v>307854</v>
      </c>
      <c r="M67" s="21" t="n">
        <v>3714</v>
      </c>
      <c r="N67" s="21" t="n">
        <v>40354</v>
      </c>
      <c r="O67" s="21" t="n">
        <v>23808</v>
      </c>
      <c r="P67" s="21" t="n">
        <v>375730</v>
      </c>
      <c r="Q67" s="21" t="n">
        <v>375730</v>
      </c>
      <c r="R67" s="21">
        <f>IF(Q67="","",Q67*(1+in_GrowthRate)^(YEARFRAC(DATE(2025,6,30),in_AgeToDate)*IF(in_AgeToDate&lt;DATE(2025,6,30),-1,1)+1))</f>
        <v/>
      </c>
      <c r="S67" s="38" t="n">
        <v>0.3220902368007421</v>
      </c>
      <c r="T67" s="43">
        <f>HYPERLINK("https://projects.propublica.org/nonprofits/organizations/41843040/202641359349306484/full","view filing")</f>
        <v/>
      </c>
    </row>
    <row r="68">
      <c r="A68" t="inlineStr">
        <is>
          <t>Trustees Of The Smith College</t>
        </is>
      </c>
      <c r="B68" s="20" t="inlineStr">
        <is>
          <t>MA</t>
        </is>
      </c>
      <c r="C68" s="42" t="n">
        <v>2.71</v>
      </c>
      <c r="D68" t="inlineStr">
        <is>
          <t>Endowment</t>
        </is>
      </c>
      <c r="E68" s="20" t="n">
        <v>2024</v>
      </c>
      <c r="F68" s="20" t="inlineStr"/>
      <c r="G68" t="inlineStr">
        <is>
          <t>Brian J Dwyer</t>
        </is>
      </c>
      <c r="H68" t="inlineStr">
        <is>
          <t>DIRECTOR OPERATIONS INVESTMENT</t>
        </is>
      </c>
      <c r="I68" t="inlineStr">
        <is>
          <t>Head of Inv Ops (Inv Entity)</t>
        </is>
      </c>
      <c r="J68" s="21" t="n">
        <v>224589</v>
      </c>
      <c r="K68" s="21" t="n">
        <v>80000</v>
      </c>
      <c r="L68" s="21" t="n">
        <v>304589</v>
      </c>
      <c r="M68" s="21" t="n">
        <v>2218</v>
      </c>
      <c r="N68" s="21" t="n">
        <v>39745</v>
      </c>
      <c r="O68" s="21" t="n">
        <v>22491</v>
      </c>
      <c r="P68" s="21" t="n">
        <v>369043</v>
      </c>
      <c r="Q68" s="21" t="n">
        <v>369043</v>
      </c>
      <c r="R68" s="21">
        <f>IF(Q68="","",Q68*(1+in_GrowthRate)^(YEARFRAC(DATE(2024,6,30),in_AgeToDate)*IF(in_AgeToDate&lt;DATE(2024,6,30),-1,1)+1))</f>
        <v/>
      </c>
      <c r="S68" s="38" t="n">
        <v>0.3562062255943078</v>
      </c>
      <c r="T68" s="43">
        <f>HYPERLINK("https://projects.propublica.org/nonprofits/organizations/41843040/202541349349305654/full","view filing")</f>
        <v/>
      </c>
    </row>
    <row r="69">
      <c r="A69" t="inlineStr">
        <is>
          <t>Trustees Of The Smith College</t>
        </is>
      </c>
      <c r="B69" s="20" t="inlineStr">
        <is>
          <t>MA</t>
        </is>
      </c>
      <c r="C69" s="42" t="n">
        <v>2.71</v>
      </c>
      <c r="D69" t="inlineStr">
        <is>
          <t>Endowment</t>
        </is>
      </c>
      <c r="E69" s="20" t="n">
        <v>2023</v>
      </c>
      <c r="F69" s="20" t="inlineStr"/>
      <c r="G69" t="inlineStr">
        <is>
          <t>Brian J Dwyer</t>
        </is>
      </c>
      <c r="H69" t="inlineStr">
        <is>
          <t>DIRECTOR OPERATIONS INVESTMENT</t>
        </is>
      </c>
      <c r="I69" t="inlineStr">
        <is>
          <t>Head of Inv Ops (Inv Entity)</t>
        </is>
      </c>
      <c r="J69" s="21" t="n">
        <v>218842</v>
      </c>
      <c r="K69" s="21" t="n">
        <v>1505</v>
      </c>
      <c r="L69" s="21" t="n">
        <v>220347</v>
      </c>
      <c r="M69" s="21" t="n">
        <v>71007</v>
      </c>
      <c r="N69" s="21" t="n">
        <v>1711</v>
      </c>
      <c r="O69" s="21" t="n">
        <v>20141</v>
      </c>
      <c r="P69" s="21" t="n">
        <v>313206</v>
      </c>
      <c r="Q69" s="21" t="n">
        <v>313206</v>
      </c>
      <c r="R69" s="21">
        <f>IF(Q69="","",Q69*(1+in_GrowthRate)^(YEARFRAC(DATE(2023,6,30),in_AgeToDate)*IF(in_AgeToDate&lt;DATE(2023,6,30),-1,1)+1))</f>
        <v/>
      </c>
      <c r="S69" s="38" t="n">
        <v>0.006877107684996482</v>
      </c>
      <c r="T69" s="43">
        <f>HYPERLINK("https://projects.propublica.org/nonprofits/organizations/41843040/202441369349306089/full","view filing")</f>
        <v/>
      </c>
    </row>
    <row r="70">
      <c r="A70" t="inlineStr">
        <is>
          <t>Uaw Retiree Medical Benefits Tr</t>
        </is>
      </c>
      <c r="B70" s="20" t="inlineStr">
        <is>
          <t>MI</t>
        </is>
      </c>
      <c r="C70" s="42" t="n">
        <v>61.42</v>
      </c>
      <c r="D70" t="inlineStr">
        <is>
          <t>Pension</t>
        </is>
      </c>
      <c r="E70" s="20" t="n">
        <v>2024</v>
      </c>
      <c r="F70" s="20">
        <f>IF(AND(OR(in_Mode="All Funds",AND(C70&gt;=in_BandFloor,C70&lt;=in_BandCeiling,OR(in_Geography="National",COUNTIFS(lst_GeoPreset,in_Geography,lst_GeoState,B70)&gt;0,AND(in_Geography="Custom",ISNUMBER(SEARCH(B70,SUBSTITUTE(in_CustomStates," ",""))))),OR(AND(D70="Endowment",Inputs!$B$14="Y"),AND(D70="Foundation",Inputs!$B$15="Y"),AND(D70="Healthcare",Inputs!$B$16="Y"),AND(D70="Pension",Inputs!$B$17="Y"),AND(D70="OCIO",Inputs!$B$18="Y"),AND(D70="Other",Inputs!$B$19="Y")))),A70&lt;&gt;in_ClientOrg,NOT(AND(in_ExclHarvard="Y",ISNUMBER(SEARCH("Harvard",A70))))),"Y","")</f>
        <v/>
      </c>
      <c r="G70" t="inlineStr">
        <is>
          <t>Joe Stackpoole</t>
        </is>
      </c>
      <c r="H70" t="inlineStr">
        <is>
          <t>CHIEF INVESTMENT ADMIN OFFICER</t>
        </is>
      </c>
      <c r="I70" t="inlineStr">
        <is>
          <t>COO (Inv Entity)</t>
        </is>
      </c>
      <c r="J70" s="21" t="n">
        <v>541515</v>
      </c>
      <c r="K70" s="21" t="n"/>
      <c r="L70" s="21" t="n">
        <v>541515</v>
      </c>
      <c r="M70" s="21" t="n">
        <v>4356</v>
      </c>
      <c r="N70" s="21" t="n">
        <v>30500</v>
      </c>
      <c r="O70" s="21" t="n"/>
      <c r="P70" s="21" t="n">
        <v>576371</v>
      </c>
      <c r="Q70" s="21" t="n">
        <v>576371</v>
      </c>
      <c r="R70" s="21">
        <f>IF(Q70="","",Q70*(1+in_GrowthRate)^(YEARFRAC(DATE(2024,12,31),in_AgeToDate)*IF(in_AgeToDate&lt;DATE(2024,12,31),-1,1)+1))</f>
        <v/>
      </c>
      <c r="S70" s="38" t="n">
        <v>0</v>
      </c>
      <c r="T70" s="43">
        <f>HYPERLINK("https://projects.propublica.org/nonprofits/organizations/900424876/202503189349310215/full","view filing")</f>
        <v/>
      </c>
    </row>
    <row r="71">
      <c r="A71" t="inlineStr">
        <is>
          <t>Uaw Retiree Medical Benefits Tr</t>
        </is>
      </c>
      <c r="B71" s="20" t="inlineStr">
        <is>
          <t>MI</t>
        </is>
      </c>
      <c r="C71" s="42" t="n">
        <v>61.42</v>
      </c>
      <c r="D71" t="inlineStr">
        <is>
          <t>Pension</t>
        </is>
      </c>
      <c r="E71" s="20" t="n">
        <v>2023</v>
      </c>
      <c r="F71" s="20" t="inlineStr"/>
      <c r="G71" t="inlineStr">
        <is>
          <t>Joe Stackpoole</t>
        </is>
      </c>
      <c r="H71" t="inlineStr">
        <is>
          <t>CHIEF INVESTMENT ADMIN OFFICER</t>
        </is>
      </c>
      <c r="I71" t="inlineStr">
        <is>
          <t>COO (Inv Entity)</t>
        </is>
      </c>
      <c r="J71" s="21" t="n">
        <v>487890</v>
      </c>
      <c r="K71" s="21" t="n"/>
      <c r="L71" s="21" t="n">
        <v>487890</v>
      </c>
      <c r="M71" s="21" t="n">
        <v>4356</v>
      </c>
      <c r="N71" s="21" t="n">
        <v>30000</v>
      </c>
      <c r="O71" s="21" t="n">
        <v>936</v>
      </c>
      <c r="P71" s="21" t="n">
        <v>523182</v>
      </c>
      <c r="Q71" s="21" t="n">
        <v>523182</v>
      </c>
      <c r="R71" s="21">
        <f>IF(Q71="","",Q71*(1+in_GrowthRate)^(YEARFRAC(DATE(2023,12,31),in_AgeToDate)*IF(in_AgeToDate&lt;DATE(2023,12,31),-1,1)+1))</f>
        <v/>
      </c>
      <c r="S71" s="38" t="n">
        <v>0</v>
      </c>
      <c r="T71" s="43">
        <f>HYPERLINK("https://projects.propublica.org/nonprofits/organizations/900424876/202403199349306100/full","view filing")</f>
        <v/>
      </c>
    </row>
    <row r="72">
      <c r="A72" t="inlineStr">
        <is>
          <t>Uc Berkeley Management Company</t>
        </is>
      </c>
      <c r="B72" s="20" t="inlineStr">
        <is>
          <t>CA</t>
        </is>
      </c>
      <c r="C72" s="42" t="n">
        <v>3.39</v>
      </c>
      <c r="D72" t="inlineStr">
        <is>
          <t>Endowment</t>
        </is>
      </c>
      <c r="E72" s="20" t="n">
        <v>2025</v>
      </c>
      <c r="F72" s="20">
        <f>IF(AND(OR(in_Mode="All Funds",AND(C72&gt;=in_BandFloor,C72&lt;=in_BandCeiling,OR(in_Geography="National",COUNTIFS(lst_GeoPreset,in_Geography,lst_GeoState,B72)&gt;0,AND(in_Geography="Custom",ISNUMBER(SEARCH(B72,SUBSTITUTE(in_CustomStates," ",""))))),OR(AND(D72="Endowment",Inputs!$B$14="Y"),AND(D72="Foundation",Inputs!$B$15="Y"),AND(D72="Healthcare",Inputs!$B$16="Y"),AND(D72="Pension",Inputs!$B$17="Y"),AND(D72="OCIO",Inputs!$B$18="Y"),AND(D72="Other",Inputs!$B$19="Y")))),A72&lt;&gt;in_ClientOrg,NOT(AND(in_ExclHarvard="Y",ISNUMBER(SEARCH("Harvard",A72))))),"Y","")</f>
        <v/>
      </c>
      <c r="G72" t="inlineStr">
        <is>
          <t>Catherine Nguyen</t>
        </is>
      </c>
      <c r="H72" t="inlineStr">
        <is>
          <t>Managing Director of Operations</t>
        </is>
      </c>
      <c r="I72" t="inlineStr">
        <is>
          <t>Managing Director</t>
        </is>
      </c>
      <c r="J72" s="21" t="n">
        <v>250595</v>
      </c>
      <c r="K72" s="21" t="n">
        <v>139680</v>
      </c>
      <c r="L72" s="21" t="n">
        <v>390275</v>
      </c>
      <c r="M72" s="21" t="n"/>
      <c r="N72" s="21" t="n">
        <v>44850</v>
      </c>
      <c r="O72" s="21" t="n">
        <v>25321</v>
      </c>
      <c r="P72" s="21" t="n">
        <v>460446</v>
      </c>
      <c r="Q72" s="21" t="n">
        <v>460446</v>
      </c>
      <c r="R72" s="21">
        <f>IF(Q72="","",Q72*(1+in_GrowthRate)^(YEARFRAC(DATE(2025,6,30),in_AgeToDate)*IF(in_AgeToDate&lt;DATE(2025,6,30),-1,1)+1))</f>
        <v/>
      </c>
      <c r="S72" s="38" t="n">
        <v>0.5573934036991959</v>
      </c>
      <c r="T72" s="43">
        <f>HYPERLINK("https://projects.propublica.org/nonprofits/organizations/270652636/202601359349316565/full","view filing")</f>
        <v/>
      </c>
    </row>
    <row r="73">
      <c r="A73" t="inlineStr">
        <is>
          <t>Uc Berkeley Management Company</t>
        </is>
      </c>
      <c r="B73" s="20" t="inlineStr">
        <is>
          <t>CA</t>
        </is>
      </c>
      <c r="C73" s="42" t="n">
        <v>3.39</v>
      </c>
      <c r="D73" t="inlineStr">
        <is>
          <t>Endowment</t>
        </is>
      </c>
      <c r="E73" s="20" t="n">
        <v>2024</v>
      </c>
      <c r="F73" s="20" t="inlineStr"/>
      <c r="G73" t="inlineStr">
        <is>
          <t>Catherine Nguyen</t>
        </is>
      </c>
      <c r="H73" t="inlineStr">
        <is>
          <t>MANAGING DIRECTOR OF OPERATIONS</t>
        </is>
      </c>
      <c r="I73" t="inlineStr">
        <is>
          <t>Managing Director</t>
        </is>
      </c>
      <c r="J73" s="21" t="n">
        <v>232070</v>
      </c>
      <c r="K73" s="21" t="n">
        <v>141012</v>
      </c>
      <c r="L73" s="21" t="n">
        <v>373082</v>
      </c>
      <c r="M73" s="21" t="n"/>
      <c r="N73" s="21" t="n">
        <v>42900</v>
      </c>
      <c r="O73" s="21" t="n">
        <v>23445</v>
      </c>
      <c r="P73" s="21" t="n">
        <v>439427</v>
      </c>
      <c r="Q73" s="21" t="n">
        <v>439427</v>
      </c>
      <c r="R73" s="21">
        <f>IF(Q73="","",Q73*(1+in_GrowthRate)^(YEARFRAC(DATE(2024,6,30),in_AgeToDate)*IF(in_AgeToDate&lt;DATE(2024,6,30),-1,1)+1))</f>
        <v/>
      </c>
      <c r="S73" s="38" t="n">
        <v>0.6076270090920843</v>
      </c>
      <c r="T73" s="43">
        <f>HYPERLINK("https://projects.propublica.org/nonprofits/organizations/270652636/202511229349302776/full","view filing")</f>
        <v/>
      </c>
    </row>
    <row r="74">
      <c r="A74" t="inlineStr">
        <is>
          <t>Uc Berkeley Management Company</t>
        </is>
      </c>
      <c r="B74" s="20" t="inlineStr">
        <is>
          <t>CA</t>
        </is>
      </c>
      <c r="C74" s="42" t="n">
        <v>3.39</v>
      </c>
      <c r="D74" t="inlineStr">
        <is>
          <t>Endowment</t>
        </is>
      </c>
      <c r="E74" s="20" t="n">
        <v>2023</v>
      </c>
      <c r="F74" s="20" t="inlineStr"/>
      <c r="G74" t="inlineStr">
        <is>
          <t>Catherine Nguyen</t>
        </is>
      </c>
      <c r="H74" t="inlineStr">
        <is>
          <t>OPERATIONS DIRECTOR</t>
        </is>
      </c>
      <c r="I74" t="inlineStr">
        <is>
          <t>Head of Inv Ops (Inv Entity)</t>
        </is>
      </c>
      <c r="J74" s="21" t="n">
        <v>214729</v>
      </c>
      <c r="K74" s="21" t="n">
        <v>135216</v>
      </c>
      <c r="L74" s="21" t="n">
        <v>349945</v>
      </c>
      <c r="M74" s="21" t="n">
        <v>3504</v>
      </c>
      <c r="N74" s="21" t="n">
        <v>39650</v>
      </c>
      <c r="O74" s="21" t="n">
        <v>18294</v>
      </c>
      <c r="P74" s="21" t="n">
        <v>411393</v>
      </c>
      <c r="Q74" s="21" t="n">
        <v>411393</v>
      </c>
      <c r="R74" s="21">
        <f>IF(Q74="","",Q74*(1+in_GrowthRate)^(YEARFRAC(DATE(2023,6,30),in_AgeToDate)*IF(in_AgeToDate&lt;DATE(2023,6,30),-1,1)+1))</f>
        <v/>
      </c>
      <c r="S74" s="38" t="n">
        <v>0.6297053495335981</v>
      </c>
      <c r="T74" s="43">
        <f>HYPERLINK("https://projects.propublica.org/nonprofits/organizations/270652636/202401349349302270/full","view filing")</f>
        <v/>
      </c>
    </row>
    <row r="75">
      <c r="A75" t="inlineStr">
        <is>
          <t>Uc Berkeley Management Company</t>
        </is>
      </c>
      <c r="B75" s="20" t="inlineStr">
        <is>
          <t>CA</t>
        </is>
      </c>
      <c r="C75" s="42" t="n">
        <v>3.39</v>
      </c>
      <c r="D75" t="inlineStr">
        <is>
          <t>Endowment</t>
        </is>
      </c>
      <c r="E75" s="20" t="n">
        <v>2022</v>
      </c>
      <c r="F75" s="20" t="inlineStr"/>
      <c r="G75" t="inlineStr">
        <is>
          <t>Catherine Nguyen</t>
        </is>
      </c>
      <c r="H75" t="inlineStr">
        <is>
          <t>OPERATIONS DIRECTOR</t>
        </is>
      </c>
      <c r="I75" t="inlineStr">
        <is>
          <t>Head of Inv Ops (Inv Entity)</t>
        </is>
      </c>
      <c r="J75" s="21" t="n">
        <v>178389</v>
      </c>
      <c r="K75" s="21" t="n">
        <v>135660</v>
      </c>
      <c r="L75" s="21" t="n">
        <v>314049</v>
      </c>
      <c r="M75" s="21" t="n">
        <v>3463</v>
      </c>
      <c r="N75" s="21" t="n">
        <v>37700</v>
      </c>
      <c r="O75" s="21" t="n">
        <v>15837</v>
      </c>
      <c r="P75" s="21" t="n">
        <v>371049</v>
      </c>
      <c r="Q75" s="21" t="n">
        <v>371049</v>
      </c>
      <c r="R75" s="21">
        <f>IF(Q75="","",Q75*(1+in_GrowthRate)^(YEARFRAC(DATE(2022,6,30),in_AgeToDate)*IF(in_AgeToDate&lt;DATE(2022,6,30),-1,1)+1))</f>
        <v/>
      </c>
      <c r="S75" s="38" t="n">
        <v>0.7604728991137346</v>
      </c>
      <c r="T75" s="43">
        <f>HYPERLINK("https://projects.propublica.org/nonprofits/organizations/270652636/202321319349305012/full","view filing")</f>
        <v/>
      </c>
    </row>
    <row r="76">
      <c r="A76" t="inlineStr">
        <is>
          <t>Unc Management Company Inc</t>
        </is>
      </c>
      <c r="B76" s="20" t="inlineStr">
        <is>
          <t>NC</t>
        </is>
      </c>
      <c r="C76" s="42" t="n">
        <v>6.22</v>
      </c>
      <c r="D76" t="inlineStr">
        <is>
          <t>Endowment</t>
        </is>
      </c>
      <c r="E76" s="20" t="n">
        <v>2025</v>
      </c>
      <c r="F76" s="20">
        <f>IF(AND(OR(in_Mode="All Funds",AND(C76&gt;=in_BandFloor,C76&lt;=in_BandCeiling,OR(in_Geography="National",COUNTIFS(lst_GeoPreset,in_Geography,lst_GeoState,B76)&gt;0,AND(in_Geography="Custom",ISNUMBER(SEARCH(B76,SUBSTITUTE(in_CustomStates," ",""))))),OR(AND(D76="Endowment",Inputs!$B$14="Y"),AND(D76="Foundation",Inputs!$B$15="Y"),AND(D76="Healthcare",Inputs!$B$16="Y"),AND(D76="Pension",Inputs!$B$17="Y"),AND(D76="OCIO",Inputs!$B$18="Y"),AND(D76="Other",Inputs!$B$19="Y")))),A76&lt;&gt;in_ClientOrg,NOT(AND(in_ExclHarvard="Y",ISNUMBER(SEARCH("Harvard",A76))))),"Y","")</f>
        <v/>
      </c>
      <c r="G76" t="inlineStr">
        <is>
          <t>Chris Mattke</t>
        </is>
      </c>
      <c r="H76" t="inlineStr">
        <is>
          <t>VP - INV OPS &amp; FINANCE</t>
        </is>
      </c>
      <c r="I76" t="inlineStr">
        <is>
          <t>Investment Officer</t>
        </is>
      </c>
      <c r="J76" s="21" t="n">
        <v>331774</v>
      </c>
      <c r="K76" s="21" t="n">
        <v>377945</v>
      </c>
      <c r="L76" s="21" t="n">
        <v>709719</v>
      </c>
      <c r="M76" s="21" t="n">
        <v>780</v>
      </c>
      <c r="N76" s="21" t="n">
        <v>274801</v>
      </c>
      <c r="O76" s="21" t="n">
        <v>46493</v>
      </c>
      <c r="P76" s="21" t="n">
        <v>1031793</v>
      </c>
      <c r="Q76" s="21" t="n">
        <v>885488</v>
      </c>
      <c r="R76" s="21">
        <f>IF(Q76="","",Q76*(1+in_GrowthRate)^(YEARFRAC(DATE(2025,6,30),in_AgeToDate)*IF(in_AgeToDate&lt;DATE(2025,6,30),-1,1)+1))</f>
        <v/>
      </c>
      <c r="S76" s="38" t="n">
        <v>1.139164009235202</v>
      </c>
      <c r="T76" s="43">
        <f>HYPERLINK("https://projects.propublica.org/nonprofits/organizations/364516257/202611329349304711/full","view filing")</f>
        <v/>
      </c>
    </row>
    <row r="77">
      <c r="A77" t="inlineStr">
        <is>
          <t>Unc Management Company Inc</t>
        </is>
      </c>
      <c r="B77" s="20" t="inlineStr">
        <is>
          <t>NC</t>
        </is>
      </c>
      <c r="C77" s="42" t="n">
        <v>6.22</v>
      </c>
      <c r="D77" t="inlineStr">
        <is>
          <t>Endowment</t>
        </is>
      </c>
      <c r="E77" s="20" t="n">
        <v>2024</v>
      </c>
      <c r="F77" s="20" t="inlineStr"/>
      <c r="G77" t="inlineStr">
        <is>
          <t>Chris Mattke</t>
        </is>
      </c>
      <c r="H77" t="inlineStr">
        <is>
          <t>VP - INV OPS &amp; FINANCE</t>
        </is>
      </c>
      <c r="I77" t="inlineStr">
        <is>
          <t>Investment Officer</t>
        </is>
      </c>
      <c r="J77" s="21" t="n">
        <v>310581</v>
      </c>
      <c r="K77" s="21" t="n">
        <v>265531</v>
      </c>
      <c r="L77" s="21" t="n">
        <v>576112</v>
      </c>
      <c r="M77" s="21" t="n">
        <v>780</v>
      </c>
      <c r="N77" s="21" t="n">
        <v>205002</v>
      </c>
      <c r="O77" s="21" t="n">
        <v>45522</v>
      </c>
      <c r="P77" s="21" t="n">
        <v>827416</v>
      </c>
      <c r="Q77" s="21" t="n">
        <v>717233</v>
      </c>
      <c r="R77" s="21">
        <f>IF(Q77="","",Q77*(1+in_GrowthRate)^(YEARFRAC(DATE(2024,6,30),in_AgeToDate)*IF(in_AgeToDate&lt;DATE(2024,6,30),-1,1)+1))</f>
        <v/>
      </c>
      <c r="S77" s="38" t="n">
        <v>0.8549492724925221</v>
      </c>
      <c r="T77" s="43">
        <f>HYPERLINK("https://projects.propublica.org/nonprofits/organizations/364516257/202531199349301443/full","view filing")</f>
        <v/>
      </c>
    </row>
    <row r="78">
      <c r="A78" t="inlineStr">
        <is>
          <t>Unc Management Company Inc</t>
        </is>
      </c>
      <c r="B78" s="20" t="inlineStr">
        <is>
          <t>NC</t>
        </is>
      </c>
      <c r="C78" s="42" t="n">
        <v>6.22</v>
      </c>
      <c r="D78" t="inlineStr">
        <is>
          <t>Endowment</t>
        </is>
      </c>
      <c r="E78" s="20" t="n">
        <v>2023</v>
      </c>
      <c r="F78" s="20" t="inlineStr"/>
      <c r="G78" t="inlineStr">
        <is>
          <t>Chris Mattke</t>
        </is>
      </c>
      <c r="H78" t="inlineStr">
        <is>
          <t>VP - INV OPS &amp; FINANCE</t>
        </is>
      </c>
      <c r="I78" t="inlineStr">
        <is>
          <t>Investment Officer</t>
        </is>
      </c>
      <c r="J78" s="21" t="n">
        <v>291767</v>
      </c>
      <c r="K78" s="21" t="n">
        <v>225181</v>
      </c>
      <c r="L78" s="21" t="n">
        <v>516948</v>
      </c>
      <c r="M78" s="21" t="n">
        <v>780</v>
      </c>
      <c r="N78" s="21" t="n">
        <v>184851</v>
      </c>
      <c r="O78" s="21" t="n">
        <v>41754</v>
      </c>
      <c r="P78" s="21" t="n">
        <v>744333</v>
      </c>
      <c r="Q78" s="21" t="n">
        <v>660193</v>
      </c>
      <c r="R78" s="21">
        <f>IF(Q78="","",Q78*(1+in_GrowthRate)^(YEARFRAC(DATE(2023,6,30),in_AgeToDate)*IF(in_AgeToDate&lt;DATE(2023,6,30),-1,1)+1))</f>
        <v/>
      </c>
      <c r="S78" s="38" t="n">
        <v>0.7717836492817899</v>
      </c>
      <c r="T78" s="43">
        <f>HYPERLINK("https://projects.propublica.org/nonprofits/organizations/364516257/202431319349304158/full","view filing")</f>
        <v/>
      </c>
    </row>
    <row r="79">
      <c r="A79" t="inlineStr">
        <is>
          <t>Unc Management Company Inc</t>
        </is>
      </c>
      <c r="B79" s="20" t="inlineStr">
        <is>
          <t>NC</t>
        </is>
      </c>
      <c r="C79" s="42" t="n">
        <v>6.22</v>
      </c>
      <c r="D79" t="inlineStr">
        <is>
          <t>Endowment</t>
        </is>
      </c>
      <c r="E79" s="20" t="n">
        <v>2022</v>
      </c>
      <c r="F79" s="20" t="inlineStr"/>
      <c r="G79" t="inlineStr">
        <is>
          <t>Chris Mattke</t>
        </is>
      </c>
      <c r="H79" t="inlineStr">
        <is>
          <t>VP - INV OPS &amp; FINANCE</t>
        </is>
      </c>
      <c r="I79" t="inlineStr">
        <is>
          <t>Investment Officer</t>
        </is>
      </c>
      <c r="J79" s="21" t="n">
        <v>223623</v>
      </c>
      <c r="K79" s="21" t="n">
        <v>169784</v>
      </c>
      <c r="L79" s="21" t="n">
        <v>393407</v>
      </c>
      <c r="M79" s="21" t="n">
        <v>702</v>
      </c>
      <c r="N79" s="21" t="n">
        <v>136207</v>
      </c>
      <c r="O79" s="21" t="n">
        <v>40558</v>
      </c>
      <c r="P79" s="21" t="n">
        <v>570874</v>
      </c>
      <c r="Q79" s="21" t="n">
        <v>570874</v>
      </c>
      <c r="R79" s="21">
        <f>IF(Q79="","",Q79*(1+in_GrowthRate)^(YEARFRAC(DATE(2022,6,30),in_AgeToDate)*IF(in_AgeToDate&lt;DATE(2022,6,30),-1,1)+1))</f>
        <v/>
      </c>
      <c r="S79" s="38" t="n">
        <v>0.7592421173135142</v>
      </c>
      <c r="T79" s="43">
        <f>HYPERLINK("https://projects.propublica.org/nonprofits/organizations/364516257/202320669349301047/full","view filing")</f>
        <v/>
      </c>
    </row>
    <row r="80">
      <c r="A80" t="inlineStr">
        <is>
          <t>University Of Florida Investment Corporation</t>
        </is>
      </c>
      <c r="B80" s="20" t="inlineStr">
        <is>
          <t>FL</t>
        </is>
      </c>
      <c r="C80" s="42" t="n">
        <v>2.45</v>
      </c>
      <c r="D80" t="inlineStr">
        <is>
          <t>Endowment</t>
        </is>
      </c>
      <c r="E80" s="20" t="n">
        <v>2025</v>
      </c>
      <c r="F80" s="20">
        <f>IF(AND(OR(in_Mode="All Funds",AND(C80&gt;=in_BandFloor,C80&lt;=in_BandCeiling,OR(in_Geography="National",COUNTIFS(lst_GeoPreset,in_Geography,lst_GeoState,B80)&gt;0,AND(in_Geography="Custom",ISNUMBER(SEARCH(B80,SUBSTITUTE(in_CustomStates," ",""))))),OR(AND(D80="Endowment",Inputs!$B$14="Y"),AND(D80="Foundation",Inputs!$B$15="Y"),AND(D80="Healthcare",Inputs!$B$16="Y"),AND(D80="Pension",Inputs!$B$17="Y"),AND(D80="OCIO",Inputs!$B$18="Y"),AND(D80="Other",Inputs!$B$19="Y")))),A80&lt;&gt;in_ClientOrg,NOT(AND(in_ExclHarvard="Y",ISNUMBER(SEARCH("Harvard",A80))))),"Y","")</f>
        <v/>
      </c>
      <c r="G80" t="inlineStr">
        <is>
          <t>Edward A Kelly</t>
        </is>
      </c>
      <c r="H80" t="inlineStr">
        <is>
          <t>COO/VICE PRESIDENT</t>
        </is>
      </c>
      <c r="I80" t="inlineStr">
        <is>
          <t>COO (Inv Entity)</t>
        </is>
      </c>
      <c r="J80" s="21" t="n">
        <v>342166</v>
      </c>
      <c r="K80" s="21" t="n">
        <v>146759</v>
      </c>
      <c r="L80" s="21" t="n">
        <v>488925</v>
      </c>
      <c r="M80" s="21" t="n">
        <v>5220</v>
      </c>
      <c r="N80" s="21" t="n">
        <v>66707</v>
      </c>
      <c r="O80" s="21" t="n">
        <v>23350</v>
      </c>
      <c r="P80" s="21" t="n">
        <v>584202</v>
      </c>
      <c r="Q80" s="21" t="n">
        <v>584202</v>
      </c>
      <c r="R80" s="21">
        <f>IF(Q80="","",Q80*(1+in_GrowthRate)^(YEARFRAC(DATE(2025,6,30),in_AgeToDate)*IF(in_AgeToDate&lt;DATE(2025,6,30),-1,1)+1))</f>
        <v/>
      </c>
      <c r="S80" s="38" t="n">
        <v>0.4289116978308774</v>
      </c>
      <c r="T80" s="43">
        <f>HYPERLINK("https://projects.propublica.org/nonprofits/organizations/201226494/202610979349301311/full","view filing")</f>
        <v/>
      </c>
    </row>
    <row r="81">
      <c r="A81" t="inlineStr">
        <is>
          <t>University Of Florida Investment Corporation</t>
        </is>
      </c>
      <c r="B81" s="20" t="inlineStr">
        <is>
          <t>FL</t>
        </is>
      </c>
      <c r="C81" s="42" t="n">
        <v>2.45</v>
      </c>
      <c r="D81" t="inlineStr">
        <is>
          <t>Endowment</t>
        </is>
      </c>
      <c r="E81" s="20" t="n">
        <v>2024</v>
      </c>
      <c r="F81" s="20" t="inlineStr"/>
      <c r="G81" t="inlineStr">
        <is>
          <t>Edward A Kelly</t>
        </is>
      </c>
      <c r="H81" t="inlineStr">
        <is>
          <t>COO/VICE PRESIDENT</t>
        </is>
      </c>
      <c r="I81" t="inlineStr">
        <is>
          <t>COO (Inv Entity)</t>
        </is>
      </c>
      <c r="J81" s="21" t="n">
        <v>328962</v>
      </c>
      <c r="K81" s="21" t="n">
        <v>175843</v>
      </c>
      <c r="L81" s="21" t="n">
        <v>504805</v>
      </c>
      <c r="M81" s="21" t="n">
        <v>5220</v>
      </c>
      <c r="N81" s="21" t="n">
        <v>79886</v>
      </c>
      <c r="O81" s="21" t="n">
        <v>22658</v>
      </c>
      <c r="P81" s="21" t="n">
        <v>612569</v>
      </c>
      <c r="Q81" s="21" t="n">
        <v>612569</v>
      </c>
      <c r="R81" s="21">
        <f>IF(Q81="","",Q81*(1+in_GrowthRate)^(YEARFRAC(DATE(2024,6,30),in_AgeToDate)*IF(in_AgeToDate&lt;DATE(2024,6,30),-1,1)+1))</f>
        <v/>
      </c>
      <c r="S81" s="38" t="n">
        <v>0.5345389437077839</v>
      </c>
      <c r="T81" s="43">
        <f>HYPERLINK("https://projects.propublica.org/nonprofits/organizations/201226494/202531269349300703/full","view filing")</f>
        <v/>
      </c>
    </row>
    <row r="82">
      <c r="A82" t="inlineStr">
        <is>
          <t>University Of Florida Investment Corporation</t>
        </is>
      </c>
      <c r="B82" s="20" t="inlineStr">
        <is>
          <t>FL</t>
        </is>
      </c>
      <c r="C82" s="42" t="n">
        <v>2.45</v>
      </c>
      <c r="D82" t="inlineStr">
        <is>
          <t>Endowment</t>
        </is>
      </c>
      <c r="E82" s="20" t="n">
        <v>2023</v>
      </c>
      <c r="F82" s="20" t="inlineStr"/>
      <c r="G82" t="inlineStr">
        <is>
          <t>Edward A Kelly</t>
        </is>
      </c>
      <c r="H82" t="inlineStr">
        <is>
          <t>COO/VICE PRESIDENT</t>
        </is>
      </c>
      <c r="I82" t="inlineStr">
        <is>
          <t>COO (Inv Entity)</t>
        </is>
      </c>
      <c r="J82" s="21" t="n">
        <v>322913</v>
      </c>
      <c r="K82" s="21" t="n">
        <v>220487</v>
      </c>
      <c r="L82" s="21" t="n">
        <v>543400</v>
      </c>
      <c r="M82" s="21" t="n">
        <v>5220</v>
      </c>
      <c r="N82" s="21" t="n">
        <v>88656</v>
      </c>
      <c r="O82" s="21" t="n">
        <v>21127</v>
      </c>
      <c r="P82" s="21" t="n">
        <v>658403</v>
      </c>
      <c r="Q82" s="21" t="n">
        <v>658403</v>
      </c>
      <c r="R82" s="21">
        <f>IF(Q82="","",Q82*(1+in_GrowthRate)^(YEARFRAC(DATE(2023,6,30),in_AgeToDate)*IF(in_AgeToDate&lt;DATE(2023,6,30),-1,1)+1))</f>
        <v/>
      </c>
      <c r="S82" s="38" t="n">
        <v>0.6828062047672283</v>
      </c>
      <c r="T82" s="43">
        <f>HYPERLINK("https://projects.propublica.org/nonprofits/organizations/201226494/202411289349300746/full","view filing")</f>
        <v/>
      </c>
    </row>
    <row r="83">
      <c r="A83" t="inlineStr">
        <is>
          <t>University Of Florida Investment Corporation</t>
        </is>
      </c>
      <c r="B83" s="20" t="inlineStr">
        <is>
          <t>FL</t>
        </is>
      </c>
      <c r="C83" s="42" t="n">
        <v>2.45</v>
      </c>
      <c r="D83" t="inlineStr">
        <is>
          <t>Endowment</t>
        </is>
      </c>
      <c r="E83" s="20" t="n">
        <v>2022</v>
      </c>
      <c r="F83" s="20" t="inlineStr"/>
      <c r="G83" t="inlineStr">
        <is>
          <t>Edward Kelly</t>
        </is>
      </c>
      <c r="H83" t="inlineStr">
        <is>
          <t>COO, VICE PRESIDENT</t>
        </is>
      </c>
      <c r="I83" t="inlineStr">
        <is>
          <t>COO (Inv Entity)</t>
        </is>
      </c>
      <c r="J83" s="21" t="n">
        <v>310250</v>
      </c>
      <c r="K83" s="21" t="n">
        <v>189973</v>
      </c>
      <c r="L83" s="21" t="n">
        <v>500223</v>
      </c>
      <c r="M83" s="21" t="n">
        <v>2940</v>
      </c>
      <c r="N83" s="21" t="n">
        <v>80093</v>
      </c>
      <c r="O83" s="21" t="n">
        <v>20201</v>
      </c>
      <c r="P83" s="21" t="n">
        <v>603457</v>
      </c>
      <c r="Q83" s="21" t="n">
        <v>603457</v>
      </c>
      <c r="R83" s="21">
        <f>IF(Q83="","",Q83*(1+in_GrowthRate)^(YEARFRAC(DATE(2022,6,30),in_AgeToDate)*IF(in_AgeToDate&lt;DATE(2022,6,30),-1,1)+1))</f>
        <v/>
      </c>
      <c r="S83" s="38" t="n">
        <v>0.6123223207091055</v>
      </c>
      <c r="T83" s="43">
        <f>HYPERLINK("https://projects.propublica.org/nonprofits/organizations/201226494/202301259349301825/full","view filing")</f>
        <v/>
      </c>
    </row>
    <row r="84">
      <c r="A84" t="inlineStr">
        <is>
          <t>University Of Maryland Foundation Inc</t>
        </is>
      </c>
      <c r="B84" s="20" t="inlineStr">
        <is>
          <t>MD</t>
        </is>
      </c>
      <c r="C84" s="42" t="n">
        <v>2.46</v>
      </c>
      <c r="D84" t="inlineStr">
        <is>
          <t>Endowment</t>
        </is>
      </c>
      <c r="E84" s="20" t="n">
        <v>2025</v>
      </c>
      <c r="F84" s="20">
        <f>IF(AND(OR(in_Mode="All Funds",AND(C84&gt;=in_BandFloor,C84&lt;=in_BandCeiling,OR(in_Geography="National",COUNTIFS(lst_GeoPreset,in_Geography,lst_GeoState,B84)&gt;0,AND(in_Geography="Custom",ISNUMBER(SEARCH(B84,SUBSTITUTE(in_CustomStates," ",""))))),OR(AND(D84="Endowment",Inputs!$B$14="Y"),AND(D84="Foundation",Inputs!$B$15="Y"),AND(D84="Healthcare",Inputs!$B$16="Y"),AND(D84="Pension",Inputs!$B$17="Y"),AND(D84="OCIO",Inputs!$B$18="Y"),AND(D84="Other",Inputs!$B$19="Y")))),A84&lt;&gt;in_ClientOrg,NOT(AND(in_ExclHarvard="Y",ISNUMBER(SEARCH("Harvard",A84))))),"Y","")</f>
        <v/>
      </c>
      <c r="G84" t="inlineStr">
        <is>
          <t>Roy Hossler</t>
        </is>
      </c>
      <c r="H84" t="inlineStr">
        <is>
          <t>Director of Business Operations</t>
        </is>
      </c>
      <c r="I84" t="inlineStr">
        <is>
          <t>Head of Inv Ops (Inv Entity)</t>
        </is>
      </c>
      <c r="J84" s="21" t="n">
        <v>214087</v>
      </c>
      <c r="K84" s="21" t="n"/>
      <c r="L84" s="21" t="n">
        <v>214087</v>
      </c>
      <c r="M84" s="21" t="n"/>
      <c r="N84" s="21" t="n">
        <v>15521</v>
      </c>
      <c r="O84" s="21" t="n">
        <v>18166</v>
      </c>
      <c r="P84" s="21" t="n">
        <v>247774</v>
      </c>
      <c r="Q84" s="21" t="n">
        <v>247774</v>
      </c>
      <c r="R84" s="21">
        <f>IF(Q84="","",Q84*(1+in_GrowthRate)^(YEARFRAC(DATE(2025,6,30),in_AgeToDate)*IF(in_AgeToDate&lt;DATE(2025,6,30),-1,1)+1))</f>
        <v/>
      </c>
      <c r="S84" s="38" t="n">
        <v>0</v>
      </c>
      <c r="T84" s="43">
        <f>HYPERLINK("https://projects.propublica.org/nonprofits/organizations/521125663/202631349349308193/full","view filing")</f>
        <v/>
      </c>
    </row>
    <row r="85">
      <c r="A85" t="inlineStr">
        <is>
          <t>University Of Maryland Foundation Inc</t>
        </is>
      </c>
      <c r="B85" s="20" t="inlineStr">
        <is>
          <t>MD</t>
        </is>
      </c>
      <c r="C85" s="42" t="n">
        <v>2.46</v>
      </c>
      <c r="D85" t="inlineStr">
        <is>
          <t>Endowment</t>
        </is>
      </c>
      <c r="E85" s="20" t="n">
        <v>2024</v>
      </c>
      <c r="F85" s="20" t="inlineStr"/>
      <c r="G85" t="inlineStr">
        <is>
          <t>Roy Hossler</t>
        </is>
      </c>
      <c r="H85" t="inlineStr">
        <is>
          <t>Director of Business Operations</t>
        </is>
      </c>
      <c r="I85" t="inlineStr">
        <is>
          <t>Head of Inv Ops (Inv Entity)</t>
        </is>
      </c>
      <c r="J85" s="21" t="n">
        <v>204291</v>
      </c>
      <c r="K85" s="21" t="n"/>
      <c r="L85" s="21" t="n">
        <v>204291</v>
      </c>
      <c r="M85" s="21" t="n"/>
      <c r="N85" s="21" t="n">
        <v>14811</v>
      </c>
      <c r="O85" s="21" t="n">
        <v>18254</v>
      </c>
      <c r="P85" s="21" t="n">
        <v>237356</v>
      </c>
      <c r="Q85" s="21" t="n">
        <v>237356</v>
      </c>
      <c r="R85" s="21">
        <f>IF(Q85="","",Q85*(1+in_GrowthRate)^(YEARFRAC(DATE(2024,6,30),in_AgeToDate)*IF(in_AgeToDate&lt;DATE(2024,6,30),-1,1)+1))</f>
        <v/>
      </c>
      <c r="S85" s="38" t="n">
        <v>0</v>
      </c>
      <c r="T85" s="43">
        <f>HYPERLINK("https://projects.propublica.org/nonprofits/organizations/521125663/202531359349304708/full","view filing")</f>
        <v/>
      </c>
    </row>
    <row r="86">
      <c r="A86" t="inlineStr">
        <is>
          <t>University Of Maryland Foundation Inc</t>
        </is>
      </c>
      <c r="B86" s="20" t="inlineStr">
        <is>
          <t>MD</t>
        </is>
      </c>
      <c r="C86" s="42" t="n">
        <v>2.46</v>
      </c>
      <c r="D86" t="inlineStr">
        <is>
          <t>Endowment</t>
        </is>
      </c>
      <c r="E86" s="20" t="n">
        <v>2023</v>
      </c>
      <c r="F86" s="20" t="inlineStr"/>
      <c r="G86" t="inlineStr">
        <is>
          <t>Roy Hossler</t>
        </is>
      </c>
      <c r="H86" t="inlineStr">
        <is>
          <t>Director of Business Operations</t>
        </is>
      </c>
      <c r="I86" t="inlineStr">
        <is>
          <t>Head of Inv Ops (Inv Entity)</t>
        </is>
      </c>
      <c r="J86" s="21" t="n">
        <v>187442</v>
      </c>
      <c r="K86" s="21" t="n">
        <v>1500</v>
      </c>
      <c r="L86" s="21" t="n">
        <v>188942</v>
      </c>
      <c r="M86" s="21" t="n"/>
      <c r="N86" s="21" t="n">
        <v>13698</v>
      </c>
      <c r="O86" s="21" t="n">
        <v>19056</v>
      </c>
      <c r="P86" s="21" t="n">
        <v>221696</v>
      </c>
      <c r="Q86" s="21" t="n">
        <v>221696</v>
      </c>
      <c r="R86" s="21">
        <f>IF(Q86="","",Q86*(1+in_GrowthRate)^(YEARFRAC(DATE(2023,6,30),in_AgeToDate)*IF(in_AgeToDate&lt;DATE(2023,6,30),-1,1)+1))</f>
        <v/>
      </c>
      <c r="S86" s="38" t="n">
        <v>0.008002475432400423</v>
      </c>
      <c r="T86" s="43">
        <f>HYPERLINK("https://projects.propublica.org/nonprofits/organizations/521125663/202431369349301763/full","view filing")</f>
        <v/>
      </c>
    </row>
    <row r="87">
      <c r="A87" t="inlineStr">
        <is>
          <t>University Of Maryland Foundation Inc</t>
        </is>
      </c>
      <c r="B87" s="20" t="inlineStr">
        <is>
          <t>MD</t>
        </is>
      </c>
      <c r="C87" s="42" t="n">
        <v>2.46</v>
      </c>
      <c r="D87" t="inlineStr">
        <is>
          <t>Endowment</t>
        </is>
      </c>
      <c r="E87" s="20" t="n">
        <v>2022</v>
      </c>
      <c r="F87" s="20" t="inlineStr"/>
      <c r="G87" t="inlineStr">
        <is>
          <t>Roy Hossler</t>
        </is>
      </c>
      <c r="H87" t="inlineStr">
        <is>
          <t>Director of Business Operations</t>
        </is>
      </c>
      <c r="I87" t="inlineStr">
        <is>
          <t>Head of Inv Ops (Inv Entity)</t>
        </is>
      </c>
      <c r="J87" s="21" t="n">
        <v>161435</v>
      </c>
      <c r="K87" s="21" t="n">
        <v>1000</v>
      </c>
      <c r="L87" s="21" t="n">
        <v>162435</v>
      </c>
      <c r="M87" s="21" t="n"/>
      <c r="N87" s="21" t="n">
        <v>11777</v>
      </c>
      <c r="O87" s="21" t="n">
        <v>20235</v>
      </c>
      <c r="P87" s="21" t="n">
        <v>194447</v>
      </c>
      <c r="Q87" s="21" t="n">
        <v>194447</v>
      </c>
      <c r="R87" s="21">
        <f>IF(Q87="","",Q87*(1+in_GrowthRate)^(YEARFRAC(DATE(2022,6,30),in_AgeToDate)*IF(in_AgeToDate&lt;DATE(2022,6,30),-1,1)+1))</f>
        <v/>
      </c>
      <c r="S87" s="38" t="n">
        <v>0.006194443584105058</v>
      </c>
      <c r="T87" s="43">
        <f>HYPERLINK("https://projects.propublica.org/nonprofits/organizations/521125663/202331329349308033/full","view filing")</f>
        <v/>
      </c>
    </row>
    <row r="88">
      <c r="A88" t="inlineStr">
        <is>
          <t>University Of Massachusetts Foundation Inc</t>
        </is>
      </c>
      <c r="B88" s="20" t="inlineStr">
        <is>
          <t>MA</t>
        </is>
      </c>
      <c r="C88" s="42" t="n">
        <v>1.8</v>
      </c>
      <c r="D88" t="inlineStr">
        <is>
          <t>Endowment</t>
        </is>
      </c>
      <c r="E88" s="20" t="n">
        <v>2025</v>
      </c>
      <c r="F88" s="20">
        <f>IF(AND(OR(in_Mode="All Funds",AND(C88&gt;=in_BandFloor,C88&lt;=in_BandCeiling,OR(in_Geography="National",COUNTIFS(lst_GeoPreset,in_Geography,lst_GeoState,B88)&gt;0,AND(in_Geography="Custom",ISNUMBER(SEARCH(B88,SUBSTITUTE(in_CustomStates," ",""))))),OR(AND(D88="Endowment",Inputs!$B$14="Y"),AND(D88="Foundation",Inputs!$B$15="Y"),AND(D88="Healthcare",Inputs!$B$16="Y"),AND(D88="Pension",Inputs!$B$17="Y"),AND(D88="OCIO",Inputs!$B$18="Y"),AND(D88="Other",Inputs!$B$19="Y")))),A88&lt;&gt;in_ClientOrg,NOT(AND(in_ExclHarvard="Y",ISNUMBER(SEARCH("Harvard",A88))))),"Y","")</f>
        <v/>
      </c>
      <c r="G88" t="inlineStr">
        <is>
          <t>Derek Wade</t>
        </is>
      </c>
      <c r="H88" t="inlineStr">
        <is>
          <t>DIRECTOR OF INVESTMENT OPERATIONS</t>
        </is>
      </c>
      <c r="I88" t="inlineStr">
        <is>
          <t>Head of Inv Ops (Inv Entity)</t>
        </is>
      </c>
      <c r="J88" s="21" t="n">
        <v>239033</v>
      </c>
      <c r="K88" s="21" t="n">
        <v>58341</v>
      </c>
      <c r="L88" s="21" t="n">
        <v>297374</v>
      </c>
      <c r="M88" s="21" t="n">
        <v>15383</v>
      </c>
      <c r="N88" s="21" t="n">
        <v>51781</v>
      </c>
      <c r="O88" s="21" t="n">
        <v>43297</v>
      </c>
      <c r="P88" s="21" t="n">
        <v>407835</v>
      </c>
      <c r="Q88" s="21" t="n">
        <v>394616</v>
      </c>
      <c r="R88" s="21">
        <f>IF(Q88="","",Q88*(1+in_GrowthRate)^(YEARFRAC(DATE(2025,6,30),in_AgeToDate)*IF(in_AgeToDate&lt;DATE(2025,6,30),-1,1)+1))</f>
        <v/>
      </c>
      <c r="S88" s="38" t="n">
        <v>0.2440709023440278</v>
      </c>
      <c r="T88" s="43">
        <f>HYPERLINK("https://projects.propublica.org/nonprofits/organizations/46013152/202601359349306395/full","view filing")</f>
        <v/>
      </c>
    </row>
    <row r="89">
      <c r="A89" t="inlineStr">
        <is>
          <t>University Of Massachusetts Foundation Inc</t>
        </is>
      </c>
      <c r="B89" s="20" t="inlineStr">
        <is>
          <t>MA</t>
        </is>
      </c>
      <c r="C89" s="42" t="n">
        <v>1.8</v>
      </c>
      <c r="D89" t="inlineStr">
        <is>
          <t>Endowment</t>
        </is>
      </c>
      <c r="E89" s="20" t="n">
        <v>2024</v>
      </c>
      <c r="F89" s="20" t="inlineStr"/>
      <c r="G89" t="inlineStr">
        <is>
          <t>Derek Wade</t>
        </is>
      </c>
      <c r="H89" t="inlineStr">
        <is>
          <t>DIRECTOR OF INVESTMENT OPERATIONS</t>
        </is>
      </c>
      <c r="I89" t="inlineStr">
        <is>
          <t>Head of Inv Ops (Inv Entity)</t>
        </is>
      </c>
      <c r="J89" s="21" t="n">
        <v>231107</v>
      </c>
      <c r="K89" s="21" t="n">
        <v>39656</v>
      </c>
      <c r="L89" s="21" t="n">
        <v>270763</v>
      </c>
      <c r="M89" s="21" t="n"/>
      <c r="N89" s="21" t="n">
        <v>41184</v>
      </c>
      <c r="O89" s="21" t="n">
        <v>33446</v>
      </c>
      <c r="P89" s="21" t="n">
        <v>345393</v>
      </c>
      <c r="Q89" s="21" t="n">
        <v>345393</v>
      </c>
      <c r="R89" s="21">
        <f>IF(Q89="","",Q89*(1+in_GrowthRate)^(YEARFRAC(DATE(2024,6,30),in_AgeToDate)*IF(in_AgeToDate&lt;DATE(2024,6,30),-1,1)+1))</f>
        <v/>
      </c>
      <c r="S89" s="38" t="n">
        <v>0.1715915138875067</v>
      </c>
      <c r="T89" s="43">
        <f>HYPERLINK("https://projects.propublica.org/nonprofits/organizations/46013152/202541359349312684/full","view filing")</f>
        <v/>
      </c>
    </row>
    <row r="90">
      <c r="A90" t="inlineStr">
        <is>
          <t>University Of Massachusetts Foundation Inc</t>
        </is>
      </c>
      <c r="B90" s="20" t="inlineStr">
        <is>
          <t>MA</t>
        </is>
      </c>
      <c r="C90" s="42" t="n">
        <v>1.8</v>
      </c>
      <c r="D90" t="inlineStr">
        <is>
          <t>Endowment</t>
        </is>
      </c>
      <c r="E90" s="20" t="n">
        <v>2022</v>
      </c>
      <c r="F90" s="20" t="inlineStr"/>
      <c r="G90" t="inlineStr">
        <is>
          <t>Linda Liang</t>
        </is>
      </c>
      <c r="H90" t="inlineStr">
        <is>
          <t>DIRECTOR OF OPERATIONS</t>
        </is>
      </c>
      <c r="I90" t="inlineStr">
        <is>
          <t>Head of Inv Ops (Inv Entity)</t>
        </is>
      </c>
      <c r="J90" s="21" t="n">
        <v>167024</v>
      </c>
      <c r="K90" s="21" t="n">
        <v>25550</v>
      </c>
      <c r="L90" s="21" t="n">
        <v>192574</v>
      </c>
      <c r="M90" s="21" t="n"/>
      <c r="N90" s="21" t="n">
        <v>19257</v>
      </c>
      <c r="O90" s="21" t="n">
        <v>34912</v>
      </c>
      <c r="P90" s="21" t="n">
        <v>246743</v>
      </c>
      <c r="Q90" s="21" t="n">
        <v>246743</v>
      </c>
      <c r="R90" s="21">
        <f>IF(Q90="","",Q90*(1+in_GrowthRate)^(YEARFRAC(DATE(2022,6,30),in_AgeToDate)*IF(in_AgeToDate&lt;DATE(2022,6,30),-1,1)+1))</f>
        <v/>
      </c>
      <c r="S90" s="38" t="n">
        <v>0.152972027972028</v>
      </c>
      <c r="T90" s="43">
        <f>HYPERLINK("https://projects.propublica.org/nonprofits/organizations/46013152/202321359349308972/full","view filing")</f>
        <v/>
      </c>
    </row>
    <row r="91">
      <c r="A91" t="inlineStr">
        <is>
          <t>University Of Minnesota Foundation Investment Advisors</t>
        </is>
      </c>
      <c r="B91" s="20" t="inlineStr">
        <is>
          <t>MN</t>
        </is>
      </c>
      <c r="C91" s="42" t="n">
        <v>5.2</v>
      </c>
      <c r="D91" t="inlineStr">
        <is>
          <t>Endowment</t>
        </is>
      </c>
      <c r="E91" s="20" t="n">
        <v>2025</v>
      </c>
      <c r="F91" s="20">
        <f>IF(AND(OR(in_Mode="All Funds",AND(C91&gt;=in_BandFloor,C91&lt;=in_BandCeiling,OR(in_Geography="National",COUNTIFS(lst_GeoPreset,in_Geography,lst_GeoState,B91)&gt;0,AND(in_Geography="Custom",ISNUMBER(SEARCH(B91,SUBSTITUTE(in_CustomStates," ",""))))),OR(AND(D91="Endowment",Inputs!$B$14="Y"),AND(D91="Foundation",Inputs!$B$15="Y"),AND(D91="Healthcare",Inputs!$B$16="Y"),AND(D91="Pension",Inputs!$B$17="Y"),AND(D91="OCIO",Inputs!$B$18="Y"),AND(D91="Other",Inputs!$B$19="Y")))),A91&lt;&gt;in_ClientOrg,NOT(AND(in_ExclHarvard="Y",ISNUMBER(SEARCH("Harvard",A91))))),"Y","")</f>
        <v/>
      </c>
      <c r="G91" t="inlineStr">
        <is>
          <t>Amanda Escen</t>
        </is>
      </c>
      <c r="H91" t="inlineStr">
        <is>
          <t>CHIEF OPERATING OFFICER</t>
        </is>
      </c>
      <c r="I91" t="inlineStr">
        <is>
          <t>COO (Inv Entity)</t>
        </is>
      </c>
      <c r="J91" s="21" t="n">
        <v>275679</v>
      </c>
      <c r="K91" s="21" t="n">
        <v>82110</v>
      </c>
      <c r="L91" s="21" t="n">
        <v>357789</v>
      </c>
      <c r="M91" s="21" t="n">
        <v>80</v>
      </c>
      <c r="N91" s="21" t="n">
        <v>41400</v>
      </c>
      <c r="O91" s="21" t="n">
        <v>31345</v>
      </c>
      <c r="P91" s="21" t="n">
        <v>430614</v>
      </c>
      <c r="Q91" s="21" t="n">
        <v>430614</v>
      </c>
      <c r="R91" s="21">
        <f>IF(Q91="","",Q91*(1+in_GrowthRate)^(YEARFRAC(DATE(2025,6,30),in_AgeToDate)*IF(in_AgeToDate&lt;DATE(2025,6,30),-1,1)+1))</f>
        <v/>
      </c>
      <c r="S91" s="38" t="n">
        <v>0.2978464083227232</v>
      </c>
      <c r="T91" s="43">
        <f>HYPERLINK("https://projects.propublica.org/nonprofits/organizations/411931343/202610899349300721/full","view filing")</f>
        <v/>
      </c>
    </row>
    <row r="92">
      <c r="A92" t="inlineStr">
        <is>
          <t>University Of Minnesota Foundation Investment Advisors</t>
        </is>
      </c>
      <c r="B92" s="20" t="inlineStr">
        <is>
          <t>MN</t>
        </is>
      </c>
      <c r="C92" s="42" t="n">
        <v>5.2</v>
      </c>
      <c r="D92" t="inlineStr">
        <is>
          <t>Endowment</t>
        </is>
      </c>
      <c r="E92" s="20" t="n">
        <v>2024</v>
      </c>
      <c r="F92" s="20" t="inlineStr"/>
      <c r="G92" t="inlineStr">
        <is>
          <t>Amanda Escen</t>
        </is>
      </c>
      <c r="H92" t="inlineStr">
        <is>
          <t>CHIEF OPERATING OFFICER</t>
        </is>
      </c>
      <c r="I92" t="inlineStr">
        <is>
          <t>COO (Inv Entity)</t>
        </is>
      </c>
      <c r="J92" s="21" t="n">
        <v>246766</v>
      </c>
      <c r="K92" s="21" t="n">
        <v>41546</v>
      </c>
      <c r="L92" s="21" t="n">
        <v>288312</v>
      </c>
      <c r="M92" s="21" t="n">
        <v>60</v>
      </c>
      <c r="N92" s="21" t="n">
        <v>35466</v>
      </c>
      <c r="O92" s="21" t="n">
        <v>7750</v>
      </c>
      <c r="P92" s="21" t="n">
        <v>331588</v>
      </c>
      <c r="Q92" s="21" t="n">
        <v>331588</v>
      </c>
      <c r="R92" s="21">
        <f>IF(Q92="","",Q92*(1+in_GrowthRate)^(YEARFRAC(DATE(2024,6,30),in_AgeToDate)*IF(in_AgeToDate&lt;DATE(2024,6,30),-1,1)+1))</f>
        <v/>
      </c>
      <c r="S92" s="38" t="n">
        <v>0.1683619299255165</v>
      </c>
      <c r="T92" s="43">
        <f>HYPERLINK("https://projects.propublica.org/nonprofits/organizations/411931343/202500879349301200/full","view filing")</f>
        <v/>
      </c>
    </row>
    <row r="93">
      <c r="A93" t="inlineStr">
        <is>
          <t>University Of Richmond</t>
        </is>
      </c>
      <c r="B93" s="20" t="inlineStr">
        <is>
          <t>VA</t>
        </is>
      </c>
      <c r="C93" s="42" t="n">
        <v>5.9</v>
      </c>
      <c r="D93" t="inlineStr">
        <is>
          <t>Endowment</t>
        </is>
      </c>
      <c r="E93" s="20" t="n">
        <v>2025</v>
      </c>
      <c r="F93" s="20">
        <f>IF(AND(OR(in_Mode="All Funds",AND(C93&gt;=in_BandFloor,C93&lt;=in_BandCeiling,OR(in_Geography="National",COUNTIFS(lst_GeoPreset,in_Geography,lst_GeoState,B93)&gt;0,AND(in_Geography="Custom",ISNUMBER(SEARCH(B93,SUBSTITUTE(in_CustomStates," ",""))))),OR(AND(D93="Endowment",Inputs!$B$14="Y"),AND(D93="Foundation",Inputs!$B$15="Y"),AND(D93="Healthcare",Inputs!$B$16="Y"),AND(D93="Pension",Inputs!$B$17="Y"),AND(D93="OCIO",Inputs!$B$18="Y"),AND(D93="Other",Inputs!$B$19="Y")))),A93&lt;&gt;in_ClientOrg,NOT(AND(in_ExclHarvard="Y",ISNUMBER(SEARCH("Harvard",A93))))),"Y","")</f>
        <v/>
      </c>
      <c r="G93" t="inlineStr">
        <is>
          <t>Gregory Ciaverelli</t>
        </is>
      </c>
      <c r="H93" t="inlineStr">
        <is>
          <t>CHIEF OPERATING OFFICER, SMC</t>
        </is>
      </c>
      <c r="I93" t="inlineStr">
        <is>
          <t>COO (Inv Entity)</t>
        </is>
      </c>
      <c r="J93" s="21" t="n">
        <v>336214</v>
      </c>
      <c r="K93" s="21" t="n">
        <v>360000</v>
      </c>
      <c r="L93" s="21" t="n">
        <v>696214</v>
      </c>
      <c r="M93" s="21" t="n">
        <v>3615</v>
      </c>
      <c r="N93" s="21" t="n">
        <v>14479</v>
      </c>
      <c r="O93" s="21" t="n">
        <v>21649</v>
      </c>
      <c r="P93" s="21" t="n">
        <v>735957</v>
      </c>
      <c r="Q93" s="21" t="n">
        <v>735957</v>
      </c>
      <c r="R93" s="21">
        <f>IF(Q93="","",Q93*(1+in_GrowthRate)^(YEARFRAC(DATE(2025,6,30),in_AgeToDate)*IF(in_AgeToDate&lt;DATE(2025,6,30),-1,1)+1))</f>
        <v/>
      </c>
      <c r="S93" s="38" t="n">
        <v>1.070746607815261</v>
      </c>
      <c r="T93" s="43">
        <f>HYPERLINK("https://projects.propublica.org/nonprofits/organizations/540505965/202621349349310067/full","view filing")</f>
        <v/>
      </c>
    </row>
    <row r="94">
      <c r="A94" t="inlineStr">
        <is>
          <t>University Of Richmond</t>
        </is>
      </c>
      <c r="B94" s="20" t="inlineStr">
        <is>
          <t>VA</t>
        </is>
      </c>
      <c r="C94" s="42" t="n">
        <v>5.9</v>
      </c>
      <c r="D94" t="inlineStr">
        <is>
          <t>Endowment</t>
        </is>
      </c>
      <c r="E94" s="20" t="n">
        <v>2024</v>
      </c>
      <c r="F94" s="20" t="inlineStr"/>
      <c r="G94" t="inlineStr">
        <is>
          <t>Jonathan Moore</t>
        </is>
      </c>
      <c r="H94" t="inlineStr">
        <is>
          <t>Chief Administrative Off, SMC</t>
        </is>
      </c>
      <c r="I94" t="inlineStr">
        <is>
          <t>COO (Inv Entity)</t>
        </is>
      </c>
      <c r="J94" s="21" t="n">
        <v>370000</v>
      </c>
      <c r="K94" s="21" t="n">
        <v>375840</v>
      </c>
      <c r="L94" s="21" t="n">
        <v>745840</v>
      </c>
      <c r="M94" s="21" t="n">
        <v>2560</v>
      </c>
      <c r="N94" s="21" t="n">
        <v>33000</v>
      </c>
      <c r="O94" s="21" t="n">
        <v>1028</v>
      </c>
      <c r="P94" s="21" t="n">
        <v>782428</v>
      </c>
      <c r="Q94" s="21" t="n">
        <v>782428</v>
      </c>
      <c r="R94" s="21">
        <f>IF(Q94="","",Q94*(1+in_GrowthRate)^(YEARFRAC(DATE(2024,6,30),in_AgeToDate)*IF(in_AgeToDate&lt;DATE(2024,6,30),-1,1)+1))</f>
        <v/>
      </c>
      <c r="S94" s="38" t="n">
        <v>1.015783783783784</v>
      </c>
      <c r="T94" s="43">
        <f>HYPERLINK("https://projects.propublica.org/nonprofits/organizations/540505965/202511339349306036/full","view filing")</f>
        <v/>
      </c>
    </row>
    <row r="95">
      <c r="A95" t="inlineStr">
        <is>
          <t>University Of Virginia Investment Management Company</t>
        </is>
      </c>
      <c r="B95" s="20" t="inlineStr">
        <is>
          <t>VA</t>
        </is>
      </c>
      <c r="C95" s="42" t="n">
        <v>15.5</v>
      </c>
      <c r="D95" t="inlineStr">
        <is>
          <t>Endowment</t>
        </is>
      </c>
      <c r="E95" s="20" t="n">
        <v>2025</v>
      </c>
      <c r="F95" s="20">
        <f>IF(AND(OR(in_Mode="All Funds",AND(C95&gt;=in_BandFloor,C95&lt;=in_BandCeiling,OR(in_Geography="National",COUNTIFS(lst_GeoPreset,in_Geography,lst_GeoState,B95)&gt;0,AND(in_Geography="Custom",ISNUMBER(SEARCH(B95,SUBSTITUTE(in_CustomStates," ",""))))),OR(AND(D95="Endowment",Inputs!$B$14="Y"),AND(D95="Foundation",Inputs!$B$15="Y"),AND(D95="Healthcare",Inputs!$B$16="Y"),AND(D95="Pension",Inputs!$B$17="Y"),AND(D95="OCIO",Inputs!$B$18="Y"),AND(D95="Other",Inputs!$B$19="Y")))),A95&lt;&gt;in_ClientOrg,NOT(AND(in_ExclHarvard="Y",ISNUMBER(SEARCH("Harvard",A95))))),"Y","")</f>
        <v/>
      </c>
      <c r="G95" t="inlineStr">
        <is>
          <t>Kristina M Alimard</t>
        </is>
      </c>
      <c r="H95" t="inlineStr">
        <is>
          <t>CHIEF OPERATING OFFICER</t>
        </is>
      </c>
      <c r="I95" t="inlineStr">
        <is>
          <t>COO (Inv Entity)</t>
        </is>
      </c>
      <c r="J95" s="21" t="n">
        <v>591837</v>
      </c>
      <c r="K95" s="21" t="n">
        <v>850000</v>
      </c>
      <c r="L95" s="21" t="n">
        <v>1441837</v>
      </c>
      <c r="M95" s="21" t="n">
        <v>65039</v>
      </c>
      <c r="N95" s="21" t="n">
        <v>35880</v>
      </c>
      <c r="O95" s="21" t="n">
        <v>33163</v>
      </c>
      <c r="P95" s="21" t="n">
        <v>1575919</v>
      </c>
      <c r="Q95" s="21" t="n">
        <v>1575919</v>
      </c>
      <c r="R95" s="21">
        <f>IF(Q95="","",Q95*(1+in_GrowthRate)^(YEARFRAC(DATE(2025,6,30),in_AgeToDate)*IF(in_AgeToDate&lt;DATE(2025,6,30),-1,1)+1))</f>
        <v/>
      </c>
      <c r="S95" s="38" t="n">
        <v>1.436206252735128</v>
      </c>
      <c r="T95" s="43">
        <f>HYPERLINK("https://projects.propublica.org/nonprofits/organizations/562462804/202611359349306486/full","view filing")</f>
        <v/>
      </c>
    </row>
    <row r="96">
      <c r="A96" t="inlineStr">
        <is>
          <t>University Of Virginia Investment Management Company</t>
        </is>
      </c>
      <c r="B96" s="20" t="inlineStr">
        <is>
          <t>VA</t>
        </is>
      </c>
      <c r="C96" s="42" t="n">
        <v>15.5</v>
      </c>
      <c r="D96" t="inlineStr">
        <is>
          <t>Endowment</t>
        </is>
      </c>
      <c r="E96" s="20" t="n">
        <v>2024</v>
      </c>
      <c r="F96" s="20" t="inlineStr"/>
      <c r="G96" t="inlineStr">
        <is>
          <t>Kristina M Alimard</t>
        </is>
      </c>
      <c r="H96" t="inlineStr">
        <is>
          <t>CHIEF OPERATING OFFICER</t>
        </is>
      </c>
      <c r="I96" t="inlineStr">
        <is>
          <t>COO (Inv Entity)</t>
        </is>
      </c>
      <c r="J96" s="21" t="n">
        <v>580595</v>
      </c>
      <c r="K96" s="21" t="n">
        <v>1006000</v>
      </c>
      <c r="L96" s="21" t="n">
        <v>1586595</v>
      </c>
      <c r="M96" s="21" t="n">
        <v>2467670</v>
      </c>
      <c r="N96" s="21" t="n">
        <v>34320</v>
      </c>
      <c r="O96" s="21" t="n">
        <v>31470</v>
      </c>
      <c r="P96" s="21" t="n">
        <v>4120055</v>
      </c>
      <c r="Q96" s="21" t="n">
        <v>1851055</v>
      </c>
      <c r="R96" s="21">
        <f>IF(Q96="","",Q96*(1+in_GrowthRate)^(YEARFRAC(DATE(2024,6,30),in_AgeToDate)*IF(in_AgeToDate&lt;DATE(2024,6,30),-1,1)+1))</f>
        <v/>
      </c>
      <c r="S96" s="38" t="n">
        <v>1.732705242036187</v>
      </c>
      <c r="T96" s="43">
        <f>HYPERLINK("https://projects.propublica.org/nonprofits/organizations/562462804/202521359349304017/full","view filing")</f>
        <v/>
      </c>
    </row>
    <row r="97">
      <c r="A97" t="inlineStr">
        <is>
          <t>University Of Virginia Investment Management Company</t>
        </is>
      </c>
      <c r="B97" s="20" t="inlineStr">
        <is>
          <t>VA</t>
        </is>
      </c>
      <c r="C97" s="42" t="n">
        <v>15.5</v>
      </c>
      <c r="D97" t="inlineStr">
        <is>
          <t>Endowment</t>
        </is>
      </c>
      <c r="E97" s="20" t="n">
        <v>2023</v>
      </c>
      <c r="F97" s="20" t="inlineStr"/>
      <c r="G97" t="inlineStr">
        <is>
          <t>Kristina M Alimard</t>
        </is>
      </c>
      <c r="H97" t="inlineStr">
        <is>
          <t>CHIEF OPERATING OFFICER</t>
        </is>
      </c>
      <c r="I97" t="inlineStr">
        <is>
          <t>COO (Inv Entity)</t>
        </is>
      </c>
      <c r="J97" s="21" t="n">
        <v>541293</v>
      </c>
      <c r="K97" s="21" t="n"/>
      <c r="L97" s="21" t="n">
        <v>541293</v>
      </c>
      <c r="M97" s="21" t="n">
        <v>410573</v>
      </c>
      <c r="N97" s="21" t="n">
        <v>950720</v>
      </c>
      <c r="O97" s="21" t="n">
        <v>30287</v>
      </c>
      <c r="P97" s="21" t="n">
        <v>1932873</v>
      </c>
      <c r="Q97" s="21" t="n">
        <v>1657873</v>
      </c>
      <c r="R97" s="21">
        <f>IF(Q97="","",Q97*(1+in_GrowthRate)^(YEARFRAC(DATE(2023,6,30),in_AgeToDate)*IF(in_AgeToDate&lt;DATE(2023,6,30),-1,1)+1))</f>
        <v/>
      </c>
      <c r="S97" s="38" t="n">
        <v>0</v>
      </c>
      <c r="T97" s="43">
        <f>HYPERLINK("https://projects.propublica.org/nonprofits/organizations/562462804/202401359349311605/full","view filing")</f>
        <v/>
      </c>
    </row>
    <row r="98">
      <c r="A98" t="inlineStr">
        <is>
          <t>University Of Virginia Investment Management Company</t>
        </is>
      </c>
      <c r="B98" s="20" t="inlineStr">
        <is>
          <t>VA</t>
        </is>
      </c>
      <c r="C98" s="42" t="n">
        <v>15.5</v>
      </c>
      <c r="D98" t="inlineStr">
        <is>
          <t>Endowment</t>
        </is>
      </c>
      <c r="E98" s="20" t="n">
        <v>2022</v>
      </c>
      <c r="F98" s="20" t="inlineStr"/>
      <c r="G98" t="inlineStr">
        <is>
          <t>Kristina M Alimard</t>
        </is>
      </c>
      <c r="H98" t="inlineStr">
        <is>
          <t>CHIEF OPERATING OFFICER</t>
        </is>
      </c>
      <c r="I98" t="inlineStr">
        <is>
          <t>COO (Inv Entity)</t>
        </is>
      </c>
      <c r="J98" s="21" t="n">
        <v>503962</v>
      </c>
      <c r="K98" s="21" t="n">
        <v>250000</v>
      </c>
      <c r="L98" s="21" t="n">
        <v>753962</v>
      </c>
      <c r="M98" s="21" t="n">
        <v>521927</v>
      </c>
      <c r="N98" s="21" t="n">
        <v>880160</v>
      </c>
      <c r="O98" s="21" t="n">
        <v>29137</v>
      </c>
      <c r="P98" s="21" t="n">
        <v>2185186</v>
      </c>
      <c r="Q98" s="21" t="n">
        <v>1870186</v>
      </c>
      <c r="R98" s="21">
        <f>IF(Q98="","",Q98*(1+in_GrowthRate)^(YEARFRAC(DATE(2022,6,30),in_AgeToDate)*IF(in_AgeToDate&lt;DATE(2022,6,30),-1,1)+1))</f>
        <v/>
      </c>
      <c r="S98" s="38" t="n">
        <v>0.4960691480706879</v>
      </c>
      <c r="T98" s="43">
        <f>HYPERLINK("https://projects.propublica.org/nonprofits/organizations/562462804/202321359349316167/full","view filing")</f>
        <v/>
      </c>
    </row>
    <row r="99">
      <c r="A99" t="inlineStr">
        <is>
          <t>Vcu Investment Management Company</t>
        </is>
      </c>
      <c r="B99" s="20" t="inlineStr">
        <is>
          <t>VA</t>
        </is>
      </c>
      <c r="C99" s="42" t="n">
        <v>2.89</v>
      </c>
      <c r="D99" t="inlineStr">
        <is>
          <t>Endowment</t>
        </is>
      </c>
      <c r="E99" s="20" t="n">
        <v>2025</v>
      </c>
      <c r="F99" s="20">
        <f>IF(AND(OR(in_Mode="All Funds",AND(C99&gt;=in_BandFloor,C99&lt;=in_BandCeiling,OR(in_Geography="National",COUNTIFS(lst_GeoPreset,in_Geography,lst_GeoState,B99)&gt;0,AND(in_Geography="Custom",ISNUMBER(SEARCH(B99,SUBSTITUTE(in_CustomStates," ",""))))),OR(AND(D99="Endowment",Inputs!$B$14="Y"),AND(D99="Foundation",Inputs!$B$15="Y"),AND(D99="Healthcare",Inputs!$B$16="Y"),AND(D99="Pension",Inputs!$B$17="Y"),AND(D99="OCIO",Inputs!$B$18="Y"),AND(D99="Other",Inputs!$B$19="Y")))),A99&lt;&gt;in_ClientOrg,NOT(AND(in_ExclHarvard="Y",ISNUMBER(SEARCH("Harvard",A99))))),"Y","")</f>
        <v/>
      </c>
      <c r="G99" t="inlineStr">
        <is>
          <t>Michael Peltier</t>
        </is>
      </c>
      <c r="H99" t="inlineStr">
        <is>
          <t>COO &amp; SECRETARY</t>
        </is>
      </c>
      <c r="I99" t="inlineStr">
        <is>
          <t>COO (Inv Entity)</t>
        </is>
      </c>
      <c r="J99" s="21" t="n">
        <v>255625</v>
      </c>
      <c r="K99" s="21" t="n">
        <v>145000</v>
      </c>
      <c r="L99" s="21" t="n">
        <v>400625</v>
      </c>
      <c r="M99" s="21" t="n"/>
      <c r="N99" s="21" t="n"/>
      <c r="O99" s="21" t="n">
        <v>35369</v>
      </c>
      <c r="P99" s="21" t="n">
        <v>435994</v>
      </c>
      <c r="Q99" s="21" t="n">
        <v>435994</v>
      </c>
      <c r="R99" s="21">
        <f>IF(Q99="","",Q99*(1+in_GrowthRate)^(YEARFRAC(DATE(2025,6,30),in_AgeToDate)*IF(in_AgeToDate&lt;DATE(2025,6,30),-1,1)+1))</f>
        <v/>
      </c>
      <c r="S99" s="38" t="n">
        <v>0.5672371638141809</v>
      </c>
      <c r="T99" s="43">
        <f>HYPERLINK("https://projects.propublica.org/nonprofits/organizations/474815851/202600199349300105/full","view filing")</f>
        <v/>
      </c>
    </row>
    <row r="100">
      <c r="A100" t="inlineStr">
        <is>
          <t>Vcu Investment Management Company</t>
        </is>
      </c>
      <c r="B100" s="20" t="inlineStr">
        <is>
          <t>VA</t>
        </is>
      </c>
      <c r="C100" s="42" t="n">
        <v>2.89</v>
      </c>
      <c r="D100" t="inlineStr">
        <is>
          <t>Endowment</t>
        </is>
      </c>
      <c r="E100" s="20" t="n">
        <v>2024</v>
      </c>
      <c r="F100" s="20" t="inlineStr"/>
      <c r="G100" t="inlineStr">
        <is>
          <t>Michael Peltier</t>
        </is>
      </c>
      <c r="H100" t="inlineStr">
        <is>
          <t>COO &amp; SECRETARY</t>
        </is>
      </c>
      <c r="I100" t="inlineStr">
        <is>
          <t>COO (Inv Entity)</t>
        </is>
      </c>
      <c r="J100" s="21" t="n">
        <v>234250</v>
      </c>
      <c r="K100" s="21" t="n">
        <v>130800</v>
      </c>
      <c r="L100" s="21" t="n">
        <v>365050</v>
      </c>
      <c r="M100" s="21" t="n"/>
      <c r="N100" s="21" t="n"/>
      <c r="O100" s="21" t="n">
        <v>41321</v>
      </c>
      <c r="P100" s="21" t="n">
        <v>406371</v>
      </c>
      <c r="Q100" s="21" t="n">
        <v>406371</v>
      </c>
      <c r="R100" s="21">
        <f>IF(Q100="","",Q100*(1+in_GrowthRate)^(YEARFRAC(DATE(2024,6,30),in_AgeToDate)*IF(in_AgeToDate&lt;DATE(2024,6,30),-1,1)+1))</f>
        <v/>
      </c>
      <c r="S100" s="38" t="n">
        <v>0.5583778014941302</v>
      </c>
      <c r="T100" s="43">
        <f>HYPERLINK("https://projects.propublica.org/nonprofits/organizations/474815851/202433139349303493/full","view filing")</f>
        <v/>
      </c>
    </row>
    <row r="101">
      <c r="A101" t="inlineStr">
        <is>
          <t>Washington University</t>
        </is>
      </c>
      <c r="B101" s="20" t="inlineStr">
        <is>
          <t>MO</t>
        </is>
      </c>
      <c r="C101" s="42" t="n">
        <v>13.3</v>
      </c>
      <c r="D101" t="inlineStr">
        <is>
          <t>Endowment</t>
        </is>
      </c>
      <c r="E101" s="20" t="n">
        <v>2025</v>
      </c>
      <c r="F101" s="20">
        <f>IF(AND(OR(in_Mode="All Funds",AND(C101&gt;=in_BandFloor,C101&lt;=in_BandCeiling,OR(in_Geography="National",COUNTIFS(lst_GeoPreset,in_Geography,lst_GeoState,B101)&gt;0,AND(in_Geography="Custom",ISNUMBER(SEARCH(B101,SUBSTITUTE(in_CustomStates," ",""))))),OR(AND(D101="Endowment",Inputs!$B$14="Y"),AND(D101="Foundation",Inputs!$B$15="Y"),AND(D101="Healthcare",Inputs!$B$16="Y"),AND(D101="Pension",Inputs!$B$17="Y"),AND(D101="OCIO",Inputs!$B$18="Y"),AND(D101="Other",Inputs!$B$19="Y")))),A101&lt;&gt;in_ClientOrg,NOT(AND(in_ExclHarvard="Y",ISNUMBER(SEARCH("Harvard",A101))))),"Y","")</f>
        <v/>
      </c>
      <c r="G101" t="inlineStr">
        <is>
          <t>Jennifer Voelker</t>
        </is>
      </c>
      <c r="H101" t="inlineStr">
        <is>
          <t>COO - INVESTMENT MGMT</t>
        </is>
      </c>
      <c r="I101" t="inlineStr">
        <is>
          <t>COO (Inv Entity)</t>
        </is>
      </c>
      <c r="J101" s="21" t="n">
        <v>534005</v>
      </c>
      <c r="K101" s="21" t="n">
        <v>1062257</v>
      </c>
      <c r="L101" s="21" t="n">
        <v>1596262</v>
      </c>
      <c r="M101" s="21" t="n">
        <v>49198</v>
      </c>
      <c r="N101" s="21" t="n">
        <v>481324</v>
      </c>
      <c r="O101" s="21" t="n">
        <v>17501</v>
      </c>
      <c r="P101" s="21" t="n">
        <v>2144285</v>
      </c>
      <c r="Q101" s="21" t="n">
        <v>1997851</v>
      </c>
      <c r="R101" s="21">
        <f>IF(Q101="","",Q101*(1+in_GrowthRate)^(YEARFRAC(DATE(2025,6,30),in_AgeToDate)*IF(in_AgeToDate&lt;DATE(2025,6,30),-1,1)+1))</f>
        <v/>
      </c>
      <c r="S101" s="38" t="n">
        <v>1.989226692633964</v>
      </c>
      <c r="T101" s="43">
        <f>HYPERLINK("https://projects.propublica.org/nonprofits/organizations/430653611/202641359349315719/full","view filing")</f>
        <v/>
      </c>
    </row>
    <row r="102">
      <c r="A102" t="inlineStr">
        <is>
          <t>Washington University</t>
        </is>
      </c>
      <c r="B102" s="20" t="inlineStr">
        <is>
          <t>MO</t>
        </is>
      </c>
      <c r="C102" s="42" t="n">
        <v>13.3</v>
      </c>
      <c r="D102" t="inlineStr">
        <is>
          <t>Endowment</t>
        </is>
      </c>
      <c r="E102" s="20" t="n">
        <v>2024</v>
      </c>
      <c r="F102" s="20" t="inlineStr"/>
      <c r="G102" t="inlineStr">
        <is>
          <t>Jennifer Voelker</t>
        </is>
      </c>
      <c r="H102" t="inlineStr">
        <is>
          <t>COO - INVESTMENT MGMT</t>
        </is>
      </c>
      <c r="I102" t="inlineStr">
        <is>
          <t>COO (Inv Entity)</t>
        </is>
      </c>
      <c r="J102" s="21" t="n">
        <v>512593</v>
      </c>
      <c r="K102" s="21" t="n">
        <v>1584916</v>
      </c>
      <c r="L102" s="21" t="n">
        <v>2097509</v>
      </c>
      <c r="M102" s="21" t="n">
        <v>23144</v>
      </c>
      <c r="N102" s="21" t="n">
        <v>291561</v>
      </c>
      <c r="O102" s="21" t="n">
        <v>14570</v>
      </c>
      <c r="P102" s="21" t="n">
        <v>2426784</v>
      </c>
      <c r="Q102" s="21" t="n">
        <v>2426784</v>
      </c>
      <c r="R102" s="21">
        <f>IF(Q102="","",Q102*(1+in_GrowthRate)^(YEARFRAC(DATE(2024,6,30),in_AgeToDate)*IF(in_AgeToDate&lt;DATE(2024,6,30),-1,1)+1))</f>
        <v/>
      </c>
      <c r="S102" s="38" t="n">
        <v>3.09195794714325</v>
      </c>
      <c r="T102" s="43">
        <f>HYPERLINK("https://projects.propublica.org/nonprofits/organizations/430653611/202531349349312818/full","view filing")</f>
        <v/>
      </c>
    </row>
    <row r="103">
      <c r="A103" t="inlineStr">
        <is>
          <t>Washington University</t>
        </is>
      </c>
      <c r="B103" s="20" t="inlineStr">
        <is>
          <t>MO</t>
        </is>
      </c>
      <c r="C103" s="42" t="n">
        <v>13.3</v>
      </c>
      <c r="D103" t="inlineStr">
        <is>
          <t>Endowment</t>
        </is>
      </c>
      <c r="E103" s="20" t="n">
        <v>2023</v>
      </c>
      <c r="F103" s="20" t="inlineStr"/>
      <c r="G103" t="inlineStr">
        <is>
          <t>Jennifer Voelker</t>
        </is>
      </c>
      <c r="H103" t="inlineStr">
        <is>
          <t>COO - INVESTMENT MGMT</t>
        </is>
      </c>
      <c r="I103" t="inlineStr">
        <is>
          <t>COO (Inv Entity)</t>
        </is>
      </c>
      <c r="J103" s="21" t="n">
        <v>490574</v>
      </c>
      <c r="K103" s="21" t="n">
        <v>1467452</v>
      </c>
      <c r="L103" s="21" t="n">
        <v>1958026</v>
      </c>
      <c r="M103" s="21" t="n">
        <v>21238</v>
      </c>
      <c r="N103" s="21" t="n">
        <v>21350</v>
      </c>
      <c r="O103" s="21" t="n">
        <v>13784</v>
      </c>
      <c r="P103" s="21" t="n">
        <v>2014398</v>
      </c>
      <c r="Q103" s="21" t="n">
        <v>2014398</v>
      </c>
      <c r="R103" s="21">
        <f>IF(Q103="","",Q103*(1+in_GrowthRate)^(YEARFRAC(DATE(2023,6,30),in_AgeToDate)*IF(in_AgeToDate&lt;DATE(2023,6,30),-1,1)+1))</f>
        <v/>
      </c>
      <c r="S103" s="38" t="n">
        <v>2.991295910504837</v>
      </c>
      <c r="T103" s="43">
        <f>HYPERLINK("https://projects.propublica.org/nonprofits/organizations/430653611/202421359349312512/full","view filing")</f>
        <v/>
      </c>
    </row>
    <row r="104">
      <c r="A104" t="inlineStr">
        <is>
          <t>Washington University</t>
        </is>
      </c>
      <c r="B104" s="20" t="inlineStr">
        <is>
          <t>MO</t>
        </is>
      </c>
      <c r="C104" s="42" t="n">
        <v>13.3</v>
      </c>
      <c r="D104" t="inlineStr">
        <is>
          <t>Endowment</t>
        </is>
      </c>
      <c r="E104" s="20" t="n">
        <v>2022</v>
      </c>
      <c r="F104" s="20" t="inlineStr"/>
      <c r="G104" t="inlineStr">
        <is>
          <t>Sean Arp</t>
        </is>
      </c>
      <c r="H104" t="inlineStr">
        <is>
          <t>COO - INVESTMENT MGMT</t>
        </is>
      </c>
      <c r="I104" t="inlineStr">
        <is>
          <t>COO (Inv Entity)</t>
        </is>
      </c>
      <c r="J104" s="21" t="n">
        <v>519951</v>
      </c>
      <c r="K104" s="21" t="n">
        <v>1280280</v>
      </c>
      <c r="L104" s="21" t="n">
        <v>1800231</v>
      </c>
      <c r="M104" s="21" t="n">
        <v>17330</v>
      </c>
      <c r="N104" s="21" t="n">
        <v>20300</v>
      </c>
      <c r="O104" s="21" t="n">
        <v>29987</v>
      </c>
      <c r="P104" s="21" t="n">
        <v>1867848</v>
      </c>
      <c r="Q104" s="21" t="n">
        <v>1867848</v>
      </c>
      <c r="R104" s="21">
        <f>IF(Q104="","",Q104*(1+in_GrowthRate)^(YEARFRAC(DATE(2022,6,30),in_AgeToDate)*IF(in_AgeToDate&lt;DATE(2022,6,30),-1,1)+1))</f>
        <v/>
      </c>
      <c r="S104" s="38" t="n">
        <v>2.462308948343209</v>
      </c>
      <c r="T104" s="43">
        <f>HYPERLINK("https://projects.propublica.org/nonprofits/organizations/430653611/202321359349319812/full","view filing")</f>
        <v/>
      </c>
    </row>
    <row r="105">
      <c r="A105" t="inlineStr">
        <is>
          <t>Williams College</t>
        </is>
      </c>
      <c r="B105" s="20" t="inlineStr">
        <is>
          <t>MA</t>
        </is>
      </c>
      <c r="C105" s="42" t="n">
        <v>3.93</v>
      </c>
      <c r="D105" t="inlineStr">
        <is>
          <t>Endowment</t>
        </is>
      </c>
      <c r="E105" s="20" t="n">
        <v>2025</v>
      </c>
      <c r="F105" s="20">
        <f>IF(AND(OR(in_Mode="All Funds",AND(C105&gt;=in_BandFloor,C105&lt;=in_BandCeiling,OR(in_Geography="National",COUNTIFS(lst_GeoPreset,in_Geography,lst_GeoState,B105)&gt;0,AND(in_Geography="Custom",ISNUMBER(SEARCH(B105,SUBSTITUTE(in_CustomStates," ",""))))),OR(AND(D105="Endowment",Inputs!$B$14="Y"),AND(D105="Foundation",Inputs!$B$15="Y"),AND(D105="Healthcare",Inputs!$B$16="Y"),AND(D105="Pension",Inputs!$B$17="Y"),AND(D105="OCIO",Inputs!$B$18="Y"),AND(D105="Other",Inputs!$B$19="Y")))),A105&lt;&gt;in_ClientOrg,NOT(AND(in_ExclHarvard="Y",ISNUMBER(SEARCH("Harvard",A105))))),"Y","")</f>
        <v/>
      </c>
      <c r="G105" t="inlineStr">
        <is>
          <t>John Lewis</t>
        </is>
      </c>
      <c r="H105" t="inlineStr">
        <is>
          <t>DIRECTOR OF INVESTMENT OPERATIONS</t>
        </is>
      </c>
      <c r="I105" t="inlineStr">
        <is>
          <t>Head of Inv Ops (Inv Entity)</t>
        </is>
      </c>
      <c r="J105" s="21" t="n">
        <v>338631</v>
      </c>
      <c r="K105" s="21" t="n">
        <v>103500</v>
      </c>
      <c r="L105" s="21" t="n">
        <v>442131</v>
      </c>
      <c r="M105" s="21" t="n">
        <v>1620</v>
      </c>
      <c r="N105" s="21" t="n">
        <v>59138</v>
      </c>
      <c r="O105" s="21" t="n">
        <v>38897</v>
      </c>
      <c r="P105" s="21" t="n">
        <v>541786</v>
      </c>
      <c r="Q105" s="21" t="n">
        <v>541786</v>
      </c>
      <c r="R105" s="21">
        <f>IF(Q105="","",Q105*(1+in_GrowthRate)^(YEARFRAC(DATE(2025,6,30),in_AgeToDate)*IF(in_AgeToDate&lt;DATE(2025,6,30),-1,1)+1))</f>
        <v/>
      </c>
      <c r="S105" s="38" t="n">
        <v>0.3056424249404219</v>
      </c>
      <c r="T105" s="43">
        <f>HYPERLINK("https://projects.propublica.org/nonprofits/organizations/42104847/202631349349302993/full","view filing")</f>
        <v/>
      </c>
    </row>
    <row r="106"/>
  </sheetData>
  <autoFilter ref="A24:T105"/>
  <printOptions horizontalCentered="1"/>
  <pageMargins left="0.75" right="0.75" top="1" bottom="1" header="0.5" footer="0.5"/>
  <pageSetup orientation="landscape" fitToHeight="0" fitToWidth="1"/>
  <headerFooter>
    <oddHeader/>
    <oddFooter>&amp;LMichael Oak Advisors&amp;R&amp;P of &amp;N</oddFooter>
    <evenHeader/>
    <evenFooter/>
    <firstHeader/>
    <firstFooter/>
  </headerFooter>
</worksheet>
</file>

<file path=xl/worksheets/sheet9.xml><?xml version="1.0" encoding="utf-8"?>
<worksheet xmlns="http://schemas.openxmlformats.org/spreadsheetml/2006/main">
  <sheetPr>
    <tabColor rgb="00BF8F00"/>
    <outlinePr summaryBelow="1" summaryRight="1"/>
    <pageSetUpPr fitToPage="1"/>
  </sheetPr>
  <dimension ref="A1:T84"/>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34" customWidth="1" min="1" max="1"/>
    <col width="15" customWidth="1" min="2" max="2"/>
    <col width="12" customWidth="1" min="3" max="3"/>
    <col width="14" customWidth="1" min="4" max="4"/>
    <col width="12" customWidth="1" min="5" max="5"/>
    <col width="12" customWidth="1" min="6" max="6"/>
    <col width="24" customWidth="1" min="7" max="7"/>
    <col width="32"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s>
  <sheetData>
    <row r="1">
      <c r="A1" s="1" t="inlineStr">
        <is>
          <t>Other disclosed professionals</t>
        </is>
      </c>
    </row>
    <row r="2">
      <c r="A2" s="19" t="inlineStr">
        <is>
          <t>Operations &amp; Control</t>
        </is>
      </c>
    </row>
    <row r="3">
      <c r="A3" s="19">
        <f>Summary!$A$5&amp;""</f>
        <v/>
      </c>
    </row>
    <row r="4">
      <c r="A4" s="2">
        <f>IF(Inputs!$B$21="","Select your organization on Inputs to compare.","Your organization: "&amp;Inputs!$B$21&amp;", excluded from the market columns.")</f>
        <v/>
      </c>
    </row>
    <row r="5">
      <c r="A5" s="34">
        <f>IF($I13&gt;=2,"","Too few people for a market statistic at this filter: "&amp;$I13&amp;" at "&amp;$H13&amp;" organization(s). Records below.")</f>
        <v/>
      </c>
      <c r="C5" s="2" t="inlineStr">
        <is>
          <t>Market</t>
        </is>
      </c>
      <c r="J5" s="2" t="inlineStr">
        <is>
          <t>Your organization</t>
        </is>
      </c>
      <c r="N5" s="2" t="inlineStr">
        <is>
          <t>Estimated (1)</t>
        </is>
      </c>
    </row>
    <row r="6" ht="20" customHeight="1">
      <c r="A6" s="35" t="inlineStr"/>
      <c r="B6" s="35" t="inlineStr">
        <is>
          <t>basis</t>
        </is>
      </c>
      <c r="C6" s="35" t="inlineStr">
        <is>
          <t>P25</t>
        </is>
      </c>
      <c r="D6" s="35" t="inlineStr">
        <is>
          <t>P50</t>
        </is>
      </c>
      <c r="E6" s="35" t="inlineStr">
        <is>
          <t>P75</t>
        </is>
      </c>
      <c r="F6" s="35" t="inlineStr">
        <is>
          <t>P90</t>
        </is>
      </c>
      <c r="G6" s="35" t="inlineStr">
        <is>
          <t>Average</t>
        </is>
      </c>
      <c r="H6" s="35" t="inlineStr">
        <is>
          <t>#Orgs</t>
        </is>
      </c>
      <c r="I6" s="35" t="inlineStr">
        <is>
          <t>#People</t>
        </is>
      </c>
      <c r="J6" s="36" t="inlineStr">
        <is>
          <t>Value</t>
        </is>
      </c>
      <c r="K6" s="36" t="inlineStr">
        <is>
          <t>vs P50</t>
        </is>
      </c>
      <c r="L6" s="36" t="inlineStr">
        <is>
          <t>Percentile</t>
        </is>
      </c>
      <c r="M6" s="36" t="inlineStr">
        <is>
          <t>#People</t>
        </is>
      </c>
      <c r="N6" s="35" t="inlineStr">
        <is>
          <t>Est. P25</t>
        </is>
      </c>
      <c r="O6" s="35" t="inlineStr">
        <is>
          <t>Est. P75</t>
        </is>
      </c>
      <c r="P6" s="35" t="inlineStr">
        <is>
          <t>Est. P90</t>
        </is>
      </c>
    </row>
    <row r="7">
      <c r="A7" s="2" t="inlineStr">
        <is>
          <t>Base salary</t>
        </is>
      </c>
      <c r="B7" s="19" t="inlineStr">
        <is>
          <t>Schedule J only</t>
        </is>
      </c>
      <c r="C7" s="21">
        <f>IF($I7&gt;=k_MinQuartile,MROUND(_xlfn.PERCENTILE.INC(_xlfn._xlws.FILTER(Records[(B)(i) Base],(Records[Role Group]="Other disclosed professionals")*(Records[Include]="Y")*(Records[Total Cash]&lt;&gt;"")),0.25),k_RoundTo),"")</f>
        <v/>
      </c>
      <c r="D7" s="22">
        <f>IF($I7&gt;=k_MinMedian,MROUND(_xlfn.PERCENTILE.INC(_xlfn._xlws.FILTER(Records[(B)(i) Base],(Records[Role Group]="Other disclosed professionals")*(Records[Include]="Y")*(Records[Total Cash]&lt;&gt;"")),0.5),k_RoundTo),"")</f>
        <v/>
      </c>
      <c r="E7" s="21">
        <f>IF($I7&gt;=k_MinQuartile,MROUND(_xlfn.PERCENTILE.INC(_xlfn._xlws.FILTER(Records[(B)(i) Base],(Records[Role Group]="Other disclosed professionals")*(Records[Include]="Y")*(Records[Total Cash]&lt;&gt;"")),0.75),k_RoundTo),"")</f>
        <v/>
      </c>
      <c r="F7" s="21">
        <f>IF($I7&gt;=k_MinQuartile,MROUND(_xlfn.PERCENTILE.INC(_xlfn._xlws.FILTER(Records[(B)(i) Base],(Records[Role Group]="Other disclosed professionals")*(Records[Include]="Y")*(Records[Total Cash]&lt;&gt;"")),0.9),k_RoundTo),"")</f>
        <v/>
      </c>
      <c r="G7" s="21">
        <f>IF($I7&gt;=k_MinMedian,MROUND(AVERAGE(_xlfn._xlws.FILTER(Records[(B)(i) Base],(Records[Role Group]="Other disclosed professionals")*(Records[Include]="Y")*(Records[Total Cash]&lt;&gt;""))),k_RoundTo),"")</f>
        <v/>
      </c>
      <c r="H7" s="20">
        <f>IFERROR(SUMPRODUCT(((Records[Role Group]="Other disclosed professionals")*(Records[Include]="Y")*(Records[Total Cash]&lt;&gt;""))/(COUNTIFS(Records[Organization],Records[Organization]&amp;"",Records[Role Group],"Other disclosed professionals",Records[Include],"Y")+(COUNTIFS(Records[Organization],Records[Organization]&amp;"",Records[Role Group],"Other disclosed professionals",Records[Include],"Y")=0))),0)</f>
        <v/>
      </c>
      <c r="I7" s="20">
        <f>SUMPRODUCT((Records[Role Group]="Other disclosed professionals")*(Records[Include]="Y")*(Records[Total Cash]&lt;&gt;""))</f>
        <v/>
      </c>
      <c r="J7" s="23">
        <f>IF(Inputs!$B$21="","",IFERROR(MAX(_xlfn._xlws.FILTER(Records[(B)(i) Base],(Records[Role Group]="Other disclosed professionals")*(Records[Organization]=Inputs!$B$21)*(Records[Most Recent]="Y")*(Records[Total Cash]&lt;&gt;""))),""))</f>
        <v/>
      </c>
      <c r="K7" s="24">
        <f>IF(OR($J7="",$D7=""),"",$J7/$D7-1)</f>
        <v/>
      </c>
      <c r="L7" s="25">
        <f>IF($I7&gt;=k_MinQuartile,IF(OR($J7="",$J7=0),"",IFERROR(PERCENTRANK.INC(_xlfn._xlws.FILTER(Records[(B)(i) Base],(Records[Role Group]="Other disclosed professionals")*(Records[Include]="Y")*(Records[Total Cash]&lt;&gt;"")),$J7,4),"")),"")</f>
        <v/>
      </c>
      <c r="M7" s="37">
        <f>IF(Inputs!$B$21="","",SUMPRODUCT((Records[Role Group]="Other disclosed professionals")*(Records[Organization]=Inputs!$B$21)*(Records[Most Recent]="Y")*(Records[Total Cash]&lt;&gt;"")))</f>
        <v/>
      </c>
    </row>
    <row r="8">
      <c r="A8" s="2" t="inlineStr">
        <is>
          <t>Incentive / bonus</t>
        </is>
      </c>
      <c r="B8" s="19" t="inlineStr">
        <is>
          <t>Schedule J only</t>
        </is>
      </c>
      <c r="C8" s="21">
        <f>IF($I8&gt;=k_MinQuartile,MROUND(_xlfn.PERCENTILE.INC(_xlfn._xlws.FILTER(Records[(B)(ii) Bonus],(Records[Role Group]="Other disclosed professionals")*(Records[Include]="Y")*(Records[Total Cash]&lt;&gt;"")),0.25),k_RoundTo),"")</f>
        <v/>
      </c>
      <c r="D8" s="22">
        <f>IF($I8&gt;=k_MinMedian,MROUND(_xlfn.PERCENTILE.INC(_xlfn._xlws.FILTER(Records[(B)(ii) Bonus],(Records[Role Group]="Other disclosed professionals")*(Records[Include]="Y")*(Records[Total Cash]&lt;&gt;"")),0.5),k_RoundTo),"")</f>
        <v/>
      </c>
      <c r="E8" s="21">
        <f>IF($I8&gt;=k_MinQuartile,MROUND(_xlfn.PERCENTILE.INC(_xlfn._xlws.FILTER(Records[(B)(ii) Bonus],(Records[Role Group]="Other disclosed professionals")*(Records[Include]="Y")*(Records[Total Cash]&lt;&gt;"")),0.75),k_RoundTo),"")</f>
        <v/>
      </c>
      <c r="F8" s="21">
        <f>IF($I8&gt;=k_MinQuartile,MROUND(_xlfn.PERCENTILE.INC(_xlfn._xlws.FILTER(Records[(B)(ii) Bonus],(Records[Role Group]="Other disclosed professionals")*(Records[Include]="Y")*(Records[Total Cash]&lt;&gt;"")),0.9),k_RoundTo),"")</f>
        <v/>
      </c>
      <c r="G8" s="21">
        <f>IF($I8&gt;=k_MinMedian,MROUND(AVERAGE(_xlfn._xlws.FILTER(Records[(B)(ii) Bonus],(Records[Role Group]="Other disclosed professionals")*(Records[Include]="Y")*(Records[Total Cash]&lt;&gt;""))),k_RoundTo),"")</f>
        <v/>
      </c>
      <c r="H8" s="20">
        <f>IFERROR(SUMPRODUCT(((Records[Role Group]="Other disclosed professionals")*(Records[Include]="Y")*(Records[Total Cash]&lt;&gt;""))/(COUNTIFS(Records[Organization],Records[Organization]&amp;"",Records[Role Group],"Other disclosed professionals",Records[Include],"Y")+(COUNTIFS(Records[Organization],Records[Organization]&amp;"",Records[Role Group],"Other disclosed professionals",Records[Include],"Y")=0))),0)</f>
        <v/>
      </c>
      <c r="I8" s="20">
        <f>SUMPRODUCT((Records[Role Group]="Other disclosed professionals")*(Records[Include]="Y")*(Records[Total Cash]&lt;&gt;""))</f>
        <v/>
      </c>
      <c r="J8" s="23">
        <f>IF(Inputs!$B$21="","",IFERROR(MAX(_xlfn._xlws.FILTER(Records[(B)(ii) Bonus],(Records[Role Group]="Other disclosed professionals")*(Records[Organization]=Inputs!$B$21)*(Records[Most Recent]="Y")*(Records[Total Cash]&lt;&gt;""))),""))</f>
        <v/>
      </c>
      <c r="K8" s="24">
        <f>IF(OR($J8="",$D8=""),"",$J8/$D8-1)</f>
        <v/>
      </c>
      <c r="L8" s="25">
        <f>IF($I8&gt;=k_MinQuartile,IF(OR($J8="",$J8=0),"",IFERROR(PERCENTRANK.INC(_xlfn._xlws.FILTER(Records[(B)(ii) Bonus],(Records[Role Group]="Other disclosed professionals")*(Records[Include]="Y")*(Records[Total Cash]&lt;&gt;"")),$J8,4),"")),"")</f>
        <v/>
      </c>
      <c r="M8" s="37">
        <f>IF(Inputs!$B$21="","",SUMPRODUCT((Records[Role Group]="Other disclosed professionals")*(Records[Organization]=Inputs!$B$21)*(Records[Most Recent]="Y")*(Records[Total Cash]&lt;&gt;"")))</f>
        <v/>
      </c>
    </row>
    <row r="9">
      <c r="A9" s="2" t="inlineStr">
        <is>
          <t>Total cash</t>
        </is>
      </c>
      <c r="B9" s="19" t="inlineStr">
        <is>
          <t>all filers</t>
        </is>
      </c>
      <c r="C9" s="21">
        <f>IF($I9&gt;=k_MinQuartile,MROUND(_xlfn.PERCENTILE.INC(_xlfn._xlws.FILTER(Records[Total Cash],(Records[Role Group]="Other disclosed professionals")*(Records[Include]="Y")*(Records[Total Cash]&gt;0)),0.25),k_RoundTo),"")</f>
        <v/>
      </c>
      <c r="D9" s="22">
        <f>IF($I9&gt;=k_MinMedian,MROUND(_xlfn.PERCENTILE.INC(_xlfn._xlws.FILTER(Records[Total Cash],(Records[Role Group]="Other disclosed professionals")*(Records[Include]="Y")*(Records[Total Cash]&gt;0)),0.5),k_RoundTo),"")</f>
        <v/>
      </c>
      <c r="E9" s="21">
        <f>IF($I9&gt;=k_MinQuartile,MROUND(_xlfn.PERCENTILE.INC(_xlfn._xlws.FILTER(Records[Total Cash],(Records[Role Group]="Other disclosed professionals")*(Records[Include]="Y")*(Records[Total Cash]&gt;0)),0.75),k_RoundTo),"")</f>
        <v/>
      </c>
      <c r="F9" s="21">
        <f>IF($I9&gt;=k_MinQuartile,MROUND(_xlfn.PERCENTILE.INC(_xlfn._xlws.FILTER(Records[Total Cash],(Records[Role Group]="Other disclosed professionals")*(Records[Include]="Y")*(Records[Total Cash]&gt;0)),0.9),k_RoundTo),"")</f>
        <v/>
      </c>
      <c r="G9" s="21">
        <f>IF($I9&gt;=k_MinMedian,MROUND(AVERAGE(_xlfn._xlws.FILTER(Records[Total Cash],(Records[Role Group]="Other disclosed professionals")*(Records[Include]="Y")*(Records[Total Cash]&gt;0))),k_RoundTo),"")</f>
        <v/>
      </c>
      <c r="H9" s="20">
        <f>IFERROR(SUMPRODUCT(((Records[Role Group]="Other disclosed professionals")*(Records[Include]="Y")*(Records[Total Cash]&gt;0))/(COUNTIFS(Records[Organization],Records[Organization]&amp;"",Records[Role Group],"Other disclosed professionals",Records[Include],"Y")+(COUNTIFS(Records[Organization],Records[Organization]&amp;"",Records[Role Group],"Other disclosed professionals",Records[Include],"Y")=0))),0)</f>
        <v/>
      </c>
      <c r="I9" s="20">
        <f>SUMPRODUCT((Records[Role Group]="Other disclosed professionals")*(Records[Include]="Y")*(Records[Total Cash]&gt;0))</f>
        <v/>
      </c>
      <c r="J9" s="23">
        <f>IF(Inputs!$B$21="","",IFERROR(MAX(_xlfn._xlws.FILTER(Records[Total Cash],(Records[Role Group]="Other disclosed professionals")*(Records[Organization]=Inputs!$B$21)*(Records[Most Recent]="Y")*(Records[Total Cash]&gt;0))),""))</f>
        <v/>
      </c>
      <c r="K9" s="24">
        <f>IF(OR($J9="",$D9=""),"",$J9/$D9-1)</f>
        <v/>
      </c>
      <c r="L9" s="25">
        <f>IF($I9&gt;=k_MinQuartile,IF(OR($J9="",$J9=0),"",IFERROR(PERCENTRANK.INC(_xlfn._xlws.FILTER(Records[Total Cash],(Records[Role Group]="Other disclosed professionals")*(Records[Include]="Y")*(Records[Total Cash]&gt;0)),$J9,4),"")),"")</f>
        <v/>
      </c>
      <c r="M9" s="37">
        <f>IF(Inputs!$B$21="","",SUMPRODUCT((Records[Role Group]="Other disclosed professionals")*(Records[Organization]=Inputs!$B$21)*(Records[Most Recent]="Y")*(Records[Total Cash]&gt;0)))</f>
        <v/>
      </c>
    </row>
    <row r="10">
      <c r="A10" s="2" t="inlineStr">
        <is>
          <t>Other reportable</t>
        </is>
      </c>
      <c r="B10" s="19" t="inlineStr">
        <is>
          <t>Schedule J only</t>
        </is>
      </c>
      <c r="C10" s="21">
        <f>IF($I10&gt;=k_MinQuartile,MROUND(_xlfn.PERCENTILE.INC(_xlfn._xlws.FILTER(Records[(B)(iii) Other],(Records[Role Group]="Other disclosed professionals")*(Records[Include]="Y")*(Records[Total Cash]&lt;&gt;"")),0.25),k_RoundTo),"")</f>
        <v/>
      </c>
      <c r="D10" s="22">
        <f>IF($I10&gt;=k_MinMedian,MROUND(_xlfn.PERCENTILE.INC(_xlfn._xlws.FILTER(Records[(B)(iii) Other],(Records[Role Group]="Other disclosed professionals")*(Records[Include]="Y")*(Records[Total Cash]&lt;&gt;"")),0.5),k_RoundTo),"")</f>
        <v/>
      </c>
      <c r="E10" s="21">
        <f>IF($I10&gt;=k_MinQuartile,MROUND(_xlfn.PERCENTILE.INC(_xlfn._xlws.FILTER(Records[(B)(iii) Other],(Records[Role Group]="Other disclosed professionals")*(Records[Include]="Y")*(Records[Total Cash]&lt;&gt;"")),0.75),k_RoundTo),"")</f>
        <v/>
      </c>
      <c r="F10" s="21">
        <f>IF($I10&gt;=k_MinQuartile,MROUND(_xlfn.PERCENTILE.INC(_xlfn._xlws.FILTER(Records[(B)(iii) Other],(Records[Role Group]="Other disclosed professionals")*(Records[Include]="Y")*(Records[Total Cash]&lt;&gt;"")),0.9),k_RoundTo),"")</f>
        <v/>
      </c>
      <c r="G10" s="21">
        <f>IF($I10&gt;=k_MinMedian,MROUND(AVERAGE(_xlfn._xlws.FILTER(Records[(B)(iii) Other],(Records[Role Group]="Other disclosed professionals")*(Records[Include]="Y")*(Records[Total Cash]&lt;&gt;""))),k_RoundTo),"")</f>
        <v/>
      </c>
      <c r="H10" s="20">
        <f>IFERROR(SUMPRODUCT(((Records[Role Group]="Other disclosed professionals")*(Records[Include]="Y")*(Records[Total Cash]&lt;&gt;""))/(COUNTIFS(Records[Organization],Records[Organization]&amp;"",Records[Role Group],"Other disclosed professionals",Records[Include],"Y")+(COUNTIFS(Records[Organization],Records[Organization]&amp;"",Records[Role Group],"Other disclosed professionals",Records[Include],"Y")=0))),0)</f>
        <v/>
      </c>
      <c r="I10" s="20">
        <f>SUMPRODUCT((Records[Role Group]="Other disclosed professionals")*(Records[Include]="Y")*(Records[Total Cash]&lt;&gt;""))</f>
        <v/>
      </c>
      <c r="J10" s="23">
        <f>IF(Inputs!$B$21="","",IFERROR(MAX(_xlfn._xlws.FILTER(Records[(B)(iii) Other],(Records[Role Group]="Other disclosed professionals")*(Records[Organization]=Inputs!$B$21)*(Records[Most Recent]="Y")*(Records[Total Cash]&lt;&gt;""))),""))</f>
        <v/>
      </c>
      <c r="K10" s="24">
        <f>IF(OR($J10="",$D10=""),"",$J10/$D10-1)</f>
        <v/>
      </c>
      <c r="L10" s="25">
        <f>IF($I10&gt;=k_MinQuartile,IF(OR($J10="",$J10=0),"",IFERROR(PERCENTRANK.INC(_xlfn._xlws.FILTER(Records[(B)(iii) Other],(Records[Role Group]="Other disclosed professionals")*(Records[Include]="Y")*(Records[Total Cash]&lt;&gt;"")),$J10,4),"")),"")</f>
        <v/>
      </c>
      <c r="M10" s="37">
        <f>IF(Inputs!$B$21="","",SUMPRODUCT((Records[Role Group]="Other disclosed professionals")*(Records[Organization]=Inputs!$B$21)*(Records[Most Recent]="Y")*(Records[Total Cash]&lt;&gt;"")))</f>
        <v/>
      </c>
    </row>
    <row r="11">
      <c r="A11" s="2" t="inlineStr">
        <is>
          <t>Deferred</t>
        </is>
      </c>
      <c r="B11" s="19" t="inlineStr">
        <is>
          <t>Schedule J only</t>
        </is>
      </c>
      <c r="C11" s="21">
        <f>IF($I11&gt;=k_MinQuartile,MROUND(_xlfn.PERCENTILE.INC(_xlfn._xlws.FILTER(Records[(C) Deferred],(Records[Role Group]="Other disclosed professionals")*(Records[Include]="Y")*(Records[Total Cash]&lt;&gt;"")),0.25),k_RoundTo),"")</f>
        <v/>
      </c>
      <c r="D11" s="22">
        <f>IF($I11&gt;=k_MinMedian,MROUND(_xlfn.PERCENTILE.INC(_xlfn._xlws.FILTER(Records[(C) Deferred],(Records[Role Group]="Other disclosed professionals")*(Records[Include]="Y")*(Records[Total Cash]&lt;&gt;"")),0.5),k_RoundTo),"")</f>
        <v/>
      </c>
      <c r="E11" s="21">
        <f>IF($I11&gt;=k_MinQuartile,MROUND(_xlfn.PERCENTILE.INC(_xlfn._xlws.FILTER(Records[(C) Deferred],(Records[Role Group]="Other disclosed professionals")*(Records[Include]="Y")*(Records[Total Cash]&lt;&gt;"")),0.75),k_RoundTo),"")</f>
        <v/>
      </c>
      <c r="F11" s="21">
        <f>IF($I11&gt;=k_MinQuartile,MROUND(_xlfn.PERCENTILE.INC(_xlfn._xlws.FILTER(Records[(C) Deferred],(Records[Role Group]="Other disclosed professionals")*(Records[Include]="Y")*(Records[Total Cash]&lt;&gt;"")),0.9),k_RoundTo),"")</f>
        <v/>
      </c>
      <c r="G11" s="21">
        <f>IF($I11&gt;=k_MinMedian,MROUND(AVERAGE(_xlfn._xlws.FILTER(Records[(C) Deferred],(Records[Role Group]="Other disclosed professionals")*(Records[Include]="Y")*(Records[Total Cash]&lt;&gt;""))),k_RoundTo),"")</f>
        <v/>
      </c>
      <c r="H11" s="20">
        <f>IFERROR(SUMPRODUCT(((Records[Role Group]="Other disclosed professionals")*(Records[Include]="Y")*(Records[Total Cash]&lt;&gt;""))/(COUNTIFS(Records[Organization],Records[Organization]&amp;"",Records[Role Group],"Other disclosed professionals",Records[Include],"Y")+(COUNTIFS(Records[Organization],Records[Organization]&amp;"",Records[Role Group],"Other disclosed professionals",Records[Include],"Y")=0))),0)</f>
        <v/>
      </c>
      <c r="I11" s="20">
        <f>SUMPRODUCT((Records[Role Group]="Other disclosed professionals")*(Records[Include]="Y")*(Records[Total Cash]&lt;&gt;""))</f>
        <v/>
      </c>
      <c r="J11" s="23">
        <f>IF(Inputs!$B$21="","",IFERROR(MAX(_xlfn._xlws.FILTER(Records[(C) Deferred],(Records[Role Group]="Other disclosed professionals")*(Records[Organization]=Inputs!$B$21)*(Records[Most Recent]="Y")*(Records[Total Cash]&lt;&gt;""))),""))</f>
        <v/>
      </c>
      <c r="K11" s="24">
        <f>IF(OR($J11="",$D11=""),"",$J11/$D11-1)</f>
        <v/>
      </c>
      <c r="L11" s="25">
        <f>IF($I11&gt;=k_MinQuartile,IF(OR($J11="",$J11=0),"",IFERROR(PERCENTRANK.INC(_xlfn._xlws.FILTER(Records[(C) Deferred],(Records[Role Group]="Other disclosed professionals")*(Records[Include]="Y")*(Records[Total Cash]&lt;&gt;"")),$J11,4),"")),"")</f>
        <v/>
      </c>
      <c r="M11" s="37">
        <f>IF(Inputs!$B$21="","",SUMPRODUCT((Records[Role Group]="Other disclosed professionals")*(Records[Organization]=Inputs!$B$21)*(Records[Most Recent]="Y")*(Records[Total Cash]&lt;&gt;"")))</f>
        <v/>
      </c>
    </row>
    <row r="12">
      <c r="A12" s="2" t="inlineStr">
        <is>
          <t>Nontaxable benefits</t>
        </is>
      </c>
      <c r="B12" s="19" t="inlineStr">
        <is>
          <t>Schedule J only</t>
        </is>
      </c>
      <c r="C12" s="21">
        <f>IF($I12&gt;=k_MinQuartile,MROUND(_xlfn.PERCENTILE.INC(_xlfn._xlws.FILTER(Records[(D) Nontax Benefits],(Records[Role Group]="Other disclosed professionals")*(Records[Include]="Y")*(Records[Total Cash]&lt;&gt;"")),0.25),k_RoundTo),"")</f>
        <v/>
      </c>
      <c r="D12" s="22">
        <f>IF($I12&gt;=k_MinMedian,MROUND(_xlfn.PERCENTILE.INC(_xlfn._xlws.FILTER(Records[(D) Nontax Benefits],(Records[Role Group]="Other disclosed professionals")*(Records[Include]="Y")*(Records[Total Cash]&lt;&gt;"")),0.5),k_RoundTo),"")</f>
        <v/>
      </c>
      <c r="E12" s="21">
        <f>IF($I12&gt;=k_MinQuartile,MROUND(_xlfn.PERCENTILE.INC(_xlfn._xlws.FILTER(Records[(D) Nontax Benefits],(Records[Role Group]="Other disclosed professionals")*(Records[Include]="Y")*(Records[Total Cash]&lt;&gt;"")),0.75),k_RoundTo),"")</f>
        <v/>
      </c>
      <c r="F12" s="21">
        <f>IF($I12&gt;=k_MinQuartile,MROUND(_xlfn.PERCENTILE.INC(_xlfn._xlws.FILTER(Records[(D) Nontax Benefits],(Records[Role Group]="Other disclosed professionals")*(Records[Include]="Y")*(Records[Total Cash]&lt;&gt;"")),0.9),k_RoundTo),"")</f>
        <v/>
      </c>
      <c r="G12" s="21">
        <f>IF($I12&gt;=k_MinMedian,MROUND(AVERAGE(_xlfn._xlws.FILTER(Records[(D) Nontax Benefits],(Records[Role Group]="Other disclosed professionals")*(Records[Include]="Y")*(Records[Total Cash]&lt;&gt;""))),k_RoundTo),"")</f>
        <v/>
      </c>
      <c r="H12" s="20">
        <f>IFERROR(SUMPRODUCT(((Records[Role Group]="Other disclosed professionals")*(Records[Include]="Y")*(Records[Total Cash]&lt;&gt;""))/(COUNTIFS(Records[Organization],Records[Organization]&amp;"",Records[Role Group],"Other disclosed professionals",Records[Include],"Y")+(COUNTIFS(Records[Organization],Records[Organization]&amp;"",Records[Role Group],"Other disclosed professionals",Records[Include],"Y")=0))),0)</f>
        <v/>
      </c>
      <c r="I12" s="20">
        <f>SUMPRODUCT((Records[Role Group]="Other disclosed professionals")*(Records[Include]="Y")*(Records[Total Cash]&lt;&gt;""))</f>
        <v/>
      </c>
      <c r="J12" s="23">
        <f>IF(Inputs!$B$21="","",IFERROR(MAX(_xlfn._xlws.FILTER(Records[(D) Nontax Benefits],(Records[Role Group]="Other disclosed professionals")*(Records[Organization]=Inputs!$B$21)*(Records[Most Recent]="Y")*(Records[Total Cash]&lt;&gt;""))),""))</f>
        <v/>
      </c>
      <c r="K12" s="24">
        <f>IF(OR($J12="",$D12=""),"",$J12/$D12-1)</f>
        <v/>
      </c>
      <c r="L12" s="25">
        <f>IF($I12&gt;=k_MinQuartile,IF(OR($J12="",$J12=0),"",IFERROR(PERCENTRANK.INC(_xlfn._xlws.FILTER(Records[(D) Nontax Benefits],(Records[Role Group]="Other disclosed professionals")*(Records[Include]="Y")*(Records[Total Cash]&lt;&gt;"")),$J12,4),"")),"")</f>
        <v/>
      </c>
      <c r="M12" s="37">
        <f>IF(Inputs!$B$21="","",SUMPRODUCT((Records[Role Group]="Other disclosed professionals")*(Records[Organization]=Inputs!$B$21)*(Records[Most Recent]="Y")*(Records[Total Cash]&lt;&gt;"")))</f>
        <v/>
      </c>
    </row>
    <row r="13">
      <c r="A13" s="2" t="inlineStr">
        <is>
          <t>Total compensation</t>
        </is>
      </c>
      <c r="B13" s="19" t="inlineStr">
        <is>
          <t>all filers</t>
        </is>
      </c>
      <c r="C13" s="21">
        <f>IF($I13&gt;=k_MinQuartile,MROUND(_xlfn.PERCENTILE.INC(_xlfn._xlws.FILTER(Records[(E) Total Comp],(Records[Role Group]="Other disclosed professionals")*(Records[Include]="Y")*(Records[(E) Total Comp]&gt;0)),0.25),k_RoundTo),"")</f>
        <v/>
      </c>
      <c r="D13" s="22">
        <f>IF($I13&gt;=k_MinMedian,MROUND(_xlfn.PERCENTILE.INC(_xlfn._xlws.FILTER(Records[(E) Total Comp],(Records[Role Group]="Other disclosed professionals")*(Records[Include]="Y")*(Records[(E) Total Comp]&gt;0)),0.5),k_RoundTo),"")</f>
        <v/>
      </c>
      <c r="E13" s="21">
        <f>IF($I13&gt;=k_MinQuartile,MROUND(_xlfn.PERCENTILE.INC(_xlfn._xlws.FILTER(Records[(E) Total Comp],(Records[Role Group]="Other disclosed professionals")*(Records[Include]="Y")*(Records[(E) Total Comp]&gt;0)),0.75),k_RoundTo),"")</f>
        <v/>
      </c>
      <c r="F13" s="21">
        <f>IF($I13&gt;=k_MinQuartile,MROUND(_xlfn.PERCENTILE.INC(_xlfn._xlws.FILTER(Records[(E) Total Comp],(Records[Role Group]="Other disclosed professionals")*(Records[Include]="Y")*(Records[(E) Total Comp]&gt;0)),0.9),k_RoundTo),"")</f>
        <v/>
      </c>
      <c r="G13" s="21">
        <f>IF($I13&gt;=k_MinMedian,MROUND(AVERAGE(_xlfn._xlws.FILTER(Records[(E) Total Comp],(Records[Role Group]="Other disclosed professionals")*(Records[Include]="Y")*(Records[(E) Total Comp]&gt;0))),k_RoundTo),"")</f>
        <v/>
      </c>
      <c r="H13" s="20">
        <f>IFERROR(SUMPRODUCT(((Records[Role Group]="Other disclosed professionals")*(Records[Include]="Y")*(Records[(E) Total Comp]&gt;0))/(COUNTIFS(Records[Organization],Records[Organization]&amp;"",Records[Role Group],"Other disclosed professionals",Records[Include],"Y")+(COUNTIFS(Records[Organization],Records[Organization]&amp;"",Records[Role Group],"Other disclosed professionals",Records[Include],"Y")=0))),0)</f>
        <v/>
      </c>
      <c r="I13" s="20">
        <f>SUMPRODUCT((Records[Role Group]="Other disclosed professionals")*(Records[Include]="Y")*(Records[(E) Total Comp]&gt;0))</f>
        <v/>
      </c>
      <c r="J13" s="23">
        <f>IF(Inputs!$B$21="","",IFERROR(MAX(_xlfn._xlws.FILTER(Records[(E) Total Comp],(Records[Role Group]="Other disclosed professionals")*(Records[Organization]=Inputs!$B$21)*(Records[Most Recent]="Y")*(Records[(E) Total Comp]&gt;0))),""))</f>
        <v/>
      </c>
      <c r="K13" s="24">
        <f>IF(OR($J13="",$D13=""),"",$J13/$D13-1)</f>
        <v/>
      </c>
      <c r="L13" s="25">
        <f>IF($I13&gt;=k_MinQuartile,IF(OR($J13="",$J13=0),"",IFERROR(PERCENTRANK.INC(_xlfn._xlws.FILTER(Records[(E) Total Comp],(Records[Role Group]="Other disclosed professionals")*(Records[Include]="Y")*(Records[(E) Total Comp]&gt;0)),$J13,4),"")),"")</f>
        <v/>
      </c>
      <c r="M13" s="37">
        <f>IF(Inputs!$B$21="","",SUMPRODUCT((Records[Role Group]="Other disclosed professionals")*(Records[Organization]=Inputs!$B$21)*(Records[Most Recent]="Y")*(Records[(E) Total Comp]&gt;0)))</f>
        <v/>
      </c>
    </row>
    <row r="14">
      <c r="A14" s="2" t="inlineStr">
        <is>
          <t>Adjusted total</t>
        </is>
      </c>
      <c r="B14" s="19" t="inlineStr">
        <is>
          <t>all filers</t>
        </is>
      </c>
      <c r="C14" s="21">
        <f>IF($I14&gt;=k_MinQuartile,MROUND(_xlfn.PERCENTILE.INC(_xlfn._xlws.FILTER(Records[Adj Total],(Records[Role Group]="Other disclosed professionals")*(Records[Include]="Y")*(Records[Adj Total]&gt;0)),0.25),k_RoundTo),"")</f>
        <v/>
      </c>
      <c r="D14" s="22">
        <f>IF($I14&gt;=k_MinMedian,MROUND(_xlfn.PERCENTILE.INC(_xlfn._xlws.FILTER(Records[Adj Total],(Records[Role Group]="Other disclosed professionals")*(Records[Include]="Y")*(Records[Adj Total]&gt;0)),0.5),k_RoundTo),"")</f>
        <v/>
      </c>
      <c r="E14" s="21">
        <f>IF($I14&gt;=k_MinQuartile,MROUND(_xlfn.PERCENTILE.INC(_xlfn._xlws.FILTER(Records[Adj Total],(Records[Role Group]="Other disclosed professionals")*(Records[Include]="Y")*(Records[Adj Total]&gt;0)),0.75),k_RoundTo),"")</f>
        <v/>
      </c>
      <c r="F14" s="21">
        <f>IF($I14&gt;=k_MinQuartile,MROUND(_xlfn.PERCENTILE.INC(_xlfn._xlws.FILTER(Records[Adj Total],(Records[Role Group]="Other disclosed professionals")*(Records[Include]="Y")*(Records[Adj Total]&gt;0)),0.9),k_RoundTo),"")</f>
        <v/>
      </c>
      <c r="G14" s="21">
        <f>IF($I14&gt;=k_MinMedian,MROUND(AVERAGE(_xlfn._xlws.FILTER(Records[Adj Total],(Records[Role Group]="Other disclosed professionals")*(Records[Include]="Y")*(Records[Adj Total]&gt;0))),k_RoundTo),"")</f>
        <v/>
      </c>
      <c r="H14" s="20">
        <f>IFERROR(SUMPRODUCT(((Records[Role Group]="Other disclosed professionals")*(Records[Include]="Y")*(Records[Adj Total]&gt;0))/(COUNTIFS(Records[Organization],Records[Organization]&amp;"",Records[Role Group],"Other disclosed professionals",Records[Include],"Y")+(COUNTIFS(Records[Organization],Records[Organization]&amp;"",Records[Role Group],"Other disclosed professionals",Records[Include],"Y")=0))),0)</f>
        <v/>
      </c>
      <c r="I14" s="20">
        <f>SUMPRODUCT((Records[Role Group]="Other disclosed professionals")*(Records[Include]="Y")*(Records[Adj Total]&gt;0))</f>
        <v/>
      </c>
      <c r="J14" s="23">
        <f>IF(Inputs!$B$21="","",IFERROR(MAX(_xlfn._xlws.FILTER(Records[Adj Total],(Records[Role Group]="Other disclosed professionals")*(Records[Organization]=Inputs!$B$21)*(Records[Most Recent]="Y")*(Records[Adj Total]&gt;0))),""))</f>
        <v/>
      </c>
      <c r="K14" s="24">
        <f>IF(OR($J14="",$D14=""),"",$J14/$D14-1)</f>
        <v/>
      </c>
      <c r="L14" s="25">
        <f>IF($I14&gt;=k_MinQuartile,IF(OR($J14="",$J14=0),"",IFERROR(PERCENTRANK.INC(_xlfn._xlws.FILTER(Records[Adj Total],(Records[Role Group]="Other disclosed professionals")*(Records[Include]="Y")*(Records[Adj Total]&gt;0)),$J14,4),"")),"")</f>
        <v/>
      </c>
      <c r="M14" s="37">
        <f>IF(Inputs!$B$21="","",SUMPRODUCT((Records[Role Group]="Other disclosed professionals")*(Records[Organization]=Inputs!$B$21)*(Records[Most Recent]="Y")*(Records[Adj Total]&gt;0)))</f>
        <v/>
      </c>
    </row>
    <row r="15">
      <c r="A15" s="2" t="inlineStr">
        <is>
          <t>Adjusted total, aged</t>
        </is>
      </c>
      <c r="B15" s="19" t="inlineStr">
        <is>
          <t>all filers</t>
        </is>
      </c>
      <c r="C15" s="21">
        <f>IF($I15&gt;=k_MinQuartile,MROUND(_xlfn.PERCENTILE.INC(_xlfn._xlws.FILTER(Records[Aged Adj Total],(Records[Role Group]="Other disclosed professionals")*(Records[Include]="Y")*(Records[Aged Adj Total]&gt;0)),0.25),k_RoundTo),"")</f>
        <v/>
      </c>
      <c r="D15" s="22">
        <f>IF($I15&gt;=k_MinMedian,MROUND(_xlfn.PERCENTILE.INC(_xlfn._xlws.FILTER(Records[Aged Adj Total],(Records[Role Group]="Other disclosed professionals")*(Records[Include]="Y")*(Records[Aged Adj Total]&gt;0)),0.5),k_RoundTo),"")</f>
        <v/>
      </c>
      <c r="E15" s="21">
        <f>IF($I15&gt;=k_MinQuartile,MROUND(_xlfn.PERCENTILE.INC(_xlfn._xlws.FILTER(Records[Aged Adj Total],(Records[Role Group]="Other disclosed professionals")*(Records[Include]="Y")*(Records[Aged Adj Total]&gt;0)),0.75),k_RoundTo),"")</f>
        <v/>
      </c>
      <c r="F15" s="21">
        <f>IF($I15&gt;=k_MinQuartile,MROUND(_xlfn.PERCENTILE.INC(_xlfn._xlws.FILTER(Records[Aged Adj Total],(Records[Role Group]="Other disclosed professionals")*(Records[Include]="Y")*(Records[Aged Adj Total]&gt;0)),0.9),k_RoundTo),"")</f>
        <v/>
      </c>
      <c r="G15" s="21">
        <f>IF($I15&gt;=k_MinMedian,MROUND(AVERAGE(_xlfn._xlws.FILTER(Records[Aged Adj Total],(Records[Role Group]="Other disclosed professionals")*(Records[Include]="Y")*(Records[Aged Adj Total]&gt;0))),k_RoundTo),"")</f>
        <v/>
      </c>
      <c r="H15" s="20">
        <f>IFERROR(SUMPRODUCT(((Records[Role Group]="Other disclosed professionals")*(Records[Include]="Y")*(Records[Aged Adj Total]&gt;0))/(COUNTIFS(Records[Organization],Records[Organization]&amp;"",Records[Role Group],"Other disclosed professionals",Records[Include],"Y")+(COUNTIFS(Records[Organization],Records[Organization]&amp;"",Records[Role Group],"Other disclosed professionals",Records[Include],"Y")=0))),0)</f>
        <v/>
      </c>
      <c r="I15" s="20">
        <f>SUMPRODUCT((Records[Role Group]="Other disclosed professionals")*(Records[Include]="Y")*(Records[Aged Adj Total]&gt;0))</f>
        <v/>
      </c>
      <c r="J15" s="23">
        <f>IF(Inputs!$B$21="","",IFERROR(MAX(_xlfn._xlws.FILTER(Records[Aged Adj Total],(Records[Role Group]="Other disclosed professionals")*(Records[Organization]=Inputs!$B$21)*(Records[Most Recent]="Y")*(Records[Aged Adj Total]&gt;0))),""))</f>
        <v/>
      </c>
      <c r="K15" s="24">
        <f>IF(OR($J15="",$D15=""),"",$J15/$D15-1)</f>
        <v/>
      </c>
      <c r="L15" s="25">
        <f>IF($I15&gt;=k_MinQuartile,IF(OR($J15="",$J15=0),"",IFERROR(PERCENTRANK.INC(_xlfn._xlws.FILTER(Records[Aged Adj Total],(Records[Role Group]="Other disclosed professionals")*(Records[Include]="Y")*(Records[Aged Adj Total]&gt;0)),$J15,4),"")),"")</f>
        <v/>
      </c>
      <c r="M15" s="37">
        <f>IF(Inputs!$B$21="","",SUMPRODUCT((Records[Role Group]="Other disclosed professionals")*(Records[Organization]=Inputs!$B$21)*(Records[Most Recent]="Y")*(Records[Aged Adj Total]&gt;0)))</f>
        <v/>
      </c>
    </row>
    <row r="16">
      <c r="A16" s="2" t="inlineStr">
        <is>
          <t>Incentive as % of base</t>
        </is>
      </c>
      <c r="B16" s="19" t="inlineStr">
        <is>
          <t>Schedule J only</t>
        </is>
      </c>
      <c r="C16" s="38">
        <f>IF($I16&gt;=k_MinQuartile,_xlfn.PERCENTILE.INC(_xlfn._xlws.FILTER(Records[Incentive % of Base],(Records[Role Group]="Other disclosed professionals")*(Records[Include]="Y")*(Records[Total Cash]&lt;&gt;"")),0.25),"")</f>
        <v/>
      </c>
      <c r="D16" s="39">
        <f>IF($I16&gt;=k_MinMedian,_xlfn.PERCENTILE.INC(_xlfn._xlws.FILTER(Records[Incentive % of Base],(Records[Role Group]="Other disclosed professionals")*(Records[Include]="Y")*(Records[Total Cash]&lt;&gt;"")),0.5),"")</f>
        <v/>
      </c>
      <c r="E16" s="38">
        <f>IF($I16&gt;=k_MinQuartile,_xlfn.PERCENTILE.INC(_xlfn._xlws.FILTER(Records[Incentive % of Base],(Records[Role Group]="Other disclosed professionals")*(Records[Include]="Y")*(Records[Total Cash]&lt;&gt;"")),0.75),"")</f>
        <v/>
      </c>
      <c r="F16" s="38">
        <f>IF($I16&gt;=k_MinQuartile,_xlfn.PERCENTILE.INC(_xlfn._xlws.FILTER(Records[Incentive % of Base],(Records[Role Group]="Other disclosed professionals")*(Records[Include]="Y")*(Records[Total Cash]&lt;&gt;"")),0.9),"")</f>
        <v/>
      </c>
      <c r="G16" s="38">
        <f>IF($I16&gt;=k_MinMedian,AVERAGE(_xlfn._xlws.FILTER(Records[Incentive % of Base],(Records[Role Group]="Other disclosed professionals")*(Records[Include]="Y")*(Records[Total Cash]&lt;&gt;""))),"")</f>
        <v/>
      </c>
      <c r="H16" s="20">
        <f>IFERROR(SUMPRODUCT(((Records[Role Group]="Other disclosed professionals")*(Records[Include]="Y")*(Records[Total Cash]&lt;&gt;""))/(COUNTIFS(Records[Organization],Records[Organization]&amp;"",Records[Role Group],"Other disclosed professionals",Records[Include],"Y")+(COUNTIFS(Records[Organization],Records[Organization]&amp;"",Records[Role Group],"Other disclosed professionals",Records[Include],"Y")=0))),0)</f>
        <v/>
      </c>
      <c r="I16" s="20">
        <f>SUMPRODUCT((Records[Role Group]="Other disclosed professionals")*(Records[Include]="Y")*(Records[Total Cash]&lt;&gt;""))</f>
        <v/>
      </c>
      <c r="J16" s="40">
        <f>IF(Inputs!$B$21="","",IFERROR(MAX(_xlfn._xlws.FILTER(Records[Incentive % of Base],(Records[Role Group]="Other disclosed professionals")*(Records[Organization]=Inputs!$B$21)*(Records[Most Recent]="Y")*(Records[Total Cash]&lt;&gt;""))),""))</f>
        <v/>
      </c>
      <c r="K16" s="41">
        <f>IF(OR($J16="",$D16=""),"",$J16-$D16)</f>
        <v/>
      </c>
      <c r="L16" s="25">
        <f>IF($I16&gt;=k_MinQuartile,IF(OR($J16="",$J16=0),"",IFERROR(PERCENTRANK.INC(_xlfn._xlws.FILTER(Records[Incentive % of Base],(Records[Role Group]="Other disclosed professionals")*(Records[Include]="Y")*(Records[Total Cash]&lt;&gt;"")),$J16,4),"")),"")</f>
        <v/>
      </c>
      <c r="M16" s="37">
        <f>IF(Inputs!$B$21="","",SUMPRODUCT((Records[Role Group]="Other disclosed professionals")*(Records[Organization]=Inputs!$B$21)*(Records[Most Recent]="Y")*(Records[Total Cash]&lt;&gt;"")))</f>
        <v/>
      </c>
    </row>
    <row r="17"/>
    <row r="18">
      <c r="A18" s="19" t="inlineStr">
        <is>
          <t>Blank = too few people, not zero. Median 2+, quartiles 5+.</t>
        </is>
      </c>
    </row>
    <row r="19">
      <c r="A19" s="19" t="inlineStr">
        <is>
          <t>(1) Est. columns, italic: where the median exists but fewer than 5 people, the median times the ratio measured on endowments and foundations at $2b+ (Methodology). Never the median; not a measured figure.</t>
        </is>
      </c>
    </row>
    <row r="20"/>
    <row r="21">
      <c r="A21" s="1" t="inlineStr">
        <is>
          <t>Peer records</t>
        </is>
      </c>
    </row>
    <row r="22">
      <c r="A22" s="19" t="inlineStr">
        <is>
          <t>Filter Include = "Y" for the peer set.</t>
        </is>
      </c>
    </row>
    <row r="23"/>
    <row r="24" ht="30" customHeight="1">
      <c r="A24" s="35" t="inlineStr">
        <is>
          <t>Organization</t>
        </is>
      </c>
      <c r="B24" s="35" t="inlineStr">
        <is>
          <t>State</t>
        </is>
      </c>
      <c r="C24" s="35" t="inlineStr">
        <is>
          <t>AUM ($B)</t>
        </is>
      </c>
      <c r="D24" s="35" t="inlineStr">
        <is>
          <t>Institution Type</t>
        </is>
      </c>
      <c r="E24" s="35" t="inlineStr">
        <is>
          <t>Year</t>
        </is>
      </c>
      <c r="F24" s="35" t="inlineStr">
        <is>
          <t>Include</t>
        </is>
      </c>
      <c r="G24" s="35" t="inlineStr">
        <is>
          <t>Name</t>
        </is>
      </c>
      <c r="H24" s="35" t="inlineStr">
        <is>
          <t>Raw Title</t>
        </is>
      </c>
      <c r="I24" s="35" t="inlineStr">
        <is>
          <t>Standardized Title</t>
        </is>
      </c>
      <c r="J24" s="35" t="inlineStr">
        <is>
          <t>(B)(i) Base</t>
        </is>
      </c>
      <c r="K24" s="35" t="inlineStr">
        <is>
          <t>(B)(ii) Bonus</t>
        </is>
      </c>
      <c r="L24" s="35" t="inlineStr">
        <is>
          <t>Total Cash</t>
        </is>
      </c>
      <c r="M24" s="35" t="inlineStr">
        <is>
          <t>(B)(iii) Other</t>
        </is>
      </c>
      <c r="N24" s="35" t="inlineStr">
        <is>
          <t>(C) Deferred</t>
        </is>
      </c>
      <c r="O24" s="35" t="inlineStr">
        <is>
          <t>(D) Nontax Benefits</t>
        </is>
      </c>
      <c r="P24" s="35" t="inlineStr">
        <is>
          <t>(E) Total Comp</t>
        </is>
      </c>
      <c r="Q24" s="35" t="inlineStr">
        <is>
          <t>Adj Total</t>
        </is>
      </c>
      <c r="R24" s="35" t="inlineStr">
        <is>
          <t>Aged Adj Total</t>
        </is>
      </c>
      <c r="S24" s="35" t="inlineStr">
        <is>
          <t>Incentive % of Base</t>
        </is>
      </c>
      <c r="T24" s="35" t="inlineStr">
        <is>
          <t>Filing</t>
        </is>
      </c>
    </row>
    <row r="25">
      <c r="A25" t="inlineStr">
        <is>
          <t>David And Lucile Packard Foundation</t>
        </is>
      </c>
      <c r="B25" s="20" t="inlineStr">
        <is>
          <t>CA</t>
        </is>
      </c>
      <c r="C25" s="42" t="n">
        <v>8.07</v>
      </c>
      <c r="D25" t="inlineStr">
        <is>
          <t>Foundation</t>
        </is>
      </c>
      <c r="E25" s="20" t="n">
        <v>2022</v>
      </c>
      <c r="F25" s="20" t="inlineStr"/>
      <c r="G25" t="inlineStr">
        <is>
          <t>David R Cormier</t>
        </is>
      </c>
      <c r="H25" t="inlineStr">
        <is>
          <t>INVESTMENT OPERATION</t>
        </is>
      </c>
      <c r="I25" t="inlineStr">
        <is>
          <t>Investment Operations (Inv Entity)</t>
        </is>
      </c>
      <c r="J25" s="21" t="n"/>
      <c r="K25" s="21" t="n"/>
      <c r="L25" s="21" t="n"/>
      <c r="M25" s="21" t="n"/>
      <c r="N25" s="21" t="n"/>
      <c r="O25" s="21" t="n"/>
      <c r="P25" s="21" t="n">
        <v>921569</v>
      </c>
      <c r="Q25" s="21" t="n">
        <v>921569</v>
      </c>
      <c r="R25" s="21">
        <f>IF(Q25="","",Q25*(1+in_GrowthRate)^(YEARFRAC(DATE(2022,12,31),in_AgeToDate)*IF(in_AgeToDate&lt;DATE(2022,12,31),-1,1)+1))</f>
        <v/>
      </c>
      <c r="S25" s="38" t="n"/>
      <c r="T25" s="43">
        <f>HYPERLINK("https://projects.propublica.org/nonprofits/organizations/942278431/202303149349102680/full","view filing")</f>
        <v/>
      </c>
    </row>
    <row r="26">
      <c r="A26" t="inlineStr">
        <is>
          <t>Dietrich Foundation</t>
        </is>
      </c>
      <c r="B26" s="20" t="inlineStr">
        <is>
          <t>PA</t>
        </is>
      </c>
      <c r="C26" s="42" t="n">
        <v>1.47</v>
      </c>
      <c r="D26" t="inlineStr">
        <is>
          <t>Foundation</t>
        </is>
      </c>
      <c r="E26" s="20" t="n">
        <v>2024</v>
      </c>
      <c r="F26" s="20">
        <f>IF(AND(OR(in_Mode="All Funds",AND(C26&gt;=in_BandFloor,C26&lt;=in_BandCeiling,OR(in_Geography="National",COUNTIFS(lst_GeoPreset,in_Geography,lst_GeoState,B26)&gt;0,AND(in_Geography="Custom",ISNUMBER(SEARCH(B26,SUBSTITUTE(in_CustomStates," ",""))))),OR(AND(D26="Endowment",Inputs!$B$14="Y"),AND(D26="Foundation",Inputs!$B$15="Y"),AND(D26="Healthcare",Inputs!$B$16="Y"),AND(D26="Pension",Inputs!$B$17="Y"),AND(D26="OCIO",Inputs!$B$18="Y"),AND(D26="Other",Inputs!$B$19="Y")))),A26&lt;&gt;in_ClientOrg,NOT(AND(in_ExclHarvard="Y",ISNUMBER(SEARCH("Harvard",A26))))),"Y","")</f>
        <v/>
      </c>
      <c r="G26" t="inlineStr">
        <is>
          <t>Mariah S Smith</t>
        </is>
      </c>
      <c r="H26" t="inlineStr">
        <is>
          <t>OPERATIONS MANAGER</t>
        </is>
      </c>
      <c r="I26" t="inlineStr">
        <is>
          <t>Investment Operations (Inv Entity)</t>
        </is>
      </c>
      <c r="J26" s="21" t="n">
        <v>125122</v>
      </c>
      <c r="K26" s="21" t="n">
        <v>30000</v>
      </c>
      <c r="L26" s="21" t="n">
        <v>155122</v>
      </c>
      <c r="M26" s="21" t="n"/>
      <c r="N26" s="21" t="n">
        <v>68710</v>
      </c>
      <c r="O26" s="21" t="n">
        <v>6921</v>
      </c>
      <c r="P26" s="21" t="n">
        <v>230753</v>
      </c>
      <c r="Q26" s="21" t="n">
        <v>200753</v>
      </c>
      <c r="R26" s="21">
        <f>IF(Q26="","",Q26*(1+in_GrowthRate)^(YEARFRAC(DATE(2024,12,31),in_AgeToDate)*IF(in_AgeToDate&lt;DATE(2024,12,31),-1,1)+1))</f>
        <v/>
      </c>
      <c r="S26" s="38" t="n">
        <v>0.2397659883953262</v>
      </c>
      <c r="T26" s="43">
        <f>HYPERLINK("https://projects.propublica.org/nonprofits/organizations/364711746/202523219349319537/full","view filing")</f>
        <v/>
      </c>
    </row>
    <row r="27">
      <c r="A27" t="inlineStr">
        <is>
          <t>Dietrich Foundation</t>
        </is>
      </c>
      <c r="B27" s="20" t="inlineStr">
        <is>
          <t>PA</t>
        </is>
      </c>
      <c r="C27" s="42" t="n">
        <v>1.47</v>
      </c>
      <c r="D27" t="inlineStr">
        <is>
          <t>Foundation</t>
        </is>
      </c>
      <c r="E27" s="20" t="n">
        <v>2023</v>
      </c>
      <c r="F27" s="20" t="inlineStr"/>
      <c r="G27" t="inlineStr">
        <is>
          <t>Mariah Salas</t>
        </is>
      </c>
      <c r="H27" t="inlineStr">
        <is>
          <t>OPERATIONS MANAGER</t>
        </is>
      </c>
      <c r="I27" t="inlineStr">
        <is>
          <t>Investment Operations (Inv Entity)</t>
        </is>
      </c>
      <c r="J27" s="21" t="n">
        <v>115000</v>
      </c>
      <c r="K27" s="21" t="n">
        <v>18000</v>
      </c>
      <c r="L27" s="21" t="n">
        <v>133000</v>
      </c>
      <c r="M27" s="21" t="n"/>
      <c r="N27" s="21" t="n">
        <v>57930</v>
      </c>
      <c r="O27" s="21" t="n">
        <v>5664</v>
      </c>
      <c r="P27" s="21" t="n">
        <v>196594</v>
      </c>
      <c r="Q27" s="21" t="n">
        <v>178594</v>
      </c>
      <c r="R27" s="21">
        <f>IF(Q27="","",Q27*(1+in_GrowthRate)^(YEARFRAC(DATE(2023,12,31),in_AgeToDate)*IF(in_AgeToDate&lt;DATE(2023,12,31),-1,1)+1))</f>
        <v/>
      </c>
      <c r="S27" s="38" t="n">
        <v>0.1565217391304348</v>
      </c>
      <c r="T27" s="43">
        <f>HYPERLINK("https://projects.propublica.org/nonprofits/organizations/364711746/202433209349310268/full","view filing")</f>
        <v/>
      </c>
    </row>
    <row r="28">
      <c r="A28" t="inlineStr">
        <is>
          <t>Harvard Management Company Inc</t>
        </is>
      </c>
      <c r="B28" s="20" t="inlineStr">
        <is>
          <t>MA</t>
        </is>
      </c>
      <c r="C28" s="42" t="n">
        <v>53.2</v>
      </c>
      <c r="D28" t="inlineStr">
        <is>
          <t>Endowment</t>
        </is>
      </c>
      <c r="E28" s="20" t="n">
        <v>2025</v>
      </c>
      <c r="F28" s="20">
        <f>IF(AND(OR(in_Mode="All Funds",AND(C28&gt;=in_BandFloor,C28&lt;=in_BandCeiling,OR(in_Geography="National",COUNTIFS(lst_GeoPreset,in_Geography,lst_GeoState,B28)&gt;0,AND(in_Geography="Custom",ISNUMBER(SEARCH(B28,SUBSTITUTE(in_CustomStates," ",""))))),OR(AND(D28="Endowment",Inputs!$B$14="Y"),AND(D28="Foundation",Inputs!$B$15="Y"),AND(D28="Healthcare",Inputs!$B$16="Y"),AND(D28="Pension",Inputs!$B$17="Y"),AND(D28="OCIO",Inputs!$B$18="Y"),AND(D28="Other",Inputs!$B$19="Y")))),A28&lt;&gt;in_ClientOrg,NOT(AND(in_ExclHarvard="Y",ISNUMBER(SEARCH("Harvard",A28))))),"Y","")</f>
        <v/>
      </c>
      <c r="G28" t="inlineStr">
        <is>
          <t>Kathryn I Murtagh</t>
        </is>
      </c>
      <c r="H28" t="inlineStr">
        <is>
          <t>MD - CCO &amp; CLERK</t>
        </is>
      </c>
      <c r="I28" t="inlineStr">
        <is>
          <t>Chief Compliance Officer (Inv Entity)</t>
        </is>
      </c>
      <c r="J28" s="21" t="n">
        <v>776794</v>
      </c>
      <c r="K28" s="21" t="n">
        <v>1575000</v>
      </c>
      <c r="L28" s="21" t="n">
        <v>2351794</v>
      </c>
      <c r="M28" s="21" t="n">
        <v>25322</v>
      </c>
      <c r="N28" s="21" t="n">
        <v>34500</v>
      </c>
      <c r="O28" s="21" t="n">
        <v>16111</v>
      </c>
      <c r="P28" s="21" t="n">
        <v>2427727</v>
      </c>
      <c r="Q28" s="21" t="n">
        <v>2427727</v>
      </c>
      <c r="R28" s="21">
        <f>IF(Q28="","",Q28*(1+in_GrowthRate)^(YEARFRAC(DATE(2025,6,30),in_AgeToDate)*IF(in_AgeToDate&lt;DATE(2025,6,30),-1,1)+1))</f>
        <v/>
      </c>
      <c r="S28" s="38" t="n">
        <v>2.027564579541036</v>
      </c>
      <c r="T28" s="43">
        <f>HYPERLINK("https://projects.propublica.org/nonprofits/organizations/237361259/202641329349302354/full","view filing")</f>
        <v/>
      </c>
    </row>
    <row r="29">
      <c r="A29" t="inlineStr">
        <is>
          <t>Harvard Management Company Inc</t>
        </is>
      </c>
      <c r="B29" s="20" t="inlineStr">
        <is>
          <t>MA</t>
        </is>
      </c>
      <c r="C29" s="42" t="n">
        <v>53.2</v>
      </c>
      <c r="D29" t="inlineStr">
        <is>
          <t>Endowment</t>
        </is>
      </c>
      <c r="E29" s="20" t="n">
        <v>2024</v>
      </c>
      <c r="F29" s="20" t="inlineStr"/>
      <c r="G29" t="inlineStr">
        <is>
          <t>Kathryn I Murtagh</t>
        </is>
      </c>
      <c r="H29" t="inlineStr">
        <is>
          <t>MD - CCO &amp; CLERK</t>
        </is>
      </c>
      <c r="I29" t="inlineStr">
        <is>
          <t>Chief Compliance Officer (Inv Entity)</t>
        </is>
      </c>
      <c r="J29" s="21" t="n">
        <v>771528</v>
      </c>
      <c r="K29" s="21" t="n">
        <v>1500000</v>
      </c>
      <c r="L29" s="21" t="n">
        <v>2271528</v>
      </c>
      <c r="M29" s="21" t="n">
        <v>24822</v>
      </c>
      <c r="N29" s="21" t="n">
        <v>33000</v>
      </c>
      <c r="O29" s="21" t="n">
        <v>15682</v>
      </c>
      <c r="P29" s="21" t="n">
        <v>2345032</v>
      </c>
      <c r="Q29" s="21" t="n">
        <v>2345032</v>
      </c>
      <c r="R29" s="21">
        <f>IF(Q29="","",Q29*(1+in_GrowthRate)^(YEARFRAC(DATE(2024,6,30),in_AgeToDate)*IF(in_AgeToDate&lt;DATE(2024,6,30),-1,1)+1))</f>
        <v/>
      </c>
      <c r="S29" s="38" t="n">
        <v>1.944193859458114</v>
      </c>
      <c r="T29" s="43">
        <f>HYPERLINK("https://projects.propublica.org/nonprofits/organizations/237361259/202541349349310119/full","view filing")</f>
        <v/>
      </c>
    </row>
    <row r="30">
      <c r="A30" t="inlineStr">
        <is>
          <t>Harvard Management Company Inc</t>
        </is>
      </c>
      <c r="B30" s="20" t="inlineStr">
        <is>
          <t>MA</t>
        </is>
      </c>
      <c r="C30" s="42" t="n">
        <v>53.2</v>
      </c>
      <c r="D30" t="inlineStr">
        <is>
          <t>Endowment</t>
        </is>
      </c>
      <c r="E30" s="20" t="n">
        <v>2023</v>
      </c>
      <c r="F30" s="20" t="inlineStr"/>
      <c r="G30" t="inlineStr">
        <is>
          <t>Kathryn I Murtagh</t>
        </is>
      </c>
      <c r="H30" t="inlineStr">
        <is>
          <t>MD - CCO &amp; CLERK</t>
        </is>
      </c>
      <c r="I30" t="inlineStr">
        <is>
          <t>Chief Compliance Officer (Inv Entity)</t>
        </is>
      </c>
      <c r="J30" s="21" t="n">
        <v>629299</v>
      </c>
      <c r="K30" s="21" t="n">
        <v>1600000</v>
      </c>
      <c r="L30" s="21" t="n">
        <v>2229299</v>
      </c>
      <c r="M30" s="21" t="n">
        <v>22822</v>
      </c>
      <c r="N30" s="21" t="n">
        <v>30500</v>
      </c>
      <c r="O30" s="21" t="n">
        <v>15722</v>
      </c>
      <c r="P30" s="21" t="n">
        <v>2298343</v>
      </c>
      <c r="Q30" s="21" t="n">
        <v>2298343</v>
      </c>
      <c r="R30" s="21">
        <f>IF(Q30="","",Q30*(1+in_GrowthRate)^(YEARFRAC(DATE(2023,6,30),in_AgeToDate)*IF(in_AgeToDate&lt;DATE(2023,6,30),-1,1)+1))</f>
        <v/>
      </c>
      <c r="S30" s="38" t="n">
        <v>2.542511588291099</v>
      </c>
      <c r="T30" s="43">
        <f>HYPERLINK("https://projects.propublica.org/nonprofits/organizations/237361259/202411319349301026/full","view filing")</f>
        <v/>
      </c>
    </row>
    <row r="31">
      <c r="A31" t="inlineStr">
        <is>
          <t>Harvard Management Company Inc</t>
        </is>
      </c>
      <c r="B31" s="20" t="inlineStr">
        <is>
          <t>MA</t>
        </is>
      </c>
      <c r="C31" s="42" t="n">
        <v>53.2</v>
      </c>
      <c r="D31" t="inlineStr">
        <is>
          <t>Endowment</t>
        </is>
      </c>
      <c r="E31" s="20" t="n">
        <v>2022</v>
      </c>
      <c r="F31" s="20" t="inlineStr"/>
      <c r="G31" t="inlineStr">
        <is>
          <t>Kathryn I Murtagh</t>
        </is>
      </c>
      <c r="H31" t="inlineStr">
        <is>
          <t>MD - CCO &amp; CLERK</t>
        </is>
      </c>
      <c r="I31" t="inlineStr">
        <is>
          <t>Chief Compliance Officer (Inv Entity)</t>
        </is>
      </c>
      <c r="J31" s="21" t="n">
        <v>630302</v>
      </c>
      <c r="K31" s="21" t="n">
        <v>1800000</v>
      </c>
      <c r="L31" s="21" t="n">
        <v>2430302</v>
      </c>
      <c r="M31" s="21" t="n">
        <v>21912</v>
      </c>
      <c r="N31" s="21" t="n">
        <v>29000</v>
      </c>
      <c r="O31" s="21" t="n">
        <v>15560</v>
      </c>
      <c r="P31" s="21" t="n">
        <v>2496774</v>
      </c>
      <c r="Q31" s="21" t="n">
        <v>2496774</v>
      </c>
      <c r="R31" s="21">
        <f>IF(Q31="","",Q31*(1+in_GrowthRate)^(YEARFRAC(DATE(2022,6,30),in_AgeToDate)*IF(in_AgeToDate&lt;DATE(2022,6,30),-1,1)+1))</f>
        <v/>
      </c>
      <c r="S31" s="38" t="n">
        <v>2.855773898861181</v>
      </c>
      <c r="T31" s="43">
        <f>HYPERLINK("https://projects.propublica.org/nonprofits/organizations/237361259/202311319349303021/full","view filing")</f>
        <v/>
      </c>
    </row>
    <row r="32">
      <c r="A32" t="inlineStr">
        <is>
          <t>Kimbell Art Foundation</t>
        </is>
      </c>
      <c r="B32" s="20" t="inlineStr">
        <is>
          <t>TX</t>
        </is>
      </c>
      <c r="C32" s="42" t="n">
        <v>0.44</v>
      </c>
      <c r="D32" t="inlineStr">
        <is>
          <t>Foundation</t>
        </is>
      </c>
      <c r="E32" s="20" t="n">
        <v>2022</v>
      </c>
      <c r="F32" s="20" t="inlineStr"/>
      <c r="G32" t="inlineStr">
        <is>
          <t>Larry D Eubank</t>
        </is>
      </c>
      <c r="H32" t="inlineStr">
        <is>
          <t>Operations Manager</t>
        </is>
      </c>
      <c r="I32" t="inlineStr">
        <is>
          <t>Investment Operations (Inv Entity)</t>
        </is>
      </c>
      <c r="J32" s="21" t="n"/>
      <c r="K32" s="21" t="n"/>
      <c r="L32" s="21" t="n"/>
      <c r="M32" s="21" t="n"/>
      <c r="N32" s="21" t="n"/>
      <c r="O32" s="21" t="n"/>
      <c r="P32" s="21" t="n">
        <v>253541</v>
      </c>
      <c r="Q32" s="21" t="n">
        <v>253541</v>
      </c>
      <c r="R32" s="21">
        <f>IF(Q32="","",Q32*(1+in_GrowthRate)^(YEARFRAC(DATE(2022,12,31),in_AgeToDate)*IF(in_AgeToDate&lt;DATE(2022,12,31),-1,1)+1))</f>
        <v/>
      </c>
      <c r="S32" s="38" t="n"/>
      <c r="T32" s="43">
        <f>HYPERLINK("https://projects.propublica.org/nonprofits/organizations/756036226/202323189349105612/full","view filing")</f>
        <v/>
      </c>
    </row>
    <row r="33">
      <c r="A33" t="inlineStr">
        <is>
          <t>Marguerite Casey Foundation</t>
        </is>
      </c>
      <c r="B33" s="20" t="inlineStr">
        <is>
          <t>WA</t>
        </is>
      </c>
      <c r="C33" s="42" t="n">
        <v>0.83</v>
      </c>
      <c r="D33" t="inlineStr">
        <is>
          <t>Foundation</t>
        </is>
      </c>
      <c r="E33" s="20" t="n">
        <v>2022</v>
      </c>
      <c r="F33" s="20" t="inlineStr"/>
      <c r="G33" t="inlineStr">
        <is>
          <t>Richard Boswell</t>
        </is>
      </c>
      <c r="H33" t="inlineStr">
        <is>
          <t>OPERATIONS MANAGER</t>
        </is>
      </c>
      <c r="I33" t="inlineStr">
        <is>
          <t>Investment Operations (Inv Entity)</t>
        </is>
      </c>
      <c r="J33" s="21" t="n"/>
      <c r="K33" s="21" t="n"/>
      <c r="L33" s="21" t="n"/>
      <c r="M33" s="21" t="n"/>
      <c r="N33" s="21" t="n"/>
      <c r="O33" s="21" t="n"/>
      <c r="P33" s="21" t="n">
        <v>214102</v>
      </c>
      <c r="Q33" s="21" t="n">
        <v>214102</v>
      </c>
      <c r="R33" s="21">
        <f>IF(Q33="","",Q33*(1+in_GrowthRate)^(YEARFRAC(DATE(2022,12,31),in_AgeToDate)*IF(in_AgeToDate&lt;DATE(2022,12,31),-1,1)+1))</f>
        <v/>
      </c>
      <c r="S33" s="38" t="n"/>
      <c r="T33" s="43">
        <f>HYPERLINK("https://projects.propublica.org/nonprofits/organizations/912062197/202333189349106243/full","view filing")</f>
        <v/>
      </c>
    </row>
    <row r="34">
      <c r="A34" t="inlineStr">
        <is>
          <t>Spelman College</t>
        </is>
      </c>
      <c r="B34" s="20" t="inlineStr">
        <is>
          <t>GA</t>
        </is>
      </c>
      <c r="C34" s="42" t="n">
        <v>0.57</v>
      </c>
      <c r="D34" t="inlineStr">
        <is>
          <t>Endowment</t>
        </is>
      </c>
      <c r="E34" s="20" t="n">
        <v>2025</v>
      </c>
      <c r="F34" s="20">
        <f>IF(AND(OR(in_Mode="All Funds",AND(C34&gt;=in_BandFloor,C34&lt;=in_BandCeiling,OR(in_Geography="National",COUNTIFS(lst_GeoPreset,in_Geography,lst_GeoState,B34)&gt;0,AND(in_Geography="Custom",ISNUMBER(SEARCH(B34,SUBSTITUTE(in_CustomStates," ",""))))),OR(AND(D34="Endowment",Inputs!$B$14="Y"),AND(D34="Foundation",Inputs!$B$15="Y"),AND(D34="Healthcare",Inputs!$B$16="Y"),AND(D34="Pension",Inputs!$B$17="Y"),AND(D34="OCIO",Inputs!$B$18="Y"),AND(D34="Other",Inputs!$B$19="Y")))),A34&lt;&gt;in_ClientOrg,NOT(AND(in_ExclHarvard="Y",ISNUMBER(SEARCH("Harvard",A34))))),"Y","")</f>
        <v/>
      </c>
      <c r="G34" t="inlineStr">
        <is>
          <t>Rhonda Honegan</t>
        </is>
      </c>
      <c r="H34" t="inlineStr">
        <is>
          <t>Senior Advisor of Investment Operations</t>
        </is>
      </c>
      <c r="I34" t="inlineStr">
        <is>
          <t>Investment Operations (Inv Entity)</t>
        </is>
      </c>
      <c r="J34" s="21" t="n">
        <v>187973</v>
      </c>
      <c r="K34" s="21" t="n"/>
      <c r="L34" s="21" t="n">
        <v>187973</v>
      </c>
      <c r="M34" s="21" t="n"/>
      <c r="N34" s="21" t="n">
        <v>5677</v>
      </c>
      <c r="O34" s="21" t="n"/>
      <c r="P34" s="21" t="n">
        <v>193650</v>
      </c>
      <c r="Q34" s="21" t="n">
        <v>193650</v>
      </c>
      <c r="R34" s="21">
        <f>IF(Q34="","",Q34*(1+in_GrowthRate)^(YEARFRAC(DATE(2025,6,30),in_AgeToDate)*IF(in_AgeToDate&lt;DATE(2025,6,30),-1,1)+1))</f>
        <v/>
      </c>
      <c r="S34" s="38" t="n">
        <v>0</v>
      </c>
      <c r="T34" s="43">
        <f>HYPERLINK("https://projects.propublica.org/nonprofits/organizations/580566243/202631359349315368/full","view filing")</f>
        <v/>
      </c>
    </row>
    <row r="35">
      <c r="A35" t="inlineStr">
        <is>
          <t>The New York Community Trust</t>
        </is>
      </c>
      <c r="B35" s="20" t="inlineStr">
        <is>
          <t>NY</t>
        </is>
      </c>
      <c r="C35" s="42" t="n">
        <v>3.49</v>
      </c>
      <c r="D35" t="inlineStr">
        <is>
          <t>Foundation</t>
        </is>
      </c>
      <c r="E35" s="20" t="n">
        <v>2024</v>
      </c>
      <c r="F35" s="20">
        <f>IF(AND(OR(in_Mode="All Funds",AND(C35&gt;=in_BandFloor,C35&lt;=in_BandCeiling,OR(in_Geography="National",COUNTIFS(lst_GeoPreset,in_Geography,lst_GeoState,B35)&gt;0,AND(in_Geography="Custom",ISNUMBER(SEARCH(B35,SUBSTITUTE(in_CustomStates," ",""))))),OR(AND(D35="Endowment",Inputs!$B$14="Y"),AND(D35="Foundation",Inputs!$B$15="Y"),AND(D35="Healthcare",Inputs!$B$16="Y"),AND(D35="Pension",Inputs!$B$17="Y"),AND(D35="OCIO",Inputs!$B$18="Y"),AND(D35="Other",Inputs!$B$19="Y")))),A35&lt;&gt;in_ClientOrg,NOT(AND(in_ExclHarvard="Y",ISNUMBER(SEARCH("Harvard",A35))))),"Y","")</f>
        <v/>
      </c>
      <c r="G35" t="inlineStr">
        <is>
          <t>Eileen Casey</t>
        </is>
      </c>
      <c r="H35" t="inlineStr">
        <is>
          <t>ASSOC. DR, INVESTMENT OPERATIONS</t>
        </is>
      </c>
      <c r="I35" t="inlineStr">
        <is>
          <t>Investment Operations (Inv Entity)</t>
        </is>
      </c>
      <c r="J35" s="21" t="n">
        <v>179822</v>
      </c>
      <c r="K35" s="21" t="n"/>
      <c r="L35" s="21" t="n">
        <v>179822</v>
      </c>
      <c r="M35" s="21" t="n"/>
      <c r="N35" s="21" t="n">
        <v>52452</v>
      </c>
      <c r="O35" s="21" t="n">
        <v>16742</v>
      </c>
      <c r="P35" s="21" t="n">
        <v>249016</v>
      </c>
      <c r="Q35" s="21" t="n">
        <v>249016</v>
      </c>
      <c r="R35" s="21">
        <f>IF(Q35="","",Q35*(1+in_GrowthRate)^(YEARFRAC(DATE(2024,12,31),in_AgeToDate)*IF(in_AgeToDate&lt;DATE(2024,12,31),-1,1)+1))</f>
        <v/>
      </c>
      <c r="S35" s="38" t="n">
        <v>0</v>
      </c>
      <c r="T35" s="43">
        <f>HYPERLINK("https://projects.propublica.org/nonprofits/organizations/133062214/202523149349305672/full","view filing")</f>
        <v/>
      </c>
    </row>
    <row r="36">
      <c r="A36" t="inlineStr">
        <is>
          <t>The University Of Texas Texas A M Investment Management Company</t>
        </is>
      </c>
      <c r="B36" s="20" t="inlineStr">
        <is>
          <t>TX</t>
        </is>
      </c>
      <c r="C36" s="42" t="n">
        <v>67.84</v>
      </c>
      <c r="D36" t="inlineStr">
        <is>
          <t>Endowment</t>
        </is>
      </c>
      <c r="E36" s="20" t="n">
        <v>2025</v>
      </c>
      <c r="F36" s="20">
        <f>IF(AND(OR(in_Mode="All Funds",AND(C36&gt;=in_BandFloor,C36&lt;=in_BandCeiling,OR(in_Geography="National",COUNTIFS(lst_GeoPreset,in_Geography,lst_GeoState,B36)&gt;0,AND(in_Geography="Custom",ISNUMBER(SEARCH(B36,SUBSTITUTE(in_CustomStates," ",""))))),OR(AND(D36="Endowment",Inputs!$B$14="Y"),AND(D36="Foundation",Inputs!$B$15="Y"),AND(D36="Healthcare",Inputs!$B$16="Y"),AND(D36="Pension",Inputs!$B$17="Y"),AND(D36="OCIO",Inputs!$B$18="Y"),AND(D36="Other",Inputs!$B$19="Y")))),A36&lt;&gt;in_ClientOrg,NOT(AND(in_ExclHarvard="Y",ISNUMBER(SEARCH("Harvard",A36))))),"Y","")</f>
        <v/>
      </c>
      <c r="G36" t="inlineStr">
        <is>
          <t>Alison Rogers-Mccoy</t>
        </is>
      </c>
      <c r="H36" t="inlineStr">
        <is>
          <t>MANAGING DIRECTOR AND CHIEF HUMAN RESOURCES OFFICER</t>
        </is>
      </c>
      <c r="I36" t="inlineStr">
        <is>
          <t>CHRO (Inv Entity)</t>
        </is>
      </c>
      <c r="J36" s="21" t="n">
        <v>343501</v>
      </c>
      <c r="K36" s="21" t="n">
        <v>171500</v>
      </c>
      <c r="L36" s="21" t="n">
        <v>515001</v>
      </c>
      <c r="M36" s="21" t="n">
        <v>3751</v>
      </c>
      <c r="N36" s="21" t="n">
        <v>374021</v>
      </c>
      <c r="O36" s="21" t="n">
        <v>34601</v>
      </c>
      <c r="P36" s="21" t="n">
        <v>927374</v>
      </c>
      <c r="Q36" s="21" t="n">
        <v>755874</v>
      </c>
      <c r="R36" s="21">
        <f>IF(Q36="","",Q36*(1+in_GrowthRate)^(YEARFRAC(DATE(2025,8,31),in_AgeToDate)*IF(in_AgeToDate&lt;DATE(2025,8,31),-1,1)+1))</f>
        <v/>
      </c>
      <c r="S36" s="38" t="n">
        <v>0.4992707444810932</v>
      </c>
      <c r="T36" s="43">
        <f>HYPERLINK("https://projects.propublica.org/nonprofits/organizations/742765082/202641829349300024/full","view filing")</f>
        <v/>
      </c>
    </row>
    <row r="37">
      <c r="A37" t="inlineStr">
        <is>
          <t>The University Of Texas Texas A M Investment Management Company</t>
        </is>
      </c>
      <c r="B37" s="20" t="inlineStr">
        <is>
          <t>TX</t>
        </is>
      </c>
      <c r="C37" s="42" t="n">
        <v>67.84</v>
      </c>
      <c r="D37" t="inlineStr">
        <is>
          <t>Endowment</t>
        </is>
      </c>
      <c r="E37" s="20" t="n">
        <v>2025</v>
      </c>
      <c r="F37" s="20">
        <f>IF(AND(OR(in_Mode="All Funds",AND(C37&gt;=in_BandFloor,C37&lt;=in_BandCeiling,OR(in_Geography="National",COUNTIFS(lst_GeoPreset,in_Geography,lst_GeoState,B37)&gt;0,AND(in_Geography="Custom",ISNUMBER(SEARCH(B37,SUBSTITUTE(in_CustomStates," ",""))))),OR(AND(D37="Endowment",Inputs!$B$14="Y"),AND(D37="Foundation",Inputs!$B$15="Y"),AND(D37="Healthcare",Inputs!$B$16="Y"),AND(D37="Pension",Inputs!$B$17="Y"),AND(D37="OCIO",Inputs!$B$18="Y"),AND(D37="Other",Inputs!$B$19="Y")))),A37&lt;&gt;in_ClientOrg,NOT(AND(in_ExclHarvard="Y",ISNUMBER(SEARCH("Harvard",A37))))),"Y","")</f>
        <v/>
      </c>
      <c r="G37" t="inlineStr">
        <is>
          <t>Carolina De Onis</t>
        </is>
      </c>
      <c r="H37" t="inlineStr">
        <is>
          <t>GENERAL COUNSEL &amp; CHIEF COMPLIANCE OFFICER</t>
        </is>
      </c>
      <c r="I37" t="inlineStr">
        <is>
          <t>General Counsel (Inv Entity)</t>
        </is>
      </c>
      <c r="J37" s="21" t="n">
        <v>436995</v>
      </c>
      <c r="K37" s="21" t="n">
        <v>243097</v>
      </c>
      <c r="L37" s="21" t="n">
        <v>680092</v>
      </c>
      <c r="M37" s="21" t="n">
        <v>3434</v>
      </c>
      <c r="N37" s="21" t="n">
        <v>567724</v>
      </c>
      <c r="O37" s="21" t="n">
        <v>30737</v>
      </c>
      <c r="P37" s="21" t="n">
        <v>1281987</v>
      </c>
      <c r="Q37" s="21" t="n">
        <v>1046513</v>
      </c>
      <c r="R37" s="21">
        <f>IF(Q37="","",Q37*(1+in_GrowthRate)^(YEARFRAC(DATE(2025,8,31),in_AgeToDate)*IF(in_AgeToDate&lt;DATE(2025,8,31),-1,1)+1))</f>
        <v/>
      </c>
      <c r="S37" s="38" t="n">
        <v>0.5562924060916029</v>
      </c>
      <c r="T37" s="43">
        <f>HYPERLINK("https://projects.propublica.org/nonprofits/organizations/742765082/202641829349300024/full","view filing")</f>
        <v/>
      </c>
    </row>
    <row r="38">
      <c r="A38" t="inlineStr">
        <is>
          <t>The University Of Texas Texas A M Investment Management Company</t>
        </is>
      </c>
      <c r="B38" s="20" t="inlineStr">
        <is>
          <t>TX</t>
        </is>
      </c>
      <c r="C38" s="42" t="n">
        <v>67.84</v>
      </c>
      <c r="D38" t="inlineStr">
        <is>
          <t>Endowment</t>
        </is>
      </c>
      <c r="E38" s="20" t="n">
        <v>2025</v>
      </c>
      <c r="F38" s="20">
        <f>IF(AND(OR(in_Mode="All Funds",AND(C38&gt;=in_BandFloor,C38&lt;=in_BandCeiling,OR(in_Geography="National",COUNTIFS(lst_GeoPreset,in_Geography,lst_GeoState,B38)&gt;0,AND(in_Geography="Custom",ISNUMBER(SEARCH(B38,SUBSTITUTE(in_CustomStates," ",""))))),OR(AND(D38="Endowment",Inputs!$B$14="Y"),AND(D38="Foundation",Inputs!$B$15="Y"),AND(D38="Healthcare",Inputs!$B$16="Y"),AND(D38="Pension",Inputs!$B$17="Y"),AND(D38="OCIO",Inputs!$B$18="Y"),AND(D38="Other",Inputs!$B$19="Y")))),A38&lt;&gt;in_ClientOrg,NOT(AND(in_ExclHarvard="Y",ISNUMBER(SEARCH("Harvard",A38))))),"Y","")</f>
        <v/>
      </c>
      <c r="G38" t="inlineStr">
        <is>
          <t>Gary Hill</t>
        </is>
      </c>
      <c r="H38" t="inlineStr">
        <is>
          <t>MANAGING DIRECTOR - OPERATIONS, ACCOUNTING &amp; REPORTING</t>
        </is>
      </c>
      <c r="I38" t="inlineStr">
        <is>
          <t>Managing Director</t>
        </is>
      </c>
      <c r="J38" s="21" t="n">
        <v>312662</v>
      </c>
      <c r="K38" s="21" t="n">
        <v>146010</v>
      </c>
      <c r="L38" s="21" t="n">
        <v>458672</v>
      </c>
      <c r="M38" s="21" t="n">
        <v>2444</v>
      </c>
      <c r="N38" s="21" t="n">
        <v>367941</v>
      </c>
      <c r="O38" s="21" t="n">
        <v>31469</v>
      </c>
      <c r="P38" s="21" t="n">
        <v>860526</v>
      </c>
      <c r="Q38" s="21" t="n">
        <v>714516</v>
      </c>
      <c r="R38" s="21">
        <f>IF(Q38="","",Q38*(1+in_GrowthRate)^(YEARFRAC(DATE(2025,8,31),in_AgeToDate)*IF(in_AgeToDate&lt;DATE(2025,8,31),-1,1)+1))</f>
        <v/>
      </c>
      <c r="S38" s="38" t="n">
        <v>0.4669899124293966</v>
      </c>
      <c r="T38" s="43">
        <f>HYPERLINK("https://projects.propublica.org/nonprofits/organizations/742765082/202641829349300024/full","view filing")</f>
        <v/>
      </c>
    </row>
    <row r="39">
      <c r="A39" t="inlineStr">
        <is>
          <t>The University Of Texas Texas A M Investment Management Company</t>
        </is>
      </c>
      <c r="B39" s="20" t="inlineStr">
        <is>
          <t>TX</t>
        </is>
      </c>
      <c r="C39" s="42" t="n">
        <v>67.84</v>
      </c>
      <c r="D39" t="inlineStr">
        <is>
          <t>Endowment</t>
        </is>
      </c>
      <c r="E39" s="20" t="n">
        <v>2025</v>
      </c>
      <c r="F39" s="20">
        <f>IF(AND(OR(in_Mode="All Funds",AND(C39&gt;=in_BandFloor,C39&lt;=in_BandCeiling,OR(in_Geography="National",COUNTIFS(lst_GeoPreset,in_Geography,lst_GeoState,B39)&gt;0,AND(in_Geography="Custom",ISNUMBER(SEARCH(B39,SUBSTITUTE(in_CustomStates," ",""))))),OR(AND(D39="Endowment",Inputs!$B$14="Y"),AND(D39="Foundation",Inputs!$B$15="Y"),AND(D39="Healthcare",Inputs!$B$16="Y"),AND(D39="Pension",Inputs!$B$17="Y"),AND(D39="OCIO",Inputs!$B$18="Y"),AND(D39="Other",Inputs!$B$19="Y")))),A39&lt;&gt;in_ClientOrg,NOT(AND(in_ExclHarvard="Y",ISNUMBER(SEARCH("Harvard",A39))))),"Y","")</f>
        <v/>
      </c>
      <c r="G39" t="inlineStr">
        <is>
          <t>Gus Deering</t>
        </is>
      </c>
      <c r="H39" t="inlineStr">
        <is>
          <t>MANAGING DIRECTOR AND CHIEF TECHNOLOGY OFFICER</t>
        </is>
      </c>
      <c r="I39" t="inlineStr">
        <is>
          <t>CTO (Inv Entity)</t>
        </is>
      </c>
      <c r="J39" s="21" t="n">
        <v>376822</v>
      </c>
      <c r="K39" s="21" t="n">
        <v>163606</v>
      </c>
      <c r="L39" s="21" t="n">
        <v>540428</v>
      </c>
      <c r="M39" s="21" t="n">
        <v>3879</v>
      </c>
      <c r="N39" s="21" t="n">
        <v>419992</v>
      </c>
      <c r="O39" s="21" t="n">
        <v>30546</v>
      </c>
      <c r="P39" s="21" t="n">
        <v>994845</v>
      </c>
      <c r="Q39" s="21" t="n">
        <v>833214</v>
      </c>
      <c r="R39" s="21">
        <f>IF(Q39="","",Q39*(1+in_GrowthRate)^(YEARFRAC(DATE(2025,8,31),in_AgeToDate)*IF(in_AgeToDate&lt;DATE(2025,8,31),-1,1)+1))</f>
        <v/>
      </c>
      <c r="S39" s="38" t="n">
        <v>0.4341731639872407</v>
      </c>
      <c r="T39" s="43">
        <f>HYPERLINK("https://projects.propublica.org/nonprofits/organizations/742765082/202641829349300024/full","view filing")</f>
        <v/>
      </c>
    </row>
    <row r="40">
      <c r="A40" t="inlineStr">
        <is>
          <t>The University Of Texas Texas A M Investment Management Company</t>
        </is>
      </c>
      <c r="B40" s="20" t="inlineStr">
        <is>
          <t>TX</t>
        </is>
      </c>
      <c r="C40" s="42" t="n">
        <v>67.84</v>
      </c>
      <c r="D40" t="inlineStr">
        <is>
          <t>Endowment</t>
        </is>
      </c>
      <c r="E40" s="20" t="n">
        <v>2024</v>
      </c>
      <c r="F40" s="20" t="inlineStr"/>
      <c r="G40" t="inlineStr">
        <is>
          <t>Alison Rogers-Mccoy</t>
        </is>
      </c>
      <c r="H40" t="inlineStr">
        <is>
          <t>MANAGING DIRECTOR AND CHIEF HUMAN RESOURCES OFFICER</t>
        </is>
      </c>
      <c r="I40" t="inlineStr">
        <is>
          <t>CHRO (Inv Entity)</t>
        </is>
      </c>
      <c r="J40" s="21" t="n">
        <v>32678</v>
      </c>
      <c r="K40" s="21" t="n">
        <v>225000</v>
      </c>
      <c r="L40" s="21" t="n">
        <v>257678</v>
      </c>
      <c r="M40" s="21" t="n">
        <v>510</v>
      </c>
      <c r="N40" s="21" t="n">
        <v>247479</v>
      </c>
      <c r="O40" s="21" t="n">
        <v>531</v>
      </c>
      <c r="P40" s="21" t="n">
        <v>506198</v>
      </c>
      <c r="Q40" s="21" t="n">
        <v>506198</v>
      </c>
      <c r="R40" s="21">
        <f>IF(Q40="","",Q40*(1+in_GrowthRate)^(YEARFRAC(DATE(2024,8,31),in_AgeToDate)*IF(in_AgeToDate&lt;DATE(2024,8,31),-1,1)+1))</f>
        <v/>
      </c>
      <c r="S40" s="38" t="n">
        <v>6.885366301487239</v>
      </c>
      <c r="T40" s="43">
        <f>HYPERLINK("https://projects.propublica.org/nonprofits/organizations/742765082/202541899349300034/full","view filing")</f>
        <v/>
      </c>
    </row>
    <row r="41">
      <c r="A41" t="inlineStr">
        <is>
          <t>The University Of Texas Texas A M Investment Management Company</t>
        </is>
      </c>
      <c r="B41" s="20" t="inlineStr">
        <is>
          <t>TX</t>
        </is>
      </c>
      <c r="C41" s="42" t="n">
        <v>67.84</v>
      </c>
      <c r="D41" t="inlineStr">
        <is>
          <t>Endowment</t>
        </is>
      </c>
      <c r="E41" s="20" t="n">
        <v>2024</v>
      </c>
      <c r="F41" s="20" t="inlineStr"/>
      <c r="G41" t="inlineStr">
        <is>
          <t>Carolina De Onis</t>
        </is>
      </c>
      <c r="H41" t="inlineStr">
        <is>
          <t>GENERAL COUNSEL &amp; CHIEF COMPLIANCE OFFICER</t>
        </is>
      </c>
      <c r="I41" t="inlineStr">
        <is>
          <t>General Counsel (Inv Entity)</t>
        </is>
      </c>
      <c r="J41" s="21" t="n">
        <v>403516</v>
      </c>
      <c r="K41" s="21" t="n">
        <v>392496</v>
      </c>
      <c r="L41" s="21" t="n">
        <v>796012</v>
      </c>
      <c r="M41" s="21" t="n">
        <v>2555</v>
      </c>
      <c r="N41" s="21" t="n">
        <v>258349</v>
      </c>
      <c r="O41" s="21" t="n">
        <v>30180</v>
      </c>
      <c r="P41" s="21" t="n">
        <v>1087096</v>
      </c>
      <c r="Q41" s="21" t="n">
        <v>703145</v>
      </c>
      <c r="R41" s="21">
        <f>IF(Q41="","",Q41*(1+in_GrowthRate)^(YEARFRAC(DATE(2024,8,31),in_AgeToDate)*IF(in_AgeToDate&lt;DATE(2024,8,31),-1,1)+1))</f>
        <v/>
      </c>
      <c r="S41" s="38" t="n">
        <v>0.9726900544216338</v>
      </c>
      <c r="T41" s="43">
        <f>HYPERLINK("https://projects.propublica.org/nonprofits/organizations/742765082/202541899349300034/full","view filing")</f>
        <v/>
      </c>
    </row>
    <row r="42">
      <c r="A42" t="inlineStr">
        <is>
          <t>The University Of Texas Texas A M Investment Management Company</t>
        </is>
      </c>
      <c r="B42" s="20" t="inlineStr">
        <is>
          <t>TX</t>
        </is>
      </c>
      <c r="C42" s="42" t="n">
        <v>67.84</v>
      </c>
      <c r="D42" t="inlineStr">
        <is>
          <t>Endowment</t>
        </is>
      </c>
      <c r="E42" s="20" t="n">
        <v>2024</v>
      </c>
      <c r="F42" s="20" t="inlineStr"/>
      <c r="G42" t="inlineStr">
        <is>
          <t>Gary Hill</t>
        </is>
      </c>
      <c r="H42" t="inlineStr">
        <is>
          <t>MANAGING DIRECTOR - OPERATIONS, ACCOUNTING &amp; REPORTING</t>
        </is>
      </c>
      <c r="I42" t="inlineStr">
        <is>
          <t>Managing Director</t>
        </is>
      </c>
      <c r="J42" s="21" t="n">
        <v>285849</v>
      </c>
      <c r="K42" s="21" t="n">
        <v>158197</v>
      </c>
      <c r="L42" s="21" t="n">
        <v>444046</v>
      </c>
      <c r="M42" s="21" t="n">
        <v>2856</v>
      </c>
      <c r="N42" s="21" t="n">
        <v>171170</v>
      </c>
      <c r="O42" s="21" t="n">
        <v>31180</v>
      </c>
      <c r="P42" s="21" t="n">
        <v>649252</v>
      </c>
      <c r="Q42" s="21" t="n">
        <v>491055</v>
      </c>
      <c r="R42" s="21">
        <f>IF(Q42="","",Q42*(1+in_GrowthRate)^(YEARFRAC(DATE(2024,8,31),in_AgeToDate)*IF(in_AgeToDate&lt;DATE(2024,8,31),-1,1)+1))</f>
        <v/>
      </c>
      <c r="S42" s="38" t="n">
        <v>0.5534285584346981</v>
      </c>
      <c r="T42" s="43">
        <f>HYPERLINK("https://projects.propublica.org/nonprofits/organizations/742765082/202541899349300034/full","view filing")</f>
        <v/>
      </c>
    </row>
    <row r="43">
      <c r="A43" t="inlineStr">
        <is>
          <t>The University Of Texas Texas A M Investment Management Company</t>
        </is>
      </c>
      <c r="B43" s="20" t="inlineStr">
        <is>
          <t>TX</t>
        </is>
      </c>
      <c r="C43" s="42" t="n">
        <v>67.84</v>
      </c>
      <c r="D43" t="inlineStr">
        <is>
          <t>Endowment</t>
        </is>
      </c>
      <c r="E43" s="20" t="n">
        <v>2024</v>
      </c>
      <c r="F43" s="20" t="inlineStr"/>
      <c r="G43" t="inlineStr">
        <is>
          <t>Gus Deering</t>
        </is>
      </c>
      <c r="H43" t="inlineStr">
        <is>
          <t>MANAGING DIRECTOR AND CHIEF TECHNOLOGY OFFICER</t>
        </is>
      </c>
      <c r="I43" t="inlineStr">
        <is>
          <t>CTO (Inv Entity)</t>
        </is>
      </c>
      <c r="J43" s="21" t="n">
        <v>360990</v>
      </c>
      <c r="K43" s="21" t="n">
        <v>126679</v>
      </c>
      <c r="L43" s="21" t="n">
        <v>487669</v>
      </c>
      <c r="M43" s="21" t="n">
        <v>2556</v>
      </c>
      <c r="N43" s="21" t="n">
        <v>220172</v>
      </c>
      <c r="O43" s="21" t="n">
        <v>30039</v>
      </c>
      <c r="P43" s="21" t="n">
        <v>740436</v>
      </c>
      <c r="Q43" s="21" t="n">
        <v>613757</v>
      </c>
      <c r="R43" s="21">
        <f>IF(Q43="","",Q43*(1+in_GrowthRate)^(YEARFRAC(DATE(2024,8,31),in_AgeToDate)*IF(in_AgeToDate&lt;DATE(2024,8,31),-1,1)+1))</f>
        <v/>
      </c>
      <c r="S43" s="38" t="n">
        <v>0.350921078146209</v>
      </c>
      <c r="T43" s="43">
        <f>HYPERLINK("https://projects.propublica.org/nonprofits/organizations/742765082/202541899349300034/full","view filing")</f>
        <v/>
      </c>
    </row>
    <row r="44">
      <c r="A44" t="inlineStr">
        <is>
          <t>The University Of Texas Texas A M Investment Management Company</t>
        </is>
      </c>
      <c r="B44" s="20" t="inlineStr">
        <is>
          <t>TX</t>
        </is>
      </c>
      <c r="C44" s="42" t="n">
        <v>67.84</v>
      </c>
      <c r="D44" t="inlineStr">
        <is>
          <t>Endowment</t>
        </is>
      </c>
      <c r="E44" s="20" t="n">
        <v>2023</v>
      </c>
      <c r="F44" s="20" t="inlineStr"/>
      <c r="G44" t="inlineStr">
        <is>
          <t>Carolina De Onis</t>
        </is>
      </c>
      <c r="H44" t="inlineStr">
        <is>
          <t>GENERAL COUNSEL &amp; CHIEF COMPLIANCE OFFICER</t>
        </is>
      </c>
      <c r="I44" t="inlineStr">
        <is>
          <t>General Counsel (Inv Entity)</t>
        </is>
      </c>
      <c r="J44" s="21" t="n">
        <v>383470</v>
      </c>
      <c r="K44" s="21" t="n"/>
      <c r="L44" s="21" t="n">
        <v>383470</v>
      </c>
      <c r="M44" s="21" t="n">
        <v>2938</v>
      </c>
      <c r="N44" s="21" t="n">
        <v>271796</v>
      </c>
      <c r="O44" s="21" t="n">
        <v>31705</v>
      </c>
      <c r="P44" s="21" t="n">
        <v>689909</v>
      </c>
      <c r="Q44" s="21" t="n">
        <v>689909</v>
      </c>
      <c r="R44" s="21">
        <f>IF(Q44="","",Q44*(1+in_GrowthRate)^(YEARFRAC(DATE(2023,8,31),in_AgeToDate)*IF(in_AgeToDate&lt;DATE(2023,8,31),-1,1)+1))</f>
        <v/>
      </c>
      <c r="S44" s="38" t="n">
        <v>0</v>
      </c>
      <c r="T44" s="43">
        <f>HYPERLINK("https://projects.propublica.org/nonprofits/organizations/742765082/202421919349300237/full","view filing")</f>
        <v/>
      </c>
    </row>
    <row r="45">
      <c r="A45" t="inlineStr">
        <is>
          <t>The University Of Texas Texas A M Investment Management Company</t>
        </is>
      </c>
      <c r="B45" s="20" t="inlineStr">
        <is>
          <t>TX</t>
        </is>
      </c>
      <c r="C45" s="42" t="n">
        <v>67.84</v>
      </c>
      <c r="D45" t="inlineStr">
        <is>
          <t>Endowment</t>
        </is>
      </c>
      <c r="E45" s="20" t="n">
        <v>2023</v>
      </c>
      <c r="F45" s="20" t="inlineStr"/>
      <c r="G45" t="inlineStr">
        <is>
          <t>Gus Deering</t>
        </is>
      </c>
      <c r="H45" t="inlineStr">
        <is>
          <t>MANAGING DIRECTOR AND CHIEF TECHNOLOGY OFFICER</t>
        </is>
      </c>
      <c r="I45" t="inlineStr">
        <is>
          <t>CTO (Inv Entity)</t>
        </is>
      </c>
      <c r="J45" s="21" t="n">
        <v>122312</v>
      </c>
      <c r="K45" s="21" t="n">
        <v>50000</v>
      </c>
      <c r="L45" s="21" t="n">
        <v>172312</v>
      </c>
      <c r="M45" s="21" t="n">
        <v>1180</v>
      </c>
      <c r="N45" s="21" t="n">
        <v>191312</v>
      </c>
      <c r="O45" s="21" t="n">
        <v>10511</v>
      </c>
      <c r="P45" s="21" t="n">
        <v>375315</v>
      </c>
      <c r="Q45" s="21" t="n">
        <v>375315</v>
      </c>
      <c r="R45" s="21">
        <f>IF(Q45="","",Q45*(1+in_GrowthRate)^(YEARFRAC(DATE(2023,8,31),in_AgeToDate)*IF(in_AgeToDate&lt;DATE(2023,8,31),-1,1)+1))</f>
        <v/>
      </c>
      <c r="S45" s="38" t="n">
        <v>0.4087906337889986</v>
      </c>
      <c r="T45" s="43">
        <f>HYPERLINK("https://projects.propublica.org/nonprofits/organizations/742765082/202421919349300237/full","view filing")</f>
        <v/>
      </c>
    </row>
    <row r="46">
      <c r="A46" t="inlineStr">
        <is>
          <t>The University Of Texas Texas A M Investment Management Company</t>
        </is>
      </c>
      <c r="B46" s="20" t="inlineStr">
        <is>
          <t>TX</t>
        </is>
      </c>
      <c r="C46" s="42" t="n">
        <v>67.84</v>
      </c>
      <c r="D46" t="inlineStr">
        <is>
          <t>Endowment</t>
        </is>
      </c>
      <c r="E46" s="20" t="n">
        <v>2023</v>
      </c>
      <c r="F46" s="20" t="inlineStr"/>
      <c r="G46" t="inlineStr">
        <is>
          <t>Michael Sjolander</t>
        </is>
      </c>
      <c r="H46" t="inlineStr">
        <is>
          <t>CHIEF TECHNOLOGY OFFICER</t>
        </is>
      </c>
      <c r="I46" t="inlineStr">
        <is>
          <t>CTO (Inv Entity)</t>
        </is>
      </c>
      <c r="J46" s="21" t="n">
        <v>321345</v>
      </c>
      <c r="K46" s="21" t="n">
        <v>200796</v>
      </c>
      <c r="L46" s="21" t="n">
        <v>522141</v>
      </c>
      <c r="M46" s="21" t="n">
        <v>2568</v>
      </c>
      <c r="N46" s="21" t="n">
        <v>25925</v>
      </c>
      <c r="O46" s="21" t="n">
        <v>11875</v>
      </c>
      <c r="P46" s="21" t="n">
        <v>562509</v>
      </c>
      <c r="Q46" s="21" t="n">
        <v>359082</v>
      </c>
      <c r="R46" s="21">
        <f>IF(Q46="","",Q46*(1+in_GrowthRate)^(YEARFRAC(DATE(2023,8,31),in_AgeToDate)*IF(in_AgeToDate&lt;DATE(2023,8,31),-1,1)+1))</f>
        <v/>
      </c>
      <c r="S46" s="38" t="n">
        <v>0.6248611305606124</v>
      </c>
      <c r="T46" s="43">
        <f>HYPERLINK("https://projects.propublica.org/nonprofits/organizations/742765082/202421919349300237/full","view filing")</f>
        <v/>
      </c>
    </row>
    <row r="47">
      <c r="A47" t="inlineStr">
        <is>
          <t>The University Of Texas Texas A M Investment Management Company</t>
        </is>
      </c>
      <c r="B47" s="20" t="inlineStr">
        <is>
          <t>TX</t>
        </is>
      </c>
      <c r="C47" s="42" t="n">
        <v>67.84</v>
      </c>
      <c r="D47" t="inlineStr">
        <is>
          <t>Endowment</t>
        </is>
      </c>
      <c r="E47" s="20" t="n">
        <v>2022</v>
      </c>
      <c r="F47" s="20" t="inlineStr"/>
      <c r="G47" t="inlineStr">
        <is>
          <t>Anna Cecilia Gonzalez</t>
        </is>
      </c>
      <c r="H47" t="inlineStr">
        <is>
          <t>CORPORATE COUNSEL &amp; CHIEF COMPLIANCE OFFICER</t>
        </is>
      </c>
      <c r="I47" t="inlineStr">
        <is>
          <t>General Counsel (Inv Entity)</t>
        </is>
      </c>
      <c r="J47" s="21" t="n">
        <v>154963</v>
      </c>
      <c r="K47" s="21" t="n">
        <v>108553</v>
      </c>
      <c r="L47" s="21" t="n">
        <v>263516</v>
      </c>
      <c r="M47" s="21" t="n">
        <v>579</v>
      </c>
      <c r="N47" s="21" t="n">
        <v>13231</v>
      </c>
      <c r="O47" s="21" t="n">
        <v>3892</v>
      </c>
      <c r="P47" s="21" t="n">
        <v>281218</v>
      </c>
      <c r="Q47" s="21" t="n">
        <v>182271</v>
      </c>
      <c r="R47" s="21">
        <f>IF(Q47="","",Q47*(1+in_GrowthRate)^(YEARFRAC(DATE(2022,8,31),in_AgeToDate)*IF(in_AgeToDate&lt;DATE(2022,8,31),-1,1)+1))</f>
        <v/>
      </c>
      <c r="S47" s="38" t="n">
        <v>0.7005091537980034</v>
      </c>
      <c r="T47" s="43">
        <f>HYPERLINK("https://projects.propublica.org/nonprofits/organizations/742765082/202331879349300948/full","view filing")</f>
        <v/>
      </c>
    </row>
    <row r="48">
      <c r="A48" t="inlineStr">
        <is>
          <t>The University Of Texas Texas A M Investment Management Company</t>
        </is>
      </c>
      <c r="B48" s="20" t="inlineStr">
        <is>
          <t>TX</t>
        </is>
      </c>
      <c r="C48" s="42" t="n">
        <v>67.84</v>
      </c>
      <c r="D48" t="inlineStr">
        <is>
          <t>Endowment</t>
        </is>
      </c>
      <c r="E48" s="20" t="n">
        <v>2022</v>
      </c>
      <c r="F48" s="20" t="inlineStr"/>
      <c r="G48" t="inlineStr">
        <is>
          <t>Carolina De Onis</t>
        </is>
      </c>
      <c r="H48" t="inlineStr">
        <is>
          <t>GENERAL COUNSEL &amp; CHIEF COMPLIANCE OFFICER</t>
        </is>
      </c>
      <c r="I48" t="inlineStr">
        <is>
          <t>General Counsel (Inv Entity)</t>
        </is>
      </c>
      <c r="J48" s="21" t="n">
        <v>372107</v>
      </c>
      <c r="K48" s="21" t="n">
        <v>218874</v>
      </c>
      <c r="L48" s="21" t="n">
        <v>590981</v>
      </c>
      <c r="M48" s="21" t="n">
        <v>2639</v>
      </c>
      <c r="N48" s="21" t="n">
        <v>273875</v>
      </c>
      <c r="O48" s="21" t="n">
        <v>26596</v>
      </c>
      <c r="P48" s="21" t="n">
        <v>894091</v>
      </c>
      <c r="Q48" s="21" t="n">
        <v>675217</v>
      </c>
      <c r="R48" s="21">
        <f>IF(Q48="","",Q48*(1+in_GrowthRate)^(YEARFRAC(DATE(2022,8,31),in_AgeToDate)*IF(in_AgeToDate&lt;DATE(2022,8,31),-1,1)+1))</f>
        <v/>
      </c>
      <c r="S48" s="38" t="n">
        <v>0.5882017806706136</v>
      </c>
      <c r="T48" s="43">
        <f>HYPERLINK("https://projects.propublica.org/nonprofits/organizations/742765082/202331879349300948/full","view filing")</f>
        <v/>
      </c>
    </row>
    <row r="49">
      <c r="A49" t="inlineStr">
        <is>
          <t>The University Of Texas Texas A M Investment Management Company</t>
        </is>
      </c>
      <c r="B49" s="20" t="inlineStr">
        <is>
          <t>TX</t>
        </is>
      </c>
      <c r="C49" s="42" t="n">
        <v>67.84</v>
      </c>
      <c r="D49" t="inlineStr">
        <is>
          <t>Endowment</t>
        </is>
      </c>
      <c r="E49" s="20" t="n">
        <v>2022</v>
      </c>
      <c r="F49" s="20" t="inlineStr"/>
      <c r="G49" t="inlineStr">
        <is>
          <t>Michael Sjolander</t>
        </is>
      </c>
      <c r="H49" t="inlineStr">
        <is>
          <t>CHIEF TECHNOLOGY OFFICER</t>
        </is>
      </c>
      <c r="I49" t="inlineStr">
        <is>
          <t>CTO (Inv Entity)</t>
        </is>
      </c>
      <c r="J49" s="21" t="n">
        <v>355000</v>
      </c>
      <c r="K49" s="21" t="n">
        <v>176192</v>
      </c>
      <c r="L49" s="21" t="n">
        <v>531192</v>
      </c>
      <c r="M49" s="21" t="n">
        <v>2639</v>
      </c>
      <c r="N49" s="21" t="n">
        <v>261324</v>
      </c>
      <c r="O49" s="21" t="n">
        <v>6628</v>
      </c>
      <c r="P49" s="21" t="n">
        <v>801783</v>
      </c>
      <c r="Q49" s="21" t="n">
        <v>625591</v>
      </c>
      <c r="R49" s="21">
        <f>IF(Q49="","",Q49*(1+in_GrowthRate)^(YEARFRAC(DATE(2022,8,31),in_AgeToDate)*IF(in_AgeToDate&lt;DATE(2022,8,31),-1,1)+1))</f>
        <v/>
      </c>
      <c r="S49" s="38" t="n">
        <v>0.4963154929577465</v>
      </c>
      <c r="T49" s="43">
        <f>HYPERLINK("https://projects.propublica.org/nonprofits/organizations/742765082/202331879349300948/full","view filing")</f>
        <v/>
      </c>
    </row>
    <row r="50">
      <c r="A50" t="inlineStr">
        <is>
          <t>Uc Berkeley Management Company</t>
        </is>
      </c>
      <c r="B50" s="20" t="inlineStr">
        <is>
          <t>CA</t>
        </is>
      </c>
      <c r="C50" s="42" t="n">
        <v>3.39</v>
      </c>
      <c r="D50" t="inlineStr">
        <is>
          <t>Endowment</t>
        </is>
      </c>
      <c r="E50" s="20" t="n">
        <v>2023</v>
      </c>
      <c r="F50" s="20" t="inlineStr"/>
      <c r="G50" t="inlineStr">
        <is>
          <t>Loraine Binion</t>
        </is>
      </c>
      <c r="H50" t="inlineStr">
        <is>
          <t>TREASURER</t>
        </is>
      </c>
      <c r="I50" t="inlineStr">
        <is>
          <t>Corporate Officer (Inv Entity)</t>
        </is>
      </c>
      <c r="J50" s="21" t="n">
        <v>219685</v>
      </c>
      <c r="K50" s="21" t="n"/>
      <c r="L50" s="21" t="n">
        <v>219685</v>
      </c>
      <c r="M50" s="21" t="n"/>
      <c r="N50" s="21" t="n">
        <v>32014</v>
      </c>
      <c r="O50" s="21" t="n">
        <v>7955</v>
      </c>
      <c r="P50" s="21" t="n">
        <v>259654</v>
      </c>
      <c r="Q50" s="21" t="n">
        <v>259654</v>
      </c>
      <c r="R50" s="21">
        <f>IF(Q50="","",Q50*(1+in_GrowthRate)^(YEARFRAC(DATE(2023,6,30),in_AgeToDate)*IF(in_AgeToDate&lt;DATE(2023,6,30),-1,1)+1))</f>
        <v/>
      </c>
      <c r="S50" s="38" t="n">
        <v>0</v>
      </c>
      <c r="T50" s="43">
        <f>HYPERLINK("https://projects.propublica.org/nonprofits/organizations/270652636/202401349349302270/full","view filing")</f>
        <v/>
      </c>
    </row>
    <row r="51">
      <c r="A51" t="inlineStr">
        <is>
          <t>Uc Berkeley Management Company</t>
        </is>
      </c>
      <c r="B51" s="20" t="inlineStr">
        <is>
          <t>CA</t>
        </is>
      </c>
      <c r="C51" s="42" t="n">
        <v>3.39</v>
      </c>
      <c r="D51" t="inlineStr">
        <is>
          <t>Endowment</t>
        </is>
      </c>
      <c r="E51" s="20" t="n">
        <v>2022</v>
      </c>
      <c r="F51" s="20" t="inlineStr"/>
      <c r="G51" t="inlineStr">
        <is>
          <t>Loraine Binion</t>
        </is>
      </c>
      <c r="H51" t="inlineStr">
        <is>
          <t>TREASURER</t>
        </is>
      </c>
      <c r="I51" t="inlineStr">
        <is>
          <t>Corporate Officer (Inv Entity)</t>
        </is>
      </c>
      <c r="J51" s="21" t="n">
        <v>209912</v>
      </c>
      <c r="K51" s="21" t="n"/>
      <c r="L51" s="21" t="n">
        <v>209912</v>
      </c>
      <c r="M51" s="21" t="n"/>
      <c r="N51" s="21" t="n">
        <v>47915</v>
      </c>
      <c r="O51" s="21" t="n">
        <v>10493</v>
      </c>
      <c r="P51" s="21" t="n">
        <v>268320</v>
      </c>
      <c r="Q51" s="21" t="n">
        <v>268320</v>
      </c>
      <c r="R51" s="21">
        <f>IF(Q51="","",Q51*(1+in_GrowthRate)^(YEARFRAC(DATE(2022,6,30),in_AgeToDate)*IF(in_AgeToDate&lt;DATE(2022,6,30),-1,1)+1))</f>
        <v/>
      </c>
      <c r="S51" s="38" t="n">
        <v>0</v>
      </c>
      <c r="T51" s="43">
        <f>HYPERLINK("https://projects.propublica.org/nonprofits/organizations/270652636/202321319349305012/full","view filing")</f>
        <v/>
      </c>
    </row>
    <row r="52">
      <c r="A52" t="inlineStr">
        <is>
          <t>Ucsf Foundation Investment Company</t>
        </is>
      </c>
      <c r="B52" s="20" t="inlineStr">
        <is>
          <t>CA</t>
        </is>
      </c>
      <c r="C52" s="42" t="n">
        <v>2.95</v>
      </c>
      <c r="D52" t="inlineStr">
        <is>
          <t>Endowment</t>
        </is>
      </c>
      <c r="E52" s="20" t="n">
        <v>2025</v>
      </c>
      <c r="F52" s="20">
        <f>IF(AND(OR(in_Mode="All Funds",AND(C52&gt;=in_BandFloor,C52&lt;=in_BandCeiling,OR(in_Geography="National",COUNTIFS(lst_GeoPreset,in_Geography,lst_GeoState,B52)&gt;0,AND(in_Geography="Custom",ISNUMBER(SEARCH(B52,SUBSTITUTE(in_CustomStates," ",""))))),OR(AND(D52="Endowment",Inputs!$B$14="Y"),AND(D52="Foundation",Inputs!$B$15="Y"),AND(D52="Healthcare",Inputs!$B$16="Y"),AND(D52="Pension",Inputs!$B$17="Y"),AND(D52="OCIO",Inputs!$B$18="Y"),AND(D52="Other",Inputs!$B$19="Y")))),A52&lt;&gt;in_ClientOrg,NOT(AND(in_ExclHarvard="Y",ISNUMBER(SEARCH("Harvard",A52))))),"Y","")</f>
        <v/>
      </c>
      <c r="G52" t="inlineStr">
        <is>
          <t>Kaushal Shah</t>
        </is>
      </c>
      <c r="H52" t="inlineStr">
        <is>
          <t>SECRETARY &amp; CFO</t>
        </is>
      </c>
      <c r="I52" t="inlineStr">
        <is>
          <t>CFO (Inv Entity)</t>
        </is>
      </c>
      <c r="J52" s="21" t="n">
        <v>379647</v>
      </c>
      <c r="K52" s="21" t="n"/>
      <c r="L52" s="21" t="n">
        <v>379647</v>
      </c>
      <c r="M52" s="21" t="n">
        <v>1377</v>
      </c>
      <c r="N52" s="21" t="n">
        <v>69000</v>
      </c>
      <c r="O52" s="21" t="n">
        <v>45342</v>
      </c>
      <c r="P52" s="21" t="n">
        <v>495366</v>
      </c>
      <c r="Q52" s="21" t="n">
        <v>495366</v>
      </c>
      <c r="R52" s="21">
        <f>IF(Q52="","",Q52*(1+in_GrowthRate)^(YEARFRAC(DATE(2025,6,30),in_AgeToDate)*IF(in_AgeToDate&lt;DATE(2025,6,30),-1,1)+1))</f>
        <v/>
      </c>
      <c r="S52" s="38" t="n">
        <v>0</v>
      </c>
      <c r="T52" s="43">
        <f>HYPERLINK("https://projects.propublica.org/nonprofits/organizations/473599471/202631259349303618/full","view filing")</f>
        <v/>
      </c>
    </row>
    <row r="53">
      <c r="A53" t="inlineStr">
        <is>
          <t>Ucsf Foundation Investment Company</t>
        </is>
      </c>
      <c r="B53" s="20" t="inlineStr">
        <is>
          <t>CA</t>
        </is>
      </c>
      <c r="C53" s="42" t="n">
        <v>2.95</v>
      </c>
      <c r="D53" t="inlineStr">
        <is>
          <t>Endowment</t>
        </is>
      </c>
      <c r="E53" s="20" t="n">
        <v>2024</v>
      </c>
      <c r="F53" s="20" t="inlineStr"/>
      <c r="G53" t="inlineStr">
        <is>
          <t>Kaushal Shah</t>
        </is>
      </c>
      <c r="H53" t="inlineStr">
        <is>
          <t>secretary &amp; CFO</t>
        </is>
      </c>
      <c r="I53" t="inlineStr">
        <is>
          <t>CFO (Inv Entity)</t>
        </is>
      </c>
      <c r="J53" s="21" t="n">
        <v>331452</v>
      </c>
      <c r="K53" s="21" t="n">
        <v>35000</v>
      </c>
      <c r="L53" s="21" t="n">
        <v>366452</v>
      </c>
      <c r="M53" s="21" t="n">
        <v>1373</v>
      </c>
      <c r="N53" s="21" t="n">
        <v>66000</v>
      </c>
      <c r="O53" s="21" t="n">
        <v>41831</v>
      </c>
      <c r="P53" s="21" t="n">
        <v>475656</v>
      </c>
      <c r="Q53" s="21" t="n">
        <v>475656</v>
      </c>
      <c r="R53" s="21">
        <f>IF(Q53="","",Q53*(1+in_GrowthRate)^(YEARFRAC(DATE(2024,6,30),in_AgeToDate)*IF(in_AgeToDate&lt;DATE(2024,6,30),-1,1)+1))</f>
        <v/>
      </c>
      <c r="S53" s="38" t="n">
        <v>0.1055959837321844</v>
      </c>
      <c r="T53" s="43">
        <f>HYPERLINK("https://projects.propublica.org/nonprofits/organizations/473599471/202531329349306253/full","view filing")</f>
        <v/>
      </c>
    </row>
    <row r="54">
      <c r="A54" t="inlineStr">
        <is>
          <t>Ucsf Foundation Investment Company</t>
        </is>
      </c>
      <c r="B54" s="20" t="inlineStr">
        <is>
          <t>CA</t>
        </is>
      </c>
      <c r="C54" s="42" t="n">
        <v>2.95</v>
      </c>
      <c r="D54" t="inlineStr">
        <is>
          <t>Endowment</t>
        </is>
      </c>
      <c r="E54" s="20" t="n">
        <v>2023</v>
      </c>
      <c r="F54" s="20" t="inlineStr"/>
      <c r="G54" t="inlineStr">
        <is>
          <t>Kaushal Shah</t>
        </is>
      </c>
      <c r="H54" t="inlineStr">
        <is>
          <t>SECRETARY &amp; CFO</t>
        </is>
      </c>
      <c r="I54" t="inlineStr">
        <is>
          <t>CFO (Inv Entity)</t>
        </is>
      </c>
      <c r="J54" s="21" t="n">
        <v>314404</v>
      </c>
      <c r="K54" s="21" t="n">
        <v>10500</v>
      </c>
      <c r="L54" s="21" t="n">
        <v>324904</v>
      </c>
      <c r="M54" s="21" t="n">
        <v>1521</v>
      </c>
      <c r="N54" s="21" t="n">
        <v>61000</v>
      </c>
      <c r="O54" s="21" t="n">
        <v>38866</v>
      </c>
      <c r="P54" s="21" t="n">
        <v>426291</v>
      </c>
      <c r="Q54" s="21" t="n">
        <v>426291</v>
      </c>
      <c r="R54" s="21">
        <f>IF(Q54="","",Q54*(1+in_GrowthRate)^(YEARFRAC(DATE(2023,6,30),in_AgeToDate)*IF(in_AgeToDate&lt;DATE(2023,6,30),-1,1)+1))</f>
        <v/>
      </c>
      <c r="S54" s="38" t="n">
        <v>0.03339652167275226</v>
      </c>
      <c r="T54" s="43">
        <f>HYPERLINK("https://projects.propublica.org/nonprofits/organizations/473599471/202411359349313316/full","view filing")</f>
        <v/>
      </c>
    </row>
    <row r="55">
      <c r="A55" t="inlineStr">
        <is>
          <t>Ucsf Foundation Investment Company</t>
        </is>
      </c>
      <c r="B55" s="20" t="inlineStr">
        <is>
          <t>CA</t>
        </is>
      </c>
      <c r="C55" s="42" t="n">
        <v>2.95</v>
      </c>
      <c r="D55" t="inlineStr">
        <is>
          <t>Endowment</t>
        </is>
      </c>
      <c r="E55" s="20" t="n">
        <v>2023</v>
      </c>
      <c r="F55" s="20" t="inlineStr"/>
      <c r="G55" t="inlineStr">
        <is>
          <t>Matthew Freedman</t>
        </is>
      </c>
      <c r="H55" t="inlineStr">
        <is>
          <t>ASSISTANT CONTROLLER</t>
        </is>
      </c>
      <c r="I55" t="inlineStr">
        <is>
          <t>Controller (Inv Entity)</t>
        </is>
      </c>
      <c r="J55" s="21" t="n">
        <v>149954</v>
      </c>
      <c r="K55" s="21" t="n">
        <v>5500</v>
      </c>
      <c r="L55" s="21" t="n">
        <v>155454</v>
      </c>
      <c r="M55" s="21" t="n">
        <v>623</v>
      </c>
      <c r="N55" s="21" t="n">
        <v>38566</v>
      </c>
      <c r="O55" s="21" t="n">
        <v>37199</v>
      </c>
      <c r="P55" s="21" t="n">
        <v>231842</v>
      </c>
      <c r="Q55" s="21" t="n">
        <v>231842</v>
      </c>
      <c r="R55" s="21">
        <f>IF(Q55="","",Q55*(1+in_GrowthRate)^(YEARFRAC(DATE(2023,6,30),in_AgeToDate)*IF(in_AgeToDate&lt;DATE(2023,6,30),-1,1)+1))</f>
        <v/>
      </c>
      <c r="S55" s="38" t="n">
        <v>0.03667791456046521</v>
      </c>
      <c r="T55" s="43">
        <f>HYPERLINK("https://projects.propublica.org/nonprofits/organizations/473599471/202411359349313316/full","view filing")</f>
        <v/>
      </c>
    </row>
    <row r="56">
      <c r="A56" t="inlineStr">
        <is>
          <t>Ucsf Foundation Investment Company</t>
        </is>
      </c>
      <c r="B56" s="20" t="inlineStr">
        <is>
          <t>CA</t>
        </is>
      </c>
      <c r="C56" s="42" t="n">
        <v>2.95</v>
      </c>
      <c r="D56" t="inlineStr">
        <is>
          <t>Endowment</t>
        </is>
      </c>
      <c r="E56" s="20" t="n">
        <v>2022</v>
      </c>
      <c r="F56" s="20" t="inlineStr"/>
      <c r="G56" t="inlineStr">
        <is>
          <t>Herme Edolmo</t>
        </is>
      </c>
      <c r="H56" t="inlineStr">
        <is>
          <t>CONTROLLER/INVESTMENT OPS</t>
        </is>
      </c>
      <c r="I56" t="inlineStr">
        <is>
          <t>Controller (Inv Entity)</t>
        </is>
      </c>
      <c r="J56" s="21" t="n">
        <v>174058</v>
      </c>
      <c r="K56" s="21" t="n">
        <v>35000</v>
      </c>
      <c r="L56" s="21" t="n">
        <v>209058</v>
      </c>
      <c r="M56" s="21" t="n">
        <v>893</v>
      </c>
      <c r="N56" s="21" t="n">
        <v>43680</v>
      </c>
      <c r="O56" s="21" t="n">
        <v>11431</v>
      </c>
      <c r="P56" s="21" t="n">
        <v>265062</v>
      </c>
      <c r="Q56" s="21" t="n">
        <v>265062</v>
      </c>
      <c r="R56" s="21">
        <f>IF(Q56="","",Q56*(1+in_GrowthRate)^(YEARFRAC(DATE(2022,6,30),in_AgeToDate)*IF(in_AgeToDate&lt;DATE(2022,6,30),-1,1)+1))</f>
        <v/>
      </c>
      <c r="S56" s="38" t="n">
        <v>0.2010823978214158</v>
      </c>
      <c r="T56" s="43">
        <f>HYPERLINK("https://projects.propublica.org/nonprofits/organizations/473599471/202331249349301898/full","view filing")</f>
        <v/>
      </c>
    </row>
    <row r="57">
      <c r="A57" t="inlineStr">
        <is>
          <t>Ucsf Foundation Investment Company</t>
        </is>
      </c>
      <c r="B57" s="20" t="inlineStr">
        <is>
          <t>CA</t>
        </is>
      </c>
      <c r="C57" s="42" t="n">
        <v>2.95</v>
      </c>
      <c r="D57" t="inlineStr">
        <is>
          <t>Endowment</t>
        </is>
      </c>
      <c r="E57" s="20" t="n">
        <v>2022</v>
      </c>
      <c r="F57" s="20" t="inlineStr"/>
      <c r="G57" t="inlineStr">
        <is>
          <t>Kaushal Shah</t>
        </is>
      </c>
      <c r="H57" t="inlineStr">
        <is>
          <t>SECRETARY &amp; CFO</t>
        </is>
      </c>
      <c r="I57" t="inlineStr">
        <is>
          <t>CFO (Inv Entity)</t>
        </is>
      </c>
      <c r="J57" s="21" t="n">
        <v>270022</v>
      </c>
      <c r="K57" s="21" t="n">
        <v>45000</v>
      </c>
      <c r="L57" s="21" t="n">
        <v>315022</v>
      </c>
      <c r="M57" s="21" t="n">
        <v>1353</v>
      </c>
      <c r="N57" s="21" t="n">
        <v>58000</v>
      </c>
      <c r="O57" s="21" t="n">
        <v>34882</v>
      </c>
      <c r="P57" s="21" t="n">
        <v>409257</v>
      </c>
      <c r="Q57" s="21" t="n">
        <v>409257</v>
      </c>
      <c r="R57" s="21">
        <f>IF(Q57="","",Q57*(1+in_GrowthRate)^(YEARFRAC(DATE(2022,6,30),in_AgeToDate)*IF(in_AgeToDate&lt;DATE(2022,6,30),-1,1)+1))</f>
        <v/>
      </c>
      <c r="S57" s="38" t="n">
        <v>0.1666530875262016</v>
      </c>
      <c r="T57" s="43">
        <f>HYPERLINK("https://projects.propublica.org/nonprofits/organizations/473599471/202331249349301898/full","view filing")</f>
        <v/>
      </c>
    </row>
    <row r="58">
      <c r="A58" t="inlineStr">
        <is>
          <t>Unc Management Company Inc</t>
        </is>
      </c>
      <c r="B58" s="20" t="inlineStr">
        <is>
          <t>NC</t>
        </is>
      </c>
      <c r="C58" s="42" t="n">
        <v>6.22</v>
      </c>
      <c r="D58" t="inlineStr">
        <is>
          <t>Endowment</t>
        </is>
      </c>
      <c r="E58" s="20" t="n">
        <v>2025</v>
      </c>
      <c r="F58" s="20">
        <f>IF(AND(OR(in_Mode="All Funds",AND(C58&gt;=in_BandFloor,C58&lt;=in_BandCeiling,OR(in_Geography="National",COUNTIFS(lst_GeoPreset,in_Geography,lst_GeoState,B58)&gt;0,AND(in_Geography="Custom",ISNUMBER(SEARCH(B58,SUBSTITUTE(in_CustomStates," ",""))))),OR(AND(D58="Endowment",Inputs!$B$14="Y"),AND(D58="Foundation",Inputs!$B$15="Y"),AND(D58="Healthcare",Inputs!$B$16="Y"),AND(D58="Pension",Inputs!$B$17="Y"),AND(D58="OCIO",Inputs!$B$18="Y"),AND(D58="Other",Inputs!$B$19="Y")))),A58&lt;&gt;in_ClientOrg,NOT(AND(in_ExclHarvard="Y",ISNUMBER(SEARCH("Harvard",A58))))),"Y","")</f>
        <v/>
      </c>
      <c r="G58" t="inlineStr">
        <is>
          <t>Tim Burch</t>
        </is>
      </c>
      <c r="H58" t="inlineStr">
        <is>
          <t>SENIOR VP &amp; GENERAL COUNSEL</t>
        </is>
      </c>
      <c r="I58" t="inlineStr">
        <is>
          <t>General Counsel (Inv Entity)</t>
        </is>
      </c>
      <c r="J58" s="21" t="n">
        <v>351584</v>
      </c>
      <c r="K58" s="21" t="n">
        <v>405406</v>
      </c>
      <c r="L58" s="21" t="n">
        <v>756990</v>
      </c>
      <c r="M58" s="21" t="n">
        <v>1759</v>
      </c>
      <c r="N58" s="21" t="n">
        <v>290597</v>
      </c>
      <c r="O58" s="21" t="n">
        <v>48482</v>
      </c>
      <c r="P58" s="21" t="n">
        <v>1097828</v>
      </c>
      <c r="Q58" s="21" t="n">
        <v>940623</v>
      </c>
      <c r="R58" s="21">
        <f>IF(Q58="","",Q58*(1+in_GrowthRate)^(YEARFRAC(DATE(2025,6,30),in_AgeToDate)*IF(in_AgeToDate&lt;DATE(2025,6,30),-1,1)+1))</f>
        <v/>
      </c>
      <c r="S58" s="38" t="n">
        <v>1.153084326931828</v>
      </c>
      <c r="T58" s="43">
        <f>HYPERLINK("https://projects.propublica.org/nonprofits/organizations/364516257/202611329349304711/full","view filing")</f>
        <v/>
      </c>
    </row>
    <row r="59">
      <c r="A59" t="inlineStr">
        <is>
          <t>Unc Management Company Inc</t>
        </is>
      </c>
      <c r="B59" s="20" t="inlineStr">
        <is>
          <t>NC</t>
        </is>
      </c>
      <c r="C59" s="42" t="n">
        <v>6.22</v>
      </c>
      <c r="D59" t="inlineStr">
        <is>
          <t>Endowment</t>
        </is>
      </c>
      <c r="E59" s="20" t="n">
        <v>2024</v>
      </c>
      <c r="F59" s="20" t="inlineStr"/>
      <c r="G59" t="inlineStr">
        <is>
          <t>Tim Burch</t>
        </is>
      </c>
      <c r="H59" t="inlineStr">
        <is>
          <t>VP - LEGAL &amp; COMPLIANCE</t>
        </is>
      </c>
      <c r="I59" t="inlineStr">
        <is>
          <t>Legal / Compliance Officer (Inv Entity)</t>
        </is>
      </c>
      <c r="J59" s="21" t="n">
        <v>324890</v>
      </c>
      <c r="K59" s="21" t="n">
        <v>308100</v>
      </c>
      <c r="L59" s="21" t="n">
        <v>632990</v>
      </c>
      <c r="M59" s="21" t="n">
        <v>1170</v>
      </c>
      <c r="N59" s="21" t="n">
        <v>214563</v>
      </c>
      <c r="O59" s="21" t="n">
        <v>45890</v>
      </c>
      <c r="P59" s="21" t="n">
        <v>894613</v>
      </c>
      <c r="Q59" s="21" t="n">
        <v>751322</v>
      </c>
      <c r="R59" s="21">
        <f>IF(Q59="","",Q59*(1+in_GrowthRate)^(YEARFRAC(DATE(2024,6,30),in_AgeToDate)*IF(in_AgeToDate&lt;DATE(2024,6,30),-1,1)+1))</f>
        <v/>
      </c>
      <c r="S59" s="38" t="n">
        <v>0.9483209701745207</v>
      </c>
      <c r="T59" s="43">
        <f>HYPERLINK("https://projects.propublica.org/nonprofits/organizations/364516257/202531199349301443/full","view filing")</f>
        <v/>
      </c>
    </row>
    <row r="60">
      <c r="A60" t="inlineStr">
        <is>
          <t>Unc Management Company Inc</t>
        </is>
      </c>
      <c r="B60" s="20" t="inlineStr">
        <is>
          <t>NC</t>
        </is>
      </c>
      <c r="C60" s="42" t="n">
        <v>6.22</v>
      </c>
      <c r="D60" t="inlineStr">
        <is>
          <t>Endowment</t>
        </is>
      </c>
      <c r="E60" s="20" t="n">
        <v>2023</v>
      </c>
      <c r="F60" s="20" t="inlineStr"/>
      <c r="G60" t="inlineStr">
        <is>
          <t>Tim Burch</t>
        </is>
      </c>
      <c r="H60" t="inlineStr">
        <is>
          <t>VP - LEGAL &amp; COMPLIANCE</t>
        </is>
      </c>
      <c r="I60" t="inlineStr">
        <is>
          <t>Legal / Compliance Officer (Inv Entity)</t>
        </is>
      </c>
      <c r="J60" s="21" t="n">
        <v>290967</v>
      </c>
      <c r="K60" s="21" t="n">
        <v>293343</v>
      </c>
      <c r="L60" s="21" t="n">
        <v>584310</v>
      </c>
      <c r="M60" s="21" t="n">
        <v>1170</v>
      </c>
      <c r="N60" s="21" t="n">
        <v>198242</v>
      </c>
      <c r="O60" s="21" t="n">
        <v>44127</v>
      </c>
      <c r="P60" s="21" t="n">
        <v>827849</v>
      </c>
      <c r="Q60" s="21" t="n">
        <v>690148</v>
      </c>
      <c r="R60" s="21">
        <f>IF(Q60="","",Q60*(1+in_GrowthRate)^(YEARFRAC(DATE(2023,6,30),in_AgeToDate)*IF(in_AgeToDate&lt;DATE(2023,6,30),-1,1)+1))</f>
        <v/>
      </c>
      <c r="S60" s="38" t="n">
        <v>1.008165874480611</v>
      </c>
      <c r="T60" s="43">
        <f>HYPERLINK("https://projects.propublica.org/nonprofits/organizations/364516257/202431319349304158/full","view filing")</f>
        <v/>
      </c>
    </row>
    <row r="61">
      <c r="A61" t="inlineStr">
        <is>
          <t>Unc Management Company Inc</t>
        </is>
      </c>
      <c r="B61" s="20" t="inlineStr">
        <is>
          <t>NC</t>
        </is>
      </c>
      <c r="C61" s="42" t="n">
        <v>6.22</v>
      </c>
      <c r="D61" t="inlineStr">
        <is>
          <t>Endowment</t>
        </is>
      </c>
      <c r="E61" s="20" t="n">
        <v>2022</v>
      </c>
      <c r="F61" s="20" t="inlineStr"/>
      <c r="G61" t="inlineStr">
        <is>
          <t>Tim Burch</t>
        </is>
      </c>
      <c r="H61" t="inlineStr">
        <is>
          <t>VP - LEGAL &amp; COMPLIANCE</t>
        </is>
      </c>
      <c r="I61" t="inlineStr">
        <is>
          <t>Legal / Compliance Officer (Inv Entity)</t>
        </is>
      </c>
      <c r="J61" s="21" t="n">
        <v>259730</v>
      </c>
      <c r="K61" s="21" t="n">
        <v>280114</v>
      </c>
      <c r="L61" s="21" t="n">
        <v>539844</v>
      </c>
      <c r="M61" s="21" t="n">
        <v>1170</v>
      </c>
      <c r="N61" s="21" t="n">
        <v>196134</v>
      </c>
      <c r="O61" s="21" t="n">
        <v>41842</v>
      </c>
      <c r="P61" s="21" t="n">
        <v>778990</v>
      </c>
      <c r="Q61" s="21" t="n">
        <v>778990</v>
      </c>
      <c r="R61" s="21">
        <f>IF(Q61="","",Q61*(1+in_GrowthRate)^(YEARFRAC(DATE(2022,6,30),in_AgeToDate)*IF(in_AgeToDate&lt;DATE(2022,6,30),-1,1)+1))</f>
        <v/>
      </c>
      <c r="S61" s="38" t="n">
        <v>1.078481500019251</v>
      </c>
      <c r="T61" s="43">
        <f>HYPERLINK("https://projects.propublica.org/nonprofits/organizations/364516257/202320669349301047/full","view filing")</f>
        <v/>
      </c>
    </row>
    <row r="62">
      <c r="A62" t="inlineStr">
        <is>
          <t>University Of Florida Investment Corporation</t>
        </is>
      </c>
      <c r="B62" s="20" t="inlineStr">
        <is>
          <t>FL</t>
        </is>
      </c>
      <c r="C62" s="42" t="n">
        <v>2.45</v>
      </c>
      <c r="D62" t="inlineStr">
        <is>
          <t>Endowment</t>
        </is>
      </c>
      <c r="E62" s="20" t="n">
        <v>2024</v>
      </c>
      <c r="F62" s="20" t="inlineStr"/>
      <c r="G62" t="inlineStr">
        <is>
          <t>James D Humphries</t>
        </is>
      </c>
      <c r="H62" t="inlineStr">
        <is>
          <t>INVESTMENT OPERATIONS DIRE</t>
        </is>
      </c>
      <c r="I62" t="inlineStr">
        <is>
          <t>Investment Operations (Inv Entity)</t>
        </is>
      </c>
      <c r="J62" s="21" t="n">
        <v>162664</v>
      </c>
      <c r="K62" s="21" t="n"/>
      <c r="L62" s="21" t="n">
        <v>162664</v>
      </c>
      <c r="M62" s="21" t="n">
        <v>4076</v>
      </c>
      <c r="N62" s="21" t="n">
        <v>17374</v>
      </c>
      <c r="O62" s="21" t="n">
        <v>21271</v>
      </c>
      <c r="P62" s="21" t="n">
        <v>205385</v>
      </c>
      <c r="Q62" s="21" t="n">
        <v>205385</v>
      </c>
      <c r="R62" s="21">
        <f>IF(Q62="","",Q62*(1+in_GrowthRate)^(YEARFRAC(DATE(2024,6,30),in_AgeToDate)*IF(in_AgeToDate&lt;DATE(2024,6,30),-1,1)+1))</f>
        <v/>
      </c>
      <c r="S62" s="38" t="n">
        <v>0</v>
      </c>
      <c r="T62" s="43">
        <f>HYPERLINK("https://projects.propublica.org/nonprofits/organizations/201226494/202531269349300703/full","view filing")</f>
        <v/>
      </c>
    </row>
    <row r="63">
      <c r="A63" t="inlineStr">
        <is>
          <t>University Of Florida Investment Corporation</t>
        </is>
      </c>
      <c r="B63" s="20" t="inlineStr">
        <is>
          <t>FL</t>
        </is>
      </c>
      <c r="C63" s="42" t="n">
        <v>2.45</v>
      </c>
      <c r="D63" t="inlineStr">
        <is>
          <t>Endowment</t>
        </is>
      </c>
      <c r="E63" s="20" t="n">
        <v>2023</v>
      </c>
      <c r="F63" s="20" t="inlineStr"/>
      <c r="G63" t="inlineStr">
        <is>
          <t>James D Humphries</t>
        </is>
      </c>
      <c r="H63" t="inlineStr">
        <is>
          <t>INVESTMENT OPERATIONS DIRECTOR</t>
        </is>
      </c>
      <c r="I63" t="inlineStr">
        <is>
          <t>Head of Inv Ops (Inv Entity)</t>
        </is>
      </c>
      <c r="J63" s="21" t="n">
        <v>154571</v>
      </c>
      <c r="K63" s="21" t="n"/>
      <c r="L63" s="21" t="n">
        <v>154571</v>
      </c>
      <c r="M63" s="21" t="n">
        <v>7087</v>
      </c>
      <c r="N63" s="21" t="n">
        <v>16845</v>
      </c>
      <c r="O63" s="21" t="n">
        <v>19741</v>
      </c>
      <c r="P63" s="21" t="n">
        <v>198244</v>
      </c>
      <c r="Q63" s="21" t="n">
        <v>198244</v>
      </c>
      <c r="R63" s="21">
        <f>IF(Q63="","",Q63*(1+in_GrowthRate)^(YEARFRAC(DATE(2023,6,30),in_AgeToDate)*IF(in_AgeToDate&lt;DATE(2023,6,30),-1,1)+1))</f>
        <v/>
      </c>
      <c r="S63" s="38" t="n">
        <v>0</v>
      </c>
      <c r="T63" s="43">
        <f>HYPERLINK("https://projects.propublica.org/nonprofits/organizations/201226494/202411289349300746/full","view filing")</f>
        <v/>
      </c>
    </row>
    <row r="64">
      <c r="A64" t="inlineStr">
        <is>
          <t>University Of Minnesota Foundation Investment Advisors</t>
        </is>
      </c>
      <c r="B64" s="20" t="inlineStr">
        <is>
          <t>MN</t>
        </is>
      </c>
      <c r="C64" s="42" t="n">
        <v>5.2</v>
      </c>
      <c r="D64" t="inlineStr">
        <is>
          <t>Endowment</t>
        </is>
      </c>
      <c r="E64" s="20" t="n">
        <v>2025</v>
      </c>
      <c r="F64" s="20">
        <f>IF(AND(OR(in_Mode="All Funds",AND(C64&gt;=in_BandFloor,C64&lt;=in_BandCeiling,OR(in_Geography="National",COUNTIFS(lst_GeoPreset,in_Geography,lst_GeoState,B64)&gt;0,AND(in_Geography="Custom",ISNUMBER(SEARCH(B64,SUBSTITUTE(in_CustomStates," ",""))))),OR(AND(D64="Endowment",Inputs!$B$14="Y"),AND(D64="Foundation",Inputs!$B$15="Y"),AND(D64="Healthcare",Inputs!$B$16="Y"),AND(D64="Pension",Inputs!$B$17="Y"),AND(D64="OCIO",Inputs!$B$18="Y"),AND(D64="Other",Inputs!$B$19="Y")))),A64&lt;&gt;in_ClientOrg,NOT(AND(in_ExclHarvard="Y",ISNUMBER(SEARCH("Harvard",A64))))),"Y","")</f>
        <v/>
      </c>
      <c r="G64" t="inlineStr">
        <is>
          <t>David T Walkosz</t>
        </is>
      </c>
      <c r="H64" t="inlineStr">
        <is>
          <t>DIRECTOR OF OPERATIONS</t>
        </is>
      </c>
      <c r="I64" t="inlineStr">
        <is>
          <t>Head of Inv Ops (Inv Entity)</t>
        </is>
      </c>
      <c r="J64" s="21" t="n">
        <v>194230</v>
      </c>
      <c r="K64" s="21" t="n">
        <v>65725</v>
      </c>
      <c r="L64" s="21" t="n">
        <v>259955</v>
      </c>
      <c r="M64" s="21" t="n">
        <v>344</v>
      </c>
      <c r="N64" s="21" t="n">
        <v>31857</v>
      </c>
      <c r="O64" s="21" t="n">
        <v>36458</v>
      </c>
      <c r="P64" s="21" t="n">
        <v>328614</v>
      </c>
      <c r="Q64" s="21" t="n">
        <v>328614</v>
      </c>
      <c r="R64" s="21">
        <f>IF(Q64="","",Q64*(1+in_GrowthRate)^(YEARFRAC(DATE(2025,6,30),in_AgeToDate)*IF(in_AgeToDate&lt;DATE(2025,6,30),-1,1)+1))</f>
        <v/>
      </c>
      <c r="S64" s="38" t="n">
        <v>0.3383874787622921</v>
      </c>
      <c r="T64" s="43">
        <f>HYPERLINK("https://projects.propublica.org/nonprofits/organizations/411931343/202610899349300721/full","view filing")</f>
        <v/>
      </c>
    </row>
    <row r="65">
      <c r="A65" t="inlineStr">
        <is>
          <t>University Of Minnesota Foundation Investment Advisors</t>
        </is>
      </c>
      <c r="B65" s="20" t="inlineStr">
        <is>
          <t>MN</t>
        </is>
      </c>
      <c r="C65" s="42" t="n">
        <v>5.2</v>
      </c>
      <c r="D65" t="inlineStr">
        <is>
          <t>Endowment</t>
        </is>
      </c>
      <c r="E65" s="20" t="n">
        <v>2025</v>
      </c>
      <c r="F65" s="20">
        <f>IF(AND(OR(in_Mode="All Funds",AND(C65&gt;=in_BandFloor,C65&lt;=in_BandCeiling,OR(in_Geography="National",COUNTIFS(lst_GeoPreset,in_Geography,lst_GeoState,B65)&gt;0,AND(in_Geography="Custom",ISNUMBER(SEARCH(B65,SUBSTITUTE(in_CustomStates," ",""))))),OR(AND(D65="Endowment",Inputs!$B$14="Y"),AND(D65="Foundation",Inputs!$B$15="Y"),AND(D65="Healthcare",Inputs!$B$16="Y"),AND(D65="Pension",Inputs!$B$17="Y"),AND(D65="OCIO",Inputs!$B$18="Y"),AND(D65="Other",Inputs!$B$19="Y")))),A65&lt;&gt;in_ClientOrg,NOT(AND(in_ExclHarvard="Y",ISNUMBER(SEARCH("Harvard",A65))))),"Y","")</f>
        <v/>
      </c>
      <c r="G65" t="inlineStr">
        <is>
          <t>Hollie Wilma</t>
        </is>
      </c>
      <c r="H65" t="inlineStr">
        <is>
          <t>ASSOCIATE DIRECTOR OF OPERATIONS</t>
        </is>
      </c>
      <c r="I65" t="inlineStr">
        <is>
          <t>Investment Operations (Inv Entity)</t>
        </is>
      </c>
      <c r="J65" s="21" t="n"/>
      <c r="K65" s="21" t="n"/>
      <c r="L65" s="21" t="n"/>
      <c r="M65" s="21" t="n"/>
      <c r="N65" s="21" t="n"/>
      <c r="O65" s="21" t="n"/>
      <c r="P65" s="21" t="n">
        <v>138360</v>
      </c>
      <c r="Q65" s="21" t="n">
        <v>138360</v>
      </c>
      <c r="R65" s="21">
        <f>IF(Q65="","",Q65*(1+in_GrowthRate)^(YEARFRAC(DATE(2025,6,30),in_AgeToDate)*IF(in_AgeToDate&lt;DATE(2025,6,30),-1,1)+1))</f>
        <v/>
      </c>
      <c r="S65" s="38" t="n"/>
      <c r="T65" s="43">
        <f>HYPERLINK("https://projects.propublica.org/nonprofits/organizations/411931343/202610899349300721/full","view filing")</f>
        <v/>
      </c>
    </row>
    <row r="66">
      <c r="A66" t="inlineStr">
        <is>
          <t>University Of Minnesota Foundation Investment Advisors</t>
        </is>
      </c>
      <c r="B66" s="20" t="inlineStr">
        <is>
          <t>MN</t>
        </is>
      </c>
      <c r="C66" s="42" t="n">
        <v>5.2</v>
      </c>
      <c r="D66" t="inlineStr">
        <is>
          <t>Endowment</t>
        </is>
      </c>
      <c r="E66" s="20" t="n">
        <v>2024</v>
      </c>
      <c r="F66" s="20" t="inlineStr"/>
      <c r="G66" t="inlineStr">
        <is>
          <t>David T Walkosz</t>
        </is>
      </c>
      <c r="H66" t="inlineStr">
        <is>
          <t>CONTROLLER</t>
        </is>
      </c>
      <c r="I66" t="inlineStr">
        <is>
          <t>Controller (Inv Entity)</t>
        </is>
      </c>
      <c r="J66" s="21" t="n">
        <v>180639</v>
      </c>
      <c r="K66" s="21" t="n">
        <v>64904</v>
      </c>
      <c r="L66" s="21" t="n">
        <v>245543</v>
      </c>
      <c r="M66" s="21" t="n">
        <v>258</v>
      </c>
      <c r="N66" s="21" t="n">
        <v>30114</v>
      </c>
      <c r="O66" s="21" t="n">
        <v>7750</v>
      </c>
      <c r="P66" s="21" t="n">
        <v>283665</v>
      </c>
      <c r="Q66" s="21" t="n">
        <v>283665</v>
      </c>
      <c r="R66" s="21">
        <f>IF(Q66="","",Q66*(1+in_GrowthRate)^(YEARFRAC(DATE(2024,6,30),in_AgeToDate)*IF(in_AgeToDate&lt;DATE(2024,6,30),-1,1)+1))</f>
        <v/>
      </c>
      <c r="S66" s="38" t="n">
        <v>0.3593022547733324</v>
      </c>
      <c r="T66" s="43">
        <f>HYPERLINK("https://projects.propublica.org/nonprofits/organizations/411931343/202500879349301200/full","view filing")</f>
        <v/>
      </c>
    </row>
    <row r="67">
      <c r="A67" t="inlineStr">
        <is>
          <t>University Of Minnesota Foundation Investment Advisors</t>
        </is>
      </c>
      <c r="B67" s="20" t="inlineStr">
        <is>
          <t>MN</t>
        </is>
      </c>
      <c r="C67" s="42" t="n">
        <v>5.2</v>
      </c>
      <c r="D67" t="inlineStr">
        <is>
          <t>Endowment</t>
        </is>
      </c>
      <c r="E67" s="20" t="n">
        <v>2023</v>
      </c>
      <c r="F67" s="20" t="inlineStr"/>
      <c r="G67" t="inlineStr">
        <is>
          <t>David T Walkosz</t>
        </is>
      </c>
      <c r="H67" t="inlineStr">
        <is>
          <t>CONTROLLER</t>
        </is>
      </c>
      <c r="I67" t="inlineStr">
        <is>
          <t>Controller (Inv Entity)</t>
        </is>
      </c>
      <c r="J67" s="21" t="n">
        <v>173373</v>
      </c>
      <c r="K67" s="21" t="n">
        <v>61900</v>
      </c>
      <c r="L67" s="21" t="n">
        <v>235273</v>
      </c>
      <c r="M67" s="21" t="n">
        <v>178</v>
      </c>
      <c r="N67" s="21" t="n">
        <v>28783</v>
      </c>
      <c r="O67" s="21" t="n">
        <v>5475</v>
      </c>
      <c r="P67" s="21" t="n">
        <v>269709</v>
      </c>
      <c r="Q67" s="21" t="n">
        <v>269709</v>
      </c>
      <c r="R67" s="21">
        <f>IF(Q67="","",Q67*(1+in_GrowthRate)^(YEARFRAC(DATE(2023,6,30),in_AgeToDate)*IF(in_AgeToDate&lt;DATE(2023,6,30),-1,1)+1))</f>
        <v/>
      </c>
      <c r="S67" s="38" t="n">
        <v>0.3570336788311906</v>
      </c>
      <c r="T67" s="43">
        <f>HYPERLINK("https://projects.propublica.org/nonprofits/organizations/411931343/202400809349301005/full","view filing")</f>
        <v/>
      </c>
    </row>
    <row r="68">
      <c r="A68" t="inlineStr">
        <is>
          <t>University Of Minnesota Foundation Investment Advisors</t>
        </is>
      </c>
      <c r="B68" s="20" t="inlineStr">
        <is>
          <t>MN</t>
        </is>
      </c>
      <c r="C68" s="42" t="n">
        <v>5.2</v>
      </c>
      <c r="D68" t="inlineStr">
        <is>
          <t>Endowment</t>
        </is>
      </c>
      <c r="E68" s="20" t="n">
        <v>2022</v>
      </c>
      <c r="F68" s="20" t="inlineStr"/>
      <c r="G68" t="inlineStr">
        <is>
          <t>David T Walkosz</t>
        </is>
      </c>
      <c r="H68" t="inlineStr">
        <is>
          <t>Controller</t>
        </is>
      </c>
      <c r="I68" t="inlineStr">
        <is>
          <t>Controller (Inv Entity)</t>
        </is>
      </c>
      <c r="J68" s="21" t="n">
        <v>165993</v>
      </c>
      <c r="K68" s="21" t="n">
        <v>55300</v>
      </c>
      <c r="L68" s="21" t="n">
        <v>221293</v>
      </c>
      <c r="M68" s="21" t="n">
        <v>138</v>
      </c>
      <c r="N68" s="21" t="n">
        <v>27126</v>
      </c>
      <c r="O68" s="21" t="n">
        <v>7200</v>
      </c>
      <c r="P68" s="21" t="n">
        <v>255757</v>
      </c>
      <c r="Q68" s="21" t="n">
        <v>255757</v>
      </c>
      <c r="R68" s="21">
        <f>IF(Q68="","",Q68*(1+in_GrowthRate)^(YEARFRAC(DATE(2022,6,30),in_AgeToDate)*IF(in_AgeToDate&lt;DATE(2022,6,30),-1,1)+1))</f>
        <v/>
      </c>
      <c r="S68" s="38" t="n">
        <v>0.3331465784701765</v>
      </c>
      <c r="T68" s="43">
        <f>HYPERLINK("https://projects.propublica.org/nonprofits/organizations/411931343/202340739349300819/full","view filing")</f>
        <v/>
      </c>
    </row>
    <row r="69">
      <c r="A69" t="inlineStr">
        <is>
          <t>University Of Richmond</t>
        </is>
      </c>
      <c r="B69" s="20" t="inlineStr">
        <is>
          <t>VA</t>
        </is>
      </c>
      <c r="C69" s="42" t="n">
        <v>5.9</v>
      </c>
      <c r="D69" t="inlineStr">
        <is>
          <t>Endowment</t>
        </is>
      </c>
      <c r="E69" s="20" t="n">
        <v>2025</v>
      </c>
      <c r="F69" s="20">
        <f>IF(AND(OR(in_Mode="All Funds",AND(C69&gt;=in_BandFloor,C69&lt;=in_BandCeiling,OR(in_Geography="National",COUNTIFS(lst_GeoPreset,in_Geography,lst_GeoState,B69)&gt;0,AND(in_Geography="Custom",ISNUMBER(SEARCH(B69,SUBSTITUTE(in_CustomStates," ",""))))),OR(AND(D69="Endowment",Inputs!$B$14="Y"),AND(D69="Foundation",Inputs!$B$15="Y"),AND(D69="Healthcare",Inputs!$B$16="Y"),AND(D69="Pension",Inputs!$B$17="Y"),AND(D69="OCIO",Inputs!$B$18="Y"),AND(D69="Other",Inputs!$B$19="Y")))),A69&lt;&gt;in_ClientOrg,NOT(AND(in_ExclHarvard="Y",ISNUMBER(SEARCH("Harvard",A69))))),"Y","")</f>
        <v/>
      </c>
      <c r="G69" t="inlineStr">
        <is>
          <t>Jonathan Moore</t>
        </is>
      </c>
      <c r="H69" t="inlineStr">
        <is>
          <t>Chief Administrative Off, SMC</t>
        </is>
      </c>
      <c r="I69" t="inlineStr">
        <is>
          <t>COO (Inv Entity)</t>
        </is>
      </c>
      <c r="J69" s="21" t="n">
        <v>393333</v>
      </c>
      <c r="K69" s="21" t="n">
        <v>301432</v>
      </c>
      <c r="L69" s="21" t="n">
        <v>694765</v>
      </c>
      <c r="M69" s="21" t="n">
        <v>1453</v>
      </c>
      <c r="N69" s="21" t="n">
        <v>34500</v>
      </c>
      <c r="O69" s="21" t="n">
        <v>1028</v>
      </c>
      <c r="P69" s="21" t="n">
        <v>731746</v>
      </c>
      <c r="Q69" s="21" t="n">
        <v>731746</v>
      </c>
      <c r="R69" s="21">
        <f>IF(Q69="","",Q69*(1+in_GrowthRate)^(YEARFRAC(DATE(2025,6,30),in_AgeToDate)*IF(in_AgeToDate&lt;DATE(2025,6,30),-1,1)+1))</f>
        <v/>
      </c>
      <c r="S69" s="38" t="n">
        <v>0.7663531918247388</v>
      </c>
      <c r="T69" s="43">
        <f>HYPERLINK("https://projects.propublica.org/nonprofits/organizations/540505965/202621349349310067/full","view filing")</f>
        <v/>
      </c>
    </row>
    <row r="70">
      <c r="A70" t="inlineStr">
        <is>
          <t>University Of Virginia Investment Management Company</t>
        </is>
      </c>
      <c r="B70" s="20" t="inlineStr">
        <is>
          <t>VA</t>
        </is>
      </c>
      <c r="C70" s="42" t="n">
        <v>15.5</v>
      </c>
      <c r="D70" t="inlineStr">
        <is>
          <t>Endowment</t>
        </is>
      </c>
      <c r="E70" s="20" t="n">
        <v>2025</v>
      </c>
      <c r="F70" s="20">
        <f>IF(AND(OR(in_Mode="All Funds",AND(C70&gt;=in_BandFloor,C70&lt;=in_BandCeiling,OR(in_Geography="National",COUNTIFS(lst_GeoPreset,in_Geography,lst_GeoState,B70)&gt;0,AND(in_Geography="Custom",ISNUMBER(SEARCH(B70,SUBSTITUTE(in_CustomStates," ",""))))),OR(AND(D70="Endowment",Inputs!$B$14="Y"),AND(D70="Foundation",Inputs!$B$15="Y"),AND(D70="Healthcare",Inputs!$B$16="Y"),AND(D70="Pension",Inputs!$B$17="Y"),AND(D70="OCIO",Inputs!$B$18="Y"),AND(D70="Other",Inputs!$B$19="Y")))),A70&lt;&gt;in_ClientOrg,NOT(AND(in_ExclHarvard="Y",ISNUMBER(SEARCH("Harvard",A70))))),"Y","")</f>
        <v/>
      </c>
      <c r="G70" t="inlineStr">
        <is>
          <t>Allison P Gillam</t>
        </is>
      </c>
      <c r="H70" t="inlineStr">
        <is>
          <t>CHIEF FINANCIAL OFFICER</t>
        </is>
      </c>
      <c r="I70" t="inlineStr">
        <is>
          <t>CFO (Inv Entity)</t>
        </is>
      </c>
      <c r="J70" s="21" t="n">
        <v>351182</v>
      </c>
      <c r="K70" s="21" t="n">
        <v>325000</v>
      </c>
      <c r="L70" s="21" t="n">
        <v>676182</v>
      </c>
      <c r="M70" s="21" t="n">
        <v>297037</v>
      </c>
      <c r="N70" s="21" t="n">
        <v>185880</v>
      </c>
      <c r="O70" s="21" t="n">
        <v>34318</v>
      </c>
      <c r="P70" s="21" t="n">
        <v>1193417</v>
      </c>
      <c r="Q70" s="21" t="n">
        <v>911750</v>
      </c>
      <c r="R70" s="21">
        <f>IF(Q70="","",Q70*(1+in_GrowthRate)^(YEARFRAC(DATE(2025,6,30),in_AgeToDate)*IF(in_AgeToDate&lt;DATE(2025,6,30),-1,1)+1))</f>
        <v/>
      </c>
      <c r="S70" s="38" t="n">
        <v>0.9254460650033316</v>
      </c>
      <c r="T70" s="43">
        <f>HYPERLINK("https://projects.propublica.org/nonprofits/organizations/562462804/202611359349306486/full","view filing")</f>
        <v/>
      </c>
    </row>
    <row r="71">
      <c r="A71" t="inlineStr">
        <is>
          <t>University Of Virginia Investment Management Company</t>
        </is>
      </c>
      <c r="B71" s="20" t="inlineStr">
        <is>
          <t>VA</t>
        </is>
      </c>
      <c r="C71" s="42" t="n">
        <v>15.5</v>
      </c>
      <c r="D71" t="inlineStr">
        <is>
          <t>Endowment</t>
        </is>
      </c>
      <c r="E71" s="20" t="n">
        <v>2025</v>
      </c>
      <c r="F71" s="20">
        <f>IF(AND(OR(in_Mode="All Funds",AND(C71&gt;=in_BandFloor,C71&lt;=in_BandCeiling,OR(in_Geography="National",COUNTIFS(lst_GeoPreset,in_Geography,lst_GeoState,B71)&gt;0,AND(in_Geography="Custom",ISNUMBER(SEARCH(B71,SUBSTITUTE(in_CustomStates," ",""))))),OR(AND(D71="Endowment",Inputs!$B$14="Y"),AND(D71="Foundation",Inputs!$B$15="Y"),AND(D71="Healthcare",Inputs!$B$16="Y"),AND(D71="Pension",Inputs!$B$17="Y"),AND(D71="OCIO",Inputs!$B$18="Y"),AND(D71="Other",Inputs!$B$19="Y")))),A71&lt;&gt;in_ClientOrg,NOT(AND(in_ExclHarvard="Y",ISNUMBER(SEARCH("Harvard",A71))))),"Y","")</f>
        <v/>
      </c>
      <c r="G71" t="inlineStr">
        <is>
          <t>Blake A Fischer</t>
        </is>
      </c>
      <c r="H71" t="inlineStr">
        <is>
          <t>DIRECTOR OF TECHNOLOGY</t>
        </is>
      </c>
      <c r="I71" t="inlineStr">
        <is>
          <t>Technology Staff (Inv Entity)</t>
        </is>
      </c>
      <c r="J71" s="21" t="n">
        <v>276407</v>
      </c>
      <c r="K71" s="21" t="n">
        <v>325000</v>
      </c>
      <c r="L71" s="21" t="n">
        <v>601407</v>
      </c>
      <c r="M71" s="21" t="n">
        <v>1066</v>
      </c>
      <c r="N71" s="21" t="n">
        <v>31255</v>
      </c>
      <c r="O71" s="21" t="n">
        <v>29093</v>
      </c>
      <c r="P71" s="21" t="n">
        <v>662821</v>
      </c>
      <c r="Q71" s="21" t="n">
        <v>662821</v>
      </c>
      <c r="R71" s="21">
        <f>IF(Q71="","",Q71*(1+in_GrowthRate)^(YEARFRAC(DATE(2025,6,30),in_AgeToDate)*IF(in_AgeToDate&lt;DATE(2025,6,30),-1,1)+1))</f>
        <v/>
      </c>
      <c r="S71" s="38" t="n">
        <v>1.175802349433987</v>
      </c>
      <c r="T71" s="43">
        <f>HYPERLINK("https://projects.propublica.org/nonprofits/organizations/562462804/202611359349306486/full","view filing")</f>
        <v/>
      </c>
    </row>
    <row r="72">
      <c r="A72" t="inlineStr">
        <is>
          <t>University Of Virginia Investment Management Company</t>
        </is>
      </c>
      <c r="B72" s="20" t="inlineStr">
        <is>
          <t>VA</t>
        </is>
      </c>
      <c r="C72" s="42" t="n">
        <v>15.5</v>
      </c>
      <c r="D72" t="inlineStr">
        <is>
          <t>Endowment</t>
        </is>
      </c>
      <c r="E72" s="20" t="n">
        <v>2025</v>
      </c>
      <c r="F72" s="20">
        <f>IF(AND(OR(in_Mode="All Funds",AND(C72&gt;=in_BandFloor,C72&lt;=in_BandCeiling,OR(in_Geography="National",COUNTIFS(lst_GeoPreset,in_Geography,lst_GeoState,B72)&gt;0,AND(in_Geography="Custom",ISNUMBER(SEARCH(B72,SUBSTITUTE(in_CustomStates," ",""))))),OR(AND(D72="Endowment",Inputs!$B$14="Y"),AND(D72="Foundation",Inputs!$B$15="Y"),AND(D72="Healthcare",Inputs!$B$16="Y"),AND(D72="Pension",Inputs!$B$17="Y"),AND(D72="OCIO",Inputs!$B$18="Y"),AND(D72="Other",Inputs!$B$19="Y")))),A72&lt;&gt;in_ClientOrg,NOT(AND(in_ExclHarvard="Y",ISNUMBER(SEARCH("Harvard",A72))))),"Y","")</f>
        <v/>
      </c>
      <c r="G72" t="inlineStr">
        <is>
          <t>John M Winn</t>
        </is>
      </c>
      <c r="H72" t="inlineStr">
        <is>
          <t>GEN CNSL/CCO &amp; SECRETARY</t>
        </is>
      </c>
      <c r="I72" t="inlineStr">
        <is>
          <t>General Counsel (Inv Entity)</t>
        </is>
      </c>
      <c r="J72" s="21" t="n">
        <v>410062</v>
      </c>
      <c r="K72" s="21" t="n">
        <v>319167</v>
      </c>
      <c r="L72" s="21" t="n">
        <v>729229</v>
      </c>
      <c r="M72" s="21" t="n">
        <v>571869</v>
      </c>
      <c r="N72" s="21" t="n">
        <v>169213</v>
      </c>
      <c r="O72" s="21" t="n">
        <v>32938</v>
      </c>
      <c r="P72" s="21" t="n">
        <v>1503249</v>
      </c>
      <c r="Q72" s="21" t="n">
        <v>953249</v>
      </c>
      <c r="R72" s="21">
        <f>IF(Q72="","",Q72*(1+in_GrowthRate)^(YEARFRAC(DATE(2025,6,30),in_AgeToDate)*IF(in_AgeToDate&lt;DATE(2025,6,30),-1,1)+1))</f>
        <v/>
      </c>
      <c r="S72" s="38" t="n">
        <v>0.7783383976081666</v>
      </c>
      <c r="T72" s="43">
        <f>HYPERLINK("https://projects.propublica.org/nonprofits/organizations/562462804/202611359349306486/full","view filing")</f>
        <v/>
      </c>
    </row>
    <row r="73">
      <c r="A73" t="inlineStr">
        <is>
          <t>University Of Virginia Investment Management Company</t>
        </is>
      </c>
      <c r="B73" s="20" t="inlineStr">
        <is>
          <t>VA</t>
        </is>
      </c>
      <c r="C73" s="42" t="n">
        <v>15.5</v>
      </c>
      <c r="D73" t="inlineStr">
        <is>
          <t>Endowment</t>
        </is>
      </c>
      <c r="E73" s="20" t="n">
        <v>2024</v>
      </c>
      <c r="F73" s="20" t="inlineStr"/>
      <c r="G73" t="inlineStr">
        <is>
          <t>Allison P Gillam</t>
        </is>
      </c>
      <c r="H73" t="inlineStr">
        <is>
          <t>CHIEF FINANCIAL OFFICER</t>
        </is>
      </c>
      <c r="I73" t="inlineStr">
        <is>
          <t>CFO (Inv Entity)</t>
        </is>
      </c>
      <c r="J73" s="21" t="n">
        <v>326740</v>
      </c>
      <c r="K73" s="21" t="n">
        <v>356667</v>
      </c>
      <c r="L73" s="21" t="n">
        <v>683407</v>
      </c>
      <c r="M73" s="21" t="n">
        <v>87462</v>
      </c>
      <c r="N73" s="21" t="n">
        <v>247653</v>
      </c>
      <c r="O73" s="21" t="n">
        <v>32825</v>
      </c>
      <c r="P73" s="21" t="n">
        <v>1051347</v>
      </c>
      <c r="Q73" s="21" t="n">
        <v>991347</v>
      </c>
      <c r="R73" s="21">
        <f>IF(Q73="","",Q73*(1+in_GrowthRate)^(YEARFRAC(DATE(2024,6,30),in_AgeToDate)*IF(in_AgeToDate&lt;DATE(2024,6,30),-1,1)+1))</f>
        <v/>
      </c>
      <c r="S73" s="38" t="n">
        <v>1.091592703678766</v>
      </c>
      <c r="T73" s="43">
        <f>HYPERLINK("https://projects.propublica.org/nonprofits/organizations/562462804/202521359349304017/full","view filing")</f>
        <v/>
      </c>
    </row>
    <row r="74">
      <c r="A74" t="inlineStr">
        <is>
          <t>University Of Virginia Investment Management Company</t>
        </is>
      </c>
      <c r="B74" s="20" t="inlineStr">
        <is>
          <t>VA</t>
        </is>
      </c>
      <c r="C74" s="42" t="n">
        <v>15.5</v>
      </c>
      <c r="D74" t="inlineStr">
        <is>
          <t>Endowment</t>
        </is>
      </c>
      <c r="E74" s="20" t="n">
        <v>2024</v>
      </c>
      <c r="F74" s="20" t="inlineStr"/>
      <c r="G74" t="inlineStr">
        <is>
          <t>Blake A Fischer</t>
        </is>
      </c>
      <c r="H74" t="inlineStr">
        <is>
          <t>DIRECTOR OF TECHNOLOGY</t>
        </is>
      </c>
      <c r="I74" t="inlineStr">
        <is>
          <t>Technology Staff (Inv Entity)</t>
        </is>
      </c>
      <c r="J74" s="21" t="n">
        <v>261965</v>
      </c>
      <c r="K74" s="21" t="n">
        <v>300100</v>
      </c>
      <c r="L74" s="21" t="n">
        <v>562065</v>
      </c>
      <c r="M74" s="21" t="n">
        <v>1066</v>
      </c>
      <c r="N74" s="21" t="n">
        <v>29695</v>
      </c>
      <c r="O74" s="21" t="n">
        <v>27600</v>
      </c>
      <c r="P74" s="21" t="n">
        <v>620426</v>
      </c>
      <c r="Q74" s="21" t="n">
        <v>620426</v>
      </c>
      <c r="R74" s="21">
        <f>IF(Q74="","",Q74*(1+in_GrowthRate)^(YEARFRAC(DATE(2024,6,30),in_AgeToDate)*IF(in_AgeToDate&lt;DATE(2024,6,30),-1,1)+1))</f>
        <v/>
      </c>
      <c r="S74" s="38" t="n">
        <v>1.145572881873533</v>
      </c>
      <c r="T74" s="43">
        <f>HYPERLINK("https://projects.propublica.org/nonprofits/organizations/562462804/202521359349304017/full","view filing")</f>
        <v/>
      </c>
    </row>
    <row r="75">
      <c r="A75" t="inlineStr">
        <is>
          <t>University Of Virginia Investment Management Company</t>
        </is>
      </c>
      <c r="B75" s="20" t="inlineStr">
        <is>
          <t>VA</t>
        </is>
      </c>
      <c r="C75" s="42" t="n">
        <v>15.5</v>
      </c>
      <c r="D75" t="inlineStr">
        <is>
          <t>Endowment</t>
        </is>
      </c>
      <c r="E75" s="20" t="n">
        <v>2024</v>
      </c>
      <c r="F75" s="20" t="inlineStr"/>
      <c r="G75" t="inlineStr">
        <is>
          <t>John M Winn</t>
        </is>
      </c>
      <c r="H75" t="inlineStr">
        <is>
          <t>GEN CNSL/CCO &amp; SECRETARY</t>
        </is>
      </c>
      <c r="I75" t="inlineStr">
        <is>
          <t>General Counsel (Inv Entity)</t>
        </is>
      </c>
      <c r="J75" s="21" t="n">
        <v>385819</v>
      </c>
      <c r="K75" s="21" t="n"/>
      <c r="L75" s="21" t="n">
        <v>385819</v>
      </c>
      <c r="M75" s="21" t="n">
        <v>598965</v>
      </c>
      <c r="N75" s="21" t="n">
        <v>554320</v>
      </c>
      <c r="O75" s="21" t="n">
        <v>31246</v>
      </c>
      <c r="P75" s="21" t="n">
        <v>1570350</v>
      </c>
      <c r="Q75" s="21" t="n">
        <v>1155350</v>
      </c>
      <c r="R75" s="21">
        <f>IF(Q75="","",Q75*(1+in_GrowthRate)^(YEARFRAC(DATE(2024,6,30),in_AgeToDate)*IF(in_AgeToDate&lt;DATE(2024,6,30),-1,1)+1))</f>
        <v/>
      </c>
      <c r="S75" s="38" t="n">
        <v>0</v>
      </c>
      <c r="T75" s="43">
        <f>HYPERLINK("https://projects.propublica.org/nonprofits/organizations/562462804/202521359349304017/full","view filing")</f>
        <v/>
      </c>
    </row>
    <row r="76">
      <c r="A76" t="inlineStr">
        <is>
          <t>University Of Virginia Investment Management Company</t>
        </is>
      </c>
      <c r="B76" s="20" t="inlineStr">
        <is>
          <t>VA</t>
        </is>
      </c>
      <c r="C76" s="42" t="n">
        <v>15.5</v>
      </c>
      <c r="D76" t="inlineStr">
        <is>
          <t>Endowment</t>
        </is>
      </c>
      <c r="E76" s="20" t="n">
        <v>2023</v>
      </c>
      <c r="F76" s="20" t="inlineStr"/>
      <c r="G76" t="inlineStr">
        <is>
          <t>Allison P Gillam</t>
        </is>
      </c>
      <c r="H76" t="inlineStr">
        <is>
          <t>CHIEF FINANCIAL OFFICER</t>
        </is>
      </c>
      <c r="I76" t="inlineStr">
        <is>
          <t>CFO (Inv Entity)</t>
        </is>
      </c>
      <c r="J76" s="21" t="n">
        <v>287189</v>
      </c>
      <c r="K76" s="21" t="n">
        <v>250000</v>
      </c>
      <c r="L76" s="21" t="n">
        <v>537189</v>
      </c>
      <c r="M76" s="21" t="n">
        <v>1066</v>
      </c>
      <c r="N76" s="21" t="n">
        <v>281165</v>
      </c>
      <c r="O76" s="21" t="n">
        <v>31229</v>
      </c>
      <c r="P76" s="21" t="n">
        <v>850649</v>
      </c>
      <c r="Q76" s="21" t="n">
        <v>850649</v>
      </c>
      <c r="R76" s="21">
        <f>IF(Q76="","",Q76*(1+in_GrowthRate)^(YEARFRAC(DATE(2023,6,30),in_AgeToDate)*IF(in_AgeToDate&lt;DATE(2023,6,30),-1,1)+1))</f>
        <v/>
      </c>
      <c r="S76" s="38" t="n">
        <v>0.8705068787453558</v>
      </c>
      <c r="T76" s="43">
        <f>HYPERLINK("https://projects.propublica.org/nonprofits/organizations/562462804/202401359349311605/full","view filing")</f>
        <v/>
      </c>
    </row>
    <row r="77">
      <c r="A77" t="inlineStr">
        <is>
          <t>University Of Virginia Investment Management Company</t>
        </is>
      </c>
      <c r="B77" s="20" t="inlineStr">
        <is>
          <t>VA</t>
        </is>
      </c>
      <c r="C77" s="42" t="n">
        <v>15.5</v>
      </c>
      <c r="D77" t="inlineStr">
        <is>
          <t>Endowment</t>
        </is>
      </c>
      <c r="E77" s="20" t="n">
        <v>2023</v>
      </c>
      <c r="F77" s="20" t="inlineStr"/>
      <c r="G77" t="inlineStr">
        <is>
          <t>Blake A Fischer</t>
        </is>
      </c>
      <c r="H77" t="inlineStr">
        <is>
          <t>DIRECTOR OF TECHNOLOGY</t>
        </is>
      </c>
      <c r="I77" t="inlineStr">
        <is>
          <t>Technology Staff (Inv Entity)</t>
        </is>
      </c>
      <c r="J77" s="21" t="n">
        <v>247415</v>
      </c>
      <c r="K77" s="21" t="n">
        <v>255000</v>
      </c>
      <c r="L77" s="21" t="n">
        <v>502415</v>
      </c>
      <c r="M77" s="21" t="n">
        <v>1060</v>
      </c>
      <c r="N77" s="21" t="n">
        <v>27835</v>
      </c>
      <c r="O77" s="21" t="n">
        <v>25995</v>
      </c>
      <c r="P77" s="21" t="n">
        <v>557305</v>
      </c>
      <c r="Q77" s="21" t="n">
        <v>557305</v>
      </c>
      <c r="R77" s="21">
        <f>IF(Q77="","",Q77*(1+in_GrowthRate)^(YEARFRAC(DATE(2023,6,30),in_AgeToDate)*IF(in_AgeToDate&lt;DATE(2023,6,30),-1,1)+1))</f>
        <v/>
      </c>
      <c r="S77" s="38" t="n">
        <v>1.030656993310834</v>
      </c>
      <c r="T77" s="43">
        <f>HYPERLINK("https://projects.propublica.org/nonprofits/organizations/562462804/202401359349311605/full","view filing")</f>
        <v/>
      </c>
    </row>
    <row r="78">
      <c r="A78" t="inlineStr">
        <is>
          <t>University Of Virginia Investment Management Company</t>
        </is>
      </c>
      <c r="B78" s="20" t="inlineStr">
        <is>
          <t>VA</t>
        </is>
      </c>
      <c r="C78" s="42" t="n">
        <v>15.5</v>
      </c>
      <c r="D78" t="inlineStr">
        <is>
          <t>Endowment</t>
        </is>
      </c>
      <c r="E78" s="20" t="n">
        <v>2023</v>
      </c>
      <c r="F78" s="20" t="inlineStr"/>
      <c r="G78" t="inlineStr">
        <is>
          <t>John M Winn</t>
        </is>
      </c>
      <c r="H78" t="inlineStr">
        <is>
          <t>GEN CNSL/CCO &amp; SECRETARY</t>
        </is>
      </c>
      <c r="I78" t="inlineStr">
        <is>
          <t>General Counsel (Inv Entity)</t>
        </is>
      </c>
      <c r="J78" s="21" t="n">
        <v>359017</v>
      </c>
      <c r="K78" s="21" t="n">
        <v>750</v>
      </c>
      <c r="L78" s="21" t="n">
        <v>359767</v>
      </c>
      <c r="M78" s="21" t="n">
        <v>373440</v>
      </c>
      <c r="N78" s="21" t="n">
        <v>556720</v>
      </c>
      <c r="O78" s="21" t="n">
        <v>29401</v>
      </c>
      <c r="P78" s="21" t="n">
        <v>1319328</v>
      </c>
      <c r="Q78" s="21" t="n">
        <v>1069328</v>
      </c>
      <c r="R78" s="21">
        <f>IF(Q78="","",Q78*(1+in_GrowthRate)^(YEARFRAC(DATE(2023,6,30),in_AgeToDate)*IF(in_AgeToDate&lt;DATE(2023,6,30),-1,1)+1))</f>
        <v/>
      </c>
      <c r="S78" s="38" t="n">
        <v>0.002089037566466212</v>
      </c>
      <c r="T78" s="43">
        <f>HYPERLINK("https://projects.propublica.org/nonprofits/organizations/562462804/202401359349311605/full","view filing")</f>
        <v/>
      </c>
    </row>
    <row r="79">
      <c r="A79" t="inlineStr">
        <is>
          <t>University Of Virginia Investment Management Company</t>
        </is>
      </c>
      <c r="B79" s="20" t="inlineStr">
        <is>
          <t>VA</t>
        </is>
      </c>
      <c r="C79" s="42" t="n">
        <v>15.5</v>
      </c>
      <c r="D79" t="inlineStr">
        <is>
          <t>Endowment</t>
        </is>
      </c>
      <c r="E79" s="20" t="n">
        <v>2022</v>
      </c>
      <c r="F79" s="20" t="inlineStr"/>
      <c r="G79" t="inlineStr">
        <is>
          <t>Allison P Gillam</t>
        </is>
      </c>
      <c r="H79" t="inlineStr">
        <is>
          <t>CHIEF FINANCIAL OFFICER</t>
        </is>
      </c>
      <c r="I79" t="inlineStr">
        <is>
          <t>CFO (Inv Entity)</t>
        </is>
      </c>
      <c r="J79" s="21" t="n">
        <v>254040</v>
      </c>
      <c r="K79" s="21" t="n">
        <v>250000</v>
      </c>
      <c r="L79" s="21" t="n">
        <v>504040</v>
      </c>
      <c r="M79" s="21" t="n">
        <v>1718</v>
      </c>
      <c r="N79" s="21" t="n">
        <v>202040</v>
      </c>
      <c r="O79" s="21" t="n">
        <v>26560</v>
      </c>
      <c r="P79" s="21" t="n">
        <v>734358</v>
      </c>
      <c r="Q79" s="21" t="n">
        <v>734358</v>
      </c>
      <c r="R79" s="21">
        <f>IF(Q79="","",Q79*(1+in_GrowthRate)^(YEARFRAC(DATE(2022,6,30),in_AgeToDate)*IF(in_AgeToDate&lt;DATE(2022,6,30),-1,1)+1))</f>
        <v/>
      </c>
      <c r="S79" s="38" t="n">
        <v>0.9840969925995906</v>
      </c>
      <c r="T79" s="43">
        <f>HYPERLINK("https://projects.propublica.org/nonprofits/organizations/562462804/202321359349316167/full","view filing")</f>
        <v/>
      </c>
    </row>
    <row r="80">
      <c r="A80" t="inlineStr">
        <is>
          <t>University Of Virginia Investment Management Company</t>
        </is>
      </c>
      <c r="B80" s="20" t="inlineStr">
        <is>
          <t>VA</t>
        </is>
      </c>
      <c r="C80" s="42" t="n">
        <v>15.5</v>
      </c>
      <c r="D80" t="inlineStr">
        <is>
          <t>Endowment</t>
        </is>
      </c>
      <c r="E80" s="20" t="n">
        <v>2022</v>
      </c>
      <c r="F80" s="20" t="inlineStr"/>
      <c r="G80" t="inlineStr">
        <is>
          <t>Blake A Fischer</t>
        </is>
      </c>
      <c r="H80" t="inlineStr">
        <is>
          <t>DIRECTOR OF TECHNOLOGY</t>
        </is>
      </c>
      <c r="I80" t="inlineStr">
        <is>
          <t>Technology Staff (Inv Entity)</t>
        </is>
      </c>
      <c r="J80" s="21" t="n">
        <v>234789</v>
      </c>
      <c r="K80" s="21" t="n">
        <v>201900</v>
      </c>
      <c r="L80" s="21" t="n">
        <v>436689</v>
      </c>
      <c r="M80" s="21" t="n">
        <v>2379</v>
      </c>
      <c r="N80" s="21" t="n">
        <v>26460</v>
      </c>
      <c r="O80" s="21" t="n">
        <v>25776</v>
      </c>
      <c r="P80" s="21" t="n">
        <v>491304</v>
      </c>
      <c r="Q80" s="21" t="n">
        <v>491304</v>
      </c>
      <c r="R80" s="21">
        <f>IF(Q80="","",Q80*(1+in_GrowthRate)^(YEARFRAC(DATE(2022,6,30),in_AgeToDate)*IF(in_AgeToDate&lt;DATE(2022,6,30),-1,1)+1))</f>
        <v/>
      </c>
      <c r="S80" s="38" t="n">
        <v>0.859921035482923</v>
      </c>
      <c r="T80" s="43">
        <f>HYPERLINK("https://projects.propublica.org/nonprofits/organizations/562462804/202321359349316167/full","view filing")</f>
        <v/>
      </c>
    </row>
    <row r="81">
      <c r="A81" t="inlineStr">
        <is>
          <t>University Of Virginia Investment Management Company</t>
        </is>
      </c>
      <c r="B81" s="20" t="inlineStr">
        <is>
          <t>VA</t>
        </is>
      </c>
      <c r="C81" s="42" t="n">
        <v>15.5</v>
      </c>
      <c r="D81" t="inlineStr">
        <is>
          <t>Endowment</t>
        </is>
      </c>
      <c r="E81" s="20" t="n">
        <v>2022</v>
      </c>
      <c r="F81" s="20" t="inlineStr"/>
      <c r="G81" t="inlineStr">
        <is>
          <t>John M Winn</t>
        </is>
      </c>
      <c r="H81" t="inlineStr">
        <is>
          <t>GEN CNSL/CCO &amp; SECRETARY</t>
        </is>
      </c>
      <c r="I81" t="inlineStr">
        <is>
          <t>General Counsel (Inv Entity)</t>
        </is>
      </c>
      <c r="J81" s="21" t="n">
        <v>334186</v>
      </c>
      <c r="K81" s="21" t="n"/>
      <c r="L81" s="21" t="n">
        <v>334186</v>
      </c>
      <c r="M81" s="21" t="n">
        <v>389405</v>
      </c>
      <c r="N81" s="21" t="n">
        <v>580160</v>
      </c>
      <c r="O81" s="21" t="n">
        <v>28913</v>
      </c>
      <c r="P81" s="21" t="n">
        <v>1332664</v>
      </c>
      <c r="Q81" s="21" t="n">
        <v>1097664</v>
      </c>
      <c r="R81" s="21">
        <f>IF(Q81="","",Q81*(1+in_GrowthRate)^(YEARFRAC(DATE(2022,6,30),in_AgeToDate)*IF(in_AgeToDate&lt;DATE(2022,6,30),-1,1)+1))</f>
        <v/>
      </c>
      <c r="S81" s="38" t="n">
        <v>0</v>
      </c>
      <c r="T81" s="43">
        <f>HYPERLINK("https://projects.propublica.org/nonprofits/organizations/562462804/202321359349316167/full","view filing")</f>
        <v/>
      </c>
    </row>
    <row r="82">
      <c r="A82" t="inlineStr">
        <is>
          <t>Vcu Investment Management Company</t>
        </is>
      </c>
      <c r="B82" s="20" t="inlineStr">
        <is>
          <t>VA</t>
        </is>
      </c>
      <c r="C82" s="42" t="n">
        <v>2.89</v>
      </c>
      <c r="D82" t="inlineStr">
        <is>
          <t>Endowment</t>
        </is>
      </c>
      <c r="E82" s="20" t="n">
        <v>2023</v>
      </c>
      <c r="F82" s="20" t="inlineStr"/>
      <c r="G82" t="inlineStr">
        <is>
          <t>Michael Peltier</t>
        </is>
      </c>
      <c r="H82" t="inlineStr">
        <is>
          <t>SECRETARY</t>
        </is>
      </c>
      <c r="I82" t="inlineStr">
        <is>
          <t>Corporate Officer (Inv Entity)</t>
        </is>
      </c>
      <c r="J82" s="21" t="n">
        <v>206000</v>
      </c>
      <c r="K82" s="21" t="n">
        <v>105000</v>
      </c>
      <c r="L82" s="21" t="n">
        <v>311000</v>
      </c>
      <c r="M82" s="21" t="n"/>
      <c r="N82" s="21" t="n"/>
      <c r="O82" s="21" t="n">
        <v>41292</v>
      </c>
      <c r="P82" s="21" t="n">
        <v>352292</v>
      </c>
      <c r="Q82" s="21" t="n">
        <v>352292</v>
      </c>
      <c r="R82" s="21">
        <f>IF(Q82="","",Q82*(1+in_GrowthRate)^(YEARFRAC(DATE(2023,6,30),in_AgeToDate)*IF(in_AgeToDate&lt;DATE(2023,6,30),-1,1)+1))</f>
        <v/>
      </c>
      <c r="S82" s="38" t="n">
        <v>0.5097087378640777</v>
      </c>
      <c r="T82" s="43">
        <f>HYPERLINK("https://projects.propublica.org/nonprofits/organizations/474815851/202313149349304216/full","view filing")</f>
        <v/>
      </c>
    </row>
    <row r="83">
      <c r="A83" t="inlineStr">
        <is>
          <t>Vcu Investment Management Company</t>
        </is>
      </c>
      <c r="B83" s="20" t="inlineStr">
        <is>
          <t>VA</t>
        </is>
      </c>
      <c r="C83" s="42" t="n">
        <v>2.89</v>
      </c>
      <c r="D83" t="inlineStr">
        <is>
          <t>Endowment</t>
        </is>
      </c>
      <c r="E83" s="20" t="n">
        <v>2022</v>
      </c>
      <c r="F83" s="20" t="inlineStr"/>
      <c r="G83" t="inlineStr">
        <is>
          <t>Michael Peltier</t>
        </is>
      </c>
      <c r="H83" t="inlineStr">
        <is>
          <t>SECRETARY</t>
        </is>
      </c>
      <c r="I83" t="inlineStr">
        <is>
          <t>Corporate Officer (Inv Entity)</t>
        </is>
      </c>
      <c r="J83" s="21" t="n">
        <v>174500</v>
      </c>
      <c r="K83" s="21" t="n">
        <v>90000</v>
      </c>
      <c r="L83" s="21" t="n">
        <v>264500</v>
      </c>
      <c r="M83" s="21" t="n"/>
      <c r="N83" s="21" t="n"/>
      <c r="O83" s="21" t="n">
        <v>38031</v>
      </c>
      <c r="P83" s="21" t="n">
        <v>302531</v>
      </c>
      <c r="Q83" s="21" t="n">
        <v>302531</v>
      </c>
      <c r="R83" s="21">
        <f>IF(Q83="","",Q83*(1+in_GrowthRate)^(YEARFRAC(DATE(2022,6,30),in_AgeToDate)*IF(in_AgeToDate&lt;DATE(2022,6,30),-1,1)+1))</f>
        <v/>
      </c>
      <c r="S83" s="38" t="n">
        <v>0.5157593123209169</v>
      </c>
      <c r="T83" s="43">
        <f>HYPERLINK("https://projects.propublica.org/nonprofits/organizations/474815851/202213189349316616/full","view filing")</f>
        <v/>
      </c>
    </row>
    <row r="84"/>
  </sheetData>
  <autoFilter ref="A24:T83"/>
  <printOptions horizontalCentered="1"/>
  <pageMargins left="0.75" right="0.75" top="1" bottom="1" header="0.5" footer="0.5"/>
  <pageSetup orientation="landscape" fitToHeight="0" fitToWidth="1"/>
  <headerFooter>
    <oddHeader/>
    <oddFooter>&amp;LMichael Oak Advisors&amp;R&amp;P of &amp;N</oddFooter>
    <evenHeader/>
    <evenFooter/>
    <firstHeader/>
    <firstFooter/>
  </headerFooter>
</worksheet>
</file>

<file path=xl/worksheets/sheet10.xml><?xml version="1.0" encoding="utf-8"?>
<worksheet xmlns="http://schemas.openxmlformats.org/spreadsheetml/2006/main">
  <sheetPr>
    <tabColor rgb="001F3864"/>
    <outlinePr summaryBelow="1" summaryRight="1"/>
    <pageSetUpPr fitToPage="1"/>
  </sheetPr>
  <dimension ref="A1:D80"/>
  <sheetViews>
    <sheetView showGridLines="0" workbookViewId="0">
      <selection activeCell="A1" sqref="A1"/>
    </sheetView>
  </sheetViews>
  <sheetFormatPr baseColWidth="8" defaultRowHeight="15"/>
  <cols>
    <col width="30" customWidth="1" min="1" max="1"/>
    <col width="42" customWidth="1" min="2" max="2"/>
    <col width="58" customWidth="1" min="3" max="3"/>
    <col width="26" customWidth="1" min="4" max="4"/>
  </cols>
  <sheetData>
    <row r="1">
      <c r="A1" s="44" t="inlineStr">
        <is>
          <t>Methodology</t>
        </is>
      </c>
    </row>
    <row r="2">
      <c r="A2" s="19" t="inlineStr">
        <is>
          <t>Non-Profit (990) Explorer · IRS Form 990 and 990-PF · 235 organizations · 1,952 person-years · snapshot 990-2026-09-19-a2a77f85</t>
        </is>
      </c>
    </row>
    <row r="3"/>
    <row r="4">
      <c r="A4" s="45" t="inlineStr">
        <is>
          <t>Before you start</t>
        </is>
      </c>
    </row>
    <row r="5" ht="30" customHeight="1">
      <c r="A5" s="46" t="inlineStr">
        <is>
          <t>Excel 365 or Excel 2021. The statistics use FILTER and dynamic arrays, which Excel 2019 and earlier do not have — they will show #NAME? instead of a number, and a Google Sheets round-trip will not preserve them either.</t>
        </is>
      </c>
    </row>
    <row r="6" ht="30" customHeight="1">
      <c r="A6" s="46" t="inlineStr">
        <is>
          <t>Give it a moment on opening and after each change to Inputs. Every statistic is live, so the whole file re-cuts itself.</t>
        </is>
      </c>
    </row>
    <row r="7" ht="30" customHeight="1">
      <c r="A7" s="46" t="inlineStr">
        <is>
          <t>Set the peer group on Inputs. The shaded cells there are the only editable cells in the workbook; everything else is generated, so rebuild rather than edit.</t>
        </is>
      </c>
    </row>
    <row r="8" ht="30" customHeight="1">
      <c r="A8" s="46" t="inlineStr">
        <is>
          <t>Name your organization on Inputs and it is excluded from every market statistic and shown beside them instead.</t>
        </is>
      </c>
    </row>
    <row r="9" ht="30" customHeight="1">
      <c r="A9" s="46" t="inlineStr">
        <is>
          <t>Read Summary for the one-page view, or open the tab for a single job. On a job tab the market ladder is on top and the organizations behind it are underneath — filter Include = "Y" for the peer set.</t>
        </is>
      </c>
    </row>
    <row r="10" ht="30" customHeight="1">
      <c r="A10" s="46" t="inlineStr">
        <is>
          <t>Every figure here is public, taken from filed returns. Nothing comes from a compensation survey and no survey data was used to build it.</t>
        </is>
      </c>
    </row>
    <row r="11" ht="30" customHeight="1">
      <c r="A11" s="46" t="inlineStr">
        <is>
          <t>Caution: Form 990 pay is disclosed to satisfy IRC requirements, not to compare compensation. It is not a substitute for standardized industry compensation surveys.</t>
        </is>
      </c>
    </row>
    <row r="12"/>
    <row r="13">
      <c r="A13" s="45" t="inlineStr">
        <is>
          <t>Current peer set</t>
        </is>
      </c>
      <c r="B13" s="14">
        <f>IF(Inputs!$D$4="All Funds","All Funds"&amp;IF(Inputs!$B$11="Y"," (excl. Harvard)","")&amp;IF(Inputs!$B$21&lt;&gt;""," (excl. "&amp;Inputs!$B$21&amp;")","")&amp;" | Aged to "&amp;TEXT(Inputs!$B$24,"mmm d, yyyy")&amp;" at "&amp;TEXT(Inputs!$B$25,"0%"),Inputs!$B$8&amp;" | AUM $"&amp;TEXT(Inputs!$F$5,"0.0")&amp;"B to $"&amp;TEXT(Inputs!$F$6,"0.0")&amp;"B"&amp;IF(Inputs!$B$7="Absolute ($B)",""," ("&amp;TEXT(Inputs!$B$5,"0.0#")&amp;"x to "&amp;TEXT(Inputs!$B$6,"0.0#")&amp;"x your AUM)")&amp;" | Aged to "&amp;TEXT(Inputs!$B$24,"mmm d, yyyy")&amp;" at "&amp;TEXT(Inputs!$B$25,"0%")&amp;IF(Inputs!$B$11="Y"," | excl. Harvard","")&amp;IF(Inputs!$B$21&lt;&gt;""," | excl. "&amp;Inputs!$B$21,""))</f>
        <v/>
      </c>
    </row>
    <row r="14"/>
    <row r="15">
      <c r="A15" s="45" t="inlineStr">
        <is>
          <t>Definitions — what each figure is on the return</t>
        </is>
      </c>
    </row>
    <row r="16" ht="22" customHeight="1">
      <c r="A16" s="47" t="inlineStr">
        <is>
          <t>Figure</t>
        </is>
      </c>
      <c r="B16" s="47" t="inlineStr">
        <is>
          <t>990 line reference</t>
        </is>
      </c>
      <c r="C16" s="47" t="inlineStr">
        <is>
          <t>Derivation</t>
        </is>
      </c>
      <c r="D16" s="47" t="inlineStr">
        <is>
          <t>Basis</t>
        </is>
      </c>
    </row>
    <row r="17" ht="30" customHeight="1">
      <c r="A17" s="48" t="inlineStr">
        <is>
          <t>Base salary</t>
        </is>
      </c>
      <c r="B17" s="49" t="inlineStr">
        <is>
          <t>Schedule J, Part II, column (B)(i)</t>
        </is>
      </c>
      <c r="C17" s="49" t="inlineStr">
        <is>
          <t>As reported</t>
        </is>
      </c>
      <c r="D17" s="49" t="inlineStr">
        <is>
          <t>Schedule J filers only</t>
        </is>
      </c>
    </row>
    <row r="18" ht="30" customHeight="1">
      <c r="A18" s="48" t="inlineStr">
        <is>
          <t>Incentive / bonus</t>
        </is>
      </c>
      <c r="B18" s="49" t="inlineStr">
        <is>
          <t>Schedule J, Part II, column (B)(ii)</t>
        </is>
      </c>
      <c r="C18" s="49" t="inlineStr">
        <is>
          <t>As reported</t>
        </is>
      </c>
      <c r="D18" s="49" t="inlineStr">
        <is>
          <t>Schedule J filers only</t>
        </is>
      </c>
    </row>
    <row r="19" ht="30" customHeight="1">
      <c r="A19" s="48" t="inlineStr">
        <is>
          <t>Other reportable</t>
        </is>
      </c>
      <c r="B19" s="49" t="inlineStr">
        <is>
          <t>Schedule J, Part II, column (B)(iii)</t>
        </is>
      </c>
      <c r="C19" s="49" t="inlineStr">
        <is>
          <t>As reported</t>
        </is>
      </c>
      <c r="D19" s="49" t="inlineStr">
        <is>
          <t>Schedule J filers only</t>
        </is>
      </c>
    </row>
    <row r="20" ht="30" customHeight="1">
      <c r="A20" s="48" t="inlineStr">
        <is>
          <t>Deferred</t>
        </is>
      </c>
      <c r="B20" s="49" t="inlineStr">
        <is>
          <t>Schedule J, Part II, column (C)</t>
        </is>
      </c>
      <c r="C20" s="49" t="inlineStr">
        <is>
          <t>Retirement and other deferred compensation</t>
        </is>
      </c>
      <c r="D20" s="49" t="inlineStr">
        <is>
          <t>Schedule J filers only</t>
        </is>
      </c>
    </row>
    <row r="21" ht="30" customHeight="1">
      <c r="A21" s="48" t="inlineStr">
        <is>
          <t>Nontaxable benefits</t>
        </is>
      </c>
      <c r="B21" s="49" t="inlineStr">
        <is>
          <t>Schedule J, Part II, column (D)</t>
        </is>
      </c>
      <c r="C21" s="49" t="inlineStr">
        <is>
          <t>As reported</t>
        </is>
      </c>
      <c r="D21" s="49" t="inlineStr">
        <is>
          <t>Schedule J filers only</t>
        </is>
      </c>
    </row>
    <row r="22" ht="30" customHeight="1">
      <c r="A22" s="48" t="inlineStr">
        <is>
          <t>Total cash</t>
        </is>
      </c>
      <c r="B22" s="49" t="inlineStr">
        <is>
          <t>Schedule J (B)(i) + (B)(ii)</t>
        </is>
      </c>
      <c r="C22" s="49" t="inlineStr">
        <is>
          <t>Base plus incentive, per person</t>
        </is>
      </c>
      <c r="D22" s="49" t="inlineStr">
        <is>
          <t>Schedule J filers only</t>
        </is>
      </c>
    </row>
    <row r="23" ht="30" customHeight="1">
      <c r="A23" s="48" t="inlineStr">
        <is>
          <t>Total compensation</t>
        </is>
      </c>
      <c r="B23" s="49" t="inlineStr">
        <is>
          <t>Schedule J column (E)</t>
        </is>
      </c>
      <c r="C23" s="49" t="inlineStr">
        <is>
          <t>Sum of (B)(i) through (D). Where no Schedule J was filed: Part VII (D)+(F). For a private foundation: 990-PF Part VII (c)+(d), which carries no expense-account column (e).</t>
        </is>
      </c>
      <c r="D23" s="49" t="inlineStr">
        <is>
          <t>All filers — the available columns differ by form type</t>
        </is>
      </c>
    </row>
    <row r="24" ht="30" customHeight="1">
      <c r="A24" s="48" t="inlineStr">
        <is>
          <t>Adjusted total</t>
        </is>
      </c>
      <c r="B24" s="49" t="inlineStr">
        <is>
          <t>Schedule J column (E) less column (F)</t>
        </is>
      </c>
      <c r="C24" s="49" t="inlineStr">
        <is>
          <t>Removes compensation already reported as deferred on a prior return, so a deferral is not counted once when set aside and again when paid</t>
        </is>
      </c>
      <c r="D24" s="49" t="inlineStr">
        <is>
          <t>All filers</t>
        </is>
      </c>
    </row>
    <row r="25" ht="30" customHeight="1">
      <c r="A25" s="48" t="inlineStr">
        <is>
          <t>Adjusted total, aged</t>
        </is>
      </c>
      <c r="B25" s="49" t="inlineStr">
        <is>
          <t>—</t>
        </is>
      </c>
      <c r="C25" s="49" t="inlineStr">
        <is>
          <t>Adjusted total × (1 + growth rate) ^ (YEARFRAC(the filing's own fiscal year end, the Age to Date on Inputs) + 1). The added year anchors ageing one year before the fiscal year end, because pay reported for a fiscal year is earned across that year</t>
        </is>
      </c>
      <c r="D25" s="49" t="inlineStr">
        <is>
          <t>All filers</t>
        </is>
      </c>
    </row>
    <row r="26" ht="30" customHeight="1">
      <c r="A26" s="48" t="inlineStr">
        <is>
          <t>Incentive as % of base</t>
        </is>
      </c>
      <c r="B26" s="49" t="inlineStr">
        <is>
          <t>Schedule J (B)(ii) ÷ (B)(i)</t>
        </is>
      </c>
      <c r="C26" s="49" t="inlineStr">
        <is>
          <t>Taken per person, then summarised. Not the ratio of the two medians, which is a different and smaller number</t>
        </is>
      </c>
      <c r="D26" s="49" t="inlineStr">
        <is>
          <t>Schedule J filers only</t>
        </is>
      </c>
    </row>
    <row r="27" ht="30" customHeight="1">
      <c r="A27" s="48" t="inlineStr">
        <is>
          <t>% of CIO</t>
        </is>
      </c>
      <c r="B27" s="49" t="inlineStr">
        <is>
          <t>—</t>
        </is>
      </c>
      <c r="C27" s="49" t="inlineStr">
        <is>
          <t>Pay against the top job in the same organization and year, whatever the peer filter. An internal ratio, so it is shown even for an organization excluded from the market — including your own</t>
        </is>
      </c>
      <c r="D27" s="49" t="inlineStr">
        <is>
          <t>All filers</t>
        </is>
      </c>
    </row>
    <row r="28"/>
    <row r="29">
      <c r="A29" s="45" t="inlineStr">
        <is>
          <t>Limitations that follow from those definitions</t>
        </is>
      </c>
    </row>
    <row r="30" ht="22" customHeight="1">
      <c r="A30" s="47" t="inlineStr">
        <is>
          <t>Limitation</t>
        </is>
      </c>
      <c r="B30" s="47" t="inlineStr">
        <is>
          <t>Why it follows</t>
        </is>
      </c>
    </row>
    <row r="31" ht="42" customHeight="1">
      <c r="A31" s="48" t="inlineStr">
        <is>
          <t>There is no target or maximum</t>
        </is>
      </c>
      <c r="B31" s="49" t="inlineStr">
        <is>
          <t>The return records amounts PAID, not opportunity. No line reports a target or maximum award, so incentive against target cannot be derived at any price. A bonus earned in one year and paid in the next appears in the year it was paid.</t>
        </is>
      </c>
    </row>
    <row r="32" ht="42" customHeight="1">
      <c r="A32" s="48" t="inlineStr">
        <is>
          <t>The pay year is not the fiscal year</t>
        </is>
      </c>
      <c r="B32" s="49" t="inlineStr">
        <is>
          <t>Compensation is reported for the calendar year ending with or within the organization's tax year, even where its fiscal year is not the calendar year. A June year-end filer's compensation figures are still calendar-year amounts, and they are a year older than the fiscal year printed on the return. Not all of it is W-2 pay: column (B) is reportable compensation, column (C) is retirement and other deferred compensation, and column (D) is nontaxable benefits.</t>
        </is>
      </c>
    </row>
    <row r="33" ht="42" customHeight="1">
      <c r="A33" s="48" t="inlineStr">
        <is>
          <t>The (F) adjustment is not available on every filer</t>
        </is>
      </c>
      <c r="B33" s="49" t="inlineStr">
        <is>
          <t>The adjusted total removes column (F), deferred compensation already reported on an earlier return. Form 990-PF has no column (F), so no private foundation record can carry that adjustment, while 990-PF column (c) expressly includes current-year payments of amounts reported as deferred in a prior year. Foundation records are therefore less adjusted than Schedule J records, not differently adjusted.</t>
        </is>
      </c>
    </row>
    <row r="34" ht="42" customHeight="1">
      <c r="A34" s="48" t="inlineStr">
        <is>
          <t>The year label is the tax period's END year</t>
        </is>
      </c>
      <c r="B34" s="49" t="inlineStr">
        <is>
          <t>A row's year is the calendar year in which the organization's tax period ended, on every record without exception. For a June year-end filer, FY2025 means the period that closed 30 June 2025 and carries calendar 2024 compensation. The label is not the IRS form year and not the filing date.</t>
        </is>
      </c>
    </row>
    <row r="35" ht="42" customHeight="1">
      <c r="A35" s="48" t="inlineStr">
        <is>
          <t>Schedule J rows are broader than Part VII rows</t>
        </is>
      </c>
      <c r="B35" s="49" t="inlineStr">
        <is>
          <t>Where a filer files Schedule J, amounts excluded from Part VII under the two $10,000 exceptions are added back, so the same person's compensation can total higher on Schedule J than on Part VII. Records from the two sources sit in the same benchmarks, and no formula choice removes that difference.</t>
        </is>
      </c>
    </row>
    <row r="36" ht="42" customHeight="1">
      <c r="A36" s="48" t="inlineStr">
        <is>
          <t>The current year is never present</t>
        </is>
      </c>
      <c r="B36" s="49" t="inlineStr">
        <is>
          <t>The most recent return available is the fiscal year that closed.</t>
        </is>
      </c>
    </row>
    <row r="37" ht="42" customHeight="1">
      <c r="A37" s="48" t="inlineStr">
        <is>
          <t>The form itself truncates the title on 990-PF</t>
        </is>
      </c>
      <c r="B37" s="49" t="inlineStr">
        <is>
          <t>The IRS e-file schema limits the title field on Form 990-PF Part VII to twenty characters, and the return arrives already cut: the Packard Foundation's filing carries the literal string 'INVESTMENTS ASSOCIAT'. It is not a parsing fault: the raw XML carries the cut. A truncated title cannot be classified with confidence, and nothing recovers what the form did not carry. The share of 990-PF records affected is computed on the methodology page.</t>
        </is>
      </c>
    </row>
    <row r="38" ht="42" customHeight="1">
      <c r="A38" s="48" t="inlineStr">
        <is>
          <t>Subtracting (F) understates anyone new to a filing</t>
        </is>
      </c>
      <c r="B38" s="49" t="inlineStr">
        <is>
          <t>The adjusted total removes column (F), deferred compensation reported in an earlier year, so that a payout is not counted twice. Where the person does not appear in the prior year's return for that organization, the deferral was never in any published figure and removing it takes away pay that was earned. The cause is the disclosure threshold: a filer names its five highest paid over $100,000, so anyone crossing into disclosure while carrying a vesting award is understated by construction. The records affected are counted on the methodology page.</t>
        </is>
      </c>
    </row>
    <row r="39" ht="42" customHeight="1">
      <c r="A39" s="48" t="inlineStr">
        <is>
          <t>Components carry a smaller sample than totals</t>
        </is>
      </c>
      <c r="B39" s="49" t="inlineStr">
        <is>
          <t>Only Schedule J breaks the total apart, and it is filed only above the reporting threshold. A Part VII-only filer has a total and no components. Every row states which basis it is on.</t>
        </is>
      </c>
    </row>
    <row r="40" ht="42" customHeight="1">
      <c r="A40" s="48" t="inlineStr">
        <is>
          <t>Not everyone is disclosed</t>
        </is>
      </c>
      <c r="B40" s="49" t="inlineStr">
        <is>
          <t>Officers, directors, trustees, key employees and the five highest-paid employees over $100,000 — not the whole team. Aggregate staff cost is therefore not comparable between organizations and is not shown.</t>
        </is>
      </c>
    </row>
    <row r="41" ht="42" customHeight="1">
      <c r="A41" s="48" t="inlineStr">
        <is>
          <t>Related-organization pay may be reported twice</t>
        </is>
      </c>
      <c r="B41" s="49" t="inlineStr">
        <is>
          <t>Part VII column (E) carries compensation from related organizations, which a parent and a subsidiary may each report. Where a person is visible only through a related organization, that figure is used once and never added to a filer's own.</t>
        </is>
      </c>
    </row>
    <row r="42" ht="42" customHeight="1">
      <c r="A42" s="48" t="inlineStr">
        <is>
          <t>AUM is assembled, not reported</t>
        </is>
      </c>
      <c r="B42" s="49" t="inlineStr">
        <is>
          <t>No Form 990 states assets under management. The figure is taken from the best available source per organization — NACUBO, a published AUM figure, the return's own investment lines (Form 990 Part X lines 2, 11 and 12; Form 990-PF Part II lines 2 and 10a–13 at fair market value), or the balance sheet as a last resort — and the basis is published for every organization on Peer Orgs. A balance-sheet figure is a whole institution, not a managed pool, and is flagged as such. Where an organization reports to NACUBO as well, its Part X investment lines run modestly above the NACUBO endowment figure, in one hump rather than two: Part X captures board-designated and other invested funds that NACUBO's narrower endowment definition excludes. The current ratio is computed at each build and shown on the methodology page.</t>
        </is>
      </c>
    </row>
    <row r="43" ht="42" customHeight="1">
      <c r="A43" s="48" t="inlineStr">
        <is>
          <t>The investment lines are the filer's, not the chief investment officer's</t>
        </is>
      </c>
      <c r="B43" s="49" t="inlineStr">
        <is>
          <t>Form 990 Part X does not say who manages what it lists. For a health system, 'other securities' can commingle the investment office's pool with a self-insurance trust and trustee-held bond reserves that a treasury or risk function runs, and a defined-benefit pension trust that a separate fiduciary committee runs. None of these is itemized on the return, so none is netted out; a hospital's figure may credit its CIO with assets another committee governs. It can be tested against an external source only where a health system also reports to NACUBO or P&amp;I; the methodology page names which do. Defined-contribution plan assets are never included, because they are participant-directed and do not appear on the filer's balance sheet.</t>
        </is>
      </c>
    </row>
    <row r="44" ht="42" customHeight="1">
      <c r="A44" s="48" t="inlineStr">
        <is>
          <t>Program-related investments are excluded for one filer type only</t>
        </is>
      </c>
      <c r="B44" s="49" t="inlineStr">
        <is>
          <t>Form 990 gives program-related investments their own line (Part X line 13), which is excluded as mission lending. Form 990-PF does not: they sit inside 'investments — other' (Part II line 13) with everything else, and the itemized schedule names them only when the filer chooses to; few do, and the largest PRI programmes name none. So a private foundation's figure may retain program-related dollars that a public charity's does not. The asymmetry is the form's.</t>
        </is>
      </c>
    </row>
    <row r="45"/>
    <row r="46">
      <c r="A46" s="45" t="inlineStr">
        <is>
          <t>When a statistic is calculated</t>
        </is>
      </c>
    </row>
    <row r="47" ht="30" customHeight="1">
      <c r="A47" s="46" t="inlineStr">
        <is>
          <t>Median and average are shown from k_MinMedian (2) people. P25, P75, P90 and the percentile rank are shown from k_MinQuartile (5). Both are named cells on the Lists sheet, and every formula in the workbook quotes the name — so this page cannot describe a rule the file is not applying.</t>
        </is>
      </c>
    </row>
    <row r="48" ht="30" customHeight="1">
      <c r="A48" s="46" t="inlineStr">
        <is>
          <t>A blank market cell is a sample too small for that statistic, never a zero. The records themselves always show, at every sample size.</t>
        </is>
      </c>
    </row>
    <row r="49" ht="30" customHeight="1">
      <c r="A49" s="46" t="inlineStr">
        <is>
          <t>Every row reports the number of organizations as well as the number of people. A median over one included organization is that organization's AUM wearing the word market. The count is shown, not enforced — you judge it.</t>
        </is>
      </c>
    </row>
    <row r="50" ht="30" customHeight="1">
      <c r="A50" s="46" t="inlineStr">
        <is>
          <t>Your own organization is excluded from every market figure it is compared against.</t>
        </is>
      </c>
    </row>
    <row r="51"/>
    <row r="52">
      <c r="A52" s="45" t="inlineStr">
        <is>
          <t>Estimated quartiles (columns marked 1)</t>
        </is>
      </c>
    </row>
    <row r="53" ht="44" customHeight="1">
      <c r="A53" s="46" t="inlineStr">
        <is>
          <t>Where a row has a median but fewer than k_MinQuartile (5) people, the Est. P25 / P75 / P90 columns show the median times a ratio measured on 106 endowments and foundations with assets of $2b or more (314 records), by job family and pay element. Italic, and never the median. The ratios are named cells on Lists (k_Est_*) and are recomputed at every build.</t>
        </is>
      </c>
    </row>
    <row r="54" ht="22" customHeight="1">
      <c r="A54" s="47" t="inlineStr">
        <is>
          <t>Pay element</t>
        </is>
      </c>
      <c r="B54" s="47" t="inlineStr">
        <is>
          <t>Job family</t>
        </is>
      </c>
      <c r="C54" s="47" t="inlineStr">
        <is>
          <t>P25 / P75 / P90 as a multiple of the median</t>
        </is>
      </c>
    </row>
    <row r="55">
      <c r="A55" t="inlineStr">
        <is>
          <t>adjusted total</t>
        </is>
      </c>
      <c r="B55" t="inlineStr">
        <is>
          <t>Heads of office</t>
        </is>
      </c>
      <c r="C55" t="inlineStr">
        <is>
          <t>0.70 / 1.90 / 3.16</t>
        </is>
      </c>
    </row>
    <row r="56">
      <c r="A56" t="inlineStr">
        <is>
          <t>adjusted total</t>
        </is>
      </c>
      <c r="B56" t="inlineStr">
        <is>
          <t>Investment staff</t>
        </is>
      </c>
      <c r="C56" t="inlineStr">
        <is>
          <t>0.74 / 1.26 / 1.94</t>
        </is>
      </c>
    </row>
    <row r="57">
      <c r="A57" t="inlineStr">
        <is>
          <t>base salary</t>
        </is>
      </c>
      <c r="B57" t="inlineStr">
        <is>
          <t>Heads of office</t>
        </is>
      </c>
      <c r="C57" t="inlineStr">
        <is>
          <t>0.77 / 1.41 / 1.56</t>
        </is>
      </c>
    </row>
    <row r="58">
      <c r="A58" t="inlineStr">
        <is>
          <t>base salary</t>
        </is>
      </c>
      <c r="B58" t="inlineStr">
        <is>
          <t>Investment staff</t>
        </is>
      </c>
      <c r="C58" t="inlineStr">
        <is>
          <t>0.86 / 1.18 / 1.59</t>
        </is>
      </c>
    </row>
    <row r="59"/>
    <row r="60">
      <c r="A60" s="45" t="inlineStr">
        <is>
          <t>Tiers and role groups</t>
        </is>
      </c>
    </row>
    <row r="61" ht="30" customHeight="1">
      <c r="A61" s="46" t="inlineStr">
        <is>
          <t>Three of the four tiers are the same population as a role group under a second name; one is a true roll-up. The tiers exist for the derived blocks on Summary, which need the grouping. Levels are published once, in the job view.</t>
        </is>
      </c>
    </row>
    <row r="62"/>
    <row r="63" ht="22" customHeight="1">
      <c r="A63" s="47" t="inlineStr">
        <is>
          <t>Tier</t>
        </is>
      </c>
      <c r="B63" s="47" t="inlineStr">
        <is>
          <t>Role groups it contains</t>
        </is>
      </c>
      <c r="C63" s="47" t="inlineStr">
        <is>
          <t>Records</t>
        </is>
      </c>
    </row>
    <row r="64" ht="26" customHeight="1">
      <c r="A64" s="48" t="inlineStr">
        <is>
          <t>Sr Investment Professional</t>
        </is>
      </c>
      <c r="B64" s="46" t="inlineStr">
        <is>
          <t>Deputy CIO  ·  Director &amp; Investment Officer  ·  Managing Director  ·  Other investment staff</t>
        </is>
      </c>
      <c r="C64" s="50" t="n">
        <v>1096</v>
      </c>
    </row>
    <row r="65" ht="26" customHeight="1">
      <c r="A65" s="48" t="inlineStr">
        <is>
          <t>CIO - Top Investment Executive</t>
        </is>
      </c>
      <c r="B65" s="46" t="inlineStr">
        <is>
          <t>CIO - Top Investment Executive</t>
        </is>
      </c>
      <c r="C65" s="50" t="n">
        <v>716</v>
      </c>
    </row>
    <row r="66" ht="26" customHeight="1">
      <c r="A66" s="48" t="inlineStr">
        <is>
          <t>COO (Investment Office)</t>
        </is>
      </c>
      <c r="B66" s="46" t="inlineStr">
        <is>
          <t>COO (Investment Office)</t>
        </is>
      </c>
      <c r="C66" s="50" t="n">
        <v>81</v>
      </c>
    </row>
    <row r="67" ht="26" customHeight="1">
      <c r="A67" s="48" t="inlineStr">
        <is>
          <t>Other disclosed professionals</t>
        </is>
      </c>
      <c r="B67" s="46" t="inlineStr">
        <is>
          <t>Other disclosed professionals</t>
        </is>
      </c>
      <c r="C67" s="50" t="n">
        <v>59</v>
      </c>
    </row>
    <row r="68"/>
    <row r="69">
      <c r="A69" s="45" t="inlineStr">
        <is>
          <t>How the file is built and maintained</t>
        </is>
      </c>
    </row>
    <row r="70" ht="44" customHeight="1">
      <c r="A70" s="46" t="inlineStr">
        <is>
          <t>Rebuild rather than edit. The market statistics are live and re-cut themselves whenever Inputs changes, but the records listed beneath them are a fixed copy taken when the file was built. Correcting a figure on Data moves the statistics above a job tab and not the record below it, and a newly added filing will not appear on a job tab at all.</t>
        </is>
      </c>
    </row>
    <row r="71" ht="44" customHeight="1">
      <c r="A71" s="46" t="inlineStr">
        <is>
          <t>Data column G, Tax Period End, is documentation. The aging in column T already carries the resolved fiscal year end, so editing G does not change any figure.</t>
        </is>
      </c>
    </row>
    <row r="72" ht="44" customHeight="1">
      <c r="A72" s="46" t="inlineStr">
        <is>
          <t>The shaded cells on Inputs are the controls. Nothing in the file is locked or password-protected: sheet protection was built and then removed, because it made the workbook awkward to navigate and to copy out of, which is most of what it is for. What protects a generated cell is that the file is rebuilt rather than edited.</t>
        </is>
      </c>
    </row>
    <row r="73" ht="44" customHeight="1">
      <c r="A73" s="46" t="inlineStr">
        <is>
          <t>Named cells: in_ for an input, lst_ for a lookup, k_ for a constant, meta_ for build metadata. Data columns are addressed as structured references into the Records table rather than by row, so no formula carries an assumption about where the data ends.</t>
        </is>
      </c>
    </row>
    <row r="74" ht="44" customHeight="1">
      <c r="A74" s="46" t="inlineStr">
        <is>
          <t>Quote the dataset snapshot 990-2026-09-19-a2a77f85 when referring to a figure from this file. A build date repeats; the snapshot does not.</t>
        </is>
      </c>
    </row>
    <row r="75"/>
    <row r="76">
      <c r="A76" s="45" t="inlineStr">
        <is>
          <t>Records excluded by hand</t>
        </is>
      </c>
    </row>
    <row r="77">
      <c r="A77" s="46" t="inlineStr">
        <is>
          <t>1 record(s). Each one is a decision to overrule a filed return: U C San Diego Foundation 2025 (P Khosla).</t>
        </is>
      </c>
    </row>
    <row r="78"/>
    <row r="79">
      <c r="A79" s="19" t="inlineStr">
        <is>
          <t>Built 19 September 2026 from IRS Form 990 and 990-PF filings.</t>
        </is>
      </c>
    </row>
    <row r="80">
      <c r="A80" s="19" t="inlineStr">
        <is>
          <t>Dataset snapshot 990-2026-09-19-a2a77f85. Quote this identifier when referring to a figure from this file.</t>
        </is>
      </c>
    </row>
  </sheetData>
  <mergeCells count="33">
    <mergeCell ref="A5:D5"/>
    <mergeCell ref="B42:D42"/>
    <mergeCell ref="A8:D8"/>
    <mergeCell ref="A53:D53"/>
    <mergeCell ref="A72:D72"/>
    <mergeCell ref="B44:D44"/>
    <mergeCell ref="A10:D10"/>
    <mergeCell ref="B38:D38"/>
    <mergeCell ref="A47:D47"/>
    <mergeCell ref="B34:D34"/>
    <mergeCell ref="A9:D9"/>
    <mergeCell ref="B37:D37"/>
    <mergeCell ref="A77:D77"/>
    <mergeCell ref="A48:D48"/>
    <mergeCell ref="B40:D40"/>
    <mergeCell ref="A73:D73"/>
    <mergeCell ref="A11:D11"/>
    <mergeCell ref="A49:D49"/>
    <mergeCell ref="B33:D33"/>
    <mergeCell ref="A70:D70"/>
    <mergeCell ref="B36:D36"/>
    <mergeCell ref="A61:D61"/>
    <mergeCell ref="A6:D6"/>
    <mergeCell ref="B41:D41"/>
    <mergeCell ref="B32:D32"/>
    <mergeCell ref="B35:D35"/>
    <mergeCell ref="A7:D7"/>
    <mergeCell ref="B31:D31"/>
    <mergeCell ref="A74:D74"/>
    <mergeCell ref="A50:D50"/>
    <mergeCell ref="A71:D71"/>
    <mergeCell ref="B43:D43"/>
    <mergeCell ref="B39:D39"/>
  </mergeCells>
  <printOptions horizontalCentered="1"/>
  <pageMargins left="0.75" right="0.75" top="1" bottom="1" header="0.5" footer="0.5"/>
  <pageSetup orientation="landscape" fitToHeight="0" fitToWidth="1"/>
  <headerFooter>
    <oddHeader/>
    <oddFooter>&amp;LMichael Oak Advisors&amp;R&amp;P of &amp;N</oddFooter>
    <evenHeader/>
    <evenFooter/>
    <firstHeader/>
    <firstFooter/>
  </headerFooter>
</worksheet>
</file>

<file path=xl/worksheets/sheet11.xml><?xml version="1.0" encoding="utf-8"?>
<worksheet xmlns="http://schemas.openxmlformats.org/spreadsheetml/2006/main">
  <sheetPr>
    <tabColor rgb="00FFC000"/>
    <outlinePr summaryBelow="1" summaryRight="1"/>
    <pageSetUpPr fitToPage="1"/>
  </sheetPr>
  <dimension ref="A1:AD1953"/>
  <sheetViews>
    <sheetView showGridLines="0" workbookViewId="0">
      <pane xSplit="1" ySplit="1" topLeftCell="B2" activePane="bottomRight" state="frozen"/>
      <selection pane="topRight"/>
      <selection pane="bottomLeft"/>
      <selection pane="bottomRight" activeCell="A1" sqref="A1"/>
    </sheetView>
  </sheetViews>
  <sheetFormatPr baseColWidth="8" defaultRowHeight="15"/>
  <cols>
    <col width="32" customWidth="1" min="1" max="1"/>
    <col width="7" customWidth="1" min="2" max="2"/>
    <col width="10" customWidth="1" min="3" max="3"/>
    <col width="20" customWidth="1" min="4" max="4"/>
    <col width="7" customWidth="1" min="5" max="5"/>
    <col width="11" customWidth="1" min="6" max="6"/>
    <col width="13" customWidth="1" min="7" max="7"/>
    <col width="24" customWidth="1" min="8" max="8"/>
    <col width="36" customWidth="1" min="9" max="9"/>
    <col width="24" customWidth="1" min="10" max="10"/>
    <col width="22" customWidth="1" min="11" max="11"/>
    <col width="12" customWidth="1" min="12" max="12"/>
    <col width="12" customWidth="1" min="13" max="13"/>
    <col width="12" customWidth="1" min="14" max="14"/>
    <col width="12" customWidth="1" min="15" max="15"/>
    <col width="13" customWidth="1" min="16" max="16"/>
    <col width="13" customWidth="1" min="17" max="17"/>
    <col width="13" customWidth="1" min="18" max="18"/>
    <col width="13" customWidth="1" min="19" max="19"/>
    <col width="15" customWidth="1" min="20" max="20"/>
    <col width="8" customWidth="1" min="21" max="21"/>
    <col width="10" customWidth="1" min="22" max="22"/>
  </cols>
  <sheetData>
    <row r="1">
      <c r="A1" s="51" t="inlineStr">
        <is>
          <t>Organization</t>
        </is>
      </c>
      <c r="B1" s="51" t="inlineStr">
        <is>
          <t>State</t>
        </is>
      </c>
      <c r="C1" s="51" t="inlineStr">
        <is>
          <t>AUM ($B)</t>
        </is>
      </c>
      <c r="D1" s="51" t="inlineStr">
        <is>
          <t>Institution Type</t>
        </is>
      </c>
      <c r="E1" s="51" t="inlineStr">
        <is>
          <t>Year</t>
        </is>
      </c>
      <c r="F1" s="51" t="inlineStr">
        <is>
          <t>Filing Date</t>
        </is>
      </c>
      <c r="G1" s="51" t="inlineStr">
        <is>
          <t>Tax Period End</t>
        </is>
      </c>
      <c r="H1" s="51" t="inlineStr">
        <is>
          <t>Name</t>
        </is>
      </c>
      <c r="I1" s="51" t="inlineStr">
        <is>
          <t>Raw Title</t>
        </is>
      </c>
      <c r="J1" s="51" t="inlineStr">
        <is>
          <t>Standardized Title</t>
        </is>
      </c>
      <c r="K1" s="51" t="inlineStr">
        <is>
          <t>Tier</t>
        </is>
      </c>
      <c r="L1" s="51" t="inlineStr">
        <is>
          <t>(B)(i) Base</t>
        </is>
      </c>
      <c r="M1" s="51" t="inlineStr">
        <is>
          <t>(B)(ii) Bonus</t>
        </is>
      </c>
      <c r="N1" s="51" t="inlineStr">
        <is>
          <t>(B)(iii) Other</t>
        </is>
      </c>
      <c r="O1" s="51" t="inlineStr">
        <is>
          <t>(C) Deferred</t>
        </is>
      </c>
      <c r="P1" s="51" t="inlineStr">
        <is>
          <t>(D) Nontax Benefits</t>
        </is>
      </c>
      <c r="Q1" s="51" t="inlineStr">
        <is>
          <t>(E) Total Comp</t>
        </is>
      </c>
      <c r="R1" s="51" t="inlineStr">
        <is>
          <t>(F) Prior Deferred</t>
        </is>
      </c>
      <c r="S1" s="51" t="inlineStr">
        <is>
          <t>Adj Total</t>
        </is>
      </c>
      <c r="T1" s="51" t="inlineStr">
        <is>
          <t>Aged Adj Total</t>
        </is>
      </c>
      <c r="U1" s="51" t="inlineStr">
        <is>
          <t>Include</t>
        </is>
      </c>
      <c r="V1" s="51" t="inlineStr">
        <is>
          <t>% of CIO</t>
        </is>
      </c>
      <c r="W1" s="51" t="inlineStr">
        <is>
          <t>Roll-up</t>
        </is>
      </c>
      <c r="X1" s="51" t="inlineStr">
        <is>
          <t>Total Cash</t>
        </is>
      </c>
      <c r="Y1" s="51" t="inlineStr">
        <is>
          <t>Incentive % of Base</t>
        </is>
      </c>
      <c r="Z1" s="51" t="inlineStr">
        <is>
          <t>Role Group</t>
        </is>
      </c>
      <c r="AA1" s="51" t="inlineStr">
        <is>
          <t>Family</t>
        </is>
      </c>
      <c r="AB1" s="51" t="inlineStr">
        <is>
          <t>Top Job</t>
        </is>
      </c>
      <c r="AC1" s="51" t="inlineStr">
        <is>
          <t>Filing</t>
        </is>
      </c>
      <c r="AD1" s="51" t="inlineStr">
        <is>
          <t>Most Recent</t>
        </is>
      </c>
    </row>
    <row r="2">
      <c r="A2" t="inlineStr">
        <is>
          <t>Abilene Christian University</t>
        </is>
      </c>
      <c r="B2" s="50" t="inlineStr">
        <is>
          <t>TX</t>
        </is>
      </c>
      <c r="C2" s="52" t="n">
        <v>0.89</v>
      </c>
      <c r="D2" t="inlineStr">
        <is>
          <t>Endowment</t>
        </is>
      </c>
      <c r="E2" s="50" t="n">
        <v>2025</v>
      </c>
      <c r="F2" s="50" t="inlineStr">
        <is>
          <t>2026-02-27</t>
        </is>
      </c>
      <c r="G2" s="50" t="inlineStr">
        <is>
          <t>2025-05-31</t>
        </is>
      </c>
      <c r="H2" t="inlineStr">
        <is>
          <t>Joe Lee</t>
        </is>
      </c>
      <c r="I2" t="inlineStr">
        <is>
          <t>CIO</t>
        </is>
      </c>
      <c r="J2" t="inlineStr">
        <is>
          <t>CIO</t>
        </is>
      </c>
      <c r="K2" t="inlineStr">
        <is>
          <t>CIO - Top Investment Executive</t>
        </is>
      </c>
      <c r="L2" s="28" t="n">
        <v>405623</v>
      </c>
      <c r="M2" s="28" t="n">
        <v>100000</v>
      </c>
      <c r="N2" s="28" t="n">
        <v>0</v>
      </c>
      <c r="O2" s="28" t="n">
        <v>45978</v>
      </c>
      <c r="P2" s="28" t="n">
        <v>24722</v>
      </c>
      <c r="Q2" s="28" t="n">
        <v>576323</v>
      </c>
      <c r="R2" s="28" t="n">
        <v>0</v>
      </c>
      <c r="S2" s="28">
        <f>Q2-R2</f>
        <v/>
      </c>
      <c r="T2" s="28">
        <f>IF(S2="","",S2*(1+in_GrowthRate)^(YEARFRAC(DATE(2025,5,31),in_AgeToDate)*IF(in_AgeToDate&lt;DATE(2025,5,31),-1,1)+1))</f>
        <v/>
      </c>
      <c r="U2" s="50">
        <f>IF(AND(AND(OR(in_Mode="All Funds",AND(C2&gt;=in_BandFloor,C2&lt;=in_BandCeiling,OR(in_Geography="National",COUNTIFS(lst_GeoPreset,in_Geography,lst_GeoState,B2)&gt;0,AND(in_Geography="Custom",ISNUMBER(SEARCH(B2,SUBSTITUTE(in_CustomStates," ",""))))),OR(AND(D2="Endowment",Inputs!$B$14="Y"),AND(D2="Foundation",Inputs!$B$15="Y"),AND(D2="Healthcare",Inputs!$B$16="Y"),AND(D2="Pension",Inputs!$B$17="Y"),AND(D2="OCIO",Inputs!$B$18="Y"),AND(D2="Other",Inputs!$B$19="Y")))),A2&lt;&gt;in_ClientOrg,NOT(AND(in_ExclHarvard="Y",ISNUMBER(SEARCH("Harvard",A2))))),$AD2="Y",K2&lt;&gt;"",S2&gt;0),"Y","")</f>
        <v/>
      </c>
      <c r="V2" s="30" t="n">
        <v>1</v>
      </c>
      <c r="W2" t="inlineStr"/>
      <c r="X2" s="28">
        <f>IF(L2+M2=0,"",L2+M2)</f>
        <v/>
      </c>
      <c r="Y2" s="38">
        <f>IF(L2=0,"",M2/L2)</f>
        <v/>
      </c>
      <c r="Z2" t="inlineStr">
        <is>
          <t>CIO - Top Investment Executive</t>
        </is>
      </c>
      <c r="AA2" t="inlineStr">
        <is>
          <t>Leadership</t>
        </is>
      </c>
      <c r="AB2" s="50" t="inlineStr">
        <is>
          <t>Y</t>
        </is>
      </c>
      <c r="AC2" s="43">
        <f>HYPERLINK("https://projects.propublica.org/nonprofits/organizations/750851900/202640589349301804/full","view filing")</f>
        <v/>
      </c>
      <c r="AD2" s="50" t="inlineStr">
        <is>
          <t>Y</t>
        </is>
      </c>
    </row>
    <row r="3">
      <c r="A3" t="inlineStr">
        <is>
          <t>Abilene Christian University</t>
        </is>
      </c>
      <c r="B3" s="50" t="inlineStr">
        <is>
          <t>TX</t>
        </is>
      </c>
      <c r="C3" s="52" t="n">
        <v>0.89</v>
      </c>
      <c r="D3" t="inlineStr">
        <is>
          <t>Endowment</t>
        </is>
      </c>
      <c r="E3" s="50" t="n">
        <v>2024</v>
      </c>
      <c r="F3" s="50" t="inlineStr">
        <is>
          <t>2025-02-17</t>
        </is>
      </c>
      <c r="G3" s="50" t="inlineStr">
        <is>
          <t>2024-05-31</t>
        </is>
      </c>
      <c r="H3" t="inlineStr">
        <is>
          <t>Joe Lee</t>
        </is>
      </c>
      <c r="I3" t="inlineStr">
        <is>
          <t>CIO</t>
        </is>
      </c>
      <c r="J3" t="inlineStr">
        <is>
          <t>CIO</t>
        </is>
      </c>
      <c r="K3" t="inlineStr">
        <is>
          <t>CIO - Top Investment Executive</t>
        </is>
      </c>
      <c r="L3" s="28" t="n">
        <v>386218</v>
      </c>
      <c r="M3" s="28" t="n">
        <v>100000</v>
      </c>
      <c r="N3" s="28" t="n">
        <v>0</v>
      </c>
      <c r="O3" s="28" t="n">
        <v>45000</v>
      </c>
      <c r="P3" s="28" t="n">
        <v>23973</v>
      </c>
      <c r="Q3" s="28" t="n">
        <v>555191</v>
      </c>
      <c r="R3" s="28" t="n">
        <v>0</v>
      </c>
      <c r="S3" s="28">
        <f>Q3-R3</f>
        <v/>
      </c>
      <c r="T3" s="28">
        <f>IF(S3="","",S3*(1+in_GrowthRate)^(YEARFRAC(DATE(2024,5,31),in_AgeToDate)*IF(in_AgeToDate&lt;DATE(2024,5,31),-1,1)+1))</f>
        <v/>
      </c>
      <c r="U3" s="50">
        <f>IF(AND(AND(OR(in_Mode="All Funds",AND(C3&gt;=in_BandFloor,C3&lt;=in_BandCeiling,OR(in_Geography="National",COUNTIFS(lst_GeoPreset,in_Geography,lst_GeoState,B3)&gt;0,AND(in_Geography="Custom",ISNUMBER(SEARCH(B3,SUBSTITUTE(in_CustomStates," ",""))))),OR(AND(D3="Endowment",Inputs!$B$14="Y"),AND(D3="Foundation",Inputs!$B$15="Y"),AND(D3="Healthcare",Inputs!$B$16="Y"),AND(D3="Pension",Inputs!$B$17="Y"),AND(D3="OCIO",Inputs!$B$18="Y"),AND(D3="Other",Inputs!$B$19="Y")))),A3&lt;&gt;in_ClientOrg,NOT(AND(in_ExclHarvard="Y",ISNUMBER(SEARCH("Harvard",A3))))),$AD3="Y",K3&lt;&gt;"",S3&gt;0),"Y","")</f>
        <v/>
      </c>
      <c r="V3" s="30" t="n">
        <v>1</v>
      </c>
      <c r="W3" t="inlineStr"/>
      <c r="X3" s="28">
        <f>IF(L3+M3=0,"",L3+M3)</f>
        <v/>
      </c>
      <c r="Y3" s="38">
        <f>IF(L3=0,"",M3/L3)</f>
        <v/>
      </c>
      <c r="Z3" t="inlineStr">
        <is>
          <t>CIO - Top Investment Executive</t>
        </is>
      </c>
      <c r="AA3" t="inlineStr">
        <is>
          <t>Leadership</t>
        </is>
      </c>
      <c r="AB3" s="50" t="inlineStr">
        <is>
          <t>Y</t>
        </is>
      </c>
      <c r="AC3" s="43">
        <f>HYPERLINK("https://projects.propublica.org/nonprofits/organizations/750851900/202500489349301250/full","view filing")</f>
        <v/>
      </c>
      <c r="AD3" s="50" t="inlineStr"/>
    </row>
    <row r="4">
      <c r="A4" t="inlineStr">
        <is>
          <t>Abilene Christian University</t>
        </is>
      </c>
      <c r="B4" s="50" t="inlineStr">
        <is>
          <t>TX</t>
        </is>
      </c>
      <c r="C4" s="52" t="n">
        <v>0.89</v>
      </c>
      <c r="D4" t="inlineStr">
        <is>
          <t>Endowment</t>
        </is>
      </c>
      <c r="E4" s="50" t="n">
        <v>2023</v>
      </c>
      <c r="F4" s="50" t="inlineStr">
        <is>
          <t>2024-02-16</t>
        </is>
      </c>
      <c r="G4" s="50" t="inlineStr">
        <is>
          <t>2023-05-31</t>
        </is>
      </c>
      <c r="H4" t="inlineStr">
        <is>
          <t>Joe Lee</t>
        </is>
      </c>
      <c r="I4" t="inlineStr">
        <is>
          <t>CIO</t>
        </is>
      </c>
      <c r="J4" t="inlineStr">
        <is>
          <t>CIO</t>
        </is>
      </c>
      <c r="K4" t="inlineStr">
        <is>
          <t>CIO - Top Investment Executive</t>
        </is>
      </c>
      <c r="L4" s="28" t="n">
        <v>158501</v>
      </c>
      <c r="M4" s="28" t="n">
        <v>0</v>
      </c>
      <c r="N4" s="28" t="n">
        <v>0</v>
      </c>
      <c r="O4" s="28" t="n">
        <v>12923</v>
      </c>
      <c r="P4" s="28" t="n">
        <v>9659</v>
      </c>
      <c r="Q4" s="28" t="n">
        <v>181083</v>
      </c>
      <c r="R4" s="28" t="n">
        <v>0</v>
      </c>
      <c r="S4" s="28">
        <f>Q4-R4</f>
        <v/>
      </c>
      <c r="T4" s="28">
        <f>IF(S4="","",S4*(1+in_GrowthRate)^(YEARFRAC(DATE(2023,5,31),in_AgeToDate)*IF(in_AgeToDate&lt;DATE(2023,5,31),-1,1)+1))</f>
        <v/>
      </c>
      <c r="U4" s="50">
        <f>IF(AND(AND(OR(in_Mode="All Funds",AND(C4&gt;=in_BandFloor,C4&lt;=in_BandCeiling,OR(in_Geography="National",COUNTIFS(lst_GeoPreset,in_Geography,lst_GeoState,B4)&gt;0,AND(in_Geography="Custom",ISNUMBER(SEARCH(B4,SUBSTITUTE(in_CustomStates," ",""))))),OR(AND(D4="Endowment",Inputs!$B$14="Y"),AND(D4="Foundation",Inputs!$B$15="Y"),AND(D4="Healthcare",Inputs!$B$16="Y"),AND(D4="Pension",Inputs!$B$17="Y"),AND(D4="OCIO",Inputs!$B$18="Y"),AND(D4="Other",Inputs!$B$19="Y")))),A4&lt;&gt;in_ClientOrg,NOT(AND(in_ExclHarvard="Y",ISNUMBER(SEARCH("Harvard",A4))))),$AD4="Y",K4&lt;&gt;"",S4&gt;0),"Y","")</f>
        <v/>
      </c>
      <c r="V4" s="30" t="n">
        <v>1</v>
      </c>
      <c r="W4" t="inlineStr"/>
      <c r="X4" s="28">
        <f>IF(L4+M4=0,"",L4+M4)</f>
        <v/>
      </c>
      <c r="Y4" s="38">
        <f>IF(L4=0,"",M4/L4)</f>
        <v/>
      </c>
      <c r="Z4" t="inlineStr">
        <is>
          <t>CIO - Top Investment Executive</t>
        </is>
      </c>
      <c r="AA4" t="inlineStr">
        <is>
          <t>Leadership</t>
        </is>
      </c>
      <c r="AB4" s="50" t="inlineStr">
        <is>
          <t>Y</t>
        </is>
      </c>
      <c r="AC4" s="43">
        <f>HYPERLINK("https://projects.propublica.org/nonprofits/organizations/750851900/202440479349301369/full","view filing")</f>
        <v/>
      </c>
      <c r="AD4" s="50" t="inlineStr"/>
    </row>
    <row r="5">
      <c r="A5" t="inlineStr">
        <is>
          <t>Advocate Aurora Health Inc</t>
        </is>
      </c>
      <c r="B5" s="50" t="inlineStr">
        <is>
          <t>IL</t>
        </is>
      </c>
      <c r="C5" s="52" t="n">
        <v>18.93</v>
      </c>
      <c r="D5" t="inlineStr">
        <is>
          <t>Healthcare</t>
        </is>
      </c>
      <c r="E5" s="50" t="n">
        <v>2024</v>
      </c>
      <c r="F5" s="50" t="inlineStr">
        <is>
          <t>2025-11-17</t>
        </is>
      </c>
      <c r="G5" s="50" t="inlineStr">
        <is>
          <t>2024-12-31</t>
        </is>
      </c>
      <c r="H5" t="inlineStr">
        <is>
          <t>Laura Hill</t>
        </is>
      </c>
      <c r="I5" t="inlineStr">
        <is>
          <t>SENIOR VP CHIEF INVESTMENT OFFICER</t>
        </is>
      </c>
      <c r="J5" t="inlineStr">
        <is>
          <t>CIO</t>
        </is>
      </c>
      <c r="K5" t="inlineStr">
        <is>
          <t>CIO - Top Investment Executive</t>
        </is>
      </c>
      <c r="L5" s="28" t="n">
        <v>585083</v>
      </c>
      <c r="M5" s="28" t="n">
        <v>286863</v>
      </c>
      <c r="N5" s="28" t="n">
        <v>24539</v>
      </c>
      <c r="O5" s="28" t="n">
        <v>33350</v>
      </c>
      <c r="P5" s="28" t="n">
        <v>1324</v>
      </c>
      <c r="Q5" s="28" t="n">
        <v>931159</v>
      </c>
      <c r="R5" s="28" t="n">
        <v>0</v>
      </c>
      <c r="S5" s="28">
        <f>Q5-R5</f>
        <v/>
      </c>
      <c r="T5" s="28">
        <f>IF(S5="","",S5*(1+in_GrowthRate)^(YEARFRAC(DATE(2024,12,31),in_AgeToDate)*IF(in_AgeToDate&lt;DATE(2024,12,31),-1,1)+1))</f>
        <v/>
      </c>
      <c r="U5" s="50">
        <f>IF(AND(AND(OR(in_Mode="All Funds",AND(C5&gt;=in_BandFloor,C5&lt;=in_BandCeiling,OR(in_Geography="National",COUNTIFS(lst_GeoPreset,in_Geography,lst_GeoState,B5)&gt;0,AND(in_Geography="Custom",ISNUMBER(SEARCH(B5,SUBSTITUTE(in_CustomStates," ",""))))),OR(AND(D5="Endowment",Inputs!$B$14="Y"),AND(D5="Foundation",Inputs!$B$15="Y"),AND(D5="Healthcare",Inputs!$B$16="Y"),AND(D5="Pension",Inputs!$B$17="Y"),AND(D5="OCIO",Inputs!$B$18="Y"),AND(D5="Other",Inputs!$B$19="Y")))),A5&lt;&gt;in_ClientOrg,NOT(AND(in_ExclHarvard="Y",ISNUMBER(SEARCH("Harvard",A5))))),$AD5="Y",K5&lt;&gt;"",S5&gt;0),"Y","")</f>
        <v/>
      </c>
      <c r="V5" s="30" t="n">
        <v>1</v>
      </c>
      <c r="W5" t="inlineStr"/>
      <c r="X5" s="28">
        <f>IF(L5+M5=0,"",L5+M5)</f>
        <v/>
      </c>
      <c r="Y5" s="38">
        <f>IF(L5=0,"",M5/L5)</f>
        <v/>
      </c>
      <c r="Z5" t="inlineStr">
        <is>
          <t>CIO - Top Investment Executive</t>
        </is>
      </c>
      <c r="AA5" t="inlineStr">
        <is>
          <t>Leadership</t>
        </is>
      </c>
      <c r="AB5" s="50" t="inlineStr">
        <is>
          <t>Y</t>
        </is>
      </c>
      <c r="AC5" s="43">
        <f>HYPERLINK("https://projects.propublica.org/nonprofits/organizations/824184596/202503219349328340/full","view filing")</f>
        <v/>
      </c>
      <c r="AD5" s="50" t="inlineStr">
        <is>
          <t>Y</t>
        </is>
      </c>
    </row>
    <row r="6">
      <c r="A6" t="inlineStr">
        <is>
          <t>Ahimsa Foundation</t>
        </is>
      </c>
      <c r="B6" s="50" t="inlineStr">
        <is>
          <t>CO</t>
        </is>
      </c>
      <c r="C6" s="52" t="n">
        <v>0.77</v>
      </c>
      <c r="D6" t="inlineStr">
        <is>
          <t>Foundation</t>
        </is>
      </c>
      <c r="E6" s="50" t="n">
        <v>2024</v>
      </c>
      <c r="F6" s="50" t="inlineStr">
        <is>
          <t>2025-11-17</t>
        </is>
      </c>
      <c r="G6" s="50" t="inlineStr">
        <is>
          <t>2024-12-31</t>
        </is>
      </c>
      <c r="H6" t="inlineStr">
        <is>
          <t>Amy Trakinski</t>
        </is>
      </c>
      <c r="I6" t="inlineStr">
        <is>
          <t>Investment Manager</t>
        </is>
      </c>
      <c r="J6" t="inlineStr">
        <is>
          <t>Investment Manager</t>
        </is>
      </c>
      <c r="K6" t="inlineStr">
        <is>
          <t>Sr Investment Professional</t>
        </is>
      </c>
      <c r="L6" s="28" t="n">
        <v>0</v>
      </c>
      <c r="M6" s="28" t="n">
        <v>0</v>
      </c>
      <c r="N6" s="28" t="n">
        <v>0</v>
      </c>
      <c r="O6" s="28" t="n">
        <v>0</v>
      </c>
      <c r="P6" s="28" t="n">
        <v>0</v>
      </c>
      <c r="Q6" s="28" t="n">
        <v>862500</v>
      </c>
      <c r="R6" s="28" t="n">
        <v>0</v>
      </c>
      <c r="S6" s="28">
        <f>Q6-R6</f>
        <v/>
      </c>
      <c r="T6" s="28">
        <f>IF(S6="","",S6*(1+in_GrowthRate)^(YEARFRAC(DATE(2024,12,31),in_AgeToDate)*IF(in_AgeToDate&lt;DATE(2024,12,31),-1,1)+1))</f>
        <v/>
      </c>
      <c r="U6" s="50">
        <f>IF(AND(AND(OR(in_Mode="All Funds",AND(C6&gt;=in_BandFloor,C6&lt;=in_BandCeiling,OR(in_Geography="National",COUNTIFS(lst_GeoPreset,in_Geography,lst_GeoState,B6)&gt;0,AND(in_Geography="Custom",ISNUMBER(SEARCH(B6,SUBSTITUTE(in_CustomStates," ",""))))),OR(AND(D6="Endowment",Inputs!$B$14="Y"),AND(D6="Foundation",Inputs!$B$15="Y"),AND(D6="Healthcare",Inputs!$B$16="Y"),AND(D6="Pension",Inputs!$B$17="Y"),AND(D6="OCIO",Inputs!$B$18="Y"),AND(D6="Other",Inputs!$B$19="Y")))),A6&lt;&gt;in_ClientOrg,NOT(AND(in_ExclHarvard="Y",ISNUMBER(SEARCH("Harvard",A6))))),$AD6="Y",K6&lt;&gt;"",S6&gt;0),"Y","")</f>
        <v/>
      </c>
      <c r="V6" s="30" t="n"/>
      <c r="W6" t="inlineStr"/>
      <c r="X6" s="28">
        <f>IF(L6+M6=0,"",L6+M6)</f>
        <v/>
      </c>
      <c r="Y6" s="38">
        <f>IF(L6=0,"",M6/L6)</f>
        <v/>
      </c>
      <c r="Z6" t="inlineStr">
        <is>
          <t>Director &amp; Investment Officer</t>
        </is>
      </c>
      <c r="AA6" t="inlineStr">
        <is>
          <t>Investments</t>
        </is>
      </c>
      <c r="AB6" s="50" t="inlineStr"/>
      <c r="AC6" s="43">
        <f>HYPERLINK("https://projects.propublica.org/nonprofits/organizations/852700743/202523219349106847/full","view filing")</f>
        <v/>
      </c>
      <c r="AD6" s="50" t="inlineStr">
        <is>
          <t>Y</t>
        </is>
      </c>
    </row>
    <row r="7">
      <c r="A7" t="inlineStr">
        <is>
          <t>Alfred P Sloan Foundation</t>
        </is>
      </c>
      <c r="B7" s="50" t="inlineStr">
        <is>
          <t>NY</t>
        </is>
      </c>
      <c r="C7" s="52" t="n">
        <v>2.05</v>
      </c>
      <c r="D7" t="inlineStr">
        <is>
          <t>Foundation</t>
        </is>
      </c>
      <c r="E7" s="50" t="n">
        <v>2024</v>
      </c>
      <c r="F7" s="50" t="inlineStr">
        <is>
          <t>2025-11-14</t>
        </is>
      </c>
      <c r="G7" s="50" t="inlineStr">
        <is>
          <t>2024-12-31</t>
        </is>
      </c>
      <c r="H7" t="inlineStr">
        <is>
          <t>Elizabeth Hewitt</t>
        </is>
      </c>
      <c r="I7" t="inlineStr">
        <is>
          <t>CHIEF INVT. OFFICER</t>
        </is>
      </c>
      <c r="J7" t="inlineStr">
        <is>
          <t>CIO</t>
        </is>
      </c>
      <c r="K7" t="inlineStr">
        <is>
          <t>CIO - Top Investment Executive</t>
        </is>
      </c>
      <c r="L7" s="28" t="n">
        <v>0</v>
      </c>
      <c r="M7" s="28" t="n">
        <v>0</v>
      </c>
      <c r="N7" s="28" t="n">
        <v>0</v>
      </c>
      <c r="O7" s="28" t="n">
        <v>0</v>
      </c>
      <c r="P7" s="28" t="n">
        <v>0</v>
      </c>
      <c r="Q7" s="28" t="n">
        <v>1335736</v>
      </c>
      <c r="R7" s="28" t="n">
        <v>0</v>
      </c>
      <c r="S7" s="28">
        <f>Q7-R7</f>
        <v/>
      </c>
      <c r="T7" s="28">
        <f>IF(S7="","",S7*(1+in_GrowthRate)^(YEARFRAC(DATE(2024,12,31),in_AgeToDate)*IF(in_AgeToDate&lt;DATE(2024,12,31),-1,1)+1))</f>
        <v/>
      </c>
      <c r="U7" s="50">
        <f>IF(AND(AND(OR(in_Mode="All Funds",AND(C7&gt;=in_BandFloor,C7&lt;=in_BandCeiling,OR(in_Geography="National",COUNTIFS(lst_GeoPreset,in_Geography,lst_GeoState,B7)&gt;0,AND(in_Geography="Custom",ISNUMBER(SEARCH(B7,SUBSTITUTE(in_CustomStates," ",""))))),OR(AND(D7="Endowment",Inputs!$B$14="Y"),AND(D7="Foundation",Inputs!$B$15="Y"),AND(D7="Healthcare",Inputs!$B$16="Y"),AND(D7="Pension",Inputs!$B$17="Y"),AND(D7="OCIO",Inputs!$B$18="Y"),AND(D7="Other",Inputs!$B$19="Y")))),A7&lt;&gt;in_ClientOrg,NOT(AND(in_ExclHarvard="Y",ISNUMBER(SEARCH("Harvard",A7))))),$AD7="Y",K7&lt;&gt;"",S7&gt;0),"Y","")</f>
        <v/>
      </c>
      <c r="V7" s="30" t="n">
        <v>1</v>
      </c>
      <c r="W7" t="inlineStr"/>
      <c r="X7" s="28">
        <f>IF(L7+M7=0,"",L7+M7)</f>
        <v/>
      </c>
      <c r="Y7" s="38">
        <f>IF(L7=0,"",M7/L7)</f>
        <v/>
      </c>
      <c r="Z7" t="inlineStr">
        <is>
          <t>CIO - Top Investment Executive</t>
        </is>
      </c>
      <c r="AA7" t="inlineStr">
        <is>
          <t>Leadership</t>
        </is>
      </c>
      <c r="AB7" s="50" t="inlineStr">
        <is>
          <t>Y</t>
        </is>
      </c>
      <c r="AC7" s="43">
        <f>HYPERLINK("https://projects.propublica.org/nonprofits/organizations/131623877/202533189349105603/full","view filing")</f>
        <v/>
      </c>
      <c r="AD7" s="50" t="inlineStr">
        <is>
          <t>Y</t>
        </is>
      </c>
    </row>
    <row r="8">
      <c r="A8" t="inlineStr">
        <is>
          <t>Alfred P Sloan Foundation</t>
        </is>
      </c>
      <c r="B8" s="50" t="inlineStr">
        <is>
          <t>NY</t>
        </is>
      </c>
      <c r="C8" s="52" t="n">
        <v>2.05</v>
      </c>
      <c r="D8" t="inlineStr">
        <is>
          <t>Foundation</t>
        </is>
      </c>
      <c r="E8" s="50" t="n">
        <v>2024</v>
      </c>
      <c r="F8" s="50" t="inlineStr">
        <is>
          <t>2025-11-14</t>
        </is>
      </c>
      <c r="G8" s="50" t="inlineStr">
        <is>
          <t>2024-12-31</t>
        </is>
      </c>
      <c r="H8" t="inlineStr">
        <is>
          <t>Saku Nousiainen</t>
        </is>
      </c>
      <c r="I8" t="inlineStr">
        <is>
          <t>INVESTMENT DIRECTOR</t>
        </is>
      </c>
      <c r="J8" t="inlineStr">
        <is>
          <t>Director of Investments</t>
        </is>
      </c>
      <c r="K8" t="inlineStr">
        <is>
          <t>Sr Investment Professional</t>
        </is>
      </c>
      <c r="L8" s="28" t="n">
        <v>0</v>
      </c>
      <c r="M8" s="28" t="n">
        <v>0</v>
      </c>
      <c r="N8" s="28" t="n">
        <v>0</v>
      </c>
      <c r="O8" s="28" t="n">
        <v>0</v>
      </c>
      <c r="P8" s="28" t="n">
        <v>0</v>
      </c>
      <c r="Q8" s="28" t="n">
        <v>558612</v>
      </c>
      <c r="R8" s="28" t="n">
        <v>0</v>
      </c>
      <c r="S8" s="28">
        <f>Q8-R8</f>
        <v/>
      </c>
      <c r="T8" s="28">
        <f>IF(S8="","",S8*(1+in_GrowthRate)^(YEARFRAC(DATE(2024,12,31),in_AgeToDate)*IF(in_AgeToDate&lt;DATE(2024,12,31),-1,1)+1))</f>
        <v/>
      </c>
      <c r="U8" s="50">
        <f>IF(AND(AND(OR(in_Mode="All Funds",AND(C8&gt;=in_BandFloor,C8&lt;=in_BandCeiling,OR(in_Geography="National",COUNTIFS(lst_GeoPreset,in_Geography,lst_GeoState,B8)&gt;0,AND(in_Geography="Custom",ISNUMBER(SEARCH(B8,SUBSTITUTE(in_CustomStates," ",""))))),OR(AND(D8="Endowment",Inputs!$B$14="Y"),AND(D8="Foundation",Inputs!$B$15="Y"),AND(D8="Healthcare",Inputs!$B$16="Y"),AND(D8="Pension",Inputs!$B$17="Y"),AND(D8="OCIO",Inputs!$B$18="Y"),AND(D8="Other",Inputs!$B$19="Y")))),A8&lt;&gt;in_ClientOrg,NOT(AND(in_ExclHarvard="Y",ISNUMBER(SEARCH("Harvard",A8))))),$AD8="Y",K8&lt;&gt;"",S8&gt;0),"Y","")</f>
        <v/>
      </c>
      <c r="V8" s="30" t="n">
        <v>0.4182053938802278</v>
      </c>
      <c r="W8" t="inlineStr"/>
      <c r="X8" s="28">
        <f>IF(L8+M8=0,"",L8+M8)</f>
        <v/>
      </c>
      <c r="Y8" s="38">
        <f>IF(L8=0,"",M8/L8)</f>
        <v/>
      </c>
      <c r="Z8" t="inlineStr">
        <is>
          <t>Director &amp; Investment Officer</t>
        </is>
      </c>
      <c r="AA8" t="inlineStr">
        <is>
          <t>Investments</t>
        </is>
      </c>
      <c r="AB8" s="50" t="inlineStr"/>
      <c r="AC8" s="43">
        <f>HYPERLINK("https://projects.propublica.org/nonprofits/organizations/131623877/202533189349105603/full","view filing")</f>
        <v/>
      </c>
      <c r="AD8" s="50" t="inlineStr">
        <is>
          <t>Y</t>
        </is>
      </c>
    </row>
    <row r="9">
      <c r="A9" t="inlineStr">
        <is>
          <t>Alfred P Sloan Foundation</t>
        </is>
      </c>
      <c r="B9" s="50" t="inlineStr">
        <is>
          <t>NY</t>
        </is>
      </c>
      <c r="C9" s="52" t="n">
        <v>2.05</v>
      </c>
      <c r="D9" t="inlineStr">
        <is>
          <t>Foundation</t>
        </is>
      </c>
      <c r="E9" s="50" t="n">
        <v>2023</v>
      </c>
      <c r="F9" s="50" t="inlineStr">
        <is>
          <t>2024-11-14</t>
        </is>
      </c>
      <c r="G9" s="50" t="inlineStr">
        <is>
          <t>2023-12-31</t>
        </is>
      </c>
      <c r="H9" t="inlineStr">
        <is>
          <t>Elizabeth Hewitt</t>
        </is>
      </c>
      <c r="I9" t="inlineStr">
        <is>
          <t>CHIEF INVESTMENT OFF</t>
        </is>
      </c>
      <c r="J9" t="inlineStr">
        <is>
          <t>CIO</t>
        </is>
      </c>
      <c r="K9" t="inlineStr">
        <is>
          <t>CIO - Top Investment Executive</t>
        </is>
      </c>
      <c r="L9" s="28" t="n">
        <v>0</v>
      </c>
      <c r="M9" s="28" t="n">
        <v>0</v>
      </c>
      <c r="N9" s="28" t="n">
        <v>0</v>
      </c>
      <c r="O9" s="28" t="n">
        <v>0</v>
      </c>
      <c r="P9" s="28" t="n">
        <v>0</v>
      </c>
      <c r="Q9" s="28" t="n">
        <v>1579657</v>
      </c>
      <c r="R9" s="28" t="n">
        <v>0</v>
      </c>
      <c r="S9" s="28">
        <f>Q9-R9</f>
        <v/>
      </c>
      <c r="T9" s="28">
        <f>IF(S9="","",S9*(1+in_GrowthRate)^(YEARFRAC(DATE(2023,12,31),in_AgeToDate)*IF(in_AgeToDate&lt;DATE(2023,12,31),-1,1)+1))</f>
        <v/>
      </c>
      <c r="U9" s="50">
        <f>IF(AND(AND(OR(in_Mode="All Funds",AND(C9&gt;=in_BandFloor,C9&lt;=in_BandCeiling,OR(in_Geography="National",COUNTIFS(lst_GeoPreset,in_Geography,lst_GeoState,B9)&gt;0,AND(in_Geography="Custom",ISNUMBER(SEARCH(B9,SUBSTITUTE(in_CustomStates," ",""))))),OR(AND(D9="Endowment",Inputs!$B$14="Y"),AND(D9="Foundation",Inputs!$B$15="Y"),AND(D9="Healthcare",Inputs!$B$16="Y"),AND(D9="Pension",Inputs!$B$17="Y"),AND(D9="OCIO",Inputs!$B$18="Y"),AND(D9="Other",Inputs!$B$19="Y")))),A9&lt;&gt;in_ClientOrg,NOT(AND(in_ExclHarvard="Y",ISNUMBER(SEARCH("Harvard",A9))))),$AD9="Y",K9&lt;&gt;"",S9&gt;0),"Y","")</f>
        <v/>
      </c>
      <c r="V9" s="30" t="n">
        <v>1</v>
      </c>
      <c r="W9" t="inlineStr"/>
      <c r="X9" s="28">
        <f>IF(L9+M9=0,"",L9+M9)</f>
        <v/>
      </c>
      <c r="Y9" s="38">
        <f>IF(L9=0,"",M9/L9)</f>
        <v/>
      </c>
      <c r="Z9" t="inlineStr">
        <is>
          <t>CIO - Top Investment Executive</t>
        </is>
      </c>
      <c r="AA9" t="inlineStr">
        <is>
          <t>Leadership</t>
        </is>
      </c>
      <c r="AB9" s="50" t="inlineStr">
        <is>
          <t>Y</t>
        </is>
      </c>
      <c r="AC9" s="43">
        <f>HYPERLINK("https://projects.propublica.org/nonprofits/organizations/131623877/202443199349105344/full","view filing")</f>
        <v/>
      </c>
      <c r="AD9" s="50" t="inlineStr"/>
    </row>
    <row r="10">
      <c r="A10" t="inlineStr">
        <is>
          <t>Alfred P Sloan Foundation</t>
        </is>
      </c>
      <c r="B10" s="50" t="inlineStr">
        <is>
          <t>NY</t>
        </is>
      </c>
      <c r="C10" s="52" t="n">
        <v>2.05</v>
      </c>
      <c r="D10" t="inlineStr">
        <is>
          <t>Foundation</t>
        </is>
      </c>
      <c r="E10" s="50" t="n">
        <v>2023</v>
      </c>
      <c r="F10" s="50" t="inlineStr">
        <is>
          <t>2024-11-14</t>
        </is>
      </c>
      <c r="G10" s="50" t="inlineStr">
        <is>
          <t>2023-12-31</t>
        </is>
      </c>
      <c r="H10" t="inlineStr">
        <is>
          <t>Saku Nousiainen</t>
        </is>
      </c>
      <c r="I10" t="inlineStr">
        <is>
          <t>INVESTMENT DIRECTOR</t>
        </is>
      </c>
      <c r="J10" t="inlineStr">
        <is>
          <t>Director of Investments</t>
        </is>
      </c>
      <c r="K10" t="inlineStr">
        <is>
          <t>Sr Investment Professional</t>
        </is>
      </c>
      <c r="L10" s="28" t="n">
        <v>0</v>
      </c>
      <c r="M10" s="28" t="n">
        <v>0</v>
      </c>
      <c r="N10" s="28" t="n">
        <v>0</v>
      </c>
      <c r="O10" s="28" t="n">
        <v>0</v>
      </c>
      <c r="P10" s="28" t="n">
        <v>0</v>
      </c>
      <c r="Q10" s="28" t="n">
        <v>535323</v>
      </c>
      <c r="R10" s="28" t="n">
        <v>0</v>
      </c>
      <c r="S10" s="28">
        <f>Q10-R10</f>
        <v/>
      </c>
      <c r="T10" s="28">
        <f>IF(S10="","",S10*(1+in_GrowthRate)^(YEARFRAC(DATE(2023,12,31),in_AgeToDate)*IF(in_AgeToDate&lt;DATE(2023,12,31),-1,1)+1))</f>
        <v/>
      </c>
      <c r="U10" s="50">
        <f>IF(AND(AND(OR(in_Mode="All Funds",AND(C10&gt;=in_BandFloor,C10&lt;=in_BandCeiling,OR(in_Geography="National",COUNTIFS(lst_GeoPreset,in_Geography,lst_GeoState,B10)&gt;0,AND(in_Geography="Custom",ISNUMBER(SEARCH(B10,SUBSTITUTE(in_CustomStates," ",""))))),OR(AND(D10="Endowment",Inputs!$B$14="Y"),AND(D10="Foundation",Inputs!$B$15="Y"),AND(D10="Healthcare",Inputs!$B$16="Y"),AND(D10="Pension",Inputs!$B$17="Y"),AND(D10="OCIO",Inputs!$B$18="Y"),AND(D10="Other",Inputs!$B$19="Y")))),A10&lt;&gt;in_ClientOrg,NOT(AND(in_ExclHarvard="Y",ISNUMBER(SEARCH("Harvard",A10))))),$AD10="Y",K10&lt;&gt;"",S10&gt;0),"Y","")</f>
        <v/>
      </c>
      <c r="V10" s="30" t="n">
        <v>0.3388855935180865</v>
      </c>
      <c r="W10" t="inlineStr"/>
      <c r="X10" s="28">
        <f>IF(L10+M10=0,"",L10+M10)</f>
        <v/>
      </c>
      <c r="Y10" s="38">
        <f>IF(L10=0,"",M10/L10)</f>
        <v/>
      </c>
      <c r="Z10" t="inlineStr">
        <is>
          <t>Director &amp; Investment Officer</t>
        </is>
      </c>
      <c r="AA10" t="inlineStr">
        <is>
          <t>Investments</t>
        </is>
      </c>
      <c r="AB10" s="50" t="inlineStr"/>
      <c r="AC10" s="43">
        <f>HYPERLINK("https://projects.propublica.org/nonprofits/organizations/131623877/202443199349105344/full","view filing")</f>
        <v/>
      </c>
      <c r="AD10" s="50" t="inlineStr"/>
    </row>
    <row r="11">
      <c r="A11" t="inlineStr">
        <is>
          <t>Alfred P Sloan Foundation</t>
        </is>
      </c>
      <c r="B11" s="50" t="inlineStr">
        <is>
          <t>NY</t>
        </is>
      </c>
      <c r="C11" s="52" t="n">
        <v>2.05</v>
      </c>
      <c r="D11" t="inlineStr">
        <is>
          <t>Foundation</t>
        </is>
      </c>
      <c r="E11" s="50" t="n">
        <v>2022</v>
      </c>
      <c r="F11" s="50" t="inlineStr">
        <is>
          <t>2023-11-13</t>
        </is>
      </c>
      <c r="G11" s="50" t="inlineStr">
        <is>
          <t>2022-12-31</t>
        </is>
      </c>
      <c r="H11" t="inlineStr">
        <is>
          <t>Elizabeth Hewitt</t>
        </is>
      </c>
      <c r="I11" t="inlineStr">
        <is>
          <t>CHIEF INVESTMENT OFF</t>
        </is>
      </c>
      <c r="J11" t="inlineStr">
        <is>
          <t>CIO</t>
        </is>
      </c>
      <c r="K11" t="inlineStr">
        <is>
          <t>CIO - Top Investment Executive</t>
        </is>
      </c>
      <c r="L11" s="28" t="n">
        <v>0</v>
      </c>
      <c r="M11" s="28" t="n">
        <v>0</v>
      </c>
      <c r="N11" s="28" t="n">
        <v>0</v>
      </c>
      <c r="O11" s="28" t="n">
        <v>0</v>
      </c>
      <c r="P11" s="28" t="n">
        <v>0</v>
      </c>
      <c r="Q11" s="28" t="n">
        <v>1521250</v>
      </c>
      <c r="R11" s="28" t="n">
        <v>0</v>
      </c>
      <c r="S11" s="28">
        <f>Q11-R11</f>
        <v/>
      </c>
      <c r="T11" s="28">
        <f>IF(S11="","",S11*(1+in_GrowthRate)^(YEARFRAC(DATE(2022,12,31),in_AgeToDate)*IF(in_AgeToDate&lt;DATE(2022,12,31),-1,1)+1))</f>
        <v/>
      </c>
      <c r="U11" s="50">
        <f>IF(AND(AND(OR(in_Mode="All Funds",AND(C11&gt;=in_BandFloor,C11&lt;=in_BandCeiling,OR(in_Geography="National",COUNTIFS(lst_GeoPreset,in_Geography,lst_GeoState,B11)&gt;0,AND(in_Geography="Custom",ISNUMBER(SEARCH(B11,SUBSTITUTE(in_CustomStates," ",""))))),OR(AND(D11="Endowment",Inputs!$B$14="Y"),AND(D11="Foundation",Inputs!$B$15="Y"),AND(D11="Healthcare",Inputs!$B$16="Y"),AND(D11="Pension",Inputs!$B$17="Y"),AND(D11="OCIO",Inputs!$B$18="Y"),AND(D11="Other",Inputs!$B$19="Y")))),A11&lt;&gt;in_ClientOrg,NOT(AND(in_ExclHarvard="Y",ISNUMBER(SEARCH("Harvard",A11))))),$AD11="Y",K11&lt;&gt;"",S11&gt;0),"Y","")</f>
        <v/>
      </c>
      <c r="V11" s="30" t="n">
        <v>1</v>
      </c>
      <c r="W11" t="inlineStr"/>
      <c r="X11" s="28">
        <f>IF(L11+M11=0,"",L11+M11)</f>
        <v/>
      </c>
      <c r="Y11" s="38">
        <f>IF(L11=0,"",M11/L11)</f>
        <v/>
      </c>
      <c r="Z11" t="inlineStr">
        <is>
          <t>CIO - Top Investment Executive</t>
        </is>
      </c>
      <c r="AA11" t="inlineStr">
        <is>
          <t>Leadership</t>
        </is>
      </c>
      <c r="AB11" s="50" t="inlineStr">
        <is>
          <t>Y</t>
        </is>
      </c>
      <c r="AC11" s="43">
        <f>HYPERLINK("https://projects.propublica.org/nonprofits/organizations/131623877/202323179349103742/full","view filing")</f>
        <v/>
      </c>
      <c r="AD11" s="50" t="inlineStr"/>
    </row>
    <row r="12">
      <c r="A12" t="inlineStr">
        <is>
          <t>Alfred P Sloan Foundation</t>
        </is>
      </c>
      <c r="B12" s="50" t="inlineStr">
        <is>
          <t>NY</t>
        </is>
      </c>
      <c r="C12" s="52" t="n">
        <v>2.05</v>
      </c>
      <c r="D12" t="inlineStr">
        <is>
          <t>Foundation</t>
        </is>
      </c>
      <c r="E12" s="50" t="n">
        <v>2022</v>
      </c>
      <c r="F12" s="50" t="inlineStr">
        <is>
          <t>2023-11-13</t>
        </is>
      </c>
      <c r="G12" s="50" t="inlineStr">
        <is>
          <t>2022-12-31</t>
        </is>
      </c>
      <c r="H12" t="inlineStr">
        <is>
          <t>Saku Nousiainen</t>
        </is>
      </c>
      <c r="I12" t="inlineStr">
        <is>
          <t>INVESTMENT DIRECTOR</t>
        </is>
      </c>
      <c r="J12" t="inlineStr">
        <is>
          <t>Director of Investments</t>
        </is>
      </c>
      <c r="K12" t="inlineStr">
        <is>
          <t>Sr Investment Professional</t>
        </is>
      </c>
      <c r="L12" s="28" t="n">
        <v>0</v>
      </c>
      <c r="M12" s="28" t="n">
        <v>0</v>
      </c>
      <c r="N12" s="28" t="n">
        <v>0</v>
      </c>
      <c r="O12" s="28" t="n">
        <v>0</v>
      </c>
      <c r="P12" s="28" t="n">
        <v>0</v>
      </c>
      <c r="Q12" s="28" t="n">
        <v>463436</v>
      </c>
      <c r="R12" s="28" t="n">
        <v>0</v>
      </c>
      <c r="S12" s="28">
        <f>Q12-R12</f>
        <v/>
      </c>
      <c r="T12" s="28">
        <f>IF(S12="","",S12*(1+in_GrowthRate)^(YEARFRAC(DATE(2022,12,31),in_AgeToDate)*IF(in_AgeToDate&lt;DATE(2022,12,31),-1,1)+1))</f>
        <v/>
      </c>
      <c r="U12" s="50">
        <f>IF(AND(AND(OR(in_Mode="All Funds",AND(C12&gt;=in_BandFloor,C12&lt;=in_BandCeiling,OR(in_Geography="National",COUNTIFS(lst_GeoPreset,in_Geography,lst_GeoState,B12)&gt;0,AND(in_Geography="Custom",ISNUMBER(SEARCH(B12,SUBSTITUTE(in_CustomStates," ",""))))),OR(AND(D12="Endowment",Inputs!$B$14="Y"),AND(D12="Foundation",Inputs!$B$15="Y"),AND(D12="Healthcare",Inputs!$B$16="Y"),AND(D12="Pension",Inputs!$B$17="Y"),AND(D12="OCIO",Inputs!$B$18="Y"),AND(D12="Other",Inputs!$B$19="Y")))),A12&lt;&gt;in_ClientOrg,NOT(AND(in_ExclHarvard="Y",ISNUMBER(SEARCH("Harvard",A12))))),$AD12="Y",K12&lt;&gt;"",S12&gt;0),"Y","")</f>
        <v/>
      </c>
      <c r="V12" s="30" t="n">
        <v>0.3046415776499589</v>
      </c>
      <c r="W12" t="inlineStr"/>
      <c r="X12" s="28">
        <f>IF(L12+M12=0,"",L12+M12)</f>
        <v/>
      </c>
      <c r="Y12" s="38">
        <f>IF(L12=0,"",M12/L12)</f>
        <v/>
      </c>
      <c r="Z12" t="inlineStr">
        <is>
          <t>Director &amp; Investment Officer</t>
        </is>
      </c>
      <c r="AA12" t="inlineStr">
        <is>
          <t>Investments</t>
        </is>
      </c>
      <c r="AB12" s="50" t="inlineStr"/>
      <c r="AC12" s="43">
        <f>HYPERLINK("https://projects.propublica.org/nonprofits/organizations/131623877/202323179349103742/full","view filing")</f>
        <v/>
      </c>
      <c r="AD12" s="50" t="inlineStr"/>
    </row>
    <row r="13">
      <c r="A13" t="inlineStr">
        <is>
          <t>American Armed Forces Mutual Aid Association</t>
        </is>
      </c>
      <c r="B13" s="50" t="inlineStr">
        <is>
          <t>VA</t>
        </is>
      </c>
      <c r="C13" s="52" t="n">
        <v>0.55</v>
      </c>
      <c r="D13" t="inlineStr">
        <is>
          <t>Pension</t>
        </is>
      </c>
      <c r="E13" s="50" t="n">
        <v>2025</v>
      </c>
      <c r="F13" s="50" t="inlineStr">
        <is>
          <t>2026-04-23</t>
        </is>
      </c>
      <c r="G13" s="50" t="inlineStr">
        <is>
          <t>2025-12-31</t>
        </is>
      </c>
      <c r="H13" t="inlineStr">
        <is>
          <t>Paul E Jablansky</t>
        </is>
      </c>
      <c r="I13" t="inlineStr">
        <is>
          <t>CHIEF INVESTMENT OFFICER, AWMT</t>
        </is>
      </c>
      <c r="J13" t="inlineStr">
        <is>
          <t>CIO</t>
        </is>
      </c>
      <c r="K13" t="inlineStr">
        <is>
          <t>CIO - Top Investment Executive</t>
        </is>
      </c>
      <c r="L13" s="28" t="n">
        <v>232513</v>
      </c>
      <c r="M13" s="28" t="n">
        <v>11500</v>
      </c>
      <c r="N13" s="28" t="n">
        <v>0</v>
      </c>
      <c r="O13" s="28" t="n">
        <v>7479</v>
      </c>
      <c r="P13" s="28" t="n">
        <v>23655</v>
      </c>
      <c r="Q13" s="28" t="n">
        <v>275147</v>
      </c>
      <c r="R13" s="28" t="n">
        <v>0</v>
      </c>
      <c r="S13" s="28">
        <f>Q13-R13</f>
        <v/>
      </c>
      <c r="T13" s="28">
        <f>IF(S13="","",S13*(1+in_GrowthRate)^(YEARFRAC(DATE(2025,12,31),in_AgeToDate)*IF(in_AgeToDate&lt;DATE(2025,12,31),-1,1)+1))</f>
        <v/>
      </c>
      <c r="U13" s="50">
        <f>IF(AND(AND(OR(in_Mode="All Funds",AND(C13&gt;=in_BandFloor,C13&lt;=in_BandCeiling,OR(in_Geography="National",COUNTIFS(lst_GeoPreset,in_Geography,lst_GeoState,B13)&gt;0,AND(in_Geography="Custom",ISNUMBER(SEARCH(B13,SUBSTITUTE(in_CustomStates," ",""))))),OR(AND(D13="Endowment",Inputs!$B$14="Y"),AND(D13="Foundation",Inputs!$B$15="Y"),AND(D13="Healthcare",Inputs!$B$16="Y"),AND(D13="Pension",Inputs!$B$17="Y"),AND(D13="OCIO",Inputs!$B$18="Y"),AND(D13="Other",Inputs!$B$19="Y")))),A13&lt;&gt;in_ClientOrg,NOT(AND(in_ExclHarvard="Y",ISNUMBER(SEARCH("Harvard",A13))))),$AD13="Y",K13&lt;&gt;"",S13&gt;0),"Y","")</f>
        <v/>
      </c>
      <c r="V13" s="30" t="n">
        <v>1</v>
      </c>
      <c r="W13" t="inlineStr"/>
      <c r="X13" s="28">
        <f>IF(L13+M13=0,"",L13+M13)</f>
        <v/>
      </c>
      <c r="Y13" s="38">
        <f>IF(L13=0,"",M13/L13)</f>
        <v/>
      </c>
      <c r="Z13" t="inlineStr">
        <is>
          <t>CIO - Top Investment Executive</t>
        </is>
      </c>
      <c r="AA13" t="inlineStr">
        <is>
          <t>Leadership</t>
        </is>
      </c>
      <c r="AB13" s="50" t="inlineStr">
        <is>
          <t>Y</t>
        </is>
      </c>
      <c r="AC13" s="43">
        <f>HYPERLINK("https://projects.propublica.org/nonprofits/organizations/530213841/202631139349300703/full","view filing")</f>
        <v/>
      </c>
      <c r="AD13" s="50" t="inlineStr">
        <is>
          <t>Y</t>
        </is>
      </c>
    </row>
    <row r="14">
      <c r="A14" t="inlineStr">
        <is>
          <t>American Armed Forces Mutual Aid Association</t>
        </is>
      </c>
      <c r="B14" s="50" t="inlineStr">
        <is>
          <t>VA</t>
        </is>
      </c>
      <c r="C14" s="52" t="n">
        <v>0.55</v>
      </c>
      <c r="D14" t="inlineStr">
        <is>
          <t>Pension</t>
        </is>
      </c>
      <c r="E14" s="50" t="n">
        <v>2024</v>
      </c>
      <c r="F14" s="50" t="inlineStr">
        <is>
          <t>2025-05-02</t>
        </is>
      </c>
      <c r="G14" s="50" t="inlineStr">
        <is>
          <t>2024-12-31</t>
        </is>
      </c>
      <c r="H14" t="inlineStr">
        <is>
          <t>Paul E Jablansky</t>
        </is>
      </c>
      <c r="I14" t="inlineStr">
        <is>
          <t>CHIEF INVESTMENT OFFICER, AWMT</t>
        </is>
      </c>
      <c r="J14" t="inlineStr">
        <is>
          <t>CIO</t>
        </is>
      </c>
      <c r="K14" t="inlineStr">
        <is>
          <t>CIO - Top Investment Executive</t>
        </is>
      </c>
      <c r="L14" s="28" t="n">
        <v>224082</v>
      </c>
      <c r="M14" s="28" t="n">
        <v>33700</v>
      </c>
      <c r="N14" s="28" t="n">
        <v>0</v>
      </c>
      <c r="O14" s="28" t="n">
        <v>7881</v>
      </c>
      <c r="P14" s="28" t="n">
        <v>22179</v>
      </c>
      <c r="Q14" s="28" t="n">
        <v>287842</v>
      </c>
      <c r="R14" s="28" t="n">
        <v>0</v>
      </c>
      <c r="S14" s="28">
        <f>Q14-R14</f>
        <v/>
      </c>
      <c r="T14" s="28">
        <f>IF(S14="","",S14*(1+in_GrowthRate)^(YEARFRAC(DATE(2024,12,31),in_AgeToDate)*IF(in_AgeToDate&lt;DATE(2024,12,31),-1,1)+1))</f>
        <v/>
      </c>
      <c r="U14" s="50">
        <f>IF(AND(AND(OR(in_Mode="All Funds",AND(C14&gt;=in_BandFloor,C14&lt;=in_BandCeiling,OR(in_Geography="National",COUNTIFS(lst_GeoPreset,in_Geography,lst_GeoState,B14)&gt;0,AND(in_Geography="Custom",ISNUMBER(SEARCH(B14,SUBSTITUTE(in_CustomStates," ",""))))),OR(AND(D14="Endowment",Inputs!$B$14="Y"),AND(D14="Foundation",Inputs!$B$15="Y"),AND(D14="Healthcare",Inputs!$B$16="Y"),AND(D14="Pension",Inputs!$B$17="Y"),AND(D14="OCIO",Inputs!$B$18="Y"),AND(D14="Other",Inputs!$B$19="Y")))),A14&lt;&gt;in_ClientOrg,NOT(AND(in_ExclHarvard="Y",ISNUMBER(SEARCH("Harvard",A14))))),$AD14="Y",K14&lt;&gt;"",S14&gt;0),"Y","")</f>
        <v/>
      </c>
      <c r="V14" s="30" t="n">
        <v>1</v>
      </c>
      <c r="W14" t="inlineStr"/>
      <c r="X14" s="28">
        <f>IF(L14+M14=0,"",L14+M14)</f>
        <v/>
      </c>
      <c r="Y14" s="38">
        <f>IF(L14=0,"",M14/L14)</f>
        <v/>
      </c>
      <c r="Z14" t="inlineStr">
        <is>
          <t>CIO - Top Investment Executive</t>
        </is>
      </c>
      <c r="AA14" t="inlineStr">
        <is>
          <t>Leadership</t>
        </is>
      </c>
      <c r="AB14" s="50" t="inlineStr">
        <is>
          <t>Y</t>
        </is>
      </c>
      <c r="AC14" s="43">
        <f>HYPERLINK("https://projects.propublica.org/nonprofits/organizations/530213841/202541229349300529/full","view filing")</f>
        <v/>
      </c>
      <c r="AD14" s="50" t="inlineStr"/>
    </row>
    <row r="15">
      <c r="A15" t="inlineStr">
        <is>
          <t>American Armed Forces Mutual Aid Association</t>
        </is>
      </c>
      <c r="B15" s="50" t="inlineStr">
        <is>
          <t>VA</t>
        </is>
      </c>
      <c r="C15" s="52" t="n">
        <v>0.55</v>
      </c>
      <c r="D15" t="inlineStr">
        <is>
          <t>Pension</t>
        </is>
      </c>
      <c r="E15" s="50" t="n">
        <v>2024</v>
      </c>
      <c r="F15" s="50" t="inlineStr">
        <is>
          <t>2025-05-02</t>
        </is>
      </c>
      <c r="G15" s="50" t="inlineStr">
        <is>
          <t>2024-12-31</t>
        </is>
      </c>
      <c r="H15" t="inlineStr">
        <is>
          <t>Peter St Denis</t>
        </is>
      </c>
      <c r="I15" t="inlineStr">
        <is>
          <t>PORTFOLIO MANAGER, AWMT</t>
        </is>
      </c>
      <c r="J15" t="inlineStr">
        <is>
          <t>Portfolio Manager</t>
        </is>
      </c>
      <c r="K15" t="inlineStr">
        <is>
          <t>Sr Investment Professional</t>
        </is>
      </c>
      <c r="L15" s="28" t="n">
        <v>193716</v>
      </c>
      <c r="M15" s="28" t="n">
        <v>27500</v>
      </c>
      <c r="N15" s="28" t="n">
        <v>0</v>
      </c>
      <c r="O15" s="28" t="n">
        <v>9936</v>
      </c>
      <c r="P15" s="28" t="n">
        <v>0</v>
      </c>
      <c r="Q15" s="28" t="n">
        <v>231152</v>
      </c>
      <c r="R15" s="28" t="n">
        <v>0</v>
      </c>
      <c r="S15" s="28">
        <f>Q15-R15</f>
        <v/>
      </c>
      <c r="T15" s="28">
        <f>IF(S15="","",S15*(1+in_GrowthRate)^(YEARFRAC(DATE(2024,12,31),in_AgeToDate)*IF(in_AgeToDate&lt;DATE(2024,12,31),-1,1)+1))</f>
        <v/>
      </c>
      <c r="U15" s="50">
        <f>IF(AND(AND(OR(in_Mode="All Funds",AND(C15&gt;=in_BandFloor,C15&lt;=in_BandCeiling,OR(in_Geography="National",COUNTIFS(lst_GeoPreset,in_Geography,lst_GeoState,B15)&gt;0,AND(in_Geography="Custom",ISNUMBER(SEARCH(B15,SUBSTITUTE(in_CustomStates," ",""))))),OR(AND(D15="Endowment",Inputs!$B$14="Y"),AND(D15="Foundation",Inputs!$B$15="Y"),AND(D15="Healthcare",Inputs!$B$16="Y"),AND(D15="Pension",Inputs!$B$17="Y"),AND(D15="OCIO",Inputs!$B$18="Y"),AND(D15="Other",Inputs!$B$19="Y")))),A15&lt;&gt;in_ClientOrg,NOT(AND(in_ExclHarvard="Y",ISNUMBER(SEARCH("Harvard",A15))))),$AD15="Y",K15&lt;&gt;"",S15&gt;0),"Y","")</f>
        <v/>
      </c>
      <c r="V15" s="30" t="n">
        <v>0.8030516741823639</v>
      </c>
      <c r="W15" t="inlineStr"/>
      <c r="X15" s="28">
        <f>IF(L15+M15=0,"",L15+M15)</f>
        <v/>
      </c>
      <c r="Y15" s="38">
        <f>IF(L15=0,"",M15/L15)</f>
        <v/>
      </c>
      <c r="Z15" t="inlineStr">
        <is>
          <t>Other investment staff</t>
        </is>
      </c>
      <c r="AA15" t="inlineStr">
        <is>
          <t>Investments</t>
        </is>
      </c>
      <c r="AB15" s="50" t="inlineStr"/>
      <c r="AC15" s="43">
        <f>HYPERLINK("https://projects.propublica.org/nonprofits/organizations/530213841/202541229349300529/full","view filing")</f>
        <v/>
      </c>
      <c r="AD15" s="50" t="inlineStr"/>
    </row>
    <row r="16">
      <c r="A16" t="inlineStr">
        <is>
          <t>American Armed Forces Mutual Aid Association</t>
        </is>
      </c>
      <c r="B16" s="50" t="inlineStr">
        <is>
          <t>VA</t>
        </is>
      </c>
      <c r="C16" s="52" t="n">
        <v>0.55</v>
      </c>
      <c r="D16" t="inlineStr">
        <is>
          <t>Pension</t>
        </is>
      </c>
      <c r="E16" s="50" t="n">
        <v>2023</v>
      </c>
      <c r="F16" s="50" t="inlineStr">
        <is>
          <t>2024-05-10</t>
        </is>
      </c>
      <c r="G16" s="50" t="inlineStr">
        <is>
          <t>2023-12-31</t>
        </is>
      </c>
      <c r="H16" t="inlineStr">
        <is>
          <t>Matthew V Watson</t>
        </is>
      </c>
      <c r="I16" t="inlineStr">
        <is>
          <t>COMMERCIAL PORTFOLIO MANAGER, AMS</t>
        </is>
      </c>
      <c r="J16" t="inlineStr">
        <is>
          <t>Portfolio Manager</t>
        </is>
      </c>
      <c r="K16" t="inlineStr">
        <is>
          <t>Sr Investment Professional</t>
        </is>
      </c>
      <c r="L16" s="28" t="n">
        <v>161598</v>
      </c>
      <c r="M16" s="28" t="n">
        <v>19000</v>
      </c>
      <c r="N16" s="28" t="n">
        <v>0</v>
      </c>
      <c r="O16" s="28" t="n">
        <v>8235</v>
      </c>
      <c r="P16" s="28" t="n">
        <v>8948</v>
      </c>
      <c r="Q16" s="28" t="n">
        <v>197781</v>
      </c>
      <c r="R16" s="28" t="n">
        <v>0</v>
      </c>
      <c r="S16" s="28">
        <f>Q16-R16</f>
        <v/>
      </c>
      <c r="T16" s="28">
        <f>IF(S16="","",S16*(1+in_GrowthRate)^(YEARFRAC(DATE(2023,12,31),in_AgeToDate)*IF(in_AgeToDate&lt;DATE(2023,12,31),-1,1)+1))</f>
        <v/>
      </c>
      <c r="U16" s="50">
        <f>IF(AND(AND(OR(in_Mode="All Funds",AND(C16&gt;=in_BandFloor,C16&lt;=in_BandCeiling,OR(in_Geography="National",COUNTIFS(lst_GeoPreset,in_Geography,lst_GeoState,B16)&gt;0,AND(in_Geography="Custom",ISNUMBER(SEARCH(B16,SUBSTITUTE(in_CustomStates," ",""))))),OR(AND(D16="Endowment",Inputs!$B$14="Y"),AND(D16="Foundation",Inputs!$B$15="Y"),AND(D16="Healthcare",Inputs!$B$16="Y"),AND(D16="Pension",Inputs!$B$17="Y"),AND(D16="OCIO",Inputs!$B$18="Y"),AND(D16="Other",Inputs!$B$19="Y")))),A16&lt;&gt;in_ClientOrg,NOT(AND(in_ExclHarvard="Y",ISNUMBER(SEARCH("Harvard",A16))))),$AD16="Y",K16&lt;&gt;"",S16&gt;0),"Y","")</f>
        <v/>
      </c>
      <c r="V16" s="30" t="n">
        <v>1.095642491524297</v>
      </c>
      <c r="W16" t="inlineStr"/>
      <c r="X16" s="28">
        <f>IF(L16+M16=0,"",L16+M16)</f>
        <v/>
      </c>
      <c r="Y16" s="38">
        <f>IF(L16=0,"",M16/L16)</f>
        <v/>
      </c>
      <c r="Z16" t="inlineStr">
        <is>
          <t>Other investment staff</t>
        </is>
      </c>
      <c r="AA16" t="inlineStr">
        <is>
          <t>Investments</t>
        </is>
      </c>
      <c r="AB16" s="50" t="inlineStr"/>
      <c r="AC16" s="43">
        <f>HYPERLINK("https://projects.propublica.org/nonprofits/organizations/530213841/202441319349303579/full","view filing")</f>
        <v/>
      </c>
      <c r="AD16" s="50" t="inlineStr"/>
    </row>
    <row r="17">
      <c r="A17" t="inlineStr">
        <is>
          <t>American Armed Forces Mutual Aid Association</t>
        </is>
      </c>
      <c r="B17" s="50" t="inlineStr">
        <is>
          <t>VA</t>
        </is>
      </c>
      <c r="C17" s="52" t="n">
        <v>0.55</v>
      </c>
      <c r="D17" t="inlineStr">
        <is>
          <t>Pension</t>
        </is>
      </c>
      <c r="E17" s="50" t="n">
        <v>2023</v>
      </c>
      <c r="F17" s="50" t="inlineStr">
        <is>
          <t>2024-05-10</t>
        </is>
      </c>
      <c r="G17" s="50" t="inlineStr">
        <is>
          <t>2023-12-31</t>
        </is>
      </c>
      <c r="H17" t="inlineStr">
        <is>
          <t>Paul E Jablansky</t>
        </is>
      </c>
      <c r="I17" t="inlineStr">
        <is>
          <t>CHIEF INVESTMENT OFFICER, AWMT</t>
        </is>
      </c>
      <c r="J17" t="inlineStr">
        <is>
          <t>CIO</t>
        </is>
      </c>
      <c r="K17" t="inlineStr">
        <is>
          <t>CIO - Top Investment Executive</t>
        </is>
      </c>
      <c r="L17" s="28" t="n">
        <v>165881</v>
      </c>
      <c r="M17" s="28" t="n">
        <v>0</v>
      </c>
      <c r="N17" s="28" t="n">
        <v>0</v>
      </c>
      <c r="O17" s="28" t="n">
        <v>3349</v>
      </c>
      <c r="P17" s="28" t="n">
        <v>11286</v>
      </c>
      <c r="Q17" s="28" t="n">
        <v>180516</v>
      </c>
      <c r="R17" s="28" t="n">
        <v>0</v>
      </c>
      <c r="S17" s="28">
        <f>Q17-R17</f>
        <v/>
      </c>
      <c r="T17" s="28">
        <f>IF(S17="","",S17*(1+in_GrowthRate)^(YEARFRAC(DATE(2023,12,31),in_AgeToDate)*IF(in_AgeToDate&lt;DATE(2023,12,31),-1,1)+1))</f>
        <v/>
      </c>
      <c r="U17" s="50">
        <f>IF(AND(AND(OR(in_Mode="All Funds",AND(C17&gt;=in_BandFloor,C17&lt;=in_BandCeiling,OR(in_Geography="National",COUNTIFS(lst_GeoPreset,in_Geography,lst_GeoState,B17)&gt;0,AND(in_Geography="Custom",ISNUMBER(SEARCH(B17,SUBSTITUTE(in_CustomStates," ",""))))),OR(AND(D17="Endowment",Inputs!$B$14="Y"),AND(D17="Foundation",Inputs!$B$15="Y"),AND(D17="Healthcare",Inputs!$B$16="Y"),AND(D17="Pension",Inputs!$B$17="Y"),AND(D17="OCIO",Inputs!$B$18="Y"),AND(D17="Other",Inputs!$B$19="Y")))),A17&lt;&gt;in_ClientOrg,NOT(AND(in_ExclHarvard="Y",ISNUMBER(SEARCH("Harvard",A17))))),$AD17="Y",K17&lt;&gt;"",S17&gt;0),"Y","")</f>
        <v/>
      </c>
      <c r="V17" s="30" t="n">
        <v>1</v>
      </c>
      <c r="W17" t="inlineStr"/>
      <c r="X17" s="28">
        <f>IF(L17+M17=0,"",L17+M17)</f>
        <v/>
      </c>
      <c r="Y17" s="38">
        <f>IF(L17=0,"",M17/L17)</f>
        <v/>
      </c>
      <c r="Z17" t="inlineStr">
        <is>
          <t>CIO - Top Investment Executive</t>
        </is>
      </c>
      <c r="AA17" t="inlineStr">
        <is>
          <t>Leadership</t>
        </is>
      </c>
      <c r="AB17" s="50" t="inlineStr">
        <is>
          <t>Y</t>
        </is>
      </c>
      <c r="AC17" s="43">
        <f>HYPERLINK("https://projects.propublica.org/nonprofits/organizations/530213841/202441319349303579/full","view filing")</f>
        <v/>
      </c>
      <c r="AD17" s="50" t="inlineStr"/>
    </row>
    <row r="18">
      <c r="A18" t="inlineStr">
        <is>
          <t>American Armed Forces Mutual Aid Association</t>
        </is>
      </c>
      <c r="B18" s="50" t="inlineStr">
        <is>
          <t>VA</t>
        </is>
      </c>
      <c r="C18" s="52" t="n">
        <v>0.55</v>
      </c>
      <c r="D18" t="inlineStr">
        <is>
          <t>Pension</t>
        </is>
      </c>
      <c r="E18" s="50" t="n">
        <v>2023</v>
      </c>
      <c r="F18" s="50" t="inlineStr">
        <is>
          <t>2024-05-10</t>
        </is>
      </c>
      <c r="G18" s="50" t="inlineStr">
        <is>
          <t>2023-12-31</t>
        </is>
      </c>
      <c r="H18" t="inlineStr">
        <is>
          <t>Peter St Denis</t>
        </is>
      </c>
      <c r="I18" t="inlineStr">
        <is>
          <t>PORTFOLIO MANAGER, AWMT</t>
        </is>
      </c>
      <c r="J18" t="inlineStr">
        <is>
          <t>Portfolio Manager</t>
        </is>
      </c>
      <c r="K18" t="inlineStr">
        <is>
          <t>Sr Investment Professional</t>
        </is>
      </c>
      <c r="L18" s="28" t="n">
        <v>183100</v>
      </c>
      <c r="M18" s="28" t="n">
        <v>0</v>
      </c>
      <c r="N18" s="28" t="n">
        <v>0</v>
      </c>
      <c r="O18" s="28" t="n">
        <v>7574</v>
      </c>
      <c r="P18" s="28" t="n">
        <v>0</v>
      </c>
      <c r="Q18" s="28" t="n">
        <v>190674</v>
      </c>
      <c r="R18" s="28" t="n">
        <v>0</v>
      </c>
      <c r="S18" s="28">
        <f>Q18-R18</f>
        <v/>
      </c>
      <c r="T18" s="28">
        <f>IF(S18="","",S18*(1+in_GrowthRate)^(YEARFRAC(DATE(2023,12,31),in_AgeToDate)*IF(in_AgeToDate&lt;DATE(2023,12,31),-1,1)+1))</f>
        <v/>
      </c>
      <c r="U18" s="50">
        <f>IF(AND(AND(OR(in_Mode="All Funds",AND(C18&gt;=in_BandFloor,C18&lt;=in_BandCeiling,OR(in_Geography="National",COUNTIFS(lst_GeoPreset,in_Geography,lst_GeoState,B18)&gt;0,AND(in_Geography="Custom",ISNUMBER(SEARCH(B18,SUBSTITUTE(in_CustomStates," ",""))))),OR(AND(D18="Endowment",Inputs!$B$14="Y"),AND(D18="Foundation",Inputs!$B$15="Y"),AND(D18="Healthcare",Inputs!$B$16="Y"),AND(D18="Pension",Inputs!$B$17="Y"),AND(D18="OCIO",Inputs!$B$18="Y"),AND(D18="Other",Inputs!$B$19="Y")))),A18&lt;&gt;in_ClientOrg,NOT(AND(in_ExclHarvard="Y",ISNUMBER(SEARCH("Harvard",A18))))),$AD18="Y",K18&lt;&gt;"",S18&gt;0),"Y","")</f>
        <v/>
      </c>
      <c r="V18" s="30" t="n">
        <v>1.056272020208735</v>
      </c>
      <c r="W18" t="inlineStr"/>
      <c r="X18" s="28">
        <f>IF(L18+M18=0,"",L18+M18)</f>
        <v/>
      </c>
      <c r="Y18" s="38">
        <f>IF(L18=0,"",M18/L18)</f>
        <v/>
      </c>
      <c r="Z18" t="inlineStr">
        <is>
          <t>Other investment staff</t>
        </is>
      </c>
      <c r="AA18" t="inlineStr">
        <is>
          <t>Investments</t>
        </is>
      </c>
      <c r="AB18" s="50" t="inlineStr"/>
      <c r="AC18" s="43">
        <f>HYPERLINK("https://projects.propublica.org/nonprofits/organizations/530213841/202441319349303579/full","view filing")</f>
        <v/>
      </c>
      <c r="AD18" s="50" t="inlineStr"/>
    </row>
    <row r="19">
      <c r="A19" t="inlineStr">
        <is>
          <t>American Armed Forces Mutual Aid Association</t>
        </is>
      </c>
      <c r="B19" s="50" t="inlineStr">
        <is>
          <t>VA</t>
        </is>
      </c>
      <c r="C19" s="52" t="n">
        <v>0.55</v>
      </c>
      <c r="D19" t="inlineStr">
        <is>
          <t>Pension</t>
        </is>
      </c>
      <c r="E19" s="50" t="n">
        <v>2022</v>
      </c>
      <c r="F19" s="50" t="inlineStr">
        <is>
          <t>2023-05-11</t>
        </is>
      </c>
      <c r="G19" s="50" t="inlineStr">
        <is>
          <t>2022-12-31</t>
        </is>
      </c>
      <c r="H19" t="inlineStr">
        <is>
          <t>Gary N Aiken</t>
        </is>
      </c>
      <c r="I19" t="inlineStr">
        <is>
          <t>CIO, AWMT</t>
        </is>
      </c>
      <c r="J19" t="inlineStr">
        <is>
          <t>CIO</t>
        </is>
      </c>
      <c r="K19" t="inlineStr">
        <is>
          <t>CIO - Top Investment Executive</t>
        </is>
      </c>
      <c r="L19" s="28" t="n">
        <v>208849</v>
      </c>
      <c r="M19" s="28" t="n">
        <v>41117</v>
      </c>
      <c r="N19" s="28" t="n">
        <v>0</v>
      </c>
      <c r="O19" s="28" t="n">
        <v>11248</v>
      </c>
      <c r="P19" s="28" t="n">
        <v>978</v>
      </c>
      <c r="Q19" s="28" t="n">
        <v>262192</v>
      </c>
      <c r="R19" s="28" t="n">
        <v>0</v>
      </c>
      <c r="S19" s="28">
        <f>Q19-R19</f>
        <v/>
      </c>
      <c r="T19" s="28">
        <f>IF(S19="","",S19*(1+in_GrowthRate)^(YEARFRAC(DATE(2022,12,31),in_AgeToDate)*IF(in_AgeToDate&lt;DATE(2022,12,31),-1,1)+1))</f>
        <v/>
      </c>
      <c r="U19" s="50">
        <f>IF(AND(AND(OR(in_Mode="All Funds",AND(C19&gt;=in_BandFloor,C19&lt;=in_BandCeiling,OR(in_Geography="National",COUNTIFS(lst_GeoPreset,in_Geography,lst_GeoState,B19)&gt;0,AND(in_Geography="Custom",ISNUMBER(SEARCH(B19,SUBSTITUTE(in_CustomStates," ",""))))),OR(AND(D19="Endowment",Inputs!$B$14="Y"),AND(D19="Foundation",Inputs!$B$15="Y"),AND(D19="Healthcare",Inputs!$B$16="Y"),AND(D19="Pension",Inputs!$B$17="Y"),AND(D19="OCIO",Inputs!$B$18="Y"),AND(D19="Other",Inputs!$B$19="Y")))),A19&lt;&gt;in_ClientOrg,NOT(AND(in_ExclHarvard="Y",ISNUMBER(SEARCH("Harvard",A19))))),$AD19="Y",K19&lt;&gt;"",S19&gt;0),"Y","")</f>
        <v/>
      </c>
      <c r="V19" s="30" t="n">
        <v>1</v>
      </c>
      <c r="W19" t="inlineStr"/>
      <c r="X19" s="28">
        <f>IF(L19+M19=0,"",L19+M19)</f>
        <v/>
      </c>
      <c r="Y19" s="38">
        <f>IF(L19=0,"",M19/L19)</f>
        <v/>
      </c>
      <c r="Z19" t="inlineStr">
        <is>
          <t>CIO - Top Investment Executive</t>
        </is>
      </c>
      <c r="AA19" t="inlineStr">
        <is>
          <t>Leadership</t>
        </is>
      </c>
      <c r="AB19" s="50" t="inlineStr">
        <is>
          <t>Y</t>
        </is>
      </c>
      <c r="AC19" s="43">
        <f>HYPERLINK("https://projects.propublica.org/nonprofits/organizations/530213841/202301319349303645/full","view filing")</f>
        <v/>
      </c>
      <c r="AD19" s="50" t="inlineStr"/>
    </row>
    <row r="20">
      <c r="A20" t="inlineStr">
        <is>
          <t>American Armed Forces Mutual Aid Association</t>
        </is>
      </c>
      <c r="B20" s="50" t="inlineStr">
        <is>
          <t>VA</t>
        </is>
      </c>
      <c r="C20" s="52" t="n">
        <v>0.55</v>
      </c>
      <c r="D20" t="inlineStr">
        <is>
          <t>Pension</t>
        </is>
      </c>
      <c r="E20" s="50" t="n">
        <v>2022</v>
      </c>
      <c r="F20" s="50" t="inlineStr">
        <is>
          <t>2023-05-11</t>
        </is>
      </c>
      <c r="G20" s="50" t="inlineStr">
        <is>
          <t>2022-12-31</t>
        </is>
      </c>
      <c r="H20" t="inlineStr">
        <is>
          <t>Matthew Watson</t>
        </is>
      </c>
      <c r="I20" t="inlineStr">
        <is>
          <t>COMMERCIAL PORTFOLIO MGR, AMS</t>
        </is>
      </c>
      <c r="J20" t="inlineStr">
        <is>
          <t>Portfolio Manager</t>
        </is>
      </c>
      <c r="K20" t="inlineStr">
        <is>
          <t>Sr Investment Professional</t>
        </is>
      </c>
      <c r="L20" s="28" t="n">
        <v>156900</v>
      </c>
      <c r="M20" s="28" t="n">
        <v>98997</v>
      </c>
      <c r="N20" s="28" t="n">
        <v>0</v>
      </c>
      <c r="O20" s="28" t="n">
        <v>11515</v>
      </c>
      <c r="P20" s="28" t="n">
        <v>13305</v>
      </c>
      <c r="Q20" s="28" t="n">
        <v>280717</v>
      </c>
      <c r="R20" s="28" t="n">
        <v>0</v>
      </c>
      <c r="S20" s="28">
        <f>Q20-R20</f>
        <v/>
      </c>
      <c r="T20" s="28">
        <f>IF(S20="","",S20*(1+in_GrowthRate)^(YEARFRAC(DATE(2022,12,31),in_AgeToDate)*IF(in_AgeToDate&lt;DATE(2022,12,31),-1,1)+1))</f>
        <v/>
      </c>
      <c r="U20" s="50">
        <f>IF(AND(AND(OR(in_Mode="All Funds",AND(C20&gt;=in_BandFloor,C20&lt;=in_BandCeiling,OR(in_Geography="National",COUNTIFS(lst_GeoPreset,in_Geography,lst_GeoState,B20)&gt;0,AND(in_Geography="Custom",ISNUMBER(SEARCH(B20,SUBSTITUTE(in_CustomStates," ",""))))),OR(AND(D20="Endowment",Inputs!$B$14="Y"),AND(D20="Foundation",Inputs!$B$15="Y"),AND(D20="Healthcare",Inputs!$B$16="Y"),AND(D20="Pension",Inputs!$B$17="Y"),AND(D20="OCIO",Inputs!$B$18="Y"),AND(D20="Other",Inputs!$B$19="Y")))),A20&lt;&gt;in_ClientOrg,NOT(AND(in_ExclHarvard="Y",ISNUMBER(SEARCH("Harvard",A20))))),$AD20="Y",K20&lt;&gt;"",S20&gt;0),"Y","")</f>
        <v/>
      </c>
      <c r="V20" s="30" t="n">
        <v>1.070654329651553</v>
      </c>
      <c r="W20" t="inlineStr"/>
      <c r="X20" s="28">
        <f>IF(L20+M20=0,"",L20+M20)</f>
        <v/>
      </c>
      <c r="Y20" s="38">
        <f>IF(L20=0,"",M20/L20)</f>
        <v/>
      </c>
      <c r="Z20" t="inlineStr">
        <is>
          <t>Other investment staff</t>
        </is>
      </c>
      <c r="AA20" t="inlineStr">
        <is>
          <t>Investments</t>
        </is>
      </c>
      <c r="AB20" s="50" t="inlineStr"/>
      <c r="AC20" s="43">
        <f>HYPERLINK("https://projects.propublica.org/nonprofits/organizations/530213841/202301319349303645/full","view filing")</f>
        <v/>
      </c>
      <c r="AD20" s="50" t="inlineStr"/>
    </row>
    <row r="21">
      <c r="A21" t="inlineStr">
        <is>
          <t>American Institutes For Research In The Behavioral Sciences</t>
        </is>
      </c>
      <c r="B21" s="50" t="inlineStr">
        <is>
          <t>VA</t>
        </is>
      </c>
      <c r="C21" s="52" t="n">
        <v>0.82</v>
      </c>
      <c r="D21" t="inlineStr">
        <is>
          <t>Other</t>
        </is>
      </c>
      <c r="E21" s="50" t="n">
        <v>2024</v>
      </c>
      <c r="F21" s="50" t="inlineStr">
        <is>
          <t>2025-11-17</t>
        </is>
      </c>
      <c r="G21" s="50" t="inlineStr">
        <is>
          <t>2024-12-31</t>
        </is>
      </c>
      <c r="H21" t="inlineStr">
        <is>
          <t>Donald Lindsey</t>
        </is>
      </c>
      <c r="I21" t="inlineStr">
        <is>
          <t>CHIEF INVESTMENT OFFICER</t>
        </is>
      </c>
      <c r="J21" t="inlineStr">
        <is>
          <t>CIO</t>
        </is>
      </c>
      <c r="K21" t="inlineStr">
        <is>
          <t>CIO - Top Investment Executive</t>
        </is>
      </c>
      <c r="L21" s="28" t="n">
        <v>346544</v>
      </c>
      <c r="M21" s="28" t="n">
        <v>4132</v>
      </c>
      <c r="N21" s="28" t="n">
        <v>20400</v>
      </c>
      <c r="O21" s="28" t="n">
        <v>24150</v>
      </c>
      <c r="P21" s="28" t="n">
        <v>24697</v>
      </c>
      <c r="Q21" s="28" t="n">
        <v>419923</v>
      </c>
      <c r="R21" s="28" t="n">
        <v>0</v>
      </c>
      <c r="S21" s="28">
        <f>Q21-R21</f>
        <v/>
      </c>
      <c r="T21" s="28">
        <f>IF(S21="","",S21*(1+in_GrowthRate)^(YEARFRAC(DATE(2024,12,31),in_AgeToDate)*IF(in_AgeToDate&lt;DATE(2024,12,31),-1,1)+1))</f>
        <v/>
      </c>
      <c r="U21" s="50">
        <f>IF(AND(AND(OR(in_Mode="All Funds",AND(C21&gt;=in_BandFloor,C21&lt;=in_BandCeiling,OR(in_Geography="National",COUNTIFS(lst_GeoPreset,in_Geography,lst_GeoState,B21)&gt;0,AND(in_Geography="Custom",ISNUMBER(SEARCH(B21,SUBSTITUTE(in_CustomStates," ",""))))),OR(AND(D21="Endowment",Inputs!$B$14="Y"),AND(D21="Foundation",Inputs!$B$15="Y"),AND(D21="Healthcare",Inputs!$B$16="Y"),AND(D21="Pension",Inputs!$B$17="Y"),AND(D21="OCIO",Inputs!$B$18="Y"),AND(D21="Other",Inputs!$B$19="Y")))),A21&lt;&gt;in_ClientOrg,NOT(AND(in_ExclHarvard="Y",ISNUMBER(SEARCH("Harvard",A21))))),$AD21="Y",K21&lt;&gt;"",S21&gt;0),"Y","")</f>
        <v/>
      </c>
      <c r="V21" s="30" t="n">
        <v>1</v>
      </c>
      <c r="W21" t="inlineStr"/>
      <c r="X21" s="28">
        <f>IF(L21+M21=0,"",L21+M21)</f>
        <v/>
      </c>
      <c r="Y21" s="38">
        <f>IF(L21=0,"",M21/L21)</f>
        <v/>
      </c>
      <c r="Z21" t="inlineStr">
        <is>
          <t>CIO - Top Investment Executive</t>
        </is>
      </c>
      <c r="AA21" t="inlineStr">
        <is>
          <t>Leadership</t>
        </is>
      </c>
      <c r="AB21" s="50" t="inlineStr">
        <is>
          <t>Y</t>
        </is>
      </c>
      <c r="AC21" s="43">
        <f>HYPERLINK("https://projects.propublica.org/nonprofits/organizations/250965219/202503219349319345/full","view filing")</f>
        <v/>
      </c>
      <c r="AD21" s="50" t="inlineStr">
        <is>
          <t>Y</t>
        </is>
      </c>
    </row>
    <row r="22">
      <c r="A22" t="inlineStr">
        <is>
          <t>American Journalism Project Inc</t>
        </is>
      </c>
      <c r="B22" s="50" t="inlineStr">
        <is>
          <t>DC</t>
        </is>
      </c>
      <c r="C22" s="52" t="n">
        <v>0.04</v>
      </c>
      <c r="D22" t="inlineStr">
        <is>
          <t>Other</t>
        </is>
      </c>
      <c r="E22" s="50" t="n">
        <v>2024</v>
      </c>
      <c r="F22" s="50" t="inlineStr">
        <is>
          <t>2025-11-12</t>
        </is>
      </c>
      <c r="G22" s="50" t="inlineStr">
        <is>
          <t>2024-12-31</t>
        </is>
      </c>
      <c r="H22" t="inlineStr">
        <is>
          <t>Michael Ouimette</t>
        </is>
      </c>
      <c r="I22" t="inlineStr">
        <is>
          <t>CHIEF INVESTMENT OFFICER</t>
        </is>
      </c>
      <c r="J22" t="inlineStr">
        <is>
          <t>CIO</t>
        </is>
      </c>
      <c r="K22" t="inlineStr">
        <is>
          <t>CIO - Top Investment Executive</t>
        </is>
      </c>
      <c r="L22" s="28" t="n">
        <v>247725</v>
      </c>
      <c r="M22" s="28" t="n">
        <v>0</v>
      </c>
      <c r="N22" s="28" t="n">
        <v>0</v>
      </c>
      <c r="O22" s="28" t="n">
        <v>413</v>
      </c>
      <c r="P22" s="28" t="n">
        <v>9591</v>
      </c>
      <c r="Q22" s="28" t="n">
        <v>257729</v>
      </c>
      <c r="R22" s="28" t="n">
        <v>0</v>
      </c>
      <c r="S22" s="28">
        <f>Q22-R22</f>
        <v/>
      </c>
      <c r="T22" s="28">
        <f>IF(S22="","",S22*(1+in_GrowthRate)^(YEARFRAC(DATE(2024,12,31),in_AgeToDate)*IF(in_AgeToDate&lt;DATE(2024,12,31),-1,1)+1))</f>
        <v/>
      </c>
      <c r="U22" s="50">
        <f>IF(AND(AND(OR(in_Mode="All Funds",AND(C22&gt;=in_BandFloor,C22&lt;=in_BandCeiling,OR(in_Geography="National",COUNTIFS(lst_GeoPreset,in_Geography,lst_GeoState,B22)&gt;0,AND(in_Geography="Custom",ISNUMBER(SEARCH(B22,SUBSTITUTE(in_CustomStates," ",""))))),OR(AND(D22="Endowment",Inputs!$B$14="Y"),AND(D22="Foundation",Inputs!$B$15="Y"),AND(D22="Healthcare",Inputs!$B$16="Y"),AND(D22="Pension",Inputs!$B$17="Y"),AND(D22="OCIO",Inputs!$B$18="Y"),AND(D22="Other",Inputs!$B$19="Y")))),A22&lt;&gt;in_ClientOrg,NOT(AND(in_ExclHarvard="Y",ISNUMBER(SEARCH("Harvard",A22))))),$AD22="Y",K22&lt;&gt;"",S22&gt;0),"Y","")</f>
        <v/>
      </c>
      <c r="V22" s="30" t="n">
        <v>1</v>
      </c>
      <c r="W22" t="inlineStr"/>
      <c r="X22" s="28">
        <f>IF(L22+M22=0,"",L22+M22)</f>
        <v/>
      </c>
      <c r="Y22" s="38">
        <f>IF(L22=0,"",M22/L22)</f>
        <v/>
      </c>
      <c r="Z22" t="inlineStr">
        <is>
          <t>CIO - Top Investment Executive</t>
        </is>
      </c>
      <c r="AA22" t="inlineStr">
        <is>
          <t>Leadership</t>
        </is>
      </c>
      <c r="AB22" s="50" t="inlineStr">
        <is>
          <t>Y</t>
        </is>
      </c>
      <c r="AC22" s="43">
        <f>HYPERLINK("https://projects.propublica.org/nonprofits/organizations/831772542/202503169349304355/full","view filing")</f>
        <v/>
      </c>
      <c r="AD22" s="50" t="inlineStr">
        <is>
          <t>Y</t>
        </is>
      </c>
    </row>
    <row r="23">
      <c r="A23" t="inlineStr">
        <is>
          <t>American Journalism Project Inc</t>
        </is>
      </c>
      <c r="B23" s="50" t="inlineStr">
        <is>
          <t>DC</t>
        </is>
      </c>
      <c r="C23" s="52" t="n">
        <v>0.04</v>
      </c>
      <c r="D23" t="inlineStr">
        <is>
          <t>Other</t>
        </is>
      </c>
      <c r="E23" s="50" t="n">
        <v>2023</v>
      </c>
      <c r="F23" s="50" t="inlineStr">
        <is>
          <t>2024-11-13</t>
        </is>
      </c>
      <c r="G23" s="50" t="inlineStr">
        <is>
          <t>2023-12-31</t>
        </is>
      </c>
      <c r="H23" t="inlineStr">
        <is>
          <t>Michael Ouimette</t>
        </is>
      </c>
      <c r="I23" t="inlineStr">
        <is>
          <t>CHIEF INVESTMENT OFFICER</t>
        </is>
      </c>
      <c r="J23" t="inlineStr">
        <is>
          <t>CIO</t>
        </is>
      </c>
      <c r="K23" t="inlineStr">
        <is>
          <t>CIO - Top Investment Executive</t>
        </is>
      </c>
      <c r="L23" s="28" t="n">
        <v>228310</v>
      </c>
      <c r="M23" s="28" t="n">
        <v>3500</v>
      </c>
      <c r="N23" s="28" t="n">
        <v>0</v>
      </c>
      <c r="O23" s="28" t="n">
        <v>0</v>
      </c>
      <c r="P23" s="28" t="n">
        <v>9372</v>
      </c>
      <c r="Q23" s="28" t="n">
        <v>241182</v>
      </c>
      <c r="R23" s="28" t="n">
        <v>0</v>
      </c>
      <c r="S23" s="28">
        <f>Q23-R23</f>
        <v/>
      </c>
      <c r="T23" s="28">
        <f>IF(S23="","",S23*(1+in_GrowthRate)^(YEARFRAC(DATE(2023,12,31),in_AgeToDate)*IF(in_AgeToDate&lt;DATE(2023,12,31),-1,1)+1))</f>
        <v/>
      </c>
      <c r="U23" s="50">
        <f>IF(AND(AND(OR(in_Mode="All Funds",AND(C23&gt;=in_BandFloor,C23&lt;=in_BandCeiling,OR(in_Geography="National",COUNTIFS(lst_GeoPreset,in_Geography,lst_GeoState,B23)&gt;0,AND(in_Geography="Custom",ISNUMBER(SEARCH(B23,SUBSTITUTE(in_CustomStates," ",""))))),OR(AND(D23="Endowment",Inputs!$B$14="Y"),AND(D23="Foundation",Inputs!$B$15="Y"),AND(D23="Healthcare",Inputs!$B$16="Y"),AND(D23="Pension",Inputs!$B$17="Y"),AND(D23="OCIO",Inputs!$B$18="Y"),AND(D23="Other",Inputs!$B$19="Y")))),A23&lt;&gt;in_ClientOrg,NOT(AND(in_ExclHarvard="Y",ISNUMBER(SEARCH("Harvard",A23))))),$AD23="Y",K23&lt;&gt;"",S23&gt;0),"Y","")</f>
        <v/>
      </c>
      <c r="V23" s="30" t="n">
        <v>1</v>
      </c>
      <c r="W23" t="inlineStr"/>
      <c r="X23" s="28">
        <f>IF(L23+M23=0,"",L23+M23)</f>
        <v/>
      </c>
      <c r="Y23" s="38">
        <f>IF(L23=0,"",M23/L23)</f>
        <v/>
      </c>
      <c r="Z23" t="inlineStr">
        <is>
          <t>CIO - Top Investment Executive</t>
        </is>
      </c>
      <c r="AA23" t="inlineStr">
        <is>
          <t>Leadership</t>
        </is>
      </c>
      <c r="AB23" s="50" t="inlineStr">
        <is>
          <t>Y</t>
        </is>
      </c>
      <c r="AC23" s="43">
        <f>HYPERLINK("https://projects.propublica.org/nonprofits/organizations/831772542/202443189349300539/full","view filing")</f>
        <v/>
      </c>
      <c r="AD23" s="50" t="inlineStr"/>
    </row>
    <row r="24">
      <c r="A24" t="inlineStr">
        <is>
          <t>American Lebanese Syrian Assoc Char Inc</t>
        </is>
      </c>
      <c r="B24" s="50" t="inlineStr">
        <is>
          <t>TN</t>
        </is>
      </c>
      <c r="C24" s="52" t="n">
        <v>10.46</v>
      </c>
      <c r="D24" t="inlineStr">
        <is>
          <t>Other</t>
        </is>
      </c>
      <c r="E24" s="50" t="n">
        <v>2025</v>
      </c>
      <c r="F24" s="50" t="inlineStr">
        <is>
          <t>2026-05-13</t>
        </is>
      </c>
      <c r="G24" s="50" t="inlineStr">
        <is>
          <t>2025-06-30</t>
        </is>
      </c>
      <c r="H24" t="inlineStr">
        <is>
          <t>Anurag Pandit</t>
        </is>
      </c>
      <c r="I24" t="inlineStr">
        <is>
          <t>CHIEF INVESTMENT OFFICER</t>
        </is>
      </c>
      <c r="J24" t="inlineStr">
        <is>
          <t>CIO</t>
        </is>
      </c>
      <c r="K24" t="inlineStr">
        <is>
          <t>CIO - Top Investment Executive</t>
        </is>
      </c>
      <c r="L24" s="28" t="n">
        <v>768159</v>
      </c>
      <c r="M24" s="28" t="n">
        <v>0</v>
      </c>
      <c r="N24" s="28" t="n">
        <v>50061</v>
      </c>
      <c r="O24" s="28" t="n">
        <v>86618</v>
      </c>
      <c r="P24" s="28" t="n">
        <v>26495</v>
      </c>
      <c r="Q24" s="28" t="n">
        <v>931333</v>
      </c>
      <c r="R24" s="28" t="n">
        <v>45309</v>
      </c>
      <c r="S24" s="28">
        <f>Q24-R24</f>
        <v/>
      </c>
      <c r="T24" s="28">
        <f>IF(S24="","",S24*(1+in_GrowthRate)^(YEARFRAC(DATE(2025,6,30),in_AgeToDate)*IF(in_AgeToDate&lt;DATE(2025,6,30),-1,1)+1))</f>
        <v/>
      </c>
      <c r="U24" s="50">
        <f>IF(AND(AND(OR(in_Mode="All Funds",AND(C24&gt;=in_BandFloor,C24&lt;=in_BandCeiling,OR(in_Geography="National",COUNTIFS(lst_GeoPreset,in_Geography,lst_GeoState,B24)&gt;0,AND(in_Geography="Custom",ISNUMBER(SEARCH(B24,SUBSTITUTE(in_CustomStates," ",""))))),OR(AND(D24="Endowment",Inputs!$B$14="Y"),AND(D24="Foundation",Inputs!$B$15="Y"),AND(D24="Healthcare",Inputs!$B$16="Y"),AND(D24="Pension",Inputs!$B$17="Y"),AND(D24="OCIO",Inputs!$B$18="Y"),AND(D24="Other",Inputs!$B$19="Y")))),A24&lt;&gt;in_ClientOrg,NOT(AND(in_ExclHarvard="Y",ISNUMBER(SEARCH("Harvard",A24))))),$AD24="Y",K24&lt;&gt;"",S24&gt;0),"Y","")</f>
        <v/>
      </c>
      <c r="V24" s="30" t="n">
        <v>1</v>
      </c>
      <c r="W24" t="inlineStr"/>
      <c r="X24" s="28">
        <f>IF(L24+M24=0,"",L24+M24)</f>
        <v/>
      </c>
      <c r="Y24" s="38">
        <f>IF(L24=0,"",M24/L24)</f>
        <v/>
      </c>
      <c r="Z24" t="inlineStr">
        <is>
          <t>CIO - Top Investment Executive</t>
        </is>
      </c>
      <c r="AA24" t="inlineStr">
        <is>
          <t>Leadership</t>
        </is>
      </c>
      <c r="AB24" s="50" t="inlineStr">
        <is>
          <t>Y</t>
        </is>
      </c>
      <c r="AC24" s="43">
        <f>HYPERLINK("https://projects.propublica.org/nonprofits/organizations/351044585/202621339349308397/full","view filing")</f>
        <v/>
      </c>
      <c r="AD24" s="50" t="inlineStr">
        <is>
          <t>Y</t>
        </is>
      </c>
    </row>
    <row r="25">
      <c r="A25" t="inlineStr">
        <is>
          <t>American Lebanese Syrian Assoc Char Inc</t>
        </is>
      </c>
      <c r="B25" s="50" t="inlineStr">
        <is>
          <t>TN</t>
        </is>
      </c>
      <c r="C25" s="52" t="n">
        <v>10.46</v>
      </c>
      <c r="D25" t="inlineStr">
        <is>
          <t>Other</t>
        </is>
      </c>
      <c r="E25" s="50" t="n">
        <v>2024</v>
      </c>
      <c r="F25" s="50" t="inlineStr">
        <is>
          <t>2025-05-13</t>
        </is>
      </c>
      <c r="G25" s="50" t="inlineStr">
        <is>
          <t>2024-06-30</t>
        </is>
      </c>
      <c r="H25" t="inlineStr">
        <is>
          <t>Anurag Pandit</t>
        </is>
      </c>
      <c r="I25" t="inlineStr">
        <is>
          <t>CHIEF INVESTMENT OFFICER</t>
        </is>
      </c>
      <c r="J25" t="inlineStr">
        <is>
          <t>CIO</t>
        </is>
      </c>
      <c r="K25" t="inlineStr">
        <is>
          <t>CIO - Top Investment Executive</t>
        </is>
      </c>
      <c r="L25" s="28" t="n">
        <v>700861</v>
      </c>
      <c r="M25" s="28" t="n">
        <v>0</v>
      </c>
      <c r="N25" s="28" t="n">
        <v>41806</v>
      </c>
      <c r="O25" s="28" t="n">
        <v>83170</v>
      </c>
      <c r="P25" s="28" t="n">
        <v>25917</v>
      </c>
      <c r="Q25" s="28" t="n">
        <v>851754</v>
      </c>
      <c r="R25" s="28" t="n">
        <v>37054</v>
      </c>
      <c r="S25" s="28">
        <f>Q25-R25</f>
        <v/>
      </c>
      <c r="T25" s="28">
        <f>IF(S25="","",S25*(1+in_GrowthRate)^(YEARFRAC(DATE(2024,6,30),in_AgeToDate)*IF(in_AgeToDate&lt;DATE(2024,6,30),-1,1)+1))</f>
        <v/>
      </c>
      <c r="U25" s="50">
        <f>IF(AND(AND(OR(in_Mode="All Funds",AND(C25&gt;=in_BandFloor,C25&lt;=in_BandCeiling,OR(in_Geography="National",COUNTIFS(lst_GeoPreset,in_Geography,lst_GeoState,B25)&gt;0,AND(in_Geography="Custom",ISNUMBER(SEARCH(B25,SUBSTITUTE(in_CustomStates," ",""))))),OR(AND(D25="Endowment",Inputs!$B$14="Y"),AND(D25="Foundation",Inputs!$B$15="Y"),AND(D25="Healthcare",Inputs!$B$16="Y"),AND(D25="Pension",Inputs!$B$17="Y"),AND(D25="OCIO",Inputs!$B$18="Y"),AND(D25="Other",Inputs!$B$19="Y")))),A25&lt;&gt;in_ClientOrg,NOT(AND(in_ExclHarvard="Y",ISNUMBER(SEARCH("Harvard",A25))))),$AD25="Y",K25&lt;&gt;"",S25&gt;0),"Y","")</f>
        <v/>
      </c>
      <c r="V25" s="30" t="n">
        <v>1</v>
      </c>
      <c r="W25" t="inlineStr"/>
      <c r="X25" s="28">
        <f>IF(L25+M25=0,"",L25+M25)</f>
        <v/>
      </c>
      <c r="Y25" s="38">
        <f>IF(L25=0,"",M25/L25)</f>
        <v/>
      </c>
      <c r="Z25" t="inlineStr">
        <is>
          <t>CIO - Top Investment Executive</t>
        </is>
      </c>
      <c r="AA25" t="inlineStr">
        <is>
          <t>Leadership</t>
        </is>
      </c>
      <c r="AB25" s="50" t="inlineStr">
        <is>
          <t>Y</t>
        </is>
      </c>
      <c r="AC25" s="43">
        <f>HYPERLINK("https://projects.propublica.org/nonprofits/organizations/351044585/202531339349302178/full","view filing")</f>
        <v/>
      </c>
      <c r="AD25" s="50" t="inlineStr"/>
    </row>
    <row r="26">
      <c r="A26" t="inlineStr">
        <is>
          <t>American Lebanese Syrian Assoc Char Inc</t>
        </is>
      </c>
      <c r="B26" s="50" t="inlineStr">
        <is>
          <t>TN</t>
        </is>
      </c>
      <c r="C26" s="52" t="n">
        <v>10.46</v>
      </c>
      <c r="D26" t="inlineStr">
        <is>
          <t>Other</t>
        </is>
      </c>
      <c r="E26" s="50" t="n">
        <v>2023</v>
      </c>
      <c r="F26" s="50" t="inlineStr">
        <is>
          <t>2024-05-10</t>
        </is>
      </c>
      <c r="G26" s="50" t="inlineStr">
        <is>
          <t>2023-06-30</t>
        </is>
      </c>
      <c r="H26" t="inlineStr">
        <is>
          <t>Anurag Pandit</t>
        </is>
      </c>
      <c r="I26" t="inlineStr">
        <is>
          <t>CHIEF INVESTMENT OFFICER</t>
        </is>
      </c>
      <c r="J26" t="inlineStr">
        <is>
          <t>CIO</t>
        </is>
      </c>
      <c r="K26" t="inlineStr">
        <is>
          <t>CIO - Top Investment Executive</t>
        </is>
      </c>
      <c r="L26" s="28" t="n">
        <v>626180</v>
      </c>
      <c r="M26" s="28" t="n">
        <v>0</v>
      </c>
      <c r="N26" s="28" t="n">
        <v>34826</v>
      </c>
      <c r="O26" s="28" t="n">
        <v>72640</v>
      </c>
      <c r="P26" s="28" t="n">
        <v>26495</v>
      </c>
      <c r="Q26" s="28" t="n">
        <v>760141</v>
      </c>
      <c r="R26" s="28" t="n">
        <v>30074</v>
      </c>
      <c r="S26" s="28">
        <f>Q26-R26</f>
        <v/>
      </c>
      <c r="T26" s="28">
        <f>IF(S26="","",S26*(1+in_GrowthRate)^(YEARFRAC(DATE(2023,6,30),in_AgeToDate)*IF(in_AgeToDate&lt;DATE(2023,6,30),-1,1)+1))</f>
        <v/>
      </c>
      <c r="U26" s="50">
        <f>IF(AND(AND(OR(in_Mode="All Funds",AND(C26&gt;=in_BandFloor,C26&lt;=in_BandCeiling,OR(in_Geography="National",COUNTIFS(lst_GeoPreset,in_Geography,lst_GeoState,B26)&gt;0,AND(in_Geography="Custom",ISNUMBER(SEARCH(B26,SUBSTITUTE(in_CustomStates," ",""))))),OR(AND(D26="Endowment",Inputs!$B$14="Y"),AND(D26="Foundation",Inputs!$B$15="Y"),AND(D26="Healthcare",Inputs!$B$16="Y"),AND(D26="Pension",Inputs!$B$17="Y"),AND(D26="OCIO",Inputs!$B$18="Y"),AND(D26="Other",Inputs!$B$19="Y")))),A26&lt;&gt;in_ClientOrg,NOT(AND(in_ExclHarvard="Y",ISNUMBER(SEARCH("Harvard",A26))))),$AD26="Y",K26&lt;&gt;"",S26&gt;0),"Y","")</f>
        <v/>
      </c>
      <c r="V26" s="30" t="n">
        <v>1</v>
      </c>
      <c r="W26" t="inlineStr"/>
      <c r="X26" s="28">
        <f>IF(L26+M26=0,"",L26+M26)</f>
        <v/>
      </c>
      <c r="Y26" s="38">
        <f>IF(L26=0,"",M26/L26)</f>
        <v/>
      </c>
      <c r="Z26" t="inlineStr">
        <is>
          <t>CIO - Top Investment Executive</t>
        </is>
      </c>
      <c r="AA26" t="inlineStr">
        <is>
          <t>Leadership</t>
        </is>
      </c>
      <c r="AB26" s="50" t="inlineStr">
        <is>
          <t>Y</t>
        </is>
      </c>
      <c r="AC26" s="43">
        <f>HYPERLINK("https://projects.propublica.org/nonprofits/organizations/351044585/202441319349304049/full","view filing")</f>
        <v/>
      </c>
      <c r="AD26" s="50" t="inlineStr"/>
    </row>
    <row r="27">
      <c r="A27" t="inlineStr">
        <is>
          <t>American Lebanese Syrian Assoc Char Inc</t>
        </is>
      </c>
      <c r="B27" s="50" t="inlineStr">
        <is>
          <t>TN</t>
        </is>
      </c>
      <c r="C27" s="52" t="n">
        <v>10.46</v>
      </c>
      <c r="D27" t="inlineStr">
        <is>
          <t>Other</t>
        </is>
      </c>
      <c r="E27" s="50" t="n">
        <v>2022</v>
      </c>
      <c r="F27" s="50" t="inlineStr">
        <is>
          <t>2023-05-11</t>
        </is>
      </c>
      <c r="G27" s="50" t="inlineStr">
        <is>
          <t>2022-06-30</t>
        </is>
      </c>
      <c r="H27" t="inlineStr">
        <is>
          <t>Anurag Pandit</t>
        </is>
      </c>
      <c r="I27" t="inlineStr">
        <is>
          <t>CHIEF INVESTMENT OFFICER</t>
        </is>
      </c>
      <c r="J27" t="inlineStr">
        <is>
          <t>CIO</t>
        </is>
      </c>
      <c r="K27" t="inlineStr">
        <is>
          <t>CIO - Top Investment Executive</t>
        </is>
      </c>
      <c r="L27" s="28" t="n">
        <v>579134</v>
      </c>
      <c r="M27" s="28" t="n">
        <v>0</v>
      </c>
      <c r="N27" s="28" t="n">
        <v>36648</v>
      </c>
      <c r="O27" s="28" t="n">
        <v>71789</v>
      </c>
      <c r="P27" s="28" t="n">
        <v>22564</v>
      </c>
      <c r="Q27" s="28" t="n">
        <v>710135</v>
      </c>
      <c r="R27" s="28" t="n">
        <v>31896</v>
      </c>
      <c r="S27" s="28">
        <f>Q27-R27</f>
        <v/>
      </c>
      <c r="T27" s="28">
        <f>IF(S27="","",S27*(1+in_GrowthRate)^(YEARFRAC(DATE(2022,6,30),in_AgeToDate)*IF(in_AgeToDate&lt;DATE(2022,6,30),-1,1)+1))</f>
        <v/>
      </c>
      <c r="U27" s="50">
        <f>IF(AND(AND(OR(in_Mode="All Funds",AND(C27&gt;=in_BandFloor,C27&lt;=in_BandCeiling,OR(in_Geography="National",COUNTIFS(lst_GeoPreset,in_Geography,lst_GeoState,B27)&gt;0,AND(in_Geography="Custom",ISNUMBER(SEARCH(B27,SUBSTITUTE(in_CustomStates," ",""))))),OR(AND(D27="Endowment",Inputs!$B$14="Y"),AND(D27="Foundation",Inputs!$B$15="Y"),AND(D27="Healthcare",Inputs!$B$16="Y"),AND(D27="Pension",Inputs!$B$17="Y"),AND(D27="OCIO",Inputs!$B$18="Y"),AND(D27="Other",Inputs!$B$19="Y")))),A27&lt;&gt;in_ClientOrg,NOT(AND(in_ExclHarvard="Y",ISNUMBER(SEARCH("Harvard",A27))))),$AD27="Y",K27&lt;&gt;"",S27&gt;0),"Y","")</f>
        <v/>
      </c>
      <c r="V27" s="30" t="n">
        <v>1</v>
      </c>
      <c r="W27" t="inlineStr"/>
      <c r="X27" s="28">
        <f>IF(L27+M27=0,"",L27+M27)</f>
        <v/>
      </c>
      <c r="Y27" s="38">
        <f>IF(L27=0,"",M27/L27)</f>
        <v/>
      </c>
      <c r="Z27" t="inlineStr">
        <is>
          <t>CIO - Top Investment Executive</t>
        </is>
      </c>
      <c r="AA27" t="inlineStr">
        <is>
          <t>Leadership</t>
        </is>
      </c>
      <c r="AB27" s="50" t="inlineStr">
        <is>
          <t>Y</t>
        </is>
      </c>
      <c r="AC27" s="43">
        <f>HYPERLINK("https://projects.propublica.org/nonprofits/organizations/351044585/202311319349307636/full","view filing")</f>
        <v/>
      </c>
      <c r="AD27" s="50" t="inlineStr"/>
    </row>
    <row r="28">
      <c r="A28" t="inlineStr">
        <is>
          <t>American National Red Cross</t>
        </is>
      </c>
      <c r="B28" s="50" t="inlineStr">
        <is>
          <t>DC</t>
        </is>
      </c>
      <c r="C28" s="52" t="n">
        <v>3.08</v>
      </c>
      <c r="D28" t="inlineStr">
        <is>
          <t>Other</t>
        </is>
      </c>
      <c r="E28" s="50" t="n">
        <v>2025</v>
      </c>
      <c r="F28" s="50" t="inlineStr">
        <is>
          <t>2026-03-23</t>
        </is>
      </c>
      <c r="G28" s="50" t="inlineStr">
        <is>
          <t>2025-06-30</t>
        </is>
      </c>
      <c r="H28" t="inlineStr">
        <is>
          <t>Brian Rhoa</t>
        </is>
      </c>
      <c r="I28" t="inlineStr">
        <is>
          <t>CHIEF INVESTMENT OFFICER</t>
        </is>
      </c>
      <c r="J28" t="inlineStr">
        <is>
          <t>CIO</t>
        </is>
      </c>
      <c r="K28" t="inlineStr">
        <is>
          <t>CIO - Top Investment Executive</t>
        </is>
      </c>
      <c r="L28" s="28" t="n">
        <v>553745</v>
      </c>
      <c r="M28" s="28" t="n">
        <v>150896</v>
      </c>
      <c r="N28" s="28" t="n">
        <v>26564</v>
      </c>
      <c r="O28" s="28" t="n">
        <v>17250</v>
      </c>
      <c r="P28" s="28" t="n">
        <v>22440</v>
      </c>
      <c r="Q28" s="28" t="n">
        <v>770895</v>
      </c>
      <c r="R28" s="28" t="n">
        <v>0</v>
      </c>
      <c r="S28" s="28">
        <f>Q28-R28</f>
        <v/>
      </c>
      <c r="T28" s="28">
        <f>IF(S28="","",S28*(1+in_GrowthRate)^(YEARFRAC(DATE(2025,6,30),in_AgeToDate)*IF(in_AgeToDate&lt;DATE(2025,6,30),-1,1)+1))</f>
        <v/>
      </c>
      <c r="U28" s="50">
        <f>IF(AND(AND(OR(in_Mode="All Funds",AND(C28&gt;=in_BandFloor,C28&lt;=in_BandCeiling,OR(in_Geography="National",COUNTIFS(lst_GeoPreset,in_Geography,lst_GeoState,B28)&gt;0,AND(in_Geography="Custom",ISNUMBER(SEARCH(B28,SUBSTITUTE(in_CustomStates," ",""))))),OR(AND(D28="Endowment",Inputs!$B$14="Y"),AND(D28="Foundation",Inputs!$B$15="Y"),AND(D28="Healthcare",Inputs!$B$16="Y"),AND(D28="Pension",Inputs!$B$17="Y"),AND(D28="OCIO",Inputs!$B$18="Y"),AND(D28="Other",Inputs!$B$19="Y")))),A28&lt;&gt;in_ClientOrg,NOT(AND(in_ExclHarvard="Y",ISNUMBER(SEARCH("Harvard",A28))))),$AD28="Y",K28&lt;&gt;"",S28&gt;0),"Y","")</f>
        <v/>
      </c>
      <c r="V28" s="30" t="n">
        <v>1</v>
      </c>
      <c r="W28" t="inlineStr"/>
      <c r="X28" s="28">
        <f>IF(L28+M28=0,"",L28+M28)</f>
        <v/>
      </c>
      <c r="Y28" s="38">
        <f>IF(L28=0,"",M28/L28)</f>
        <v/>
      </c>
      <c r="Z28" t="inlineStr">
        <is>
          <t>CIO - Top Investment Executive</t>
        </is>
      </c>
      <c r="AA28" t="inlineStr">
        <is>
          <t>Leadership</t>
        </is>
      </c>
      <c r="AB28" s="50" t="inlineStr">
        <is>
          <t>Y</t>
        </is>
      </c>
      <c r="AC28" s="43">
        <f>HYPERLINK("https://projects.propublica.org/nonprofits/organizations/530196605/202640829349300109/full","view filing")</f>
        <v/>
      </c>
      <c r="AD28" s="50" t="inlineStr">
        <is>
          <t>Y</t>
        </is>
      </c>
    </row>
    <row r="29">
      <c r="A29" t="inlineStr">
        <is>
          <t>American National Red Cross</t>
        </is>
      </c>
      <c r="B29" s="50" t="inlineStr">
        <is>
          <t>DC</t>
        </is>
      </c>
      <c r="C29" s="52" t="n">
        <v>3.08</v>
      </c>
      <c r="D29" t="inlineStr">
        <is>
          <t>Other</t>
        </is>
      </c>
      <c r="E29" s="50" t="n">
        <v>2024</v>
      </c>
      <c r="F29" s="50" t="inlineStr">
        <is>
          <t>2025-04-28</t>
        </is>
      </c>
      <c r="G29" s="50" t="inlineStr">
        <is>
          <t>2024-06-30</t>
        </is>
      </c>
      <c r="H29" t="inlineStr">
        <is>
          <t>Brian Rhoa</t>
        </is>
      </c>
      <c r="I29" t="inlineStr">
        <is>
          <t>CHIEF INVESTMENT OFFICER</t>
        </is>
      </c>
      <c r="J29" t="inlineStr">
        <is>
          <t>CIO</t>
        </is>
      </c>
      <c r="K29" t="inlineStr">
        <is>
          <t>CIO - Top Investment Executive</t>
        </is>
      </c>
      <c r="L29" s="28" t="n">
        <v>532078</v>
      </c>
      <c r="M29" s="28" t="n">
        <v>146077</v>
      </c>
      <c r="N29" s="28" t="n">
        <v>25977</v>
      </c>
      <c r="O29" s="28" t="n">
        <v>13200</v>
      </c>
      <c r="P29" s="28" t="n">
        <v>17757</v>
      </c>
      <c r="Q29" s="28" t="n">
        <v>735089</v>
      </c>
      <c r="R29" s="28" t="n">
        <v>0</v>
      </c>
      <c r="S29" s="28">
        <f>Q29-R29</f>
        <v/>
      </c>
      <c r="T29" s="28">
        <f>IF(S29="","",S29*(1+in_GrowthRate)^(YEARFRAC(DATE(2024,6,30),in_AgeToDate)*IF(in_AgeToDate&lt;DATE(2024,6,30),-1,1)+1))</f>
        <v/>
      </c>
      <c r="U29" s="50">
        <f>IF(AND(AND(OR(in_Mode="All Funds",AND(C29&gt;=in_BandFloor,C29&lt;=in_BandCeiling,OR(in_Geography="National",COUNTIFS(lst_GeoPreset,in_Geography,lst_GeoState,B29)&gt;0,AND(in_Geography="Custom",ISNUMBER(SEARCH(B29,SUBSTITUTE(in_CustomStates," ",""))))),OR(AND(D29="Endowment",Inputs!$B$14="Y"),AND(D29="Foundation",Inputs!$B$15="Y"),AND(D29="Healthcare",Inputs!$B$16="Y"),AND(D29="Pension",Inputs!$B$17="Y"),AND(D29="OCIO",Inputs!$B$18="Y"),AND(D29="Other",Inputs!$B$19="Y")))),A29&lt;&gt;in_ClientOrg,NOT(AND(in_ExclHarvard="Y",ISNUMBER(SEARCH("Harvard",A29))))),$AD29="Y",K29&lt;&gt;"",S29&gt;0),"Y","")</f>
        <v/>
      </c>
      <c r="V29" s="30" t="n">
        <v>1</v>
      </c>
      <c r="W29" t="inlineStr"/>
      <c r="X29" s="28">
        <f>IF(L29+M29=0,"",L29+M29)</f>
        <v/>
      </c>
      <c r="Y29" s="38">
        <f>IF(L29=0,"",M29/L29)</f>
        <v/>
      </c>
      <c r="Z29" t="inlineStr">
        <is>
          <t>CIO - Top Investment Executive</t>
        </is>
      </c>
      <c r="AA29" t="inlineStr">
        <is>
          <t>Leadership</t>
        </is>
      </c>
      <c r="AB29" s="50" t="inlineStr">
        <is>
          <t>Y</t>
        </is>
      </c>
      <c r="AC29" s="43">
        <f>HYPERLINK("https://projects.propublica.org/nonprofits/organizations/530196605/202511189349301681/full","view filing")</f>
        <v/>
      </c>
      <c r="AD29" s="50" t="inlineStr"/>
    </row>
    <row r="30">
      <c r="A30" t="inlineStr">
        <is>
          <t>American National Red Cross</t>
        </is>
      </c>
      <c r="B30" s="50" t="inlineStr">
        <is>
          <t>DC</t>
        </is>
      </c>
      <c r="C30" s="52" t="n">
        <v>3.08</v>
      </c>
      <c r="D30" t="inlineStr">
        <is>
          <t>Other</t>
        </is>
      </c>
      <c r="E30" s="50" t="n">
        <v>2023</v>
      </c>
      <c r="F30" s="50" t="inlineStr">
        <is>
          <t>2024-03-07</t>
        </is>
      </c>
      <c r="G30" s="50" t="inlineStr">
        <is>
          <t>2023-06-30</t>
        </is>
      </c>
      <c r="H30" t="inlineStr">
        <is>
          <t>Brian Rhoa</t>
        </is>
      </c>
      <c r="I30" t="inlineStr">
        <is>
          <t>CHIEF INVESTMENT OFFICER</t>
        </is>
      </c>
      <c r="J30" t="inlineStr">
        <is>
          <t>CIO</t>
        </is>
      </c>
      <c r="K30" t="inlineStr">
        <is>
          <t>CIO - Top Investment Executive</t>
        </is>
      </c>
      <c r="L30" s="28" t="n">
        <v>466809</v>
      </c>
      <c r="M30" s="28" t="n">
        <v>120788</v>
      </c>
      <c r="N30" s="28" t="n">
        <v>22642</v>
      </c>
      <c r="O30" s="28" t="n">
        <v>12200</v>
      </c>
      <c r="P30" s="28" t="n">
        <v>15750</v>
      </c>
      <c r="Q30" s="28" t="n">
        <v>638189</v>
      </c>
      <c r="R30" s="28" t="n">
        <v>0</v>
      </c>
      <c r="S30" s="28">
        <f>Q30-R30</f>
        <v/>
      </c>
      <c r="T30" s="28">
        <f>IF(S30="","",S30*(1+in_GrowthRate)^(YEARFRAC(DATE(2023,6,30),in_AgeToDate)*IF(in_AgeToDate&lt;DATE(2023,6,30),-1,1)+1))</f>
        <v/>
      </c>
      <c r="U30" s="50">
        <f>IF(AND(AND(OR(in_Mode="All Funds",AND(C30&gt;=in_BandFloor,C30&lt;=in_BandCeiling,OR(in_Geography="National",COUNTIFS(lst_GeoPreset,in_Geography,lst_GeoState,B30)&gt;0,AND(in_Geography="Custom",ISNUMBER(SEARCH(B30,SUBSTITUTE(in_CustomStates," ",""))))),OR(AND(D30="Endowment",Inputs!$B$14="Y"),AND(D30="Foundation",Inputs!$B$15="Y"),AND(D30="Healthcare",Inputs!$B$16="Y"),AND(D30="Pension",Inputs!$B$17="Y"),AND(D30="OCIO",Inputs!$B$18="Y"),AND(D30="Other",Inputs!$B$19="Y")))),A30&lt;&gt;in_ClientOrg,NOT(AND(in_ExclHarvard="Y",ISNUMBER(SEARCH("Harvard",A30))))),$AD30="Y",K30&lt;&gt;"",S30&gt;0),"Y","")</f>
        <v/>
      </c>
      <c r="V30" s="30" t="n">
        <v>1</v>
      </c>
      <c r="W30" t="inlineStr"/>
      <c r="X30" s="28">
        <f>IF(L30+M30=0,"",L30+M30)</f>
        <v/>
      </c>
      <c r="Y30" s="38">
        <f>IF(L30=0,"",M30/L30)</f>
        <v/>
      </c>
      <c r="Z30" t="inlineStr">
        <is>
          <t>CIO - Top Investment Executive</t>
        </is>
      </c>
      <c r="AA30" t="inlineStr">
        <is>
          <t>Leadership</t>
        </is>
      </c>
      <c r="AB30" s="50" t="inlineStr">
        <is>
          <t>Y</t>
        </is>
      </c>
      <c r="AC30" s="43">
        <f>HYPERLINK("https://projects.propublica.org/nonprofits/organizations/530196605/202420679349300232/full","view filing")</f>
        <v/>
      </c>
      <c r="AD30" s="50" t="inlineStr"/>
    </row>
    <row r="31">
      <c r="A31" t="inlineStr">
        <is>
          <t>Andrew W Mellon Foundation</t>
        </is>
      </c>
      <c r="B31" s="50" t="inlineStr">
        <is>
          <t>NY</t>
        </is>
      </c>
      <c r="C31" s="52" t="n">
        <v>7.85</v>
      </c>
      <c r="D31" t="inlineStr">
        <is>
          <t>Foundation</t>
        </is>
      </c>
      <c r="E31" s="50" t="n">
        <v>2024</v>
      </c>
      <c r="F31" s="50" t="inlineStr">
        <is>
          <t>2025-11-14</t>
        </is>
      </c>
      <c r="G31" s="50" t="inlineStr">
        <is>
          <t>2024-12-31</t>
        </is>
      </c>
      <c r="H31" t="inlineStr">
        <is>
          <t>Abigail Archibald</t>
        </is>
      </c>
      <c r="I31" t="inlineStr">
        <is>
          <t>SENIOR PORTFOLIO MGR</t>
        </is>
      </c>
      <c r="J31" t="inlineStr">
        <is>
          <t>Senior Portfolio Manager</t>
        </is>
      </c>
      <c r="K31" t="inlineStr">
        <is>
          <t>Sr Investment Professional</t>
        </is>
      </c>
      <c r="L31" s="28" t="n">
        <v>0</v>
      </c>
      <c r="M31" s="28" t="n">
        <v>0</v>
      </c>
      <c r="N31" s="28" t="n">
        <v>0</v>
      </c>
      <c r="O31" s="28" t="n">
        <v>0</v>
      </c>
      <c r="P31" s="28" t="n">
        <v>0</v>
      </c>
      <c r="Q31" s="28" t="n">
        <v>752337</v>
      </c>
      <c r="R31" s="28" t="n">
        <v>0</v>
      </c>
      <c r="S31" s="28">
        <f>Q31-R31</f>
        <v/>
      </c>
      <c r="T31" s="28">
        <f>IF(S31="","",S31*(1+in_GrowthRate)^(YEARFRAC(DATE(2024,12,31),in_AgeToDate)*IF(in_AgeToDate&lt;DATE(2024,12,31),-1,1)+1))</f>
        <v/>
      </c>
      <c r="U31" s="50">
        <f>IF(AND(AND(OR(in_Mode="All Funds",AND(C31&gt;=in_BandFloor,C31&lt;=in_BandCeiling,OR(in_Geography="National",COUNTIFS(lst_GeoPreset,in_Geography,lst_GeoState,B31)&gt;0,AND(in_Geography="Custom",ISNUMBER(SEARCH(B31,SUBSTITUTE(in_CustomStates," ",""))))),OR(AND(D31="Endowment",Inputs!$B$14="Y"),AND(D31="Foundation",Inputs!$B$15="Y"),AND(D31="Healthcare",Inputs!$B$16="Y"),AND(D31="Pension",Inputs!$B$17="Y"),AND(D31="OCIO",Inputs!$B$18="Y"),AND(D31="Other",Inputs!$B$19="Y")))),A31&lt;&gt;in_ClientOrg,NOT(AND(in_ExclHarvard="Y",ISNUMBER(SEARCH("Harvard",A31))))),$AD31="Y",K31&lt;&gt;"",S31&gt;0),"Y","")</f>
        <v/>
      </c>
      <c r="V31" s="30" t="n">
        <v>0.3811478150558901</v>
      </c>
      <c r="W31" t="inlineStr"/>
      <c r="X31" s="28">
        <f>IF(L31+M31=0,"",L31+M31)</f>
        <v/>
      </c>
      <c r="Y31" s="38">
        <f>IF(L31=0,"",M31/L31)</f>
        <v/>
      </c>
      <c r="Z31" t="inlineStr">
        <is>
          <t>Other investment staff</t>
        </is>
      </c>
      <c r="AA31" t="inlineStr">
        <is>
          <t>Investments</t>
        </is>
      </c>
      <c r="AB31" s="50" t="inlineStr"/>
      <c r="AC31" s="43">
        <f>HYPERLINK("https://projects.propublica.org/nonprofits/organizations/131879954/202523189349104752/full","view filing")</f>
        <v/>
      </c>
      <c r="AD31" s="50" t="inlineStr">
        <is>
          <t>Y</t>
        </is>
      </c>
    </row>
    <row r="32">
      <c r="A32" t="inlineStr">
        <is>
          <t>Andrew W Mellon Foundation</t>
        </is>
      </c>
      <c r="B32" s="50" t="inlineStr">
        <is>
          <t>NY</t>
        </is>
      </c>
      <c r="C32" s="52" t="n">
        <v>7.85</v>
      </c>
      <c r="D32" t="inlineStr">
        <is>
          <t>Foundation</t>
        </is>
      </c>
      <c r="E32" s="50" t="n">
        <v>2024</v>
      </c>
      <c r="F32" s="50" t="inlineStr">
        <is>
          <t>2025-11-14</t>
        </is>
      </c>
      <c r="G32" s="50" t="inlineStr">
        <is>
          <t>2024-12-31</t>
        </is>
      </c>
      <c r="H32" t="inlineStr">
        <is>
          <t>Scott Taylor</t>
        </is>
      </c>
      <c r="I32" t="inlineStr">
        <is>
          <t>CHIEF INVESTMENT OFFICER</t>
        </is>
      </c>
      <c r="J32" t="inlineStr">
        <is>
          <t>CIO</t>
        </is>
      </c>
      <c r="K32" t="inlineStr">
        <is>
          <t>CIO - Top Investment Executive</t>
        </is>
      </c>
      <c r="L32" s="28" t="n">
        <v>0</v>
      </c>
      <c r="M32" s="28" t="n">
        <v>0</v>
      </c>
      <c r="N32" s="28" t="n">
        <v>0</v>
      </c>
      <c r="O32" s="28" t="n">
        <v>0</v>
      </c>
      <c r="P32" s="28" t="n">
        <v>577936</v>
      </c>
      <c r="Q32" s="28" t="n">
        <v>1973872</v>
      </c>
      <c r="R32" s="28" t="n">
        <v>0</v>
      </c>
      <c r="S32" s="28">
        <f>Q32-R32</f>
        <v/>
      </c>
      <c r="T32" s="28">
        <f>IF(S32="","",S32*(1+in_GrowthRate)^(YEARFRAC(DATE(2024,12,31),in_AgeToDate)*IF(in_AgeToDate&lt;DATE(2024,12,31),-1,1)+1))</f>
        <v/>
      </c>
      <c r="U32" s="50">
        <f>IF(AND(AND(OR(in_Mode="All Funds",AND(C32&gt;=in_BandFloor,C32&lt;=in_BandCeiling,OR(in_Geography="National",COUNTIFS(lst_GeoPreset,in_Geography,lst_GeoState,B32)&gt;0,AND(in_Geography="Custom",ISNUMBER(SEARCH(B32,SUBSTITUTE(in_CustomStates," ",""))))),OR(AND(D32="Endowment",Inputs!$B$14="Y"),AND(D32="Foundation",Inputs!$B$15="Y"),AND(D32="Healthcare",Inputs!$B$16="Y"),AND(D32="Pension",Inputs!$B$17="Y"),AND(D32="OCIO",Inputs!$B$18="Y"),AND(D32="Other",Inputs!$B$19="Y")))),A32&lt;&gt;in_ClientOrg,NOT(AND(in_ExclHarvard="Y",ISNUMBER(SEARCH("Harvard",A32))))),$AD32="Y",K32&lt;&gt;"",S32&gt;0),"Y","")</f>
        <v/>
      </c>
      <c r="V32" s="30" t="n">
        <v>1</v>
      </c>
      <c r="W32" t="inlineStr"/>
      <c r="X32" s="28">
        <f>IF(L32+M32=0,"",L32+M32)</f>
        <v/>
      </c>
      <c r="Y32" s="38">
        <f>IF(L32=0,"",M32/L32)</f>
        <v/>
      </c>
      <c r="Z32" t="inlineStr">
        <is>
          <t>CIO - Top Investment Executive</t>
        </is>
      </c>
      <c r="AA32" t="inlineStr">
        <is>
          <t>Leadership</t>
        </is>
      </c>
      <c r="AB32" s="50" t="inlineStr">
        <is>
          <t>Y</t>
        </is>
      </c>
      <c r="AC32" s="43">
        <f>HYPERLINK("https://projects.propublica.org/nonprofits/organizations/131879954/202523189349104752/full","view filing")</f>
        <v/>
      </c>
      <c r="AD32" s="50" t="inlineStr">
        <is>
          <t>Y</t>
        </is>
      </c>
    </row>
    <row r="33">
      <c r="A33" t="inlineStr">
        <is>
          <t>Andrew W Mellon Foundation</t>
        </is>
      </c>
      <c r="B33" s="50" t="inlineStr">
        <is>
          <t>NY</t>
        </is>
      </c>
      <c r="C33" s="52" t="n">
        <v>7.85</v>
      </c>
      <c r="D33" t="inlineStr">
        <is>
          <t>Foundation</t>
        </is>
      </c>
      <c r="E33" s="50" t="n">
        <v>2024</v>
      </c>
      <c r="F33" s="50" t="inlineStr">
        <is>
          <t>2025-11-14</t>
        </is>
      </c>
      <c r="G33" s="50" t="inlineStr">
        <is>
          <t>2024-12-31</t>
        </is>
      </c>
      <c r="H33" t="inlineStr">
        <is>
          <t>Yindeng Jiang</t>
        </is>
      </c>
      <c r="I33" t="inlineStr">
        <is>
          <t>SENIOR PORTFOLIO MGR</t>
        </is>
      </c>
      <c r="J33" t="inlineStr">
        <is>
          <t>Senior Portfolio Manager</t>
        </is>
      </c>
      <c r="K33" t="inlineStr">
        <is>
          <t>Sr Investment Professional</t>
        </is>
      </c>
      <c r="L33" s="28" t="n">
        <v>0</v>
      </c>
      <c r="M33" s="28" t="n">
        <v>0</v>
      </c>
      <c r="N33" s="28" t="n">
        <v>0</v>
      </c>
      <c r="O33" s="28" t="n">
        <v>0</v>
      </c>
      <c r="P33" s="28" t="n">
        <v>0</v>
      </c>
      <c r="Q33" s="28" t="n">
        <v>658556</v>
      </c>
      <c r="R33" s="28" t="n">
        <v>0</v>
      </c>
      <c r="S33" s="28">
        <f>Q33-R33</f>
        <v/>
      </c>
      <c r="T33" s="28">
        <f>IF(S33="","",S33*(1+in_GrowthRate)^(YEARFRAC(DATE(2024,12,31),in_AgeToDate)*IF(in_AgeToDate&lt;DATE(2024,12,31),-1,1)+1))</f>
        <v/>
      </c>
      <c r="U33" s="50">
        <f>IF(AND(AND(OR(in_Mode="All Funds",AND(C33&gt;=in_BandFloor,C33&lt;=in_BandCeiling,OR(in_Geography="National",COUNTIFS(lst_GeoPreset,in_Geography,lst_GeoState,B33)&gt;0,AND(in_Geography="Custom",ISNUMBER(SEARCH(B33,SUBSTITUTE(in_CustomStates," ",""))))),OR(AND(D33="Endowment",Inputs!$B$14="Y"),AND(D33="Foundation",Inputs!$B$15="Y"),AND(D33="Healthcare",Inputs!$B$16="Y"),AND(D33="Pension",Inputs!$B$17="Y"),AND(D33="OCIO",Inputs!$B$18="Y"),AND(D33="Other",Inputs!$B$19="Y")))),A33&lt;&gt;in_ClientOrg,NOT(AND(in_ExclHarvard="Y",ISNUMBER(SEARCH("Harvard",A33))))),$AD33="Y",K33&lt;&gt;"",S33&gt;0),"Y","")</f>
        <v/>
      </c>
      <c r="V33" s="30" t="n">
        <v>0.3336366289202137</v>
      </c>
      <c r="W33" t="inlineStr"/>
      <c r="X33" s="28">
        <f>IF(L33+M33=0,"",L33+M33)</f>
        <v/>
      </c>
      <c r="Y33" s="38">
        <f>IF(L33=0,"",M33/L33)</f>
        <v/>
      </c>
      <c r="Z33" t="inlineStr">
        <is>
          <t>Other investment staff</t>
        </is>
      </c>
      <c r="AA33" t="inlineStr">
        <is>
          <t>Investments</t>
        </is>
      </c>
      <c r="AB33" s="50" t="inlineStr"/>
      <c r="AC33" s="43">
        <f>HYPERLINK("https://projects.propublica.org/nonprofits/organizations/131879954/202523189349104752/full","view filing")</f>
        <v/>
      </c>
      <c r="AD33" s="50" t="inlineStr">
        <is>
          <t>Y</t>
        </is>
      </c>
    </row>
    <row r="34">
      <c r="A34" t="inlineStr">
        <is>
          <t>Andrew W Mellon Foundation</t>
        </is>
      </c>
      <c r="B34" s="50" t="inlineStr">
        <is>
          <t>NY</t>
        </is>
      </c>
      <c r="C34" s="52" t="n">
        <v>7.85</v>
      </c>
      <c r="D34" t="inlineStr">
        <is>
          <t>Foundation</t>
        </is>
      </c>
      <c r="E34" s="50" t="n">
        <v>2023</v>
      </c>
      <c r="F34" s="50" t="inlineStr">
        <is>
          <t>2024-11-14</t>
        </is>
      </c>
      <c r="G34" s="50" t="inlineStr">
        <is>
          <t>2023-12-31</t>
        </is>
      </c>
      <c r="H34" t="inlineStr">
        <is>
          <t>Abigail Archibald</t>
        </is>
      </c>
      <c r="I34" t="inlineStr">
        <is>
          <t>SENIOR PORTFOLIO MGR</t>
        </is>
      </c>
      <c r="J34" t="inlineStr">
        <is>
          <t>Senior Portfolio Manager</t>
        </is>
      </c>
      <c r="K34" t="inlineStr">
        <is>
          <t>Sr Investment Professional</t>
        </is>
      </c>
      <c r="L34" s="28" t="n">
        <v>0</v>
      </c>
      <c r="M34" s="28" t="n">
        <v>0</v>
      </c>
      <c r="N34" s="28" t="n">
        <v>0</v>
      </c>
      <c r="O34" s="28" t="n">
        <v>0</v>
      </c>
      <c r="P34" s="28" t="n">
        <v>0</v>
      </c>
      <c r="Q34" s="28" t="n">
        <v>1475918</v>
      </c>
      <c r="R34" s="28" t="n">
        <v>0</v>
      </c>
      <c r="S34" s="28">
        <f>Q34-R34</f>
        <v/>
      </c>
      <c r="T34" s="28">
        <f>IF(S34="","",S34*(1+in_GrowthRate)^(YEARFRAC(DATE(2023,12,31),in_AgeToDate)*IF(in_AgeToDate&lt;DATE(2023,12,31),-1,1)+1))</f>
        <v/>
      </c>
      <c r="U34" s="50">
        <f>IF(AND(AND(OR(in_Mode="All Funds",AND(C34&gt;=in_BandFloor,C34&lt;=in_BandCeiling,OR(in_Geography="National",COUNTIFS(lst_GeoPreset,in_Geography,lst_GeoState,B34)&gt;0,AND(in_Geography="Custom",ISNUMBER(SEARCH(B34,SUBSTITUTE(in_CustomStates," ",""))))),OR(AND(D34="Endowment",Inputs!$B$14="Y"),AND(D34="Foundation",Inputs!$B$15="Y"),AND(D34="Healthcare",Inputs!$B$16="Y"),AND(D34="Pension",Inputs!$B$17="Y"),AND(D34="OCIO",Inputs!$B$18="Y"),AND(D34="Other",Inputs!$B$19="Y")))),A34&lt;&gt;in_ClientOrg,NOT(AND(in_ExclHarvard="Y",ISNUMBER(SEARCH("Harvard",A34))))),$AD34="Y",K34&lt;&gt;"",S34&gt;0),"Y","")</f>
        <v/>
      </c>
      <c r="V34" s="30" t="n">
        <v>0.3635002785512576</v>
      </c>
      <c r="W34" t="inlineStr"/>
      <c r="X34" s="28">
        <f>IF(L34+M34=0,"",L34+M34)</f>
        <v/>
      </c>
      <c r="Y34" s="38">
        <f>IF(L34=0,"",M34/L34)</f>
        <v/>
      </c>
      <c r="Z34" t="inlineStr">
        <is>
          <t>Other investment staff</t>
        </is>
      </c>
      <c r="AA34" t="inlineStr">
        <is>
          <t>Investments</t>
        </is>
      </c>
      <c r="AB34" s="50" t="inlineStr"/>
      <c r="AC34" s="43">
        <f>HYPERLINK("https://projects.propublica.org/nonprofits/organizations/131879954/202413199349106571/full","view filing")</f>
        <v/>
      </c>
      <c r="AD34" s="50" t="inlineStr"/>
    </row>
    <row r="35">
      <c r="A35" t="inlineStr">
        <is>
          <t>Andrew W Mellon Foundation</t>
        </is>
      </c>
      <c r="B35" s="50" t="inlineStr">
        <is>
          <t>NY</t>
        </is>
      </c>
      <c r="C35" s="52" t="n">
        <v>7.85</v>
      </c>
      <c r="D35" t="inlineStr">
        <is>
          <t>Foundation</t>
        </is>
      </c>
      <c r="E35" s="50" t="n">
        <v>2023</v>
      </c>
      <c r="F35" s="50" t="inlineStr">
        <is>
          <t>2024-11-14</t>
        </is>
      </c>
      <c r="G35" s="50" t="inlineStr">
        <is>
          <t>2023-12-31</t>
        </is>
      </c>
      <c r="H35" t="inlineStr">
        <is>
          <t>Emily Hickman</t>
        </is>
      </c>
      <c r="I35" t="inlineStr">
        <is>
          <t>PORTFOLIO MANAGER</t>
        </is>
      </c>
      <c r="J35" t="inlineStr">
        <is>
          <t>Portfolio Manager</t>
        </is>
      </c>
      <c r="K35" t="inlineStr">
        <is>
          <t>Sr Investment Professional</t>
        </is>
      </c>
      <c r="L35" s="28" t="n">
        <v>0</v>
      </c>
      <c r="M35" s="28" t="n">
        <v>0</v>
      </c>
      <c r="N35" s="28" t="n">
        <v>0</v>
      </c>
      <c r="O35" s="28" t="n">
        <v>0</v>
      </c>
      <c r="P35" s="28" t="n">
        <v>0</v>
      </c>
      <c r="Q35" s="28" t="n">
        <v>648908</v>
      </c>
      <c r="R35" s="28" t="n">
        <v>0</v>
      </c>
      <c r="S35" s="28">
        <f>Q35-R35</f>
        <v/>
      </c>
      <c r="T35" s="28">
        <f>IF(S35="","",S35*(1+in_GrowthRate)^(YEARFRAC(DATE(2023,12,31),in_AgeToDate)*IF(in_AgeToDate&lt;DATE(2023,12,31),-1,1)+1))</f>
        <v/>
      </c>
      <c r="U35" s="50">
        <f>IF(AND(AND(OR(in_Mode="All Funds",AND(C35&gt;=in_BandFloor,C35&lt;=in_BandCeiling,OR(in_Geography="National",COUNTIFS(lst_GeoPreset,in_Geography,lst_GeoState,B35)&gt;0,AND(in_Geography="Custom",ISNUMBER(SEARCH(B35,SUBSTITUTE(in_CustomStates," ",""))))),OR(AND(D35="Endowment",Inputs!$B$14="Y"),AND(D35="Foundation",Inputs!$B$15="Y"),AND(D35="Healthcare",Inputs!$B$16="Y"),AND(D35="Pension",Inputs!$B$17="Y"),AND(D35="OCIO",Inputs!$B$18="Y"),AND(D35="Other",Inputs!$B$19="Y")))),A35&lt;&gt;in_ClientOrg,NOT(AND(in_ExclHarvard="Y",ISNUMBER(SEARCH("Harvard",A35))))),$AD35="Y",K35&lt;&gt;"",S35&gt;0),"Y","")</f>
        <v/>
      </c>
      <c r="V35" s="30" t="n">
        <v>0.159817983623846</v>
      </c>
      <c r="W35" t="inlineStr"/>
      <c r="X35" s="28">
        <f>IF(L35+M35=0,"",L35+M35)</f>
        <v/>
      </c>
      <c r="Y35" s="38">
        <f>IF(L35=0,"",M35/L35)</f>
        <v/>
      </c>
      <c r="Z35" t="inlineStr">
        <is>
          <t>Other investment staff</t>
        </is>
      </c>
      <c r="AA35" t="inlineStr">
        <is>
          <t>Investments</t>
        </is>
      </c>
      <c r="AB35" s="50" t="inlineStr"/>
      <c r="AC35" s="43">
        <f>HYPERLINK("https://projects.propublica.org/nonprofits/organizations/131879954/202413199349106571/full","view filing")</f>
        <v/>
      </c>
      <c r="AD35" s="50" t="inlineStr"/>
    </row>
    <row r="36">
      <c r="A36" t="inlineStr">
        <is>
          <t>Andrew W Mellon Foundation</t>
        </is>
      </c>
      <c r="B36" s="50" t="inlineStr">
        <is>
          <t>NY</t>
        </is>
      </c>
      <c r="C36" s="52" t="n">
        <v>7.85</v>
      </c>
      <c r="D36" t="inlineStr">
        <is>
          <t>Foundation</t>
        </is>
      </c>
      <c r="E36" s="50" t="n">
        <v>2023</v>
      </c>
      <c r="F36" s="50" t="inlineStr">
        <is>
          <t>2024-11-14</t>
        </is>
      </c>
      <c r="G36" s="50" t="inlineStr">
        <is>
          <t>2023-12-31</t>
        </is>
      </c>
      <c r="H36" t="inlineStr">
        <is>
          <t>Laura Jung Wha Kim</t>
        </is>
      </c>
      <c r="I36" t="inlineStr">
        <is>
          <t>PORTFOLIO MANAGER</t>
        </is>
      </c>
      <c r="J36" t="inlineStr">
        <is>
          <t>Portfolio Manager</t>
        </is>
      </c>
      <c r="K36" t="inlineStr">
        <is>
          <t>Sr Investment Professional</t>
        </is>
      </c>
      <c r="L36" s="28" t="n">
        <v>0</v>
      </c>
      <c r="M36" s="28" t="n">
        <v>0</v>
      </c>
      <c r="N36" s="28" t="n">
        <v>0</v>
      </c>
      <c r="O36" s="28" t="n">
        <v>0</v>
      </c>
      <c r="P36" s="28" t="n">
        <v>0</v>
      </c>
      <c r="Q36" s="28" t="n">
        <v>628820</v>
      </c>
      <c r="R36" s="28" t="n">
        <v>0</v>
      </c>
      <c r="S36" s="28">
        <f>Q36-R36</f>
        <v/>
      </c>
      <c r="T36" s="28">
        <f>IF(S36="","",S36*(1+in_GrowthRate)^(YEARFRAC(DATE(2023,12,31),in_AgeToDate)*IF(in_AgeToDate&lt;DATE(2023,12,31),-1,1)+1))</f>
        <v/>
      </c>
      <c r="U36" s="50">
        <f>IF(AND(AND(OR(in_Mode="All Funds",AND(C36&gt;=in_BandFloor,C36&lt;=in_BandCeiling,OR(in_Geography="National",COUNTIFS(lst_GeoPreset,in_Geography,lst_GeoState,B36)&gt;0,AND(in_Geography="Custom",ISNUMBER(SEARCH(B36,SUBSTITUTE(in_CustomStates," ",""))))),OR(AND(D36="Endowment",Inputs!$B$14="Y"),AND(D36="Foundation",Inputs!$B$15="Y"),AND(D36="Healthcare",Inputs!$B$16="Y"),AND(D36="Pension",Inputs!$B$17="Y"),AND(D36="OCIO",Inputs!$B$18="Y"),AND(D36="Other",Inputs!$B$19="Y")))),A36&lt;&gt;in_ClientOrg,NOT(AND(in_ExclHarvard="Y",ISNUMBER(SEARCH("Harvard",A36))))),$AD36="Y",K36&lt;&gt;"",S36&gt;0),"Y","")</f>
        <v/>
      </c>
      <c r="V36" s="30" t="n">
        <v>0.154870558634424</v>
      </c>
      <c r="W36" t="inlineStr"/>
      <c r="X36" s="28">
        <f>IF(L36+M36=0,"",L36+M36)</f>
        <v/>
      </c>
      <c r="Y36" s="38">
        <f>IF(L36=0,"",M36/L36)</f>
        <v/>
      </c>
      <c r="Z36" t="inlineStr">
        <is>
          <t>Other investment staff</t>
        </is>
      </c>
      <c r="AA36" t="inlineStr">
        <is>
          <t>Investments</t>
        </is>
      </c>
      <c r="AB36" s="50" t="inlineStr"/>
      <c r="AC36" s="43">
        <f>HYPERLINK("https://projects.propublica.org/nonprofits/organizations/131879954/202413199349106571/full","view filing")</f>
        <v/>
      </c>
      <c r="AD36" s="50" t="inlineStr"/>
    </row>
    <row r="37">
      <c r="A37" t="inlineStr">
        <is>
          <t>Andrew W Mellon Foundation</t>
        </is>
      </c>
      <c r="B37" s="50" t="inlineStr">
        <is>
          <t>NY</t>
        </is>
      </c>
      <c r="C37" s="52" t="n">
        <v>7.85</v>
      </c>
      <c r="D37" t="inlineStr">
        <is>
          <t>Foundation</t>
        </is>
      </c>
      <c r="E37" s="50" t="n">
        <v>2023</v>
      </c>
      <c r="F37" s="50" t="inlineStr">
        <is>
          <t>2024-11-14</t>
        </is>
      </c>
      <c r="G37" s="50" t="inlineStr">
        <is>
          <t>2023-12-31</t>
        </is>
      </c>
      <c r="H37" t="inlineStr">
        <is>
          <t>Michelle Knudsen</t>
        </is>
      </c>
      <c r="I37" t="inlineStr">
        <is>
          <t>SENIOR PORTFOLIO MGR</t>
        </is>
      </c>
      <c r="J37" t="inlineStr">
        <is>
          <t>Senior Portfolio Manager</t>
        </is>
      </c>
      <c r="K37" t="inlineStr">
        <is>
          <t>Sr Investment Professional</t>
        </is>
      </c>
      <c r="L37" s="28" t="n">
        <v>0</v>
      </c>
      <c r="M37" s="28" t="n">
        <v>0</v>
      </c>
      <c r="N37" s="28" t="n">
        <v>0</v>
      </c>
      <c r="O37" s="28" t="n">
        <v>0</v>
      </c>
      <c r="P37" s="28" t="n">
        <v>0</v>
      </c>
      <c r="Q37" s="28" t="n">
        <v>1476639</v>
      </c>
      <c r="R37" s="28" t="n">
        <v>0</v>
      </c>
      <c r="S37" s="28">
        <f>Q37-R37</f>
        <v/>
      </c>
      <c r="T37" s="28">
        <f>IF(S37="","",S37*(1+in_GrowthRate)^(YEARFRAC(DATE(2023,12,31),in_AgeToDate)*IF(in_AgeToDate&lt;DATE(2023,12,31),-1,1)+1))</f>
        <v/>
      </c>
      <c r="U37" s="50">
        <f>IF(AND(AND(OR(in_Mode="All Funds",AND(C37&gt;=in_BandFloor,C37&lt;=in_BandCeiling,OR(in_Geography="National",COUNTIFS(lst_GeoPreset,in_Geography,lst_GeoState,B37)&gt;0,AND(in_Geography="Custom",ISNUMBER(SEARCH(B37,SUBSTITUTE(in_CustomStates," ",""))))),OR(AND(D37="Endowment",Inputs!$B$14="Y"),AND(D37="Foundation",Inputs!$B$15="Y"),AND(D37="Healthcare",Inputs!$B$16="Y"),AND(D37="Pension",Inputs!$B$17="Y"),AND(D37="OCIO",Inputs!$B$18="Y"),AND(D37="Other",Inputs!$B$19="Y")))),A37&lt;&gt;in_ClientOrg,NOT(AND(in_ExclHarvard="Y",ISNUMBER(SEARCH("Harvard",A37))))),$AD37="Y",K37&lt;&gt;"",S37&gt;0),"Y","")</f>
        <v/>
      </c>
      <c r="V37" s="30" t="n">
        <v>0.3636778518993945</v>
      </c>
      <c r="W37" t="inlineStr"/>
      <c r="X37" s="28">
        <f>IF(L37+M37=0,"",L37+M37)</f>
        <v/>
      </c>
      <c r="Y37" s="38">
        <f>IF(L37=0,"",M37/L37)</f>
        <v/>
      </c>
      <c r="Z37" t="inlineStr">
        <is>
          <t>Other investment staff</t>
        </is>
      </c>
      <c r="AA37" t="inlineStr">
        <is>
          <t>Investments</t>
        </is>
      </c>
      <c r="AB37" s="50" t="inlineStr"/>
      <c r="AC37" s="43">
        <f>HYPERLINK("https://projects.propublica.org/nonprofits/organizations/131879954/202413199349106571/full","view filing")</f>
        <v/>
      </c>
      <c r="AD37" s="50" t="inlineStr"/>
    </row>
    <row r="38">
      <c r="A38" t="inlineStr">
        <is>
          <t>Andrew W Mellon Foundation</t>
        </is>
      </c>
      <c r="B38" s="50" t="inlineStr">
        <is>
          <t>NY</t>
        </is>
      </c>
      <c r="C38" s="52" t="n">
        <v>7.85</v>
      </c>
      <c r="D38" t="inlineStr">
        <is>
          <t>Foundation</t>
        </is>
      </c>
      <c r="E38" s="50" t="n">
        <v>2023</v>
      </c>
      <c r="F38" s="50" t="inlineStr">
        <is>
          <t>2024-11-14</t>
        </is>
      </c>
      <c r="G38" s="50" t="inlineStr">
        <is>
          <t>2023-12-31</t>
        </is>
      </c>
      <c r="H38" t="inlineStr">
        <is>
          <t>Scott Taylor</t>
        </is>
      </c>
      <c r="I38" t="inlineStr">
        <is>
          <t>CHIEF INVESTMENT OFFICER</t>
        </is>
      </c>
      <c r="J38" t="inlineStr">
        <is>
          <t>CIO</t>
        </is>
      </c>
      <c r="K38" t="inlineStr">
        <is>
          <t>CIO - Top Investment Executive</t>
        </is>
      </c>
      <c r="L38" s="28" t="n">
        <v>0</v>
      </c>
      <c r="M38" s="28" t="n">
        <v>0</v>
      </c>
      <c r="N38" s="28" t="n">
        <v>0</v>
      </c>
      <c r="O38" s="28" t="n">
        <v>0</v>
      </c>
      <c r="P38" s="28" t="n">
        <v>1049082</v>
      </c>
      <c r="Q38" s="28" t="n">
        <v>4060294</v>
      </c>
      <c r="R38" s="28" t="n">
        <v>0</v>
      </c>
      <c r="S38" s="28">
        <f>Q38-R38</f>
        <v/>
      </c>
      <c r="T38" s="28">
        <f>IF(S38="","",S38*(1+in_GrowthRate)^(YEARFRAC(DATE(2023,12,31),in_AgeToDate)*IF(in_AgeToDate&lt;DATE(2023,12,31),-1,1)+1))</f>
        <v/>
      </c>
      <c r="U38" s="50">
        <f>IF(AND(AND(OR(in_Mode="All Funds",AND(C38&gt;=in_BandFloor,C38&lt;=in_BandCeiling,OR(in_Geography="National",COUNTIFS(lst_GeoPreset,in_Geography,lst_GeoState,B38)&gt;0,AND(in_Geography="Custom",ISNUMBER(SEARCH(B38,SUBSTITUTE(in_CustomStates," ",""))))),OR(AND(D38="Endowment",Inputs!$B$14="Y"),AND(D38="Foundation",Inputs!$B$15="Y"),AND(D38="Healthcare",Inputs!$B$16="Y"),AND(D38="Pension",Inputs!$B$17="Y"),AND(D38="OCIO",Inputs!$B$18="Y"),AND(D38="Other",Inputs!$B$19="Y")))),A38&lt;&gt;in_ClientOrg,NOT(AND(in_ExclHarvard="Y",ISNUMBER(SEARCH("Harvard",A38))))),$AD38="Y",K38&lt;&gt;"",S38&gt;0),"Y","")</f>
        <v/>
      </c>
      <c r="V38" s="30" t="n">
        <v>1</v>
      </c>
      <c r="W38" t="inlineStr"/>
      <c r="X38" s="28">
        <f>IF(L38+M38=0,"",L38+M38)</f>
        <v/>
      </c>
      <c r="Y38" s="38">
        <f>IF(L38=0,"",M38/L38)</f>
        <v/>
      </c>
      <c r="Z38" t="inlineStr">
        <is>
          <t>CIO - Top Investment Executive</t>
        </is>
      </c>
      <c r="AA38" t="inlineStr">
        <is>
          <t>Leadership</t>
        </is>
      </c>
      <c r="AB38" s="50" t="inlineStr">
        <is>
          <t>Y</t>
        </is>
      </c>
      <c r="AC38" s="43">
        <f>HYPERLINK("https://projects.propublica.org/nonprofits/organizations/131879954/202413199349106571/full","view filing")</f>
        <v/>
      </c>
      <c r="AD38" s="50" t="inlineStr"/>
    </row>
    <row r="39">
      <c r="A39" t="inlineStr">
        <is>
          <t>Andrew W Mellon Foundation</t>
        </is>
      </c>
      <c r="B39" s="50" t="inlineStr">
        <is>
          <t>NY</t>
        </is>
      </c>
      <c r="C39" s="52" t="n">
        <v>7.85</v>
      </c>
      <c r="D39" t="inlineStr">
        <is>
          <t>Foundation</t>
        </is>
      </c>
      <c r="E39" s="50" t="n">
        <v>2023</v>
      </c>
      <c r="F39" s="50" t="inlineStr">
        <is>
          <t>2024-11-14</t>
        </is>
      </c>
      <c r="G39" s="50" t="inlineStr">
        <is>
          <t>2023-12-31</t>
        </is>
      </c>
      <c r="H39" t="inlineStr">
        <is>
          <t>Yindeng Jiang</t>
        </is>
      </c>
      <c r="I39" t="inlineStr">
        <is>
          <t>SENIOR PORTFOLIO MGR</t>
        </is>
      </c>
      <c r="J39" t="inlineStr">
        <is>
          <t>Senior Portfolio Manager</t>
        </is>
      </c>
      <c r="K39" t="inlineStr">
        <is>
          <t>Sr Investment Professional</t>
        </is>
      </c>
      <c r="L39" s="28" t="n">
        <v>0</v>
      </c>
      <c r="M39" s="28" t="n">
        <v>0</v>
      </c>
      <c r="N39" s="28" t="n">
        <v>0</v>
      </c>
      <c r="O39" s="28" t="n">
        <v>0</v>
      </c>
      <c r="P39" s="28" t="n">
        <v>0</v>
      </c>
      <c r="Q39" s="28" t="n">
        <v>1155015</v>
      </c>
      <c r="R39" s="28" t="n">
        <v>0</v>
      </c>
      <c r="S39" s="28">
        <f>Q39-R39</f>
        <v/>
      </c>
      <c r="T39" s="28">
        <f>IF(S39="","",S39*(1+in_GrowthRate)^(YEARFRAC(DATE(2023,12,31),in_AgeToDate)*IF(in_AgeToDate&lt;DATE(2023,12,31),-1,1)+1))</f>
        <v/>
      </c>
      <c r="U39" s="50">
        <f>IF(AND(AND(OR(in_Mode="All Funds",AND(C39&gt;=in_BandFloor,C39&lt;=in_BandCeiling,OR(in_Geography="National",COUNTIFS(lst_GeoPreset,in_Geography,lst_GeoState,B39)&gt;0,AND(in_Geography="Custom",ISNUMBER(SEARCH(B39,SUBSTITUTE(in_CustomStates," ",""))))),OR(AND(D39="Endowment",Inputs!$B$14="Y"),AND(D39="Foundation",Inputs!$B$15="Y"),AND(D39="Healthcare",Inputs!$B$16="Y"),AND(D39="Pension",Inputs!$B$17="Y"),AND(D39="OCIO",Inputs!$B$18="Y"),AND(D39="Other",Inputs!$B$19="Y")))),A39&lt;&gt;in_ClientOrg,NOT(AND(in_ExclHarvard="Y",ISNUMBER(SEARCH("Harvard",A39))))),$AD39="Y",K39&lt;&gt;"",S39&gt;0),"Y","")</f>
        <v/>
      </c>
      <c r="V39" s="30" t="n">
        <v>0.2844658539504775</v>
      </c>
      <c r="W39" t="inlineStr"/>
      <c r="X39" s="28">
        <f>IF(L39+M39=0,"",L39+M39)</f>
        <v/>
      </c>
      <c r="Y39" s="38">
        <f>IF(L39=0,"",M39/L39)</f>
        <v/>
      </c>
      <c r="Z39" t="inlineStr">
        <is>
          <t>Other investment staff</t>
        </is>
      </c>
      <c r="AA39" t="inlineStr">
        <is>
          <t>Investments</t>
        </is>
      </c>
      <c r="AB39" s="50" t="inlineStr"/>
      <c r="AC39" s="43">
        <f>HYPERLINK("https://projects.propublica.org/nonprofits/organizations/131879954/202413199349106571/full","view filing")</f>
        <v/>
      </c>
      <c r="AD39" s="50" t="inlineStr"/>
    </row>
    <row r="40">
      <c r="A40" t="inlineStr">
        <is>
          <t>Andrew W Mellon Foundation</t>
        </is>
      </c>
      <c r="B40" s="50" t="inlineStr">
        <is>
          <t>NY</t>
        </is>
      </c>
      <c r="C40" s="52" t="n">
        <v>7.85</v>
      </c>
      <c r="D40" t="inlineStr">
        <is>
          <t>Foundation</t>
        </is>
      </c>
      <c r="E40" s="50" t="n">
        <v>2022</v>
      </c>
      <c r="F40" s="50" t="inlineStr">
        <is>
          <t>2023-11-13</t>
        </is>
      </c>
      <c r="G40" s="50" t="inlineStr">
        <is>
          <t>2022-12-31</t>
        </is>
      </c>
      <c r="H40" t="inlineStr">
        <is>
          <t>Abigail Archibald</t>
        </is>
      </c>
      <c r="I40" t="inlineStr">
        <is>
          <t>SENIOR PORTFOLIO MGR</t>
        </is>
      </c>
      <c r="J40" t="inlineStr">
        <is>
          <t>Senior Portfolio Manager</t>
        </is>
      </c>
      <c r="K40" t="inlineStr">
        <is>
          <t>Sr Investment Professional</t>
        </is>
      </c>
      <c r="L40" s="28" t="n">
        <v>0</v>
      </c>
      <c r="M40" s="28" t="n">
        <v>0</v>
      </c>
      <c r="N40" s="28" t="n">
        <v>0</v>
      </c>
      <c r="O40" s="28" t="n">
        <v>0</v>
      </c>
      <c r="P40" s="28" t="n">
        <v>0</v>
      </c>
      <c r="Q40" s="28" t="n">
        <v>1244918</v>
      </c>
      <c r="R40" s="28" t="n">
        <v>0</v>
      </c>
      <c r="S40" s="28">
        <f>Q40-R40</f>
        <v/>
      </c>
      <c r="T40" s="28">
        <f>IF(S40="","",S40*(1+in_GrowthRate)^(YEARFRAC(DATE(2022,12,31),in_AgeToDate)*IF(in_AgeToDate&lt;DATE(2022,12,31),-1,1)+1))</f>
        <v/>
      </c>
      <c r="U40" s="50">
        <f>IF(AND(AND(OR(in_Mode="All Funds",AND(C40&gt;=in_BandFloor,C40&lt;=in_BandCeiling,OR(in_Geography="National",COUNTIFS(lst_GeoPreset,in_Geography,lst_GeoState,B40)&gt;0,AND(in_Geography="Custom",ISNUMBER(SEARCH(B40,SUBSTITUTE(in_CustomStates," ",""))))),OR(AND(D40="Endowment",Inputs!$B$14="Y"),AND(D40="Foundation",Inputs!$B$15="Y"),AND(D40="Healthcare",Inputs!$B$16="Y"),AND(D40="Pension",Inputs!$B$17="Y"),AND(D40="OCIO",Inputs!$B$18="Y"),AND(D40="Other",Inputs!$B$19="Y")))),A40&lt;&gt;in_ClientOrg,NOT(AND(in_ExclHarvard="Y",ISNUMBER(SEARCH("Harvard",A40))))),$AD40="Y",K40&lt;&gt;"",S40&gt;0),"Y","")</f>
        <v/>
      </c>
      <c r="V40" s="30" t="n">
        <v>0.2721617074954336</v>
      </c>
      <c r="W40" t="inlineStr"/>
      <c r="X40" s="28">
        <f>IF(L40+M40=0,"",L40+M40)</f>
        <v/>
      </c>
      <c r="Y40" s="38">
        <f>IF(L40=0,"",M40/L40)</f>
        <v/>
      </c>
      <c r="Z40" t="inlineStr">
        <is>
          <t>Other investment staff</t>
        </is>
      </c>
      <c r="AA40" t="inlineStr">
        <is>
          <t>Investments</t>
        </is>
      </c>
      <c r="AB40" s="50" t="inlineStr"/>
      <c r="AC40" s="43">
        <f>HYPERLINK("https://projects.propublica.org/nonprofits/organizations/131879954/202303179349100635/full","view filing")</f>
        <v/>
      </c>
      <c r="AD40" s="50" t="inlineStr"/>
    </row>
    <row r="41">
      <c r="A41" t="inlineStr">
        <is>
          <t>Andrew W Mellon Foundation</t>
        </is>
      </c>
      <c r="B41" s="50" t="inlineStr">
        <is>
          <t>NY</t>
        </is>
      </c>
      <c r="C41" s="52" t="n">
        <v>7.85</v>
      </c>
      <c r="D41" t="inlineStr">
        <is>
          <t>Foundation</t>
        </is>
      </c>
      <c r="E41" s="50" t="n">
        <v>2022</v>
      </c>
      <c r="F41" s="50" t="inlineStr">
        <is>
          <t>2023-11-13</t>
        </is>
      </c>
      <c r="G41" s="50" t="inlineStr">
        <is>
          <t>2022-12-31</t>
        </is>
      </c>
      <c r="H41" t="inlineStr">
        <is>
          <t>Emily Hickman</t>
        </is>
      </c>
      <c r="I41" t="inlineStr">
        <is>
          <t>PORTFOLIO MANAGER</t>
        </is>
      </c>
      <c r="J41" t="inlineStr">
        <is>
          <t>Portfolio Manager</t>
        </is>
      </c>
      <c r="K41" t="inlineStr">
        <is>
          <t>Sr Investment Professional</t>
        </is>
      </c>
      <c r="L41" s="28" t="n">
        <v>0</v>
      </c>
      <c r="M41" s="28" t="n">
        <v>0</v>
      </c>
      <c r="N41" s="28" t="n">
        <v>0</v>
      </c>
      <c r="O41" s="28" t="n">
        <v>0</v>
      </c>
      <c r="P41" s="28" t="n">
        <v>0</v>
      </c>
      <c r="Q41" s="28" t="n">
        <v>563669</v>
      </c>
      <c r="R41" s="28" t="n">
        <v>0</v>
      </c>
      <c r="S41" s="28">
        <f>Q41-R41</f>
        <v/>
      </c>
      <c r="T41" s="28">
        <f>IF(S41="","",S41*(1+in_GrowthRate)^(YEARFRAC(DATE(2022,12,31),in_AgeToDate)*IF(in_AgeToDate&lt;DATE(2022,12,31),-1,1)+1))</f>
        <v/>
      </c>
      <c r="U41" s="50">
        <f>IF(AND(AND(OR(in_Mode="All Funds",AND(C41&gt;=in_BandFloor,C41&lt;=in_BandCeiling,OR(in_Geography="National",COUNTIFS(lst_GeoPreset,in_Geography,lst_GeoState,B41)&gt;0,AND(in_Geography="Custom",ISNUMBER(SEARCH(B41,SUBSTITUTE(in_CustomStates," ",""))))),OR(AND(D41="Endowment",Inputs!$B$14="Y"),AND(D41="Foundation",Inputs!$B$15="Y"),AND(D41="Healthcare",Inputs!$B$16="Y"),AND(D41="Pension",Inputs!$B$17="Y"),AND(D41="OCIO",Inputs!$B$18="Y"),AND(D41="Other",Inputs!$B$19="Y")))),A41&lt;&gt;in_ClientOrg,NOT(AND(in_ExclHarvard="Y",ISNUMBER(SEARCH("Harvard",A41))))),$AD41="Y",K41&lt;&gt;"",S41&gt;0),"Y","")</f>
        <v/>
      </c>
      <c r="V41" s="30" t="n">
        <v>0.1232282909414464</v>
      </c>
      <c r="W41" t="inlineStr"/>
      <c r="X41" s="28">
        <f>IF(L41+M41=0,"",L41+M41)</f>
        <v/>
      </c>
      <c r="Y41" s="38">
        <f>IF(L41=0,"",M41/L41)</f>
        <v/>
      </c>
      <c r="Z41" t="inlineStr">
        <is>
          <t>Other investment staff</t>
        </is>
      </c>
      <c r="AA41" t="inlineStr">
        <is>
          <t>Investments</t>
        </is>
      </c>
      <c r="AB41" s="50" t="inlineStr"/>
      <c r="AC41" s="43">
        <f>HYPERLINK("https://projects.propublica.org/nonprofits/organizations/131879954/202303179349100635/full","view filing")</f>
        <v/>
      </c>
      <c r="AD41" s="50" t="inlineStr"/>
    </row>
    <row r="42">
      <c r="A42" t="inlineStr">
        <is>
          <t>Andrew W Mellon Foundation</t>
        </is>
      </c>
      <c r="B42" s="50" t="inlineStr">
        <is>
          <t>NY</t>
        </is>
      </c>
      <c r="C42" s="52" t="n">
        <v>7.85</v>
      </c>
      <c r="D42" t="inlineStr">
        <is>
          <t>Foundation</t>
        </is>
      </c>
      <c r="E42" s="50" t="n">
        <v>2022</v>
      </c>
      <c r="F42" s="50" t="inlineStr">
        <is>
          <t>2023-11-13</t>
        </is>
      </c>
      <c r="G42" s="50" t="inlineStr">
        <is>
          <t>2022-12-31</t>
        </is>
      </c>
      <c r="H42" t="inlineStr">
        <is>
          <t>Michelle Knudsen</t>
        </is>
      </c>
      <c r="I42" t="inlineStr">
        <is>
          <t>SENIOR PORTFOLIO MGR</t>
        </is>
      </c>
      <c r="J42" t="inlineStr">
        <is>
          <t>Senior Portfolio Manager</t>
        </is>
      </c>
      <c r="K42" t="inlineStr">
        <is>
          <t>Sr Investment Professional</t>
        </is>
      </c>
      <c r="L42" s="28" t="n">
        <v>0</v>
      </c>
      <c r="M42" s="28" t="n">
        <v>0</v>
      </c>
      <c r="N42" s="28" t="n">
        <v>0</v>
      </c>
      <c r="O42" s="28" t="n">
        <v>0</v>
      </c>
      <c r="P42" s="28" t="n">
        <v>0</v>
      </c>
      <c r="Q42" s="28" t="n">
        <v>1220163</v>
      </c>
      <c r="R42" s="28" t="n">
        <v>0</v>
      </c>
      <c r="S42" s="28">
        <f>Q42-R42</f>
        <v/>
      </c>
      <c r="T42" s="28">
        <f>IF(S42="","",S42*(1+in_GrowthRate)^(YEARFRAC(DATE(2022,12,31),in_AgeToDate)*IF(in_AgeToDate&lt;DATE(2022,12,31),-1,1)+1))</f>
        <v/>
      </c>
      <c r="U42" s="50">
        <f>IF(AND(AND(OR(in_Mode="All Funds",AND(C42&gt;=in_BandFloor,C42&lt;=in_BandCeiling,OR(in_Geography="National",COUNTIFS(lst_GeoPreset,in_Geography,lst_GeoState,B42)&gt;0,AND(in_Geography="Custom",ISNUMBER(SEARCH(B42,SUBSTITUTE(in_CustomStates," ",""))))),OR(AND(D42="Endowment",Inputs!$B$14="Y"),AND(D42="Foundation",Inputs!$B$15="Y"),AND(D42="Healthcare",Inputs!$B$16="Y"),AND(D42="Pension",Inputs!$B$17="Y"),AND(D42="OCIO",Inputs!$B$18="Y"),AND(D42="Other",Inputs!$B$19="Y")))),A42&lt;&gt;in_ClientOrg,NOT(AND(in_ExclHarvard="Y",ISNUMBER(SEARCH("Harvard",A42))))),$AD42="Y",K42&lt;&gt;"",S42&gt;0),"Y","")</f>
        <v/>
      </c>
      <c r="V42" s="30" t="n">
        <v>0.2667498144478196</v>
      </c>
      <c r="W42" t="inlineStr"/>
      <c r="X42" s="28">
        <f>IF(L42+M42=0,"",L42+M42)</f>
        <v/>
      </c>
      <c r="Y42" s="38">
        <f>IF(L42=0,"",M42/L42)</f>
        <v/>
      </c>
      <c r="Z42" t="inlineStr">
        <is>
          <t>Other investment staff</t>
        </is>
      </c>
      <c r="AA42" t="inlineStr">
        <is>
          <t>Investments</t>
        </is>
      </c>
      <c r="AB42" s="50" t="inlineStr"/>
      <c r="AC42" s="43">
        <f>HYPERLINK("https://projects.propublica.org/nonprofits/organizations/131879954/202303179349100635/full","view filing")</f>
        <v/>
      </c>
      <c r="AD42" s="50" t="inlineStr"/>
    </row>
    <row r="43">
      <c r="A43" t="inlineStr">
        <is>
          <t>Andrew W Mellon Foundation</t>
        </is>
      </c>
      <c r="B43" s="50" t="inlineStr">
        <is>
          <t>NY</t>
        </is>
      </c>
      <c r="C43" s="52" t="n">
        <v>7.85</v>
      </c>
      <c r="D43" t="inlineStr">
        <is>
          <t>Foundation</t>
        </is>
      </c>
      <c r="E43" s="50" t="n">
        <v>2022</v>
      </c>
      <c r="F43" s="50" t="inlineStr">
        <is>
          <t>2023-11-13</t>
        </is>
      </c>
      <c r="G43" s="50" t="inlineStr">
        <is>
          <t>2022-12-31</t>
        </is>
      </c>
      <c r="H43" t="inlineStr">
        <is>
          <t>Scott Taylor</t>
        </is>
      </c>
      <c r="I43" t="inlineStr">
        <is>
          <t>CHIEF INVESTMENT OFFICER</t>
        </is>
      </c>
      <c r="J43" t="inlineStr">
        <is>
          <t>CIO</t>
        </is>
      </c>
      <c r="K43" t="inlineStr">
        <is>
          <t>CIO - Top Investment Executive</t>
        </is>
      </c>
      <c r="L43" s="28" t="n">
        <v>0</v>
      </c>
      <c r="M43" s="28" t="n">
        <v>0</v>
      </c>
      <c r="N43" s="28" t="n">
        <v>0</v>
      </c>
      <c r="O43" s="28" t="n">
        <v>0</v>
      </c>
      <c r="P43" s="28" t="n">
        <v>1912745</v>
      </c>
      <c r="Q43" s="28" t="n">
        <v>4574185</v>
      </c>
      <c r="R43" s="28" t="n">
        <v>0</v>
      </c>
      <c r="S43" s="28">
        <f>Q43-R43</f>
        <v/>
      </c>
      <c r="T43" s="28">
        <f>IF(S43="","",S43*(1+in_GrowthRate)^(YEARFRAC(DATE(2022,12,31),in_AgeToDate)*IF(in_AgeToDate&lt;DATE(2022,12,31),-1,1)+1))</f>
        <v/>
      </c>
      <c r="U43" s="50">
        <f>IF(AND(AND(OR(in_Mode="All Funds",AND(C43&gt;=in_BandFloor,C43&lt;=in_BandCeiling,OR(in_Geography="National",COUNTIFS(lst_GeoPreset,in_Geography,lst_GeoState,B43)&gt;0,AND(in_Geography="Custom",ISNUMBER(SEARCH(B43,SUBSTITUTE(in_CustomStates," ",""))))),OR(AND(D43="Endowment",Inputs!$B$14="Y"),AND(D43="Foundation",Inputs!$B$15="Y"),AND(D43="Healthcare",Inputs!$B$16="Y"),AND(D43="Pension",Inputs!$B$17="Y"),AND(D43="OCIO",Inputs!$B$18="Y"),AND(D43="Other",Inputs!$B$19="Y")))),A43&lt;&gt;in_ClientOrg,NOT(AND(in_ExclHarvard="Y",ISNUMBER(SEARCH("Harvard",A43))))),$AD43="Y",K43&lt;&gt;"",S43&gt;0),"Y","")</f>
        <v/>
      </c>
      <c r="V43" s="30" t="n">
        <v>1</v>
      </c>
      <c r="W43" t="inlineStr"/>
      <c r="X43" s="28">
        <f>IF(L43+M43=0,"",L43+M43)</f>
        <v/>
      </c>
      <c r="Y43" s="38">
        <f>IF(L43=0,"",M43/L43)</f>
        <v/>
      </c>
      <c r="Z43" t="inlineStr">
        <is>
          <t>CIO - Top Investment Executive</t>
        </is>
      </c>
      <c r="AA43" t="inlineStr">
        <is>
          <t>Leadership</t>
        </is>
      </c>
      <c r="AB43" s="50" t="inlineStr">
        <is>
          <t>Y</t>
        </is>
      </c>
      <c r="AC43" s="43">
        <f>HYPERLINK("https://projects.propublica.org/nonprofits/organizations/131879954/202303179349100635/full","view filing")</f>
        <v/>
      </c>
      <c r="AD43" s="50" t="inlineStr"/>
    </row>
    <row r="44">
      <c r="A44" t="inlineStr">
        <is>
          <t>Andrew W Mellon Foundation</t>
        </is>
      </c>
      <c r="B44" s="50" t="inlineStr">
        <is>
          <t>NY</t>
        </is>
      </c>
      <c r="C44" s="52" t="n">
        <v>7.85</v>
      </c>
      <c r="D44" t="inlineStr">
        <is>
          <t>Foundation</t>
        </is>
      </c>
      <c r="E44" s="50" t="n">
        <v>2022</v>
      </c>
      <c r="F44" s="50" t="inlineStr">
        <is>
          <t>2023-11-13</t>
        </is>
      </c>
      <c r="G44" s="50" t="inlineStr">
        <is>
          <t>2022-12-31</t>
        </is>
      </c>
      <c r="H44" t="inlineStr">
        <is>
          <t>Yindeng Jiang</t>
        </is>
      </c>
      <c r="I44" t="inlineStr">
        <is>
          <t>SENIOR PORTFOLIO MGR</t>
        </is>
      </c>
      <c r="J44" t="inlineStr">
        <is>
          <t>Senior Portfolio Manager</t>
        </is>
      </c>
      <c r="K44" t="inlineStr">
        <is>
          <t>Sr Investment Professional</t>
        </is>
      </c>
      <c r="L44" s="28" t="n">
        <v>0</v>
      </c>
      <c r="M44" s="28" t="n">
        <v>0</v>
      </c>
      <c r="N44" s="28" t="n">
        <v>0</v>
      </c>
      <c r="O44" s="28" t="n">
        <v>0</v>
      </c>
      <c r="P44" s="28" t="n">
        <v>0</v>
      </c>
      <c r="Q44" s="28" t="n">
        <v>631521</v>
      </c>
      <c r="R44" s="28" t="n">
        <v>0</v>
      </c>
      <c r="S44" s="28">
        <f>Q44-R44</f>
        <v/>
      </c>
      <c r="T44" s="28">
        <f>IF(S44="","",S44*(1+in_GrowthRate)^(YEARFRAC(DATE(2022,12,31),in_AgeToDate)*IF(in_AgeToDate&lt;DATE(2022,12,31),-1,1)+1))</f>
        <v/>
      </c>
      <c r="U44" s="50">
        <f>IF(AND(AND(OR(in_Mode="All Funds",AND(C44&gt;=in_BandFloor,C44&lt;=in_BandCeiling,OR(in_Geography="National",COUNTIFS(lst_GeoPreset,in_Geography,lst_GeoState,B44)&gt;0,AND(in_Geography="Custom",ISNUMBER(SEARCH(B44,SUBSTITUTE(in_CustomStates," ",""))))),OR(AND(D44="Endowment",Inputs!$B$14="Y"),AND(D44="Foundation",Inputs!$B$15="Y"),AND(D44="Healthcare",Inputs!$B$16="Y"),AND(D44="Pension",Inputs!$B$17="Y"),AND(D44="OCIO",Inputs!$B$18="Y"),AND(D44="Other",Inputs!$B$19="Y")))),A44&lt;&gt;in_ClientOrg,NOT(AND(in_ExclHarvard="Y",ISNUMBER(SEARCH("Harvard",A44))))),$AD44="Y",K44&lt;&gt;"",S44&gt;0),"Y","")</f>
        <v/>
      </c>
      <c r="V44" s="30" t="n">
        <v>0.1380619716955042</v>
      </c>
      <c r="W44" t="inlineStr"/>
      <c r="X44" s="28">
        <f>IF(L44+M44=0,"",L44+M44)</f>
        <v/>
      </c>
      <c r="Y44" s="38">
        <f>IF(L44=0,"",M44/L44)</f>
        <v/>
      </c>
      <c r="Z44" t="inlineStr">
        <is>
          <t>Other investment staff</t>
        </is>
      </c>
      <c r="AA44" t="inlineStr">
        <is>
          <t>Investments</t>
        </is>
      </c>
      <c r="AB44" s="50" t="inlineStr"/>
      <c r="AC44" s="43">
        <f>HYPERLINK("https://projects.propublica.org/nonprofits/organizations/131879954/202303179349100635/full","view filing")</f>
        <v/>
      </c>
      <c r="AD44" s="50" t="inlineStr"/>
    </row>
    <row r="45">
      <c r="A45" t="inlineStr">
        <is>
          <t>Annie E Casey Foundation</t>
        </is>
      </c>
      <c r="B45" s="50" t="inlineStr">
        <is>
          <t>MD</t>
        </is>
      </c>
      <c r="C45" s="52" t="n">
        <v>3.11</v>
      </c>
      <c r="D45" t="inlineStr">
        <is>
          <t>Foundation</t>
        </is>
      </c>
      <c r="E45" s="50" t="n">
        <v>2024</v>
      </c>
      <c r="F45" s="50" t="inlineStr">
        <is>
          <t>2025-11-17</t>
        </is>
      </c>
      <c r="G45" s="50" t="inlineStr">
        <is>
          <t>2024-12-31</t>
        </is>
      </c>
      <c r="H45" t="inlineStr">
        <is>
          <t>Alexander Perry</t>
        </is>
      </c>
      <c r="I45" t="inlineStr">
        <is>
          <t>VICE PRESIDENT &amp; Chief Investment Officer</t>
        </is>
      </c>
      <c r="J45" t="inlineStr">
        <is>
          <t>CIO</t>
        </is>
      </c>
      <c r="K45" t="inlineStr">
        <is>
          <t>CIO - Top Investment Executive</t>
        </is>
      </c>
      <c r="L45" s="28" t="n">
        <v>0</v>
      </c>
      <c r="M45" s="28" t="n">
        <v>0</v>
      </c>
      <c r="N45" s="28" t="n">
        <v>0</v>
      </c>
      <c r="O45" s="28" t="n">
        <v>0</v>
      </c>
      <c r="P45" s="28" t="n">
        <v>84551</v>
      </c>
      <c r="Q45" s="28" t="n">
        <v>936407</v>
      </c>
      <c r="R45" s="28" t="n">
        <v>0</v>
      </c>
      <c r="S45" s="28">
        <f>Q45-R45</f>
        <v/>
      </c>
      <c r="T45" s="28">
        <f>IF(S45="","",S45*(1+in_GrowthRate)^(YEARFRAC(DATE(2024,12,31),in_AgeToDate)*IF(in_AgeToDate&lt;DATE(2024,12,31),-1,1)+1))</f>
        <v/>
      </c>
      <c r="U45" s="50">
        <f>IF(AND(AND(OR(in_Mode="All Funds",AND(C45&gt;=in_BandFloor,C45&lt;=in_BandCeiling,OR(in_Geography="National",COUNTIFS(lst_GeoPreset,in_Geography,lst_GeoState,B45)&gt;0,AND(in_Geography="Custom",ISNUMBER(SEARCH(B45,SUBSTITUTE(in_CustomStates," ",""))))),OR(AND(D45="Endowment",Inputs!$B$14="Y"),AND(D45="Foundation",Inputs!$B$15="Y"),AND(D45="Healthcare",Inputs!$B$16="Y"),AND(D45="Pension",Inputs!$B$17="Y"),AND(D45="OCIO",Inputs!$B$18="Y"),AND(D45="Other",Inputs!$B$19="Y")))),A45&lt;&gt;in_ClientOrg,NOT(AND(in_ExclHarvard="Y",ISNUMBER(SEARCH("Harvard",A45))))),$AD45="Y",K45&lt;&gt;"",S45&gt;0),"Y","")</f>
        <v/>
      </c>
      <c r="V45" s="30" t="n">
        <v>1</v>
      </c>
      <c r="W45" t="inlineStr"/>
      <c r="X45" s="28">
        <f>IF(L45+M45=0,"",L45+M45)</f>
        <v/>
      </c>
      <c r="Y45" s="38">
        <f>IF(L45=0,"",M45/L45)</f>
        <v/>
      </c>
      <c r="Z45" t="inlineStr">
        <is>
          <t>CIO - Top Investment Executive</t>
        </is>
      </c>
      <c r="AA45" t="inlineStr">
        <is>
          <t>Leadership</t>
        </is>
      </c>
      <c r="AB45" s="50" t="inlineStr">
        <is>
          <t>Y</t>
        </is>
      </c>
      <c r="AC45" s="43">
        <f>HYPERLINK("https://projects.propublica.org/nonprofits/organizations/521951681/202513219349100241/full","view filing")</f>
        <v/>
      </c>
      <c r="AD45" s="50" t="inlineStr">
        <is>
          <t>Y</t>
        </is>
      </c>
    </row>
    <row r="46">
      <c r="A46" t="inlineStr">
        <is>
          <t>Annie E Casey Foundation</t>
        </is>
      </c>
      <c r="B46" s="50" t="inlineStr">
        <is>
          <t>MD</t>
        </is>
      </c>
      <c r="C46" s="52" t="n">
        <v>3.11</v>
      </c>
      <c r="D46" t="inlineStr">
        <is>
          <t>Foundation</t>
        </is>
      </c>
      <c r="E46" s="50" t="n">
        <v>2023</v>
      </c>
      <c r="F46" s="50" t="inlineStr">
        <is>
          <t>2025-11-05</t>
        </is>
      </c>
      <c r="G46" s="50" t="inlineStr">
        <is>
          <t>2023-12-31</t>
        </is>
      </c>
      <c r="H46" t="inlineStr">
        <is>
          <t>Alexander Perry</t>
        </is>
      </c>
      <c r="I46" t="inlineStr">
        <is>
          <t>VICE PRESIDENT &amp; Chief Investment Officer</t>
        </is>
      </c>
      <c r="J46" t="inlineStr">
        <is>
          <t>CIO</t>
        </is>
      </c>
      <c r="K46" t="inlineStr">
        <is>
          <t>CIO - Top Investment Executive</t>
        </is>
      </c>
      <c r="L46" s="28" t="n">
        <v>0</v>
      </c>
      <c r="M46" s="28" t="n">
        <v>0</v>
      </c>
      <c r="N46" s="28" t="n">
        <v>0</v>
      </c>
      <c r="O46" s="28" t="n">
        <v>0</v>
      </c>
      <c r="P46" s="28" t="n">
        <v>76902</v>
      </c>
      <c r="Q46" s="28" t="n">
        <v>782722</v>
      </c>
      <c r="R46" s="28" t="n">
        <v>0</v>
      </c>
      <c r="S46" s="28">
        <f>Q46-R46</f>
        <v/>
      </c>
      <c r="T46" s="28">
        <f>IF(S46="","",S46*(1+in_GrowthRate)^(YEARFRAC(DATE(2023,12,31),in_AgeToDate)*IF(in_AgeToDate&lt;DATE(2023,12,31),-1,1)+1))</f>
        <v/>
      </c>
      <c r="U46" s="50">
        <f>IF(AND(AND(OR(in_Mode="All Funds",AND(C46&gt;=in_BandFloor,C46&lt;=in_BandCeiling,OR(in_Geography="National",COUNTIFS(lst_GeoPreset,in_Geography,lst_GeoState,B46)&gt;0,AND(in_Geography="Custom",ISNUMBER(SEARCH(B46,SUBSTITUTE(in_CustomStates," ",""))))),OR(AND(D46="Endowment",Inputs!$B$14="Y"),AND(D46="Foundation",Inputs!$B$15="Y"),AND(D46="Healthcare",Inputs!$B$16="Y"),AND(D46="Pension",Inputs!$B$17="Y"),AND(D46="OCIO",Inputs!$B$18="Y"),AND(D46="Other",Inputs!$B$19="Y")))),A46&lt;&gt;in_ClientOrg,NOT(AND(in_ExclHarvard="Y",ISNUMBER(SEARCH("Harvard",A46))))),$AD46="Y",K46&lt;&gt;"",S46&gt;0),"Y","")</f>
        <v/>
      </c>
      <c r="V46" s="30" t="n">
        <v>1</v>
      </c>
      <c r="W46" t="inlineStr"/>
      <c r="X46" s="28">
        <f>IF(L46+M46=0,"",L46+M46)</f>
        <v/>
      </c>
      <c r="Y46" s="38">
        <f>IF(L46=0,"",M46/L46)</f>
        <v/>
      </c>
      <c r="Z46" t="inlineStr">
        <is>
          <t>CIO - Top Investment Executive</t>
        </is>
      </c>
      <c r="AA46" t="inlineStr">
        <is>
          <t>Leadership</t>
        </is>
      </c>
      <c r="AB46" s="50" t="inlineStr">
        <is>
          <t>Y</t>
        </is>
      </c>
      <c r="AC46" s="43">
        <f>HYPERLINK("https://projects.propublica.org/nonprofits/organizations/521951681/202533099349102133/full","view filing")</f>
        <v/>
      </c>
      <c r="AD46" s="50" t="inlineStr"/>
    </row>
    <row r="47">
      <c r="A47" t="inlineStr">
        <is>
          <t>Annie E Casey Foundation</t>
        </is>
      </c>
      <c r="B47" s="50" t="inlineStr">
        <is>
          <t>MD</t>
        </is>
      </c>
      <c r="C47" s="52" t="n">
        <v>3.11</v>
      </c>
      <c r="D47" t="inlineStr">
        <is>
          <t>Foundation</t>
        </is>
      </c>
      <c r="E47" s="50" t="n">
        <v>2023</v>
      </c>
      <c r="F47" s="50" t="inlineStr">
        <is>
          <t>2025-11-05</t>
        </is>
      </c>
      <c r="G47" s="50" t="inlineStr">
        <is>
          <t>2023-12-31</t>
        </is>
      </c>
      <c r="H47" t="inlineStr">
        <is>
          <t>Samuel Norvell</t>
        </is>
      </c>
      <c r="I47" t="inlineStr">
        <is>
          <t>INVESTMENT DIRECTOR</t>
        </is>
      </c>
      <c r="J47" t="inlineStr">
        <is>
          <t>Director of Investments</t>
        </is>
      </c>
      <c r="K47" t="inlineStr">
        <is>
          <t>Sr Investment Professional</t>
        </is>
      </c>
      <c r="L47" s="28" t="n">
        <v>0</v>
      </c>
      <c r="M47" s="28" t="n">
        <v>0</v>
      </c>
      <c r="N47" s="28" t="n">
        <v>0</v>
      </c>
      <c r="O47" s="28" t="n">
        <v>0</v>
      </c>
      <c r="P47" s="28" t="n">
        <v>0</v>
      </c>
      <c r="Q47" s="28" t="n">
        <v>572490</v>
      </c>
      <c r="R47" s="28" t="n">
        <v>0</v>
      </c>
      <c r="S47" s="28">
        <f>Q47-R47</f>
        <v/>
      </c>
      <c r="T47" s="28">
        <f>IF(S47="","",S47*(1+in_GrowthRate)^(YEARFRAC(DATE(2023,12,31),in_AgeToDate)*IF(in_AgeToDate&lt;DATE(2023,12,31),-1,1)+1))</f>
        <v/>
      </c>
      <c r="U47" s="50">
        <f>IF(AND(AND(OR(in_Mode="All Funds",AND(C47&gt;=in_BandFloor,C47&lt;=in_BandCeiling,OR(in_Geography="National",COUNTIFS(lst_GeoPreset,in_Geography,lst_GeoState,B47)&gt;0,AND(in_Geography="Custom",ISNUMBER(SEARCH(B47,SUBSTITUTE(in_CustomStates," ",""))))),OR(AND(D47="Endowment",Inputs!$B$14="Y"),AND(D47="Foundation",Inputs!$B$15="Y"),AND(D47="Healthcare",Inputs!$B$16="Y"),AND(D47="Pension",Inputs!$B$17="Y"),AND(D47="OCIO",Inputs!$B$18="Y"),AND(D47="Other",Inputs!$B$19="Y")))),A47&lt;&gt;in_ClientOrg,NOT(AND(in_ExclHarvard="Y",ISNUMBER(SEARCH("Harvard",A47))))),$AD47="Y",K47&lt;&gt;"",S47&gt;0),"Y","")</f>
        <v/>
      </c>
      <c r="V47" s="30" t="n">
        <v>0.7314091082146662</v>
      </c>
      <c r="W47" t="inlineStr"/>
      <c r="X47" s="28">
        <f>IF(L47+M47=0,"",L47+M47)</f>
        <v/>
      </c>
      <c r="Y47" s="38">
        <f>IF(L47=0,"",M47/L47)</f>
        <v/>
      </c>
      <c r="Z47" t="inlineStr">
        <is>
          <t>Director &amp; Investment Officer</t>
        </is>
      </c>
      <c r="AA47" t="inlineStr">
        <is>
          <t>Investments</t>
        </is>
      </c>
      <c r="AB47" s="50" t="inlineStr"/>
      <c r="AC47" s="43">
        <f>HYPERLINK("https://projects.propublica.org/nonprofits/organizations/521951681/202533099349102133/full","view filing")</f>
        <v/>
      </c>
      <c r="AD47" s="50" t="inlineStr"/>
    </row>
    <row r="48">
      <c r="A48" t="inlineStr">
        <is>
          <t>Annie E Casey Foundation</t>
        </is>
      </c>
      <c r="B48" s="50" t="inlineStr">
        <is>
          <t>MD</t>
        </is>
      </c>
      <c r="C48" s="52" t="n">
        <v>3.11</v>
      </c>
      <c r="D48" t="inlineStr">
        <is>
          <t>Foundation</t>
        </is>
      </c>
      <c r="E48" s="50" t="n">
        <v>2022</v>
      </c>
      <c r="F48" s="50" t="inlineStr">
        <is>
          <t>2025-11-05</t>
        </is>
      </c>
      <c r="G48" s="50" t="inlineStr">
        <is>
          <t>2022-12-31</t>
        </is>
      </c>
      <c r="H48" t="inlineStr">
        <is>
          <t>Alexander Perry</t>
        </is>
      </c>
      <c r="I48" t="inlineStr">
        <is>
          <t>INVESTMENT DIRECTOR</t>
        </is>
      </c>
      <c r="J48" t="inlineStr">
        <is>
          <t>Director of Investments</t>
        </is>
      </c>
      <c r="K48" t="inlineStr">
        <is>
          <t>Sr Investment Professional</t>
        </is>
      </c>
      <c r="L48" s="28" t="n">
        <v>0</v>
      </c>
      <c r="M48" s="28" t="n">
        <v>0</v>
      </c>
      <c r="N48" s="28" t="n">
        <v>0</v>
      </c>
      <c r="O48" s="28" t="n">
        <v>0</v>
      </c>
      <c r="P48" s="28" t="n">
        <v>0</v>
      </c>
      <c r="Q48" s="28" t="n">
        <v>446530</v>
      </c>
      <c r="R48" s="28" t="n">
        <v>0</v>
      </c>
      <c r="S48" s="28">
        <f>Q48-R48</f>
        <v/>
      </c>
      <c r="T48" s="28">
        <f>IF(S48="","",S48*(1+in_GrowthRate)^(YEARFRAC(DATE(2022,12,31),in_AgeToDate)*IF(in_AgeToDate&lt;DATE(2022,12,31),-1,1)+1))</f>
        <v/>
      </c>
      <c r="U48" s="50">
        <f>IF(AND(AND(OR(in_Mode="All Funds",AND(C48&gt;=in_BandFloor,C48&lt;=in_BandCeiling,OR(in_Geography="National",COUNTIFS(lst_GeoPreset,in_Geography,lst_GeoState,B48)&gt;0,AND(in_Geography="Custom",ISNUMBER(SEARCH(B48,SUBSTITUTE(in_CustomStates," ",""))))),OR(AND(D48="Endowment",Inputs!$B$14="Y"),AND(D48="Foundation",Inputs!$B$15="Y"),AND(D48="Healthcare",Inputs!$B$16="Y"),AND(D48="Pension",Inputs!$B$17="Y"),AND(D48="OCIO",Inputs!$B$18="Y"),AND(D48="Other",Inputs!$B$19="Y")))),A48&lt;&gt;in_ClientOrg,NOT(AND(in_ExclHarvard="Y",ISNUMBER(SEARCH("Harvard",A48))))),$AD48="Y",K48&lt;&gt;"",S48&gt;0),"Y","")</f>
        <v/>
      </c>
      <c r="V48" s="30" t="n">
        <v>0.5497255865602663</v>
      </c>
      <c r="W48" t="inlineStr"/>
      <c r="X48" s="28">
        <f>IF(L48+M48=0,"",L48+M48)</f>
        <v/>
      </c>
      <c r="Y48" s="38">
        <f>IF(L48=0,"",M48/L48)</f>
        <v/>
      </c>
      <c r="Z48" t="inlineStr">
        <is>
          <t>Director &amp; Investment Officer</t>
        </is>
      </c>
      <c r="AA48" t="inlineStr">
        <is>
          <t>Investments</t>
        </is>
      </c>
      <c r="AB48" s="50" t="inlineStr"/>
      <c r="AC48" s="43">
        <f>HYPERLINK("https://projects.propublica.org/nonprofits/organizations/521951681/202543099349102364/full","view filing")</f>
        <v/>
      </c>
      <c r="AD48" s="50" t="inlineStr"/>
    </row>
    <row r="49">
      <c r="A49" t="inlineStr">
        <is>
          <t>Annie E Casey Foundation</t>
        </is>
      </c>
      <c r="B49" s="50" t="inlineStr">
        <is>
          <t>MD</t>
        </is>
      </c>
      <c r="C49" s="52" t="n">
        <v>3.11</v>
      </c>
      <c r="D49" t="inlineStr">
        <is>
          <t>Foundation</t>
        </is>
      </c>
      <c r="E49" s="50" t="n">
        <v>2022</v>
      </c>
      <c r="F49" s="50" t="inlineStr">
        <is>
          <t>2025-11-05</t>
        </is>
      </c>
      <c r="G49" s="50" t="inlineStr">
        <is>
          <t>2022-12-31</t>
        </is>
      </c>
      <c r="H49" t="inlineStr">
        <is>
          <t>May Ng</t>
        </is>
      </c>
      <c r="I49" t="inlineStr">
        <is>
          <t>VICE PRESIDENT &amp; CHIEF INVESTMENT OFFICER</t>
        </is>
      </c>
      <c r="J49" t="inlineStr">
        <is>
          <t>CIO</t>
        </is>
      </c>
      <c r="K49" t="inlineStr">
        <is>
          <t>CIO - Top Investment Executive</t>
        </is>
      </c>
      <c r="L49" s="28" t="n">
        <v>0</v>
      </c>
      <c r="M49" s="28" t="n">
        <v>0</v>
      </c>
      <c r="N49" s="28" t="n">
        <v>0</v>
      </c>
      <c r="O49" s="28" t="n">
        <v>0</v>
      </c>
      <c r="P49" s="28" t="n">
        <v>39682</v>
      </c>
      <c r="Q49" s="28" t="n">
        <v>812278</v>
      </c>
      <c r="R49" s="28" t="n">
        <v>0</v>
      </c>
      <c r="S49" s="28">
        <f>Q49-R49</f>
        <v/>
      </c>
      <c r="T49" s="28">
        <f>IF(S49="","",S49*(1+in_GrowthRate)^(YEARFRAC(DATE(2022,12,31),in_AgeToDate)*IF(in_AgeToDate&lt;DATE(2022,12,31),-1,1)+1))</f>
        <v/>
      </c>
      <c r="U49" s="50">
        <f>IF(AND(AND(OR(in_Mode="All Funds",AND(C49&gt;=in_BandFloor,C49&lt;=in_BandCeiling,OR(in_Geography="National",COUNTIFS(lst_GeoPreset,in_Geography,lst_GeoState,B49)&gt;0,AND(in_Geography="Custom",ISNUMBER(SEARCH(B49,SUBSTITUTE(in_CustomStates," ",""))))),OR(AND(D49="Endowment",Inputs!$B$14="Y"),AND(D49="Foundation",Inputs!$B$15="Y"),AND(D49="Healthcare",Inputs!$B$16="Y"),AND(D49="Pension",Inputs!$B$17="Y"),AND(D49="OCIO",Inputs!$B$18="Y"),AND(D49="Other",Inputs!$B$19="Y")))),A49&lt;&gt;in_ClientOrg,NOT(AND(in_ExclHarvard="Y",ISNUMBER(SEARCH("Harvard",A49))))),$AD49="Y",K49&lt;&gt;"",S49&gt;0),"Y","")</f>
        <v/>
      </c>
      <c r="V49" s="30" t="n">
        <v>1</v>
      </c>
      <c r="W49" t="inlineStr"/>
      <c r="X49" s="28">
        <f>IF(L49+M49=0,"",L49+M49)</f>
        <v/>
      </c>
      <c r="Y49" s="38">
        <f>IF(L49=0,"",M49/L49)</f>
        <v/>
      </c>
      <c r="Z49" t="inlineStr">
        <is>
          <t>CIO - Top Investment Executive</t>
        </is>
      </c>
      <c r="AA49" t="inlineStr">
        <is>
          <t>Leadership</t>
        </is>
      </c>
      <c r="AB49" s="50" t="inlineStr">
        <is>
          <t>Y</t>
        </is>
      </c>
      <c r="AC49" s="43">
        <f>HYPERLINK("https://projects.propublica.org/nonprofits/organizations/521951681/202543099349102364/full","view filing")</f>
        <v/>
      </c>
      <c r="AD49" s="50" t="inlineStr"/>
    </row>
    <row r="50">
      <c r="A50" t="inlineStr">
        <is>
          <t>Annie E Casey Foundation</t>
        </is>
      </c>
      <c r="B50" s="50" t="inlineStr">
        <is>
          <t>MD</t>
        </is>
      </c>
      <c r="C50" s="52" t="n">
        <v>3.11</v>
      </c>
      <c r="D50" t="inlineStr">
        <is>
          <t>Foundation</t>
        </is>
      </c>
      <c r="E50" s="50" t="n">
        <v>2022</v>
      </c>
      <c r="F50" s="50" t="inlineStr">
        <is>
          <t>2025-11-05</t>
        </is>
      </c>
      <c r="G50" s="50" t="inlineStr">
        <is>
          <t>2022-12-31</t>
        </is>
      </c>
      <c r="H50" t="inlineStr">
        <is>
          <t>Samuel Norvell</t>
        </is>
      </c>
      <c r="I50" t="inlineStr">
        <is>
          <t>INVESTMENT DIRECTOR</t>
        </is>
      </c>
      <c r="J50" t="inlineStr">
        <is>
          <t>Director of Investments</t>
        </is>
      </c>
      <c r="K50" t="inlineStr">
        <is>
          <t>Sr Investment Professional</t>
        </is>
      </c>
      <c r="L50" s="28" t="n">
        <v>0</v>
      </c>
      <c r="M50" s="28" t="n">
        <v>0</v>
      </c>
      <c r="N50" s="28" t="n">
        <v>0</v>
      </c>
      <c r="O50" s="28" t="n">
        <v>0</v>
      </c>
      <c r="P50" s="28" t="n">
        <v>0</v>
      </c>
      <c r="Q50" s="28" t="n">
        <v>385187</v>
      </c>
      <c r="R50" s="28" t="n">
        <v>0</v>
      </c>
      <c r="S50" s="28">
        <f>Q50-R50</f>
        <v/>
      </c>
      <c r="T50" s="28">
        <f>IF(S50="","",S50*(1+in_GrowthRate)^(YEARFRAC(DATE(2022,12,31),in_AgeToDate)*IF(in_AgeToDate&lt;DATE(2022,12,31),-1,1)+1))</f>
        <v/>
      </c>
      <c r="U50" s="50">
        <f>IF(AND(AND(OR(in_Mode="All Funds",AND(C50&gt;=in_BandFloor,C50&lt;=in_BandCeiling,OR(in_Geography="National",COUNTIFS(lst_GeoPreset,in_Geography,lst_GeoState,B50)&gt;0,AND(in_Geography="Custom",ISNUMBER(SEARCH(B50,SUBSTITUTE(in_CustomStates," ",""))))),OR(AND(D50="Endowment",Inputs!$B$14="Y"),AND(D50="Foundation",Inputs!$B$15="Y"),AND(D50="Healthcare",Inputs!$B$16="Y"),AND(D50="Pension",Inputs!$B$17="Y"),AND(D50="OCIO",Inputs!$B$18="Y"),AND(D50="Other",Inputs!$B$19="Y")))),A50&lt;&gt;in_ClientOrg,NOT(AND(in_ExclHarvard="Y",ISNUMBER(SEARCH("Harvard",A50))))),$AD50="Y",K50&lt;&gt;"",S50&gt;0),"Y","")</f>
        <v/>
      </c>
      <c r="V50" s="30" t="n">
        <v>0.4742058753283974</v>
      </c>
      <c r="W50" t="inlineStr"/>
      <c r="X50" s="28">
        <f>IF(L50+M50=0,"",L50+M50)</f>
        <v/>
      </c>
      <c r="Y50" s="38">
        <f>IF(L50=0,"",M50/L50)</f>
        <v/>
      </c>
      <c r="Z50" t="inlineStr">
        <is>
          <t>Director &amp; Investment Officer</t>
        </is>
      </c>
      <c r="AA50" t="inlineStr">
        <is>
          <t>Investments</t>
        </is>
      </c>
      <c r="AB50" s="50" t="inlineStr"/>
      <c r="AC50" s="43">
        <f>HYPERLINK("https://projects.propublica.org/nonprofits/organizations/521951681/202543099349102364/full","view filing")</f>
        <v/>
      </c>
      <c r="AD50" s="50" t="inlineStr"/>
    </row>
    <row r="51">
      <c r="A51" t="inlineStr">
        <is>
          <t>Asu Enterprise Partners</t>
        </is>
      </c>
      <c r="B51" s="50" t="inlineStr">
        <is>
          <t>AZ</t>
        </is>
      </c>
      <c r="C51" s="52" t="n">
        <v>0.28</v>
      </c>
      <c r="D51" t="inlineStr">
        <is>
          <t>Endowment</t>
        </is>
      </c>
      <c r="E51" s="50" t="n">
        <v>2025</v>
      </c>
      <c r="F51" s="50" t="inlineStr">
        <is>
          <t>2026-03-20</t>
        </is>
      </c>
      <c r="G51" s="50" t="inlineStr">
        <is>
          <t>2025-06-30</t>
        </is>
      </c>
      <c r="H51" t="inlineStr">
        <is>
          <t>Jeff Mindlin</t>
        </is>
      </c>
      <c r="I51" t="inlineStr">
        <is>
          <t>CHIEF INVEST. OFFICER/MANAGING DIR. UR</t>
        </is>
      </c>
      <c r="J51" t="inlineStr">
        <is>
          <t>CIO</t>
        </is>
      </c>
      <c r="K51" t="inlineStr">
        <is>
          <t>CIO - Top Investment Executive</t>
        </is>
      </c>
      <c r="L51" s="28" t="n">
        <v>319450</v>
      </c>
      <c r="M51" s="28" t="n">
        <v>64272</v>
      </c>
      <c r="N51" s="28" t="n">
        <v>0</v>
      </c>
      <c r="O51" s="28" t="n">
        <v>23883</v>
      </c>
      <c r="P51" s="28" t="n">
        <v>37486</v>
      </c>
      <c r="Q51" s="28" t="n">
        <v>445091</v>
      </c>
      <c r="R51" s="28" t="n">
        <v>0</v>
      </c>
      <c r="S51" s="28">
        <f>Q51-R51</f>
        <v/>
      </c>
      <c r="T51" s="28">
        <f>IF(S51="","",S51*(1+in_GrowthRate)^(YEARFRAC(DATE(2025,6,30),in_AgeToDate)*IF(in_AgeToDate&lt;DATE(2025,6,30),-1,1)+1))</f>
        <v/>
      </c>
      <c r="U51" s="50">
        <f>IF(AND(AND(OR(in_Mode="All Funds",AND(C51&gt;=in_BandFloor,C51&lt;=in_BandCeiling,OR(in_Geography="National",COUNTIFS(lst_GeoPreset,in_Geography,lst_GeoState,B51)&gt;0,AND(in_Geography="Custom",ISNUMBER(SEARCH(B51,SUBSTITUTE(in_CustomStates," ",""))))),OR(AND(D51="Endowment",Inputs!$B$14="Y"),AND(D51="Foundation",Inputs!$B$15="Y"),AND(D51="Healthcare",Inputs!$B$16="Y"),AND(D51="Pension",Inputs!$B$17="Y"),AND(D51="OCIO",Inputs!$B$18="Y"),AND(D51="Other",Inputs!$B$19="Y")))),A51&lt;&gt;in_ClientOrg,NOT(AND(in_ExclHarvard="Y",ISNUMBER(SEARCH("Harvard",A51))))),$AD51="Y",K51&lt;&gt;"",S51&gt;0),"Y","")</f>
        <v/>
      </c>
      <c r="V51" s="30" t="n">
        <v>1</v>
      </c>
      <c r="W51" t="inlineStr"/>
      <c r="X51" s="28">
        <f>IF(L51+M51=0,"",L51+M51)</f>
        <v/>
      </c>
      <c r="Y51" s="38">
        <f>IF(L51=0,"",M51/L51)</f>
        <v/>
      </c>
      <c r="Z51" t="inlineStr">
        <is>
          <t>CIO - Top Investment Executive</t>
        </is>
      </c>
      <c r="AA51" t="inlineStr">
        <is>
          <t>Leadership</t>
        </is>
      </c>
      <c r="AB51" s="50" t="inlineStr">
        <is>
          <t>Y</t>
        </is>
      </c>
      <c r="AC51" s="43">
        <f>HYPERLINK("https://projects.propublica.org/nonprofits/organizations/475599177/202600799349301450/full","view filing")</f>
        <v/>
      </c>
      <c r="AD51" s="50" t="inlineStr">
        <is>
          <t>Y</t>
        </is>
      </c>
    </row>
    <row r="52">
      <c r="A52" t="inlineStr">
        <is>
          <t>Asu Enterprise Partners</t>
        </is>
      </c>
      <c r="B52" s="50" t="inlineStr">
        <is>
          <t>AZ</t>
        </is>
      </c>
      <c r="C52" s="52" t="n">
        <v>0.28</v>
      </c>
      <c r="D52" t="inlineStr">
        <is>
          <t>Endowment</t>
        </is>
      </c>
      <c r="E52" s="50" t="n">
        <v>2024</v>
      </c>
      <c r="F52" s="50" t="inlineStr">
        <is>
          <t>2025-03-14</t>
        </is>
      </c>
      <c r="G52" s="50" t="inlineStr">
        <is>
          <t>2024-06-30</t>
        </is>
      </c>
      <c r="H52" t="inlineStr">
        <is>
          <t>Jeff Mindlin</t>
        </is>
      </c>
      <c r="I52" t="inlineStr">
        <is>
          <t>CHIEF INVESTMENT OFFICER</t>
        </is>
      </c>
      <c r="J52" t="inlineStr">
        <is>
          <t>CIO</t>
        </is>
      </c>
      <c r="K52" t="inlineStr">
        <is>
          <t>CIO - Top Investment Executive</t>
        </is>
      </c>
      <c r="L52" s="28" t="n">
        <v>310031</v>
      </c>
      <c r="M52" s="28" t="n">
        <v>62400</v>
      </c>
      <c r="N52" s="28" t="n">
        <v>0</v>
      </c>
      <c r="O52" s="28" t="n">
        <v>21910</v>
      </c>
      <c r="P52" s="28" t="n">
        <v>37237</v>
      </c>
      <c r="Q52" s="28" t="n">
        <v>431578</v>
      </c>
      <c r="R52" s="28" t="n">
        <v>0</v>
      </c>
      <c r="S52" s="28">
        <f>Q52-R52</f>
        <v/>
      </c>
      <c r="T52" s="28">
        <f>IF(S52="","",S52*(1+in_GrowthRate)^(YEARFRAC(DATE(2024,6,30),in_AgeToDate)*IF(in_AgeToDate&lt;DATE(2024,6,30),-1,1)+1))</f>
        <v/>
      </c>
      <c r="U52" s="50">
        <f>IF(AND(AND(OR(in_Mode="All Funds",AND(C52&gt;=in_BandFloor,C52&lt;=in_BandCeiling,OR(in_Geography="National",COUNTIFS(lst_GeoPreset,in_Geography,lst_GeoState,B52)&gt;0,AND(in_Geography="Custom",ISNUMBER(SEARCH(B52,SUBSTITUTE(in_CustomStates," ",""))))),OR(AND(D52="Endowment",Inputs!$B$14="Y"),AND(D52="Foundation",Inputs!$B$15="Y"),AND(D52="Healthcare",Inputs!$B$16="Y"),AND(D52="Pension",Inputs!$B$17="Y"),AND(D52="OCIO",Inputs!$B$18="Y"),AND(D52="Other",Inputs!$B$19="Y")))),A52&lt;&gt;in_ClientOrg,NOT(AND(in_ExclHarvard="Y",ISNUMBER(SEARCH("Harvard",A52))))),$AD52="Y",K52&lt;&gt;"",S52&gt;0),"Y","")</f>
        <v/>
      </c>
      <c r="V52" s="30" t="n">
        <v>1</v>
      </c>
      <c r="W52" t="inlineStr"/>
      <c r="X52" s="28">
        <f>IF(L52+M52=0,"",L52+M52)</f>
        <v/>
      </c>
      <c r="Y52" s="38">
        <f>IF(L52=0,"",M52/L52)</f>
        <v/>
      </c>
      <c r="Z52" t="inlineStr">
        <is>
          <t>CIO - Top Investment Executive</t>
        </is>
      </c>
      <c r="AA52" t="inlineStr">
        <is>
          <t>Leadership</t>
        </is>
      </c>
      <c r="AB52" s="50" t="inlineStr">
        <is>
          <t>Y</t>
        </is>
      </c>
      <c r="AC52" s="43">
        <f>HYPERLINK("https://projects.propublica.org/nonprofits/organizations/475599177/202520739349301867/full","view filing")</f>
        <v/>
      </c>
      <c r="AD52" s="50" t="inlineStr"/>
    </row>
    <row r="53">
      <c r="A53" t="inlineStr">
        <is>
          <t>Asu Enterprise Partners</t>
        </is>
      </c>
      <c r="B53" s="50" t="inlineStr">
        <is>
          <t>AZ</t>
        </is>
      </c>
      <c r="C53" s="52" t="n">
        <v>0.28</v>
      </c>
      <c r="D53" t="inlineStr">
        <is>
          <t>Endowment</t>
        </is>
      </c>
      <c r="E53" s="50" t="n">
        <v>2023</v>
      </c>
      <c r="F53" s="50" t="inlineStr">
        <is>
          <t>2024-03-28</t>
        </is>
      </c>
      <c r="G53" s="50" t="inlineStr">
        <is>
          <t>2023-06-30</t>
        </is>
      </c>
      <c r="H53" t="inlineStr">
        <is>
          <t>Jeff Mindlin</t>
        </is>
      </c>
      <c r="I53" t="inlineStr">
        <is>
          <t>CHIEF INVESTMENT OFFICER</t>
        </is>
      </c>
      <c r="J53" t="inlineStr">
        <is>
          <t>CIO</t>
        </is>
      </c>
      <c r="K53" t="inlineStr">
        <is>
          <t>CIO - Top Investment Executive</t>
        </is>
      </c>
      <c r="L53" s="28" t="n">
        <v>297367</v>
      </c>
      <c r="M53" s="28" t="n">
        <v>62400</v>
      </c>
      <c r="N53" s="28" t="n">
        <v>74</v>
      </c>
      <c r="O53" s="28" t="n">
        <v>21350</v>
      </c>
      <c r="P53" s="28" t="n">
        <v>30703</v>
      </c>
      <c r="Q53" s="28" t="n">
        <v>411894</v>
      </c>
      <c r="R53" s="28" t="n">
        <v>0</v>
      </c>
      <c r="S53" s="28">
        <f>Q53-R53</f>
        <v/>
      </c>
      <c r="T53" s="28">
        <f>IF(S53="","",S53*(1+in_GrowthRate)^(YEARFRAC(DATE(2023,6,30),in_AgeToDate)*IF(in_AgeToDate&lt;DATE(2023,6,30),-1,1)+1))</f>
        <v/>
      </c>
      <c r="U53" s="50">
        <f>IF(AND(AND(OR(in_Mode="All Funds",AND(C53&gt;=in_BandFloor,C53&lt;=in_BandCeiling,OR(in_Geography="National",COUNTIFS(lst_GeoPreset,in_Geography,lst_GeoState,B53)&gt;0,AND(in_Geography="Custom",ISNUMBER(SEARCH(B53,SUBSTITUTE(in_CustomStates," ",""))))),OR(AND(D53="Endowment",Inputs!$B$14="Y"),AND(D53="Foundation",Inputs!$B$15="Y"),AND(D53="Healthcare",Inputs!$B$16="Y"),AND(D53="Pension",Inputs!$B$17="Y"),AND(D53="OCIO",Inputs!$B$18="Y"),AND(D53="Other",Inputs!$B$19="Y")))),A53&lt;&gt;in_ClientOrg,NOT(AND(in_ExclHarvard="Y",ISNUMBER(SEARCH("Harvard",A53))))),$AD53="Y",K53&lt;&gt;"",S53&gt;0),"Y","")</f>
        <v/>
      </c>
      <c r="V53" s="30" t="n">
        <v>1</v>
      </c>
      <c r="W53" t="inlineStr"/>
      <c r="X53" s="28">
        <f>IF(L53+M53=0,"",L53+M53)</f>
        <v/>
      </c>
      <c r="Y53" s="38">
        <f>IF(L53=0,"",M53/L53)</f>
        <v/>
      </c>
      <c r="Z53" t="inlineStr">
        <is>
          <t>CIO - Top Investment Executive</t>
        </is>
      </c>
      <c r="AA53" t="inlineStr">
        <is>
          <t>Leadership</t>
        </is>
      </c>
      <c r="AB53" s="50" t="inlineStr">
        <is>
          <t>Y</t>
        </is>
      </c>
      <c r="AC53" s="43">
        <f>HYPERLINK("https://projects.propublica.org/nonprofits/organizations/475599177/202410889349301906/full","view filing")</f>
        <v/>
      </c>
      <c r="AD53" s="50" t="inlineStr"/>
    </row>
    <row r="54">
      <c r="A54" t="inlineStr">
        <is>
          <t>Asu Enterprise Partners</t>
        </is>
      </c>
      <c r="B54" s="50" t="inlineStr">
        <is>
          <t>AZ</t>
        </is>
      </c>
      <c r="C54" s="52" t="n">
        <v>0.28</v>
      </c>
      <c r="D54" t="inlineStr">
        <is>
          <t>Endowment</t>
        </is>
      </c>
      <c r="E54" s="50" t="n">
        <v>2022</v>
      </c>
      <c r="F54" s="50" t="inlineStr">
        <is>
          <t>2023-04-20</t>
        </is>
      </c>
      <c r="G54" s="50" t="inlineStr">
        <is>
          <t>2022-06-30</t>
        </is>
      </c>
      <c r="H54" t="inlineStr">
        <is>
          <t>Jeff Mindlin</t>
        </is>
      </c>
      <c r="I54" t="inlineStr">
        <is>
          <t>CHIEF INVESTMENT OFFICER</t>
        </is>
      </c>
      <c r="J54" t="inlineStr">
        <is>
          <t>CIO</t>
        </is>
      </c>
      <c r="K54" t="inlineStr">
        <is>
          <t>CIO - Top Investment Executive</t>
        </is>
      </c>
      <c r="L54" s="28" t="n">
        <v>266353</v>
      </c>
      <c r="M54" s="28" t="n">
        <v>33000</v>
      </c>
      <c r="N54" s="28" t="n">
        <v>37</v>
      </c>
      <c r="O54" s="28" t="n">
        <v>20300</v>
      </c>
      <c r="P54" s="28" t="n">
        <v>25539</v>
      </c>
      <c r="Q54" s="28" t="n">
        <v>345229</v>
      </c>
      <c r="R54" s="28" t="n">
        <v>0</v>
      </c>
      <c r="S54" s="28">
        <f>Q54-R54</f>
        <v/>
      </c>
      <c r="T54" s="28">
        <f>IF(S54="","",S54*(1+in_GrowthRate)^(YEARFRAC(DATE(2022,6,30),in_AgeToDate)*IF(in_AgeToDate&lt;DATE(2022,6,30),-1,1)+1))</f>
        <v/>
      </c>
      <c r="U54" s="50">
        <f>IF(AND(AND(OR(in_Mode="All Funds",AND(C54&gt;=in_BandFloor,C54&lt;=in_BandCeiling,OR(in_Geography="National",COUNTIFS(lst_GeoPreset,in_Geography,lst_GeoState,B54)&gt;0,AND(in_Geography="Custom",ISNUMBER(SEARCH(B54,SUBSTITUTE(in_CustomStates," ",""))))),OR(AND(D54="Endowment",Inputs!$B$14="Y"),AND(D54="Foundation",Inputs!$B$15="Y"),AND(D54="Healthcare",Inputs!$B$16="Y"),AND(D54="Pension",Inputs!$B$17="Y"),AND(D54="OCIO",Inputs!$B$18="Y"),AND(D54="Other",Inputs!$B$19="Y")))),A54&lt;&gt;in_ClientOrg,NOT(AND(in_ExclHarvard="Y",ISNUMBER(SEARCH("Harvard",A54))))),$AD54="Y",K54&lt;&gt;"",S54&gt;0),"Y","")</f>
        <v/>
      </c>
      <c r="V54" s="30" t="n">
        <v>1</v>
      </c>
      <c r="W54" t="inlineStr"/>
      <c r="X54" s="28">
        <f>IF(L54+M54=0,"",L54+M54)</f>
        <v/>
      </c>
      <c r="Y54" s="38">
        <f>IF(L54=0,"",M54/L54)</f>
        <v/>
      </c>
      <c r="Z54" t="inlineStr">
        <is>
          <t>CIO - Top Investment Executive</t>
        </is>
      </c>
      <c r="AA54" t="inlineStr">
        <is>
          <t>Leadership</t>
        </is>
      </c>
      <c r="AB54" s="50" t="inlineStr">
        <is>
          <t>Y</t>
        </is>
      </c>
      <c r="AC54" s="43">
        <f>HYPERLINK("https://projects.propublica.org/nonprofits/organizations/475599177/202311109349300116/full","view filing")</f>
        <v/>
      </c>
      <c r="AD54" s="50" t="inlineStr"/>
    </row>
    <row r="55">
      <c r="A55" t="inlineStr">
        <is>
          <t>Baylor College Of Medicine</t>
        </is>
      </c>
      <c r="B55" s="50" t="inlineStr">
        <is>
          <t>TX</t>
        </is>
      </c>
      <c r="C55" s="52" t="n">
        <v>1.43</v>
      </c>
      <c r="D55" t="inlineStr">
        <is>
          <t>Endowment</t>
        </is>
      </c>
      <c r="E55" s="50" t="n">
        <v>2025</v>
      </c>
      <c r="F55" s="50" t="inlineStr">
        <is>
          <t>2026-05-11</t>
        </is>
      </c>
      <c r="G55" s="50" t="inlineStr">
        <is>
          <t>2025-06-30</t>
        </is>
      </c>
      <c r="H55" t="inlineStr">
        <is>
          <t>William D Walker</t>
        </is>
      </c>
      <c r="I55" t="inlineStr">
        <is>
          <t>VP - CHIEF INVESTMENT OFFICER</t>
        </is>
      </c>
      <c r="J55" t="inlineStr">
        <is>
          <t>CIO</t>
        </is>
      </c>
      <c r="K55" t="inlineStr">
        <is>
          <t>CIO - Top Investment Executive</t>
        </is>
      </c>
      <c r="L55" s="28" t="n">
        <v>580800</v>
      </c>
      <c r="M55" s="28" t="n">
        <v>588700</v>
      </c>
      <c r="N55" s="28" t="n">
        <v>4326</v>
      </c>
      <c r="O55" s="28" t="n">
        <v>28487</v>
      </c>
      <c r="P55" s="28" t="n">
        <v>20138</v>
      </c>
      <c r="Q55" s="28" t="n">
        <v>1222451</v>
      </c>
      <c r="R55" s="28" t="n">
        <v>0</v>
      </c>
      <c r="S55" s="28">
        <f>Q55-R55</f>
        <v/>
      </c>
      <c r="T55" s="28">
        <f>IF(S55="","",S55*(1+in_GrowthRate)^(YEARFRAC(DATE(2025,6,30),in_AgeToDate)*IF(in_AgeToDate&lt;DATE(2025,6,30),-1,1)+1))</f>
        <v/>
      </c>
      <c r="U55" s="50">
        <f>IF(AND(AND(OR(in_Mode="All Funds",AND(C55&gt;=in_BandFloor,C55&lt;=in_BandCeiling,OR(in_Geography="National",COUNTIFS(lst_GeoPreset,in_Geography,lst_GeoState,B55)&gt;0,AND(in_Geography="Custom",ISNUMBER(SEARCH(B55,SUBSTITUTE(in_CustomStates," ",""))))),OR(AND(D55="Endowment",Inputs!$B$14="Y"),AND(D55="Foundation",Inputs!$B$15="Y"),AND(D55="Healthcare",Inputs!$B$16="Y"),AND(D55="Pension",Inputs!$B$17="Y"),AND(D55="OCIO",Inputs!$B$18="Y"),AND(D55="Other",Inputs!$B$19="Y")))),A55&lt;&gt;in_ClientOrg,NOT(AND(in_ExclHarvard="Y",ISNUMBER(SEARCH("Harvard",A55))))),$AD55="Y",K55&lt;&gt;"",S55&gt;0),"Y","")</f>
        <v/>
      </c>
      <c r="V55" s="30" t="n">
        <v>1</v>
      </c>
      <c r="W55" t="inlineStr"/>
      <c r="X55" s="28">
        <f>IF(L55+M55=0,"",L55+M55)</f>
        <v/>
      </c>
      <c r="Y55" s="38">
        <f>IF(L55=0,"",M55/L55)</f>
        <v/>
      </c>
      <c r="Z55" t="inlineStr">
        <is>
          <t>CIO - Top Investment Executive</t>
        </is>
      </c>
      <c r="AA55" t="inlineStr">
        <is>
          <t>Leadership</t>
        </is>
      </c>
      <c r="AB55" s="50" t="inlineStr">
        <is>
          <t>Y</t>
        </is>
      </c>
      <c r="AC55" s="43">
        <f>HYPERLINK("https://projects.propublica.org/nonprofits/organizations/741613878/202621319349301417/full","view filing")</f>
        <v/>
      </c>
      <c r="AD55" s="50" t="inlineStr">
        <is>
          <t>Y</t>
        </is>
      </c>
    </row>
    <row r="56">
      <c r="A56" t="inlineStr">
        <is>
          <t>Baylor College Of Medicine</t>
        </is>
      </c>
      <c r="B56" s="50" t="inlineStr">
        <is>
          <t>TX</t>
        </is>
      </c>
      <c r="C56" s="52" t="n">
        <v>1.43</v>
      </c>
      <c r="D56" t="inlineStr">
        <is>
          <t>Endowment</t>
        </is>
      </c>
      <c r="E56" s="50" t="n">
        <v>2024</v>
      </c>
      <c r="F56" s="50" t="inlineStr">
        <is>
          <t>2025-05-13</t>
        </is>
      </c>
      <c r="G56" s="50" t="inlineStr">
        <is>
          <t>2024-06-30</t>
        </is>
      </c>
      <c r="H56" t="inlineStr">
        <is>
          <t>William D Walker</t>
        </is>
      </c>
      <c r="I56" t="inlineStr">
        <is>
          <t>VP - CHIEF INVESTMENT OFFICER</t>
        </is>
      </c>
      <c r="J56" t="inlineStr">
        <is>
          <t>CIO</t>
        </is>
      </c>
      <c r="K56" t="inlineStr">
        <is>
          <t>CIO - Top Investment Executive</t>
        </is>
      </c>
      <c r="L56" s="28" t="n">
        <v>578769</v>
      </c>
      <c r="M56" s="28" t="n">
        <v>527800</v>
      </c>
      <c r="N56" s="28" t="n">
        <v>5238</v>
      </c>
      <c r="O56" s="28" t="n">
        <v>27258</v>
      </c>
      <c r="P56" s="28" t="n">
        <v>20888</v>
      </c>
      <c r="Q56" s="28" t="n">
        <v>1159953</v>
      </c>
      <c r="R56" s="28" t="n">
        <v>0</v>
      </c>
      <c r="S56" s="28">
        <f>Q56-R56</f>
        <v/>
      </c>
      <c r="T56" s="28">
        <f>IF(S56="","",S56*(1+in_GrowthRate)^(YEARFRAC(DATE(2024,6,30),in_AgeToDate)*IF(in_AgeToDate&lt;DATE(2024,6,30),-1,1)+1))</f>
        <v/>
      </c>
      <c r="U56" s="50">
        <f>IF(AND(AND(OR(in_Mode="All Funds",AND(C56&gt;=in_BandFloor,C56&lt;=in_BandCeiling,OR(in_Geography="National",COUNTIFS(lst_GeoPreset,in_Geography,lst_GeoState,B56)&gt;0,AND(in_Geography="Custom",ISNUMBER(SEARCH(B56,SUBSTITUTE(in_CustomStates," ",""))))),OR(AND(D56="Endowment",Inputs!$B$14="Y"),AND(D56="Foundation",Inputs!$B$15="Y"),AND(D56="Healthcare",Inputs!$B$16="Y"),AND(D56="Pension",Inputs!$B$17="Y"),AND(D56="OCIO",Inputs!$B$18="Y"),AND(D56="Other",Inputs!$B$19="Y")))),A56&lt;&gt;in_ClientOrg,NOT(AND(in_ExclHarvard="Y",ISNUMBER(SEARCH("Harvard",A56))))),$AD56="Y",K56&lt;&gt;"",S56&gt;0),"Y","")</f>
        <v/>
      </c>
      <c r="V56" s="30" t="n">
        <v>1</v>
      </c>
      <c r="W56" t="inlineStr"/>
      <c r="X56" s="28">
        <f>IF(L56+M56=0,"",L56+M56)</f>
        <v/>
      </c>
      <c r="Y56" s="38">
        <f>IF(L56=0,"",M56/L56)</f>
        <v/>
      </c>
      <c r="Z56" t="inlineStr">
        <is>
          <t>CIO - Top Investment Executive</t>
        </is>
      </c>
      <c r="AA56" t="inlineStr">
        <is>
          <t>Leadership</t>
        </is>
      </c>
      <c r="AB56" s="50" t="inlineStr">
        <is>
          <t>Y</t>
        </is>
      </c>
      <c r="AC56" s="43">
        <f>HYPERLINK("https://projects.propublica.org/nonprofits/organizations/741613878/202541339349305639/full","view filing")</f>
        <v/>
      </c>
      <c r="AD56" s="50" t="inlineStr"/>
    </row>
    <row r="57">
      <c r="A57" t="inlineStr">
        <is>
          <t>Baylor College Of Medicine</t>
        </is>
      </c>
      <c r="B57" s="50" t="inlineStr">
        <is>
          <t>TX</t>
        </is>
      </c>
      <c r="C57" s="52" t="n">
        <v>1.43</v>
      </c>
      <c r="D57" t="inlineStr">
        <is>
          <t>Endowment</t>
        </is>
      </c>
      <c r="E57" s="50" t="n">
        <v>2023</v>
      </c>
      <c r="F57" s="50" t="inlineStr">
        <is>
          <t>2024-05-13</t>
        </is>
      </c>
      <c r="G57" s="50" t="inlineStr">
        <is>
          <t>2023-06-30</t>
        </is>
      </c>
      <c r="H57" t="inlineStr">
        <is>
          <t>William D Walker</t>
        </is>
      </c>
      <c r="I57" t="inlineStr">
        <is>
          <t>VP - CHIEF INVESTMENT OFFICER</t>
        </is>
      </c>
      <c r="J57" t="inlineStr">
        <is>
          <t>CIO</t>
        </is>
      </c>
      <c r="K57" t="inlineStr">
        <is>
          <t>CIO - Top Investment Executive</t>
        </is>
      </c>
      <c r="L57" s="28" t="n">
        <v>526154</v>
      </c>
      <c r="M57" s="28" t="n">
        <v>572880</v>
      </c>
      <c r="N57" s="28" t="n">
        <v>4191</v>
      </c>
      <c r="O57" s="28" t="n">
        <v>25224</v>
      </c>
      <c r="P57" s="28" t="n">
        <v>20809</v>
      </c>
      <c r="Q57" s="28" t="n">
        <v>1149258</v>
      </c>
      <c r="R57" s="28" t="n">
        <v>0</v>
      </c>
      <c r="S57" s="28">
        <f>Q57-R57</f>
        <v/>
      </c>
      <c r="T57" s="28">
        <f>IF(S57="","",S57*(1+in_GrowthRate)^(YEARFRAC(DATE(2023,6,30),in_AgeToDate)*IF(in_AgeToDate&lt;DATE(2023,6,30),-1,1)+1))</f>
        <v/>
      </c>
      <c r="U57" s="50">
        <f>IF(AND(AND(OR(in_Mode="All Funds",AND(C57&gt;=in_BandFloor,C57&lt;=in_BandCeiling,OR(in_Geography="National",COUNTIFS(lst_GeoPreset,in_Geography,lst_GeoState,B57)&gt;0,AND(in_Geography="Custom",ISNUMBER(SEARCH(B57,SUBSTITUTE(in_CustomStates," ",""))))),OR(AND(D57="Endowment",Inputs!$B$14="Y"),AND(D57="Foundation",Inputs!$B$15="Y"),AND(D57="Healthcare",Inputs!$B$16="Y"),AND(D57="Pension",Inputs!$B$17="Y"),AND(D57="OCIO",Inputs!$B$18="Y"),AND(D57="Other",Inputs!$B$19="Y")))),A57&lt;&gt;in_ClientOrg,NOT(AND(in_ExclHarvard="Y",ISNUMBER(SEARCH("Harvard",A57))))),$AD57="Y",K57&lt;&gt;"",S57&gt;0),"Y","")</f>
        <v/>
      </c>
      <c r="V57" s="30" t="n">
        <v>1</v>
      </c>
      <c r="W57" t="inlineStr"/>
      <c r="X57" s="28">
        <f>IF(L57+M57=0,"",L57+M57)</f>
        <v/>
      </c>
      <c r="Y57" s="38">
        <f>IF(L57=0,"",M57/L57)</f>
        <v/>
      </c>
      <c r="Z57" t="inlineStr">
        <is>
          <t>CIO - Top Investment Executive</t>
        </is>
      </c>
      <c r="AA57" t="inlineStr">
        <is>
          <t>Leadership</t>
        </is>
      </c>
      <c r="AB57" s="50" t="inlineStr">
        <is>
          <t>Y</t>
        </is>
      </c>
      <c r="AC57" s="43">
        <f>HYPERLINK("https://projects.propublica.org/nonprofits/organizations/741613878/202421349349308542/full","view filing")</f>
        <v/>
      </c>
      <c r="AD57" s="50" t="inlineStr"/>
    </row>
    <row r="58">
      <c r="A58" t="inlineStr">
        <is>
          <t>Baylor College Of Medicine</t>
        </is>
      </c>
      <c r="B58" s="50" t="inlineStr">
        <is>
          <t>TX</t>
        </is>
      </c>
      <c r="C58" s="52" t="n">
        <v>1.43</v>
      </c>
      <c r="D58" t="inlineStr">
        <is>
          <t>Endowment</t>
        </is>
      </c>
      <c r="E58" s="50" t="n">
        <v>2022</v>
      </c>
      <c r="F58" s="50" t="inlineStr">
        <is>
          <t>2023-05-12</t>
        </is>
      </c>
      <c r="G58" s="50" t="inlineStr">
        <is>
          <t>2022-06-30</t>
        </is>
      </c>
      <c r="H58" t="inlineStr">
        <is>
          <t>William D Walker</t>
        </is>
      </c>
      <c r="I58" t="inlineStr">
        <is>
          <t>VP - CHIEF INVESTMENT OFFICER</t>
        </is>
      </c>
      <c r="J58" t="inlineStr">
        <is>
          <t>CIO</t>
        </is>
      </c>
      <c r="K58" t="inlineStr">
        <is>
          <t>CIO - Top Investment Executive</t>
        </is>
      </c>
      <c r="L58" s="28" t="n">
        <v>480000</v>
      </c>
      <c r="M58" s="28" t="n">
        <v>319200</v>
      </c>
      <c r="N58" s="28" t="n">
        <v>4191</v>
      </c>
      <c r="O58" s="28" t="n">
        <v>16310</v>
      </c>
      <c r="P58" s="28" t="n">
        <v>20743</v>
      </c>
      <c r="Q58" s="28" t="n">
        <v>840444</v>
      </c>
      <c r="R58" s="28" t="n">
        <v>0</v>
      </c>
      <c r="S58" s="28">
        <f>Q58-R58</f>
        <v/>
      </c>
      <c r="T58" s="28">
        <f>IF(S58="","",S58*(1+in_GrowthRate)^(YEARFRAC(DATE(2022,6,30),in_AgeToDate)*IF(in_AgeToDate&lt;DATE(2022,6,30),-1,1)+1))</f>
        <v/>
      </c>
      <c r="U58" s="50">
        <f>IF(AND(AND(OR(in_Mode="All Funds",AND(C58&gt;=in_BandFloor,C58&lt;=in_BandCeiling,OR(in_Geography="National",COUNTIFS(lst_GeoPreset,in_Geography,lst_GeoState,B58)&gt;0,AND(in_Geography="Custom",ISNUMBER(SEARCH(B58,SUBSTITUTE(in_CustomStates," ",""))))),OR(AND(D58="Endowment",Inputs!$B$14="Y"),AND(D58="Foundation",Inputs!$B$15="Y"),AND(D58="Healthcare",Inputs!$B$16="Y"),AND(D58="Pension",Inputs!$B$17="Y"),AND(D58="OCIO",Inputs!$B$18="Y"),AND(D58="Other",Inputs!$B$19="Y")))),A58&lt;&gt;in_ClientOrg,NOT(AND(in_ExclHarvard="Y",ISNUMBER(SEARCH("Harvard",A58))))),$AD58="Y",K58&lt;&gt;"",S58&gt;0),"Y","")</f>
        <v/>
      </c>
      <c r="V58" s="30" t="n">
        <v>1</v>
      </c>
      <c r="W58" t="inlineStr"/>
      <c r="X58" s="28">
        <f>IF(L58+M58=0,"",L58+M58)</f>
        <v/>
      </c>
      <c r="Y58" s="38">
        <f>IF(L58=0,"",M58/L58)</f>
        <v/>
      </c>
      <c r="Z58" t="inlineStr">
        <is>
          <t>CIO - Top Investment Executive</t>
        </is>
      </c>
      <c r="AA58" t="inlineStr">
        <is>
          <t>Leadership</t>
        </is>
      </c>
      <c r="AB58" s="50" t="inlineStr">
        <is>
          <t>Y</t>
        </is>
      </c>
      <c r="AC58" s="43">
        <f>HYPERLINK("https://projects.propublica.org/nonprofits/organizations/741613878/202301329349308855/full","view filing")</f>
        <v/>
      </c>
      <c r="AD58" s="50" t="inlineStr"/>
    </row>
    <row r="59">
      <c r="A59" t="inlineStr">
        <is>
          <t>Baylor University</t>
        </is>
      </c>
      <c r="B59" s="50" t="inlineStr">
        <is>
          <t>TX</t>
        </is>
      </c>
      <c r="C59" s="52" t="n">
        <v>2.18</v>
      </c>
      <c r="D59" t="inlineStr">
        <is>
          <t>Endowment</t>
        </is>
      </c>
      <c r="E59" s="50" t="n">
        <v>2025</v>
      </c>
      <c r="F59" s="50" t="inlineStr">
        <is>
          <t>2026-04-10</t>
        </is>
      </c>
      <c r="G59" s="50" t="inlineStr">
        <is>
          <t>2025-05-31</t>
        </is>
      </c>
      <c r="H59" t="inlineStr">
        <is>
          <t>David Morehead</t>
        </is>
      </c>
      <c r="I59" t="inlineStr">
        <is>
          <t>CHIEF INVESTMENT OFFICER</t>
        </is>
      </c>
      <c r="J59" t="inlineStr">
        <is>
          <t>CIO</t>
        </is>
      </c>
      <c r="K59" t="inlineStr">
        <is>
          <t>CIO - Top Investment Executive</t>
        </is>
      </c>
      <c r="L59" s="28" t="n">
        <v>514162</v>
      </c>
      <c r="M59" s="28" t="n">
        <v>735797</v>
      </c>
      <c r="N59" s="28" t="n">
        <v>0</v>
      </c>
      <c r="O59" s="28" t="n">
        <v>37260</v>
      </c>
      <c r="P59" s="28" t="n">
        <v>26437</v>
      </c>
      <c r="Q59" s="28" t="n">
        <v>1313656</v>
      </c>
      <c r="R59" s="28" t="n">
        <v>0</v>
      </c>
      <c r="S59" s="28">
        <f>Q59-R59</f>
        <v/>
      </c>
      <c r="T59" s="28">
        <f>IF(S59="","",S59*(1+in_GrowthRate)^(YEARFRAC(DATE(2025,5,31),in_AgeToDate)*IF(in_AgeToDate&lt;DATE(2025,5,31),-1,1)+1))</f>
        <v/>
      </c>
      <c r="U59" s="50">
        <f>IF(AND(AND(OR(in_Mode="All Funds",AND(C59&gt;=in_BandFloor,C59&lt;=in_BandCeiling,OR(in_Geography="National",COUNTIFS(lst_GeoPreset,in_Geography,lst_GeoState,B59)&gt;0,AND(in_Geography="Custom",ISNUMBER(SEARCH(B59,SUBSTITUTE(in_CustomStates," ",""))))),OR(AND(D59="Endowment",Inputs!$B$14="Y"),AND(D59="Foundation",Inputs!$B$15="Y"),AND(D59="Healthcare",Inputs!$B$16="Y"),AND(D59="Pension",Inputs!$B$17="Y"),AND(D59="OCIO",Inputs!$B$18="Y"),AND(D59="Other",Inputs!$B$19="Y")))),A59&lt;&gt;in_ClientOrg,NOT(AND(in_ExclHarvard="Y",ISNUMBER(SEARCH("Harvard",A59))))),$AD59="Y",K59&lt;&gt;"",S59&gt;0),"Y","")</f>
        <v/>
      </c>
      <c r="V59" s="30" t="n">
        <v>1</v>
      </c>
      <c r="W59" t="inlineStr"/>
      <c r="X59" s="28">
        <f>IF(L59+M59=0,"",L59+M59)</f>
        <v/>
      </c>
      <c r="Y59" s="38">
        <f>IF(L59=0,"",M59/L59)</f>
        <v/>
      </c>
      <c r="Z59" t="inlineStr">
        <is>
          <t>CIO - Top Investment Executive</t>
        </is>
      </c>
      <c r="AA59" t="inlineStr">
        <is>
          <t>Leadership</t>
        </is>
      </c>
      <c r="AB59" s="50" t="inlineStr">
        <is>
          <t>Y</t>
        </is>
      </c>
      <c r="AC59" s="43">
        <f>HYPERLINK("https://projects.propublica.org/nonprofits/organizations/741159753/202641009349300714/full","view filing")</f>
        <v/>
      </c>
      <c r="AD59" s="50" t="inlineStr">
        <is>
          <t>Y</t>
        </is>
      </c>
    </row>
    <row r="60">
      <c r="A60" t="inlineStr">
        <is>
          <t>Baylor University</t>
        </is>
      </c>
      <c r="B60" s="50" t="inlineStr">
        <is>
          <t>TX</t>
        </is>
      </c>
      <c r="C60" s="52" t="n">
        <v>2.18</v>
      </c>
      <c r="D60" t="inlineStr">
        <is>
          <t>Endowment</t>
        </is>
      </c>
      <c r="E60" s="50" t="n">
        <v>2025</v>
      </c>
      <c r="F60" s="50" t="inlineStr">
        <is>
          <t>2026-04-10</t>
        </is>
      </c>
      <c r="G60" s="50" t="inlineStr">
        <is>
          <t>2025-05-31</t>
        </is>
      </c>
      <c r="H60" t="inlineStr">
        <is>
          <t>Renee Hanna</t>
        </is>
      </c>
      <c r="I60" t="inlineStr">
        <is>
          <t>MANAGING DIR OF INVESTMENTS</t>
        </is>
      </c>
      <c r="J60" t="inlineStr">
        <is>
          <t>Managing Director</t>
        </is>
      </c>
      <c r="K60" t="inlineStr">
        <is>
          <t>Sr Investment Professional</t>
        </is>
      </c>
      <c r="L60" s="28" t="n">
        <v>396740</v>
      </c>
      <c r="M60" s="28" t="n">
        <v>467328</v>
      </c>
      <c r="N60" s="28" t="n">
        <v>0</v>
      </c>
      <c r="O60" s="28" t="n">
        <v>37260</v>
      </c>
      <c r="P60" s="28" t="n">
        <v>16827</v>
      </c>
      <c r="Q60" s="28" t="n">
        <v>918155</v>
      </c>
      <c r="R60" s="28" t="n">
        <v>0</v>
      </c>
      <c r="S60" s="28">
        <f>Q60-R60</f>
        <v/>
      </c>
      <c r="T60" s="28">
        <f>IF(S60="","",S60*(1+in_GrowthRate)^(YEARFRAC(DATE(2025,5,31),in_AgeToDate)*IF(in_AgeToDate&lt;DATE(2025,5,31),-1,1)+1))</f>
        <v/>
      </c>
      <c r="U60" s="50">
        <f>IF(AND(AND(OR(in_Mode="All Funds",AND(C60&gt;=in_BandFloor,C60&lt;=in_BandCeiling,OR(in_Geography="National",COUNTIFS(lst_GeoPreset,in_Geography,lst_GeoState,B60)&gt;0,AND(in_Geography="Custom",ISNUMBER(SEARCH(B60,SUBSTITUTE(in_CustomStates," ",""))))),OR(AND(D60="Endowment",Inputs!$B$14="Y"),AND(D60="Foundation",Inputs!$B$15="Y"),AND(D60="Healthcare",Inputs!$B$16="Y"),AND(D60="Pension",Inputs!$B$17="Y"),AND(D60="OCIO",Inputs!$B$18="Y"),AND(D60="Other",Inputs!$B$19="Y")))),A60&lt;&gt;in_ClientOrg,NOT(AND(in_ExclHarvard="Y",ISNUMBER(SEARCH("Harvard",A60))))),$AD60="Y",K60&lt;&gt;"",S60&gt;0),"Y","")</f>
        <v/>
      </c>
      <c r="V60" s="30" t="n">
        <v>0.6989310748019268</v>
      </c>
      <c r="W60" t="inlineStr"/>
      <c r="X60" s="28">
        <f>IF(L60+M60=0,"",L60+M60)</f>
        <v/>
      </c>
      <c r="Y60" s="38">
        <f>IF(L60=0,"",M60/L60)</f>
        <v/>
      </c>
      <c r="Z60" t="inlineStr">
        <is>
          <t>Managing Director</t>
        </is>
      </c>
      <c r="AA60" t="inlineStr">
        <is>
          <t>Investments</t>
        </is>
      </c>
      <c r="AB60" s="50" t="inlineStr"/>
      <c r="AC60" s="43">
        <f>HYPERLINK("https://projects.propublica.org/nonprofits/organizations/741159753/202641009349300714/full","view filing")</f>
        <v/>
      </c>
      <c r="AD60" s="50" t="inlineStr">
        <is>
          <t>Y</t>
        </is>
      </c>
    </row>
    <row r="61">
      <c r="A61" t="inlineStr">
        <is>
          <t>Baylor University</t>
        </is>
      </c>
      <c r="B61" s="50" t="inlineStr">
        <is>
          <t>TX</t>
        </is>
      </c>
      <c r="C61" s="52" t="n">
        <v>2.18</v>
      </c>
      <c r="D61" t="inlineStr">
        <is>
          <t>Endowment</t>
        </is>
      </c>
      <c r="E61" s="50" t="n">
        <v>2024</v>
      </c>
      <c r="F61" s="50" t="inlineStr">
        <is>
          <t>2025-04-08</t>
        </is>
      </c>
      <c r="G61" s="50" t="inlineStr">
        <is>
          <t>2024-05-31</t>
        </is>
      </c>
      <c r="H61" t="inlineStr">
        <is>
          <t>David Morehead</t>
        </is>
      </c>
      <c r="I61" t="inlineStr">
        <is>
          <t>CHIEF INVESTMENT OFFICER</t>
        </is>
      </c>
      <c r="J61" t="inlineStr">
        <is>
          <t>CIO</t>
        </is>
      </c>
      <c r="K61" t="inlineStr">
        <is>
          <t>CIO - Top Investment Executive</t>
        </is>
      </c>
      <c r="L61" s="28" t="n">
        <v>1299242</v>
      </c>
      <c r="M61" s="28" t="n">
        <v>0</v>
      </c>
      <c r="N61" s="28" t="n">
        <v>0</v>
      </c>
      <c r="O61" s="28" t="n">
        <v>35640</v>
      </c>
      <c r="P61" s="28" t="n">
        <v>25287</v>
      </c>
      <c r="Q61" s="28" t="n">
        <v>1360169</v>
      </c>
      <c r="R61" s="28" t="n">
        <v>0</v>
      </c>
      <c r="S61" s="28">
        <f>Q61-R61</f>
        <v/>
      </c>
      <c r="T61" s="28">
        <f>IF(S61="","",S61*(1+in_GrowthRate)^(YEARFRAC(DATE(2024,5,31),in_AgeToDate)*IF(in_AgeToDate&lt;DATE(2024,5,31),-1,1)+1))</f>
        <v/>
      </c>
      <c r="U61" s="50">
        <f>IF(AND(AND(OR(in_Mode="All Funds",AND(C61&gt;=in_BandFloor,C61&lt;=in_BandCeiling,OR(in_Geography="National",COUNTIFS(lst_GeoPreset,in_Geography,lst_GeoState,B61)&gt;0,AND(in_Geography="Custom",ISNUMBER(SEARCH(B61,SUBSTITUTE(in_CustomStates," ",""))))),OR(AND(D61="Endowment",Inputs!$B$14="Y"),AND(D61="Foundation",Inputs!$B$15="Y"),AND(D61="Healthcare",Inputs!$B$16="Y"),AND(D61="Pension",Inputs!$B$17="Y"),AND(D61="OCIO",Inputs!$B$18="Y"),AND(D61="Other",Inputs!$B$19="Y")))),A61&lt;&gt;in_ClientOrg,NOT(AND(in_ExclHarvard="Y",ISNUMBER(SEARCH("Harvard",A61))))),$AD61="Y",K61&lt;&gt;"",S61&gt;0),"Y","")</f>
        <v/>
      </c>
      <c r="V61" s="30" t="n">
        <v>1</v>
      </c>
      <c r="W61" t="inlineStr"/>
      <c r="X61" s="28">
        <f>IF(L61+M61=0,"",L61+M61)</f>
        <v/>
      </c>
      <c r="Y61" s="38">
        <f>IF(L61=0,"",M61/L61)</f>
        <v/>
      </c>
      <c r="Z61" t="inlineStr">
        <is>
          <t>CIO - Top Investment Executive</t>
        </is>
      </c>
      <c r="AA61" t="inlineStr">
        <is>
          <t>Leadership</t>
        </is>
      </c>
      <c r="AB61" s="50" t="inlineStr">
        <is>
          <t>Y</t>
        </is>
      </c>
      <c r="AC61" s="43">
        <f>HYPERLINK("https://projects.propublica.org/nonprofits/organizations/741159753/202540989349300624/full","view filing")</f>
        <v/>
      </c>
      <c r="AD61" s="50" t="inlineStr"/>
    </row>
    <row r="62">
      <c r="A62" t="inlineStr">
        <is>
          <t>Baylor University</t>
        </is>
      </c>
      <c r="B62" s="50" t="inlineStr">
        <is>
          <t>TX</t>
        </is>
      </c>
      <c r="C62" s="52" t="n">
        <v>2.18</v>
      </c>
      <c r="D62" t="inlineStr">
        <is>
          <t>Endowment</t>
        </is>
      </c>
      <c r="E62" s="50" t="n">
        <v>2023</v>
      </c>
      <c r="F62" s="50" t="inlineStr">
        <is>
          <t>2024-04-09</t>
        </is>
      </c>
      <c r="G62" s="50" t="inlineStr">
        <is>
          <t>2023-05-31</t>
        </is>
      </c>
      <c r="H62" t="inlineStr">
        <is>
          <t>David Morehead</t>
        </is>
      </c>
      <c r="I62" t="inlineStr">
        <is>
          <t>Chief Investment Officer</t>
        </is>
      </c>
      <c r="J62" t="inlineStr">
        <is>
          <t>CIO</t>
        </is>
      </c>
      <c r="K62" t="inlineStr">
        <is>
          <t>CIO - Top Investment Executive</t>
        </is>
      </c>
      <c r="L62" s="28" t="n">
        <v>410059</v>
      </c>
      <c r="M62" s="28" t="n">
        <v>789050</v>
      </c>
      <c r="N62" s="28" t="n">
        <v>0</v>
      </c>
      <c r="O62" s="28" t="n">
        <v>32940</v>
      </c>
      <c r="P62" s="28" t="n">
        <v>25594</v>
      </c>
      <c r="Q62" s="28" t="n">
        <v>1257643</v>
      </c>
      <c r="R62" s="28" t="n">
        <v>0</v>
      </c>
      <c r="S62" s="28">
        <f>Q62-R62</f>
        <v/>
      </c>
      <c r="T62" s="28">
        <f>IF(S62="","",S62*(1+in_GrowthRate)^(YEARFRAC(DATE(2023,5,31),in_AgeToDate)*IF(in_AgeToDate&lt;DATE(2023,5,31),-1,1)+1))</f>
        <v/>
      </c>
      <c r="U62" s="50">
        <f>IF(AND(AND(OR(in_Mode="All Funds",AND(C62&gt;=in_BandFloor,C62&lt;=in_BandCeiling,OR(in_Geography="National",COUNTIFS(lst_GeoPreset,in_Geography,lst_GeoState,B62)&gt;0,AND(in_Geography="Custom",ISNUMBER(SEARCH(B62,SUBSTITUTE(in_CustomStates," ",""))))),OR(AND(D62="Endowment",Inputs!$B$14="Y"),AND(D62="Foundation",Inputs!$B$15="Y"),AND(D62="Healthcare",Inputs!$B$16="Y"),AND(D62="Pension",Inputs!$B$17="Y"),AND(D62="OCIO",Inputs!$B$18="Y"),AND(D62="Other",Inputs!$B$19="Y")))),A62&lt;&gt;in_ClientOrg,NOT(AND(in_ExclHarvard="Y",ISNUMBER(SEARCH("Harvard",A62))))),$AD62="Y",K62&lt;&gt;"",S62&gt;0),"Y","")</f>
        <v/>
      </c>
      <c r="V62" s="30" t="n">
        <v>1</v>
      </c>
      <c r="W62" t="inlineStr"/>
      <c r="X62" s="28">
        <f>IF(L62+M62=0,"",L62+M62)</f>
        <v/>
      </c>
      <c r="Y62" s="38">
        <f>IF(L62=0,"",M62/L62)</f>
        <v/>
      </c>
      <c r="Z62" t="inlineStr">
        <is>
          <t>CIO - Top Investment Executive</t>
        </is>
      </c>
      <c r="AA62" t="inlineStr">
        <is>
          <t>Leadership</t>
        </is>
      </c>
      <c r="AB62" s="50" t="inlineStr">
        <is>
          <t>Y</t>
        </is>
      </c>
      <c r="AC62" s="43">
        <f>HYPERLINK("https://projects.propublica.org/nonprofits/organizations/741159753/202411009349301426/full","view filing")</f>
        <v/>
      </c>
      <c r="AD62" s="50" t="inlineStr"/>
    </row>
    <row r="63">
      <c r="A63" t="inlineStr">
        <is>
          <t>Baylor University</t>
        </is>
      </c>
      <c r="B63" s="50" t="inlineStr">
        <is>
          <t>TX</t>
        </is>
      </c>
      <c r="C63" s="52" t="n">
        <v>2.18</v>
      </c>
      <c r="D63" t="inlineStr">
        <is>
          <t>Endowment</t>
        </is>
      </c>
      <c r="E63" s="50" t="n">
        <v>2022</v>
      </c>
      <c r="F63" s="50" t="inlineStr">
        <is>
          <t>2023-04-07</t>
        </is>
      </c>
      <c r="G63" s="50" t="inlineStr">
        <is>
          <t>2022-05-31</t>
        </is>
      </c>
      <c r="H63" t="inlineStr">
        <is>
          <t>David Morehead</t>
        </is>
      </c>
      <c r="I63" t="inlineStr">
        <is>
          <t>Chief Investment Officer</t>
        </is>
      </c>
      <c r="J63" t="inlineStr">
        <is>
          <t>CIO</t>
        </is>
      </c>
      <c r="K63" t="inlineStr">
        <is>
          <t>CIO - Top Investment Executive</t>
        </is>
      </c>
      <c r="L63" s="28" t="n">
        <v>400658</v>
      </c>
      <c r="M63" s="28" t="n">
        <v>777500</v>
      </c>
      <c r="N63" s="28" t="n">
        <v>0</v>
      </c>
      <c r="O63" s="28" t="n">
        <v>26490</v>
      </c>
      <c r="P63" s="28" t="n">
        <v>23418</v>
      </c>
      <c r="Q63" s="28" t="n">
        <v>1228066</v>
      </c>
      <c r="R63" s="28" t="n">
        <v>0</v>
      </c>
      <c r="S63" s="28">
        <f>Q63-R63</f>
        <v/>
      </c>
      <c r="T63" s="28">
        <f>IF(S63="","",S63*(1+in_GrowthRate)^(YEARFRAC(DATE(2022,5,31),in_AgeToDate)*IF(in_AgeToDate&lt;DATE(2022,5,31),-1,1)+1))</f>
        <v/>
      </c>
      <c r="U63" s="50">
        <f>IF(AND(AND(OR(in_Mode="All Funds",AND(C63&gt;=in_BandFloor,C63&lt;=in_BandCeiling,OR(in_Geography="National",COUNTIFS(lst_GeoPreset,in_Geography,lst_GeoState,B63)&gt;0,AND(in_Geography="Custom",ISNUMBER(SEARCH(B63,SUBSTITUTE(in_CustomStates," ",""))))),OR(AND(D63="Endowment",Inputs!$B$14="Y"),AND(D63="Foundation",Inputs!$B$15="Y"),AND(D63="Healthcare",Inputs!$B$16="Y"),AND(D63="Pension",Inputs!$B$17="Y"),AND(D63="OCIO",Inputs!$B$18="Y"),AND(D63="Other",Inputs!$B$19="Y")))),A63&lt;&gt;in_ClientOrg,NOT(AND(in_ExclHarvard="Y",ISNUMBER(SEARCH("Harvard",A63))))),$AD63="Y",K63&lt;&gt;"",S63&gt;0),"Y","")</f>
        <v/>
      </c>
      <c r="V63" s="30" t="n">
        <v>1</v>
      </c>
      <c r="W63" t="inlineStr"/>
      <c r="X63" s="28">
        <f>IF(L63+M63=0,"",L63+M63)</f>
        <v/>
      </c>
      <c r="Y63" s="38">
        <f>IF(L63=0,"",M63/L63)</f>
        <v/>
      </c>
      <c r="Z63" t="inlineStr">
        <is>
          <t>CIO - Top Investment Executive</t>
        </is>
      </c>
      <c r="AA63" t="inlineStr">
        <is>
          <t>Leadership</t>
        </is>
      </c>
      <c r="AB63" s="50" t="inlineStr">
        <is>
          <t>Y</t>
        </is>
      </c>
      <c r="AC63" s="43">
        <f>HYPERLINK("https://projects.propublica.org/nonprofits/organizations/741159753/202320979349301117/full","view filing")</f>
        <v/>
      </c>
      <c r="AD63" s="50" t="inlineStr"/>
    </row>
    <row r="64">
      <c r="A64" t="inlineStr">
        <is>
          <t>Beth Israel Deaconess Medical Center Inc</t>
        </is>
      </c>
      <c r="B64" s="50" t="inlineStr">
        <is>
          <t>MA</t>
        </is>
      </c>
      <c r="C64" s="52" t="n">
        <v>1.21</v>
      </c>
      <c r="D64" t="inlineStr">
        <is>
          <t>Healthcare</t>
        </is>
      </c>
      <c r="E64" s="50" t="n">
        <v>2022</v>
      </c>
      <c r="F64" s="50" t="inlineStr">
        <is>
          <t>2023-08-15</t>
        </is>
      </c>
      <c r="G64" s="50" t="inlineStr">
        <is>
          <t>2022-09-30</t>
        </is>
      </c>
      <c r="H64" t="inlineStr">
        <is>
          <t>Antonas Julie</t>
        </is>
      </c>
      <c r="I64" t="inlineStr">
        <is>
          <t>MANAGING DIRECTOR, INV OFFICE</t>
        </is>
      </c>
      <c r="J64" t="inlineStr">
        <is>
          <t>Managing Director</t>
        </is>
      </c>
      <c r="K64" t="inlineStr">
        <is>
          <t>Sr Investment Professional</t>
        </is>
      </c>
      <c r="L64" s="28" t="n">
        <v>404395</v>
      </c>
      <c r="M64" s="28" t="n">
        <v>100800</v>
      </c>
      <c r="N64" s="28" t="n">
        <v>24361</v>
      </c>
      <c r="O64" s="28" t="n">
        <v>12660</v>
      </c>
      <c r="P64" s="28" t="n">
        <v>32436</v>
      </c>
      <c r="Q64" s="28" t="n">
        <v>574652</v>
      </c>
      <c r="R64" s="28" t="n">
        <v>0</v>
      </c>
      <c r="S64" s="28">
        <f>Q64-R64</f>
        <v/>
      </c>
      <c r="T64" s="28">
        <f>IF(S64="","",S64*(1+in_GrowthRate)^(YEARFRAC(DATE(2022,9,30),in_AgeToDate)*IF(in_AgeToDate&lt;DATE(2022,9,30),-1,1)+1))</f>
        <v/>
      </c>
      <c r="U64" s="50">
        <f>IF(AND(AND(OR(in_Mode="All Funds",AND(C64&gt;=in_BandFloor,C64&lt;=in_BandCeiling,OR(in_Geography="National",COUNTIFS(lst_GeoPreset,in_Geography,lst_GeoState,B64)&gt;0,AND(in_Geography="Custom",ISNUMBER(SEARCH(B64,SUBSTITUTE(in_CustomStates," ",""))))),OR(AND(D64="Endowment",Inputs!$B$14="Y"),AND(D64="Foundation",Inputs!$B$15="Y"),AND(D64="Healthcare",Inputs!$B$16="Y"),AND(D64="Pension",Inputs!$B$17="Y"),AND(D64="OCIO",Inputs!$B$18="Y"),AND(D64="Other",Inputs!$B$19="Y")))),A64&lt;&gt;in_ClientOrg,NOT(AND(in_ExclHarvard="Y",ISNUMBER(SEARCH("Harvard",A64))))),$AD64="Y",K64&lt;&gt;"",S64&gt;0),"Y","")</f>
        <v/>
      </c>
      <c r="V64" s="30" t="n">
        <v>0.7983129420296097</v>
      </c>
      <c r="W64" t="inlineStr"/>
      <c r="X64" s="28">
        <f>IF(L64+M64=0,"",L64+M64)</f>
        <v/>
      </c>
      <c r="Y64" s="38">
        <f>IF(L64=0,"",M64/L64)</f>
        <v/>
      </c>
      <c r="Z64" t="inlineStr">
        <is>
          <t>Managing Director</t>
        </is>
      </c>
      <c r="AA64" t="inlineStr">
        <is>
          <t>Investments</t>
        </is>
      </c>
      <c r="AB64" s="50" t="inlineStr"/>
      <c r="AC64" s="43">
        <f>HYPERLINK("https://projects.propublica.org/nonprofits/organizations/42103881/202322279349302277/full","view filing")</f>
        <v/>
      </c>
      <c r="AD64" s="50" t="inlineStr"/>
    </row>
    <row r="65">
      <c r="A65" t="inlineStr">
        <is>
          <t>Beth Israel Deaconess Medical Center Inc</t>
        </is>
      </c>
      <c r="B65" s="50" t="inlineStr">
        <is>
          <t>MA</t>
        </is>
      </c>
      <c r="C65" s="52" t="n">
        <v>1.21</v>
      </c>
      <c r="D65" t="inlineStr">
        <is>
          <t>Healthcare</t>
        </is>
      </c>
      <c r="E65" s="50" t="n">
        <v>2022</v>
      </c>
      <c r="F65" s="50" t="inlineStr">
        <is>
          <t>2023-08-15</t>
        </is>
      </c>
      <c r="G65" s="50" t="inlineStr">
        <is>
          <t>2022-09-30</t>
        </is>
      </c>
      <c r="H65" t="inlineStr">
        <is>
          <t>Bell James</t>
        </is>
      </c>
      <c r="I65" t="inlineStr">
        <is>
          <t>CHIEF INVESTMENT OFFICER</t>
        </is>
      </c>
      <c r="J65" t="inlineStr">
        <is>
          <t>CIO</t>
        </is>
      </c>
      <c r="K65" t="inlineStr">
        <is>
          <t>CIO - Top Investment Executive</t>
        </is>
      </c>
      <c r="L65" s="28" t="n">
        <v>600111</v>
      </c>
      <c r="M65" s="28" t="n">
        <v>0</v>
      </c>
      <c r="N65" s="28" t="n">
        <v>27541</v>
      </c>
      <c r="O65" s="28" t="n">
        <v>60361</v>
      </c>
      <c r="P65" s="28" t="n">
        <v>31820</v>
      </c>
      <c r="Q65" s="28" t="n">
        <v>719833</v>
      </c>
      <c r="R65" s="28" t="n">
        <v>0</v>
      </c>
      <c r="S65" s="28">
        <f>Q65-R65</f>
        <v/>
      </c>
      <c r="T65" s="28">
        <f>IF(S65="","",S65*(1+in_GrowthRate)^(YEARFRAC(DATE(2022,9,30),in_AgeToDate)*IF(in_AgeToDate&lt;DATE(2022,9,30),-1,1)+1))</f>
        <v/>
      </c>
      <c r="U65" s="50">
        <f>IF(AND(AND(OR(in_Mode="All Funds",AND(C65&gt;=in_BandFloor,C65&lt;=in_BandCeiling,OR(in_Geography="National",COUNTIFS(lst_GeoPreset,in_Geography,lst_GeoState,B65)&gt;0,AND(in_Geography="Custom",ISNUMBER(SEARCH(B65,SUBSTITUTE(in_CustomStates," ",""))))),OR(AND(D65="Endowment",Inputs!$B$14="Y"),AND(D65="Foundation",Inputs!$B$15="Y"),AND(D65="Healthcare",Inputs!$B$16="Y"),AND(D65="Pension",Inputs!$B$17="Y"),AND(D65="OCIO",Inputs!$B$18="Y"),AND(D65="Other",Inputs!$B$19="Y")))),A65&lt;&gt;in_ClientOrg,NOT(AND(in_ExclHarvard="Y",ISNUMBER(SEARCH("Harvard",A65))))),$AD65="Y",K65&lt;&gt;"",S65&gt;0),"Y","")</f>
        <v/>
      </c>
      <c r="V65" s="30" t="n">
        <v>1</v>
      </c>
      <c r="W65" t="inlineStr"/>
      <c r="X65" s="28">
        <f>IF(L65+M65=0,"",L65+M65)</f>
        <v/>
      </c>
      <c r="Y65" s="38">
        <f>IF(L65=0,"",M65/L65)</f>
        <v/>
      </c>
      <c r="Z65" t="inlineStr">
        <is>
          <t>CIO - Top Investment Executive</t>
        </is>
      </c>
      <c r="AA65" t="inlineStr">
        <is>
          <t>Leadership</t>
        </is>
      </c>
      <c r="AB65" s="50" t="inlineStr">
        <is>
          <t>Y</t>
        </is>
      </c>
      <c r="AC65" s="43">
        <f>HYPERLINK("https://projects.propublica.org/nonprofits/organizations/42103881/202322279349302277/full","view filing")</f>
        <v/>
      </c>
      <c r="AD65" s="50" t="inlineStr"/>
    </row>
    <row r="66">
      <c r="A66" t="inlineStr">
        <is>
          <t>Beth Israel Lahey Health Inc Hcsr</t>
        </is>
      </c>
      <c r="B66" s="50" t="inlineStr">
        <is>
          <t>MA</t>
        </is>
      </c>
      <c r="C66" s="52" t="n">
        <v>0.14</v>
      </c>
      <c r="D66" t="inlineStr">
        <is>
          <t>Healthcare</t>
        </is>
      </c>
      <c r="E66" s="50" t="n">
        <v>2025</v>
      </c>
      <c r="F66" s="50" t="inlineStr">
        <is>
          <t>2026-08-14</t>
        </is>
      </c>
      <c r="G66" s="50" t="inlineStr">
        <is>
          <t>2025-09-30</t>
        </is>
      </c>
      <c r="H66" t="inlineStr">
        <is>
          <t>Bell James</t>
        </is>
      </c>
      <c r="I66" t="inlineStr">
        <is>
          <t>SVP/CHIEF INVESTMENT OFFICER</t>
        </is>
      </c>
      <c r="J66" t="inlineStr">
        <is>
          <t>CIO</t>
        </is>
      </c>
      <c r="K66" t="inlineStr">
        <is>
          <t>CIO - Top Investment Executive</t>
        </is>
      </c>
      <c r="L66" s="28" t="n">
        <v>883233</v>
      </c>
      <c r="M66" s="28" t="n">
        <v>0</v>
      </c>
      <c r="N66" s="28" t="n">
        <v>63953</v>
      </c>
      <c r="O66" s="28" t="n">
        <v>19830</v>
      </c>
      <c r="P66" s="28" t="n">
        <v>35798</v>
      </c>
      <c r="Q66" s="28" t="n">
        <v>1002814</v>
      </c>
      <c r="R66" s="28" t="n">
        <v>0</v>
      </c>
      <c r="S66" s="28">
        <f>Q66-R66</f>
        <v/>
      </c>
      <c r="T66" s="28">
        <f>IF(S66="","",S66*(1+in_GrowthRate)^(YEARFRAC(DATE(2025,9,30),in_AgeToDate)*IF(in_AgeToDate&lt;DATE(2025,9,30),-1,1)+1))</f>
        <v/>
      </c>
      <c r="U66" s="50">
        <f>IF(AND(AND(OR(in_Mode="All Funds",AND(C66&gt;=in_BandFloor,C66&lt;=in_BandCeiling,OR(in_Geography="National",COUNTIFS(lst_GeoPreset,in_Geography,lst_GeoState,B66)&gt;0,AND(in_Geography="Custom",ISNUMBER(SEARCH(B66,SUBSTITUTE(in_CustomStates," ",""))))),OR(AND(D66="Endowment",Inputs!$B$14="Y"),AND(D66="Foundation",Inputs!$B$15="Y"),AND(D66="Healthcare",Inputs!$B$16="Y"),AND(D66="Pension",Inputs!$B$17="Y"),AND(D66="OCIO",Inputs!$B$18="Y"),AND(D66="Other",Inputs!$B$19="Y")))),A66&lt;&gt;in_ClientOrg,NOT(AND(in_ExclHarvard="Y",ISNUMBER(SEARCH("Harvard",A66))))),$AD66="Y",K66&lt;&gt;"",S66&gt;0),"Y","")</f>
        <v/>
      </c>
      <c r="V66" s="30" t="n">
        <v>1</v>
      </c>
      <c r="W66" t="inlineStr"/>
      <c r="X66" s="28">
        <f>IF(L66+M66=0,"",L66+M66)</f>
        <v/>
      </c>
      <c r="Y66" s="38">
        <f>IF(L66=0,"",M66/L66)</f>
        <v/>
      </c>
      <c r="Z66" t="inlineStr">
        <is>
          <t>CIO - Top Investment Executive</t>
        </is>
      </c>
      <c r="AA66" t="inlineStr">
        <is>
          <t>Leadership</t>
        </is>
      </c>
      <c r="AB66" s="50" t="inlineStr">
        <is>
          <t>Y</t>
        </is>
      </c>
      <c r="AC66" s="43">
        <f>HYPERLINK("https://projects.propublica.org/nonprofits/organizations/832671600/202612269349303551/full","view filing")</f>
        <v/>
      </c>
      <c r="AD66" s="50" t="inlineStr">
        <is>
          <t>Y</t>
        </is>
      </c>
    </row>
    <row r="67">
      <c r="A67" t="inlineStr">
        <is>
          <t>Beth Israel Lahey Health Inc Hcsr</t>
        </is>
      </c>
      <c r="B67" s="50" t="inlineStr">
        <is>
          <t>MA</t>
        </is>
      </c>
      <c r="C67" s="52" t="n">
        <v>0.14</v>
      </c>
      <c r="D67" t="inlineStr">
        <is>
          <t>Healthcare</t>
        </is>
      </c>
      <c r="E67" s="50" t="n">
        <v>2025</v>
      </c>
      <c r="F67" s="50" t="inlineStr">
        <is>
          <t>2026-08-14</t>
        </is>
      </c>
      <c r="G67" s="50" t="inlineStr">
        <is>
          <t>2025-09-30</t>
        </is>
      </c>
      <c r="H67" t="inlineStr">
        <is>
          <t>Donovan Shawn</t>
        </is>
      </c>
      <c r="I67" t="inlineStr">
        <is>
          <t>MANAGING DIRECTOR, INVESTMENTS</t>
        </is>
      </c>
      <c r="J67" t="inlineStr">
        <is>
          <t>Managing Director</t>
        </is>
      </c>
      <c r="K67" t="inlineStr">
        <is>
          <t>Sr Investment Professional</t>
        </is>
      </c>
      <c r="L67" s="28" t="n">
        <v>669773</v>
      </c>
      <c r="M67" s="28" t="n">
        <v>0</v>
      </c>
      <c r="N67" s="28" t="n">
        <v>47653</v>
      </c>
      <c r="O67" s="28" t="n">
        <v>18180</v>
      </c>
      <c r="P67" s="28" t="n">
        <v>39670</v>
      </c>
      <c r="Q67" s="28" t="n">
        <v>775276</v>
      </c>
      <c r="R67" s="28" t="n">
        <v>0</v>
      </c>
      <c r="S67" s="28">
        <f>Q67-R67</f>
        <v/>
      </c>
      <c r="T67" s="28">
        <f>IF(S67="","",S67*(1+in_GrowthRate)^(YEARFRAC(DATE(2025,9,30),in_AgeToDate)*IF(in_AgeToDate&lt;DATE(2025,9,30),-1,1)+1))</f>
        <v/>
      </c>
      <c r="U67" s="50">
        <f>IF(AND(AND(OR(in_Mode="All Funds",AND(C67&gt;=in_BandFloor,C67&lt;=in_BandCeiling,OR(in_Geography="National",COUNTIFS(lst_GeoPreset,in_Geography,lst_GeoState,B67)&gt;0,AND(in_Geography="Custom",ISNUMBER(SEARCH(B67,SUBSTITUTE(in_CustomStates," ",""))))),OR(AND(D67="Endowment",Inputs!$B$14="Y"),AND(D67="Foundation",Inputs!$B$15="Y"),AND(D67="Healthcare",Inputs!$B$16="Y"),AND(D67="Pension",Inputs!$B$17="Y"),AND(D67="OCIO",Inputs!$B$18="Y"),AND(D67="Other",Inputs!$B$19="Y")))),A67&lt;&gt;in_ClientOrg,NOT(AND(in_ExclHarvard="Y",ISNUMBER(SEARCH("Harvard",A67))))),$AD67="Y",K67&lt;&gt;"",S67&gt;0),"Y","")</f>
        <v/>
      </c>
      <c r="V67" s="30" t="n">
        <v>0.7731004952064889</v>
      </c>
      <c r="W67" t="inlineStr"/>
      <c r="X67" s="28">
        <f>IF(L67+M67=0,"",L67+M67)</f>
        <v/>
      </c>
      <c r="Y67" s="38">
        <f>IF(L67=0,"",M67/L67)</f>
        <v/>
      </c>
      <c r="Z67" t="inlineStr">
        <is>
          <t>Managing Director</t>
        </is>
      </c>
      <c r="AA67" t="inlineStr">
        <is>
          <t>Investments</t>
        </is>
      </c>
      <c r="AB67" s="50" t="inlineStr"/>
      <c r="AC67" s="43">
        <f>HYPERLINK("https://projects.propublica.org/nonprofits/organizations/832671600/202612269349303551/full","view filing")</f>
        <v/>
      </c>
      <c r="AD67" s="50" t="inlineStr">
        <is>
          <t>Y</t>
        </is>
      </c>
    </row>
    <row r="68">
      <c r="A68" t="inlineStr">
        <is>
          <t>Beth Israel Lahey Health Inc Hcsr</t>
        </is>
      </c>
      <c r="B68" s="50" t="inlineStr">
        <is>
          <t>MA</t>
        </is>
      </c>
      <c r="C68" s="52" t="n">
        <v>0.14</v>
      </c>
      <c r="D68" t="inlineStr">
        <is>
          <t>Healthcare</t>
        </is>
      </c>
      <c r="E68" s="50" t="n">
        <v>2024</v>
      </c>
      <c r="F68" s="50" t="inlineStr">
        <is>
          <t>2025-08-15</t>
        </is>
      </c>
      <c r="G68" s="50" t="inlineStr">
        <is>
          <t>2024-09-30</t>
        </is>
      </c>
      <c r="H68" t="inlineStr">
        <is>
          <t>Bell James</t>
        </is>
      </c>
      <c r="I68" t="inlineStr">
        <is>
          <t>SVP/CHIEF INVESTMENT OFFICER</t>
        </is>
      </c>
      <c r="J68" t="inlineStr">
        <is>
          <t>CIO</t>
        </is>
      </c>
      <c r="K68" t="inlineStr">
        <is>
          <t>CIO - Top Investment Executive</t>
        </is>
      </c>
      <c r="L68" s="28" t="n">
        <v>620464</v>
      </c>
      <c r="M68" s="28" t="n">
        <v>225000</v>
      </c>
      <c r="N68" s="28" t="n">
        <v>171618</v>
      </c>
      <c r="O68" s="28" t="n">
        <v>82785</v>
      </c>
      <c r="P68" s="28" t="n">
        <v>35204</v>
      </c>
      <c r="Q68" s="28" t="n">
        <v>1135071</v>
      </c>
      <c r="R68" s="28" t="n">
        <v>0</v>
      </c>
      <c r="S68" s="28">
        <f>Q68-R68</f>
        <v/>
      </c>
      <c r="T68" s="28">
        <f>IF(S68="","",S68*(1+in_GrowthRate)^(YEARFRAC(DATE(2024,9,30),in_AgeToDate)*IF(in_AgeToDate&lt;DATE(2024,9,30),-1,1)+1))</f>
        <v/>
      </c>
      <c r="U68" s="50">
        <f>IF(AND(AND(OR(in_Mode="All Funds",AND(C68&gt;=in_BandFloor,C68&lt;=in_BandCeiling,OR(in_Geography="National",COUNTIFS(lst_GeoPreset,in_Geography,lst_GeoState,B68)&gt;0,AND(in_Geography="Custom",ISNUMBER(SEARCH(B68,SUBSTITUTE(in_CustomStates," ",""))))),OR(AND(D68="Endowment",Inputs!$B$14="Y"),AND(D68="Foundation",Inputs!$B$15="Y"),AND(D68="Healthcare",Inputs!$B$16="Y"),AND(D68="Pension",Inputs!$B$17="Y"),AND(D68="OCIO",Inputs!$B$18="Y"),AND(D68="Other",Inputs!$B$19="Y")))),A68&lt;&gt;in_ClientOrg,NOT(AND(in_ExclHarvard="Y",ISNUMBER(SEARCH("Harvard",A68))))),$AD68="Y",K68&lt;&gt;"",S68&gt;0),"Y","")</f>
        <v/>
      </c>
      <c r="V68" s="30" t="n">
        <v>1</v>
      </c>
      <c r="W68" t="inlineStr"/>
      <c r="X68" s="28">
        <f>IF(L68+M68=0,"",L68+M68)</f>
        <v/>
      </c>
      <c r="Y68" s="38">
        <f>IF(L68=0,"",M68/L68)</f>
        <v/>
      </c>
      <c r="Z68" t="inlineStr">
        <is>
          <t>CIO - Top Investment Executive</t>
        </is>
      </c>
      <c r="AA68" t="inlineStr">
        <is>
          <t>Leadership</t>
        </is>
      </c>
      <c r="AB68" s="50" t="inlineStr">
        <is>
          <t>Y</t>
        </is>
      </c>
      <c r="AC68" s="43">
        <f>HYPERLINK("https://projects.propublica.org/nonprofits/organizations/832671600/202542279349302704/full","view filing")</f>
        <v/>
      </c>
      <c r="AD68" s="50" t="inlineStr"/>
    </row>
    <row r="69">
      <c r="A69" t="inlineStr">
        <is>
          <t>Beth Israel Lahey Health Inc Hcsr</t>
        </is>
      </c>
      <c r="B69" s="50" t="inlineStr">
        <is>
          <t>MA</t>
        </is>
      </c>
      <c r="C69" s="52" t="n">
        <v>0.14</v>
      </c>
      <c r="D69" t="inlineStr">
        <is>
          <t>Healthcare</t>
        </is>
      </c>
      <c r="E69" s="50" t="n">
        <v>2024</v>
      </c>
      <c r="F69" s="50" t="inlineStr">
        <is>
          <t>2025-08-15</t>
        </is>
      </c>
      <c r="G69" s="50" t="inlineStr">
        <is>
          <t>2024-09-30</t>
        </is>
      </c>
      <c r="H69" t="inlineStr">
        <is>
          <t>Donovan Shawn</t>
        </is>
      </c>
      <c r="I69" t="inlineStr">
        <is>
          <t>MANAGING DIRECTOR, INVESTMENTS</t>
        </is>
      </c>
      <c r="J69" t="inlineStr">
        <is>
          <t>Managing Director</t>
        </is>
      </c>
      <c r="K69" t="inlineStr">
        <is>
          <t>Sr Investment Professional</t>
        </is>
      </c>
      <c r="L69" s="28" t="n">
        <v>482172</v>
      </c>
      <c r="M69" s="28" t="n">
        <v>172000</v>
      </c>
      <c r="N69" s="28" t="n">
        <v>44013</v>
      </c>
      <c r="O69" s="28" t="n">
        <v>60831</v>
      </c>
      <c r="P69" s="28" t="n">
        <v>38447</v>
      </c>
      <c r="Q69" s="28" t="n">
        <v>797463</v>
      </c>
      <c r="R69" s="28" t="n">
        <v>0</v>
      </c>
      <c r="S69" s="28">
        <f>Q69-R69</f>
        <v/>
      </c>
      <c r="T69" s="28">
        <f>IF(S69="","",S69*(1+in_GrowthRate)^(YEARFRAC(DATE(2024,9,30),in_AgeToDate)*IF(in_AgeToDate&lt;DATE(2024,9,30),-1,1)+1))</f>
        <v/>
      </c>
      <c r="U69" s="50">
        <f>IF(AND(AND(OR(in_Mode="All Funds",AND(C69&gt;=in_BandFloor,C69&lt;=in_BandCeiling,OR(in_Geography="National",COUNTIFS(lst_GeoPreset,in_Geography,lst_GeoState,B69)&gt;0,AND(in_Geography="Custom",ISNUMBER(SEARCH(B69,SUBSTITUTE(in_CustomStates," ",""))))),OR(AND(D69="Endowment",Inputs!$B$14="Y"),AND(D69="Foundation",Inputs!$B$15="Y"),AND(D69="Healthcare",Inputs!$B$16="Y"),AND(D69="Pension",Inputs!$B$17="Y"),AND(D69="OCIO",Inputs!$B$18="Y"),AND(D69="Other",Inputs!$B$19="Y")))),A69&lt;&gt;in_ClientOrg,NOT(AND(in_ExclHarvard="Y",ISNUMBER(SEARCH("Harvard",A69))))),$AD69="Y",K69&lt;&gt;"",S69&gt;0),"Y","")</f>
        <v/>
      </c>
      <c r="V69" s="30" t="n">
        <v>0.7025666235856611</v>
      </c>
      <c r="W69" t="inlineStr"/>
      <c r="X69" s="28">
        <f>IF(L69+M69=0,"",L69+M69)</f>
        <v/>
      </c>
      <c r="Y69" s="38">
        <f>IF(L69=0,"",M69/L69)</f>
        <v/>
      </c>
      <c r="Z69" t="inlineStr">
        <is>
          <t>Managing Director</t>
        </is>
      </c>
      <c r="AA69" t="inlineStr">
        <is>
          <t>Investments</t>
        </is>
      </c>
      <c r="AB69" s="50" t="inlineStr"/>
      <c r="AC69" s="43">
        <f>HYPERLINK("https://projects.propublica.org/nonprofits/organizations/832671600/202542279349302704/full","view filing")</f>
        <v/>
      </c>
      <c r="AD69" s="50" t="inlineStr"/>
    </row>
    <row r="70">
      <c r="A70" t="inlineStr">
        <is>
          <t>Beth Israel Lahey Health Inc Hcsr</t>
        </is>
      </c>
      <c r="B70" s="50" t="inlineStr">
        <is>
          <t>MA</t>
        </is>
      </c>
      <c r="C70" s="52" t="n">
        <v>0.14</v>
      </c>
      <c r="D70" t="inlineStr">
        <is>
          <t>Healthcare</t>
        </is>
      </c>
      <c r="E70" s="50" t="n">
        <v>2023</v>
      </c>
      <c r="F70" s="50" t="inlineStr">
        <is>
          <t>2024-08-14</t>
        </is>
      </c>
      <c r="G70" s="50" t="inlineStr">
        <is>
          <t>2023-09-30</t>
        </is>
      </c>
      <c r="H70" t="inlineStr">
        <is>
          <t>Antonas Julie</t>
        </is>
      </c>
      <c r="I70" t="inlineStr">
        <is>
          <t>MANAGING DIRECTOR INVESTMENTS</t>
        </is>
      </c>
      <c r="J70" t="inlineStr">
        <is>
          <t>Managing Director</t>
        </is>
      </c>
      <c r="K70" t="inlineStr">
        <is>
          <t>Sr Investment Professional</t>
        </is>
      </c>
      <c r="L70" s="28" t="n">
        <v>528044</v>
      </c>
      <c r="M70" s="28" t="n">
        <v>0</v>
      </c>
      <c r="N70" s="28" t="n">
        <v>3867</v>
      </c>
      <c r="O70" s="28" t="n">
        <v>7320</v>
      </c>
      <c r="P70" s="28" t="n">
        <v>32591</v>
      </c>
      <c r="Q70" s="28" t="n">
        <v>571822</v>
      </c>
      <c r="R70" s="28" t="n">
        <v>0</v>
      </c>
      <c r="S70" s="28">
        <f>Q70-R70</f>
        <v/>
      </c>
      <c r="T70" s="28">
        <f>IF(S70="","",S70*(1+in_GrowthRate)^(YEARFRAC(DATE(2023,9,30),in_AgeToDate)*IF(in_AgeToDate&lt;DATE(2023,9,30),-1,1)+1))</f>
        <v/>
      </c>
      <c r="U70" s="50">
        <f>IF(AND(AND(OR(in_Mode="All Funds",AND(C70&gt;=in_BandFloor,C70&lt;=in_BandCeiling,OR(in_Geography="National",COUNTIFS(lst_GeoPreset,in_Geography,lst_GeoState,B70)&gt;0,AND(in_Geography="Custom",ISNUMBER(SEARCH(B70,SUBSTITUTE(in_CustomStates," ",""))))),OR(AND(D70="Endowment",Inputs!$B$14="Y"),AND(D70="Foundation",Inputs!$B$15="Y"),AND(D70="Healthcare",Inputs!$B$16="Y"),AND(D70="Pension",Inputs!$B$17="Y"),AND(D70="OCIO",Inputs!$B$18="Y"),AND(D70="Other",Inputs!$B$19="Y")))),A70&lt;&gt;in_ClientOrg,NOT(AND(in_ExclHarvard="Y",ISNUMBER(SEARCH("Harvard",A70))))),$AD70="Y",K70&lt;&gt;"",S70&gt;0),"Y","")</f>
        <v/>
      </c>
      <c r="V70" s="30" t="n">
        <v>0.5232981339346424</v>
      </c>
      <c r="W70" t="inlineStr"/>
      <c r="X70" s="28">
        <f>IF(L70+M70=0,"",L70+M70)</f>
        <v/>
      </c>
      <c r="Y70" s="38">
        <f>IF(L70=0,"",M70/L70)</f>
        <v/>
      </c>
      <c r="Z70" t="inlineStr">
        <is>
          <t>Managing Director</t>
        </is>
      </c>
      <c r="AA70" t="inlineStr">
        <is>
          <t>Investments</t>
        </is>
      </c>
      <c r="AB70" s="50" t="inlineStr"/>
      <c r="AC70" s="43">
        <f>HYPERLINK("https://projects.propublica.org/nonprofits/organizations/832671600/202412279349301811/full","view filing")</f>
        <v/>
      </c>
      <c r="AD70" s="50" t="inlineStr"/>
    </row>
    <row r="71">
      <c r="A71" t="inlineStr">
        <is>
          <t>Beth Israel Lahey Health Inc Hcsr</t>
        </is>
      </c>
      <c r="B71" s="50" t="inlineStr">
        <is>
          <t>MA</t>
        </is>
      </c>
      <c r="C71" s="52" t="n">
        <v>0.14</v>
      </c>
      <c r="D71" t="inlineStr">
        <is>
          <t>Healthcare</t>
        </is>
      </c>
      <c r="E71" s="50" t="n">
        <v>2023</v>
      </c>
      <c r="F71" s="50" t="inlineStr">
        <is>
          <t>2024-08-14</t>
        </is>
      </c>
      <c r="G71" s="50" t="inlineStr">
        <is>
          <t>2023-09-30</t>
        </is>
      </c>
      <c r="H71" t="inlineStr">
        <is>
          <t>Bell James</t>
        </is>
      </c>
      <c r="I71" t="inlineStr">
        <is>
          <t>SVP/CHIEF INVESTMENT OFFICER</t>
        </is>
      </c>
      <c r="J71" t="inlineStr">
        <is>
          <t>CIO</t>
        </is>
      </c>
      <c r="K71" t="inlineStr">
        <is>
          <t>CIO - Top Investment Executive</t>
        </is>
      </c>
      <c r="L71" s="28" t="n">
        <v>812574</v>
      </c>
      <c r="M71" s="28" t="n">
        <v>200000</v>
      </c>
      <c r="N71" s="28" t="n">
        <v>40803</v>
      </c>
      <c r="O71" s="28" t="n">
        <v>7320</v>
      </c>
      <c r="P71" s="28" t="n">
        <v>32030</v>
      </c>
      <c r="Q71" s="28" t="n">
        <v>1092727</v>
      </c>
      <c r="R71" s="28" t="n">
        <v>0</v>
      </c>
      <c r="S71" s="28">
        <f>Q71-R71</f>
        <v/>
      </c>
      <c r="T71" s="28">
        <f>IF(S71="","",S71*(1+in_GrowthRate)^(YEARFRAC(DATE(2023,9,30),in_AgeToDate)*IF(in_AgeToDate&lt;DATE(2023,9,30),-1,1)+1))</f>
        <v/>
      </c>
      <c r="U71" s="50">
        <f>IF(AND(AND(OR(in_Mode="All Funds",AND(C71&gt;=in_BandFloor,C71&lt;=in_BandCeiling,OR(in_Geography="National",COUNTIFS(lst_GeoPreset,in_Geography,lst_GeoState,B71)&gt;0,AND(in_Geography="Custom",ISNUMBER(SEARCH(B71,SUBSTITUTE(in_CustomStates," ",""))))),OR(AND(D71="Endowment",Inputs!$B$14="Y"),AND(D71="Foundation",Inputs!$B$15="Y"),AND(D71="Healthcare",Inputs!$B$16="Y"),AND(D71="Pension",Inputs!$B$17="Y"),AND(D71="OCIO",Inputs!$B$18="Y"),AND(D71="Other",Inputs!$B$19="Y")))),A71&lt;&gt;in_ClientOrg,NOT(AND(in_ExclHarvard="Y",ISNUMBER(SEARCH("Harvard",A71))))),$AD71="Y",K71&lt;&gt;"",S71&gt;0),"Y","")</f>
        <v/>
      </c>
      <c r="V71" s="30" t="n">
        <v>1</v>
      </c>
      <c r="W71" t="inlineStr"/>
      <c r="X71" s="28">
        <f>IF(L71+M71=0,"",L71+M71)</f>
        <v/>
      </c>
      <c r="Y71" s="38">
        <f>IF(L71=0,"",M71/L71)</f>
        <v/>
      </c>
      <c r="Z71" t="inlineStr">
        <is>
          <t>CIO - Top Investment Executive</t>
        </is>
      </c>
      <c r="AA71" t="inlineStr">
        <is>
          <t>Leadership</t>
        </is>
      </c>
      <c r="AB71" s="50" t="inlineStr">
        <is>
          <t>Y</t>
        </is>
      </c>
      <c r="AC71" s="43">
        <f>HYPERLINK("https://projects.propublica.org/nonprofits/organizations/832671600/202412279349301811/full","view filing")</f>
        <v/>
      </c>
      <c r="AD71" s="50" t="inlineStr"/>
    </row>
    <row r="72">
      <c r="A72" t="inlineStr">
        <is>
          <t>Beth Israel Lahey Health Inc Hcsr</t>
        </is>
      </c>
      <c r="B72" s="50" t="inlineStr">
        <is>
          <t>MA</t>
        </is>
      </c>
      <c r="C72" s="52" t="n">
        <v>0.14</v>
      </c>
      <c r="D72" t="inlineStr">
        <is>
          <t>Healthcare</t>
        </is>
      </c>
      <c r="E72" s="50" t="n">
        <v>2023</v>
      </c>
      <c r="F72" s="50" t="inlineStr">
        <is>
          <t>2024-08-14</t>
        </is>
      </c>
      <c r="G72" s="50" t="inlineStr">
        <is>
          <t>2023-09-30</t>
        </is>
      </c>
      <c r="H72" t="inlineStr">
        <is>
          <t>Donovan Shawn P</t>
        </is>
      </c>
      <c r="I72" t="inlineStr">
        <is>
          <t>MANAGING DIRECTOR INVESTMENTS</t>
        </is>
      </c>
      <c r="J72" t="inlineStr">
        <is>
          <t>Managing Director</t>
        </is>
      </c>
      <c r="K72" t="inlineStr">
        <is>
          <t>Sr Investment Professional</t>
        </is>
      </c>
      <c r="L72" s="28" t="n">
        <v>635435</v>
      </c>
      <c r="M72" s="28" t="n">
        <v>0</v>
      </c>
      <c r="N72" s="28" t="n">
        <v>16578</v>
      </c>
      <c r="O72" s="28" t="n">
        <v>7320</v>
      </c>
      <c r="P72" s="28" t="n">
        <v>33523</v>
      </c>
      <c r="Q72" s="28" t="n">
        <v>692856</v>
      </c>
      <c r="R72" s="28" t="n">
        <v>0</v>
      </c>
      <c r="S72" s="28">
        <f>Q72-R72</f>
        <v/>
      </c>
      <c r="T72" s="28">
        <f>IF(S72="","",S72*(1+in_GrowthRate)^(YEARFRAC(DATE(2023,9,30),in_AgeToDate)*IF(in_AgeToDate&lt;DATE(2023,9,30),-1,1)+1))</f>
        <v/>
      </c>
      <c r="U72" s="50">
        <f>IF(AND(AND(OR(in_Mode="All Funds",AND(C72&gt;=in_BandFloor,C72&lt;=in_BandCeiling,OR(in_Geography="National",COUNTIFS(lst_GeoPreset,in_Geography,lst_GeoState,B72)&gt;0,AND(in_Geography="Custom",ISNUMBER(SEARCH(B72,SUBSTITUTE(in_CustomStates," ",""))))),OR(AND(D72="Endowment",Inputs!$B$14="Y"),AND(D72="Foundation",Inputs!$B$15="Y"),AND(D72="Healthcare",Inputs!$B$16="Y"),AND(D72="Pension",Inputs!$B$17="Y"),AND(D72="OCIO",Inputs!$B$18="Y"),AND(D72="Other",Inputs!$B$19="Y")))),A72&lt;&gt;in_ClientOrg,NOT(AND(in_ExclHarvard="Y",ISNUMBER(SEARCH("Harvard",A72))))),$AD72="Y",K72&lt;&gt;"",S72&gt;0),"Y","")</f>
        <v/>
      </c>
      <c r="V72" s="30" t="n">
        <v>0.6340613895327927</v>
      </c>
      <c r="W72" t="inlineStr"/>
      <c r="X72" s="28">
        <f>IF(L72+M72=0,"",L72+M72)</f>
        <v/>
      </c>
      <c r="Y72" s="38">
        <f>IF(L72=0,"",M72/L72)</f>
        <v/>
      </c>
      <c r="Z72" t="inlineStr">
        <is>
          <t>Managing Director</t>
        </is>
      </c>
      <c r="AA72" t="inlineStr">
        <is>
          <t>Investments</t>
        </is>
      </c>
      <c r="AB72" s="50" t="inlineStr"/>
      <c r="AC72" s="43">
        <f>HYPERLINK("https://projects.propublica.org/nonprofits/organizations/832671600/202412279349301811/full","view filing")</f>
        <v/>
      </c>
      <c r="AD72" s="50" t="inlineStr"/>
    </row>
    <row r="73">
      <c r="A73" t="inlineStr">
        <is>
          <t>Bethune-cookman University</t>
        </is>
      </c>
      <c r="B73" s="50" t="inlineStr">
        <is>
          <t>FL</t>
        </is>
      </c>
      <c r="C73" s="52" t="n">
        <v>0.06</v>
      </c>
      <c r="D73" t="inlineStr">
        <is>
          <t>Endowment</t>
        </is>
      </c>
      <c r="E73" s="50" t="n">
        <v>2025</v>
      </c>
      <c r="F73" s="50" t="inlineStr">
        <is>
          <t>2026-05-15</t>
        </is>
      </c>
      <c r="G73" s="50" t="inlineStr">
        <is>
          <t>2025-06-30</t>
        </is>
      </c>
      <c r="H73" t="inlineStr">
        <is>
          <t>James A Cleveland</t>
        </is>
      </c>
      <c r="I73" t="inlineStr">
        <is>
          <t>CHIEF INVESTMENT OFFICER/VP FISCAL AFFAIRS</t>
        </is>
      </c>
      <c r="J73" t="inlineStr">
        <is>
          <t>CIO</t>
        </is>
      </c>
      <c r="K73" t="inlineStr">
        <is>
          <t>CIO - Top Investment Executive</t>
        </is>
      </c>
      <c r="L73" s="28" t="n">
        <v>206713</v>
      </c>
      <c r="M73" s="28" t="n">
        <v>0</v>
      </c>
      <c r="N73" s="28" t="n">
        <v>0</v>
      </c>
      <c r="O73" s="28" t="n">
        <v>2552</v>
      </c>
      <c r="P73" s="28" t="n">
        <v>386</v>
      </c>
      <c r="Q73" s="28" t="n">
        <v>209651</v>
      </c>
      <c r="R73" s="28" t="n">
        <v>0</v>
      </c>
      <c r="S73" s="28">
        <f>Q73-R73</f>
        <v/>
      </c>
      <c r="T73" s="28">
        <f>IF(S73="","",S73*(1+in_GrowthRate)^(YEARFRAC(DATE(2025,6,30),in_AgeToDate)*IF(in_AgeToDate&lt;DATE(2025,6,30),-1,1)+1))</f>
        <v/>
      </c>
      <c r="U73" s="50">
        <f>IF(AND(AND(OR(in_Mode="All Funds",AND(C73&gt;=in_BandFloor,C73&lt;=in_BandCeiling,OR(in_Geography="National",COUNTIFS(lst_GeoPreset,in_Geography,lst_GeoState,B73)&gt;0,AND(in_Geography="Custom",ISNUMBER(SEARCH(B73,SUBSTITUTE(in_CustomStates," ",""))))),OR(AND(D73="Endowment",Inputs!$B$14="Y"),AND(D73="Foundation",Inputs!$B$15="Y"),AND(D73="Healthcare",Inputs!$B$16="Y"),AND(D73="Pension",Inputs!$B$17="Y"),AND(D73="OCIO",Inputs!$B$18="Y"),AND(D73="Other",Inputs!$B$19="Y")))),A73&lt;&gt;in_ClientOrg,NOT(AND(in_ExclHarvard="Y",ISNUMBER(SEARCH("Harvard",A73))))),$AD73="Y",K73&lt;&gt;"",S73&gt;0),"Y","")</f>
        <v/>
      </c>
      <c r="V73" s="30" t="n">
        <v>1</v>
      </c>
      <c r="W73" t="inlineStr"/>
      <c r="X73" s="28">
        <f>IF(L73+M73=0,"",L73+M73)</f>
        <v/>
      </c>
      <c r="Y73" s="38">
        <f>IF(L73=0,"",M73/L73)</f>
        <v/>
      </c>
      <c r="Z73" t="inlineStr">
        <is>
          <t>CIO - Top Investment Executive</t>
        </is>
      </c>
      <c r="AA73" t="inlineStr">
        <is>
          <t>Leadership</t>
        </is>
      </c>
      <c r="AB73" s="50" t="inlineStr">
        <is>
          <t>Y</t>
        </is>
      </c>
      <c r="AC73" s="43">
        <f>HYPERLINK("https://projects.propublica.org/nonprofits/organizations/590704726/202611359349301841/full","view filing")</f>
        <v/>
      </c>
      <c r="AD73" s="50" t="inlineStr">
        <is>
          <t>Y</t>
        </is>
      </c>
    </row>
    <row r="74">
      <c r="A74" t="inlineStr">
        <is>
          <t>Bethune-cookman University</t>
        </is>
      </c>
      <c r="B74" s="50" t="inlineStr">
        <is>
          <t>FL</t>
        </is>
      </c>
      <c r="C74" s="52" t="n">
        <v>0.06</v>
      </c>
      <c r="D74" t="inlineStr">
        <is>
          <t>Endowment</t>
        </is>
      </c>
      <c r="E74" s="50" t="n">
        <v>2024</v>
      </c>
      <c r="F74" s="50" t="inlineStr">
        <is>
          <t>2025-05-22</t>
        </is>
      </c>
      <c r="G74" s="50" t="inlineStr">
        <is>
          <t>2024-06-30</t>
        </is>
      </c>
      <c r="H74" t="inlineStr">
        <is>
          <t>James A Cleveland</t>
        </is>
      </c>
      <c r="I74" t="inlineStr">
        <is>
          <t>CHIEF INVESTMENT OFFICER/VP OF FISCAL AFFAIRS</t>
        </is>
      </c>
      <c r="J74" t="inlineStr">
        <is>
          <t>CIO</t>
        </is>
      </c>
      <c r="K74" t="inlineStr">
        <is>
          <t>CIO - Top Investment Executive</t>
        </is>
      </c>
      <c r="L74" s="28" t="n">
        <v>175000</v>
      </c>
      <c r="M74" s="28" t="n">
        <v>0</v>
      </c>
      <c r="N74" s="28" t="n">
        <v>0</v>
      </c>
      <c r="O74" s="28" t="n">
        <v>0</v>
      </c>
      <c r="P74" s="28" t="n">
        <v>18000</v>
      </c>
      <c r="Q74" s="28" t="n">
        <v>193000</v>
      </c>
      <c r="R74" s="28" t="n">
        <v>0</v>
      </c>
      <c r="S74" s="28">
        <f>Q74-R74</f>
        <v/>
      </c>
      <c r="T74" s="28">
        <f>IF(S74="","",S74*(1+in_GrowthRate)^(YEARFRAC(DATE(2024,6,30),in_AgeToDate)*IF(in_AgeToDate&lt;DATE(2024,6,30),-1,1)+1))</f>
        <v/>
      </c>
      <c r="U74" s="50">
        <f>IF(AND(AND(OR(in_Mode="All Funds",AND(C74&gt;=in_BandFloor,C74&lt;=in_BandCeiling,OR(in_Geography="National",COUNTIFS(lst_GeoPreset,in_Geography,lst_GeoState,B74)&gt;0,AND(in_Geography="Custom",ISNUMBER(SEARCH(B74,SUBSTITUTE(in_CustomStates," ",""))))),OR(AND(D74="Endowment",Inputs!$B$14="Y"),AND(D74="Foundation",Inputs!$B$15="Y"),AND(D74="Healthcare",Inputs!$B$16="Y"),AND(D74="Pension",Inputs!$B$17="Y"),AND(D74="OCIO",Inputs!$B$18="Y"),AND(D74="Other",Inputs!$B$19="Y")))),A74&lt;&gt;in_ClientOrg,NOT(AND(in_ExclHarvard="Y",ISNUMBER(SEARCH("Harvard",A74))))),$AD74="Y",K74&lt;&gt;"",S74&gt;0),"Y","")</f>
        <v/>
      </c>
      <c r="V74" s="30" t="n">
        <v>1</v>
      </c>
      <c r="W74" t="inlineStr"/>
      <c r="X74" s="28">
        <f>IF(L74+M74=0,"",L74+M74)</f>
        <v/>
      </c>
      <c r="Y74" s="38">
        <f>IF(L74=0,"",M74/L74)</f>
        <v/>
      </c>
      <c r="Z74" t="inlineStr">
        <is>
          <t>CIO - Top Investment Executive</t>
        </is>
      </c>
      <c r="AA74" t="inlineStr">
        <is>
          <t>Leadership</t>
        </is>
      </c>
      <c r="AB74" s="50" t="inlineStr">
        <is>
          <t>Y</t>
        </is>
      </c>
      <c r="AC74" s="43">
        <f>HYPERLINK("https://projects.propublica.org/nonprofits/organizations/590704726/202531429349300723/full","view filing")</f>
        <v/>
      </c>
      <c r="AD74" s="50" t="inlineStr"/>
    </row>
    <row r="75">
      <c r="A75" t="inlineStr">
        <is>
          <t>Betterlife</t>
        </is>
      </c>
      <c r="B75" s="50" t="inlineStr">
        <is>
          <t>WI</t>
        </is>
      </c>
      <c r="C75" s="52" t="n">
        <v>0.59</v>
      </c>
      <c r="D75" t="inlineStr">
        <is>
          <t>Other</t>
        </is>
      </c>
      <c r="E75" s="50" t="n">
        <v>2023</v>
      </c>
      <c r="F75" s="50" t="inlineStr">
        <is>
          <t>2024-06-11</t>
        </is>
      </c>
      <c r="G75" s="50" t="inlineStr">
        <is>
          <t>2023-12-31</t>
        </is>
      </c>
      <c r="H75" t="inlineStr">
        <is>
          <t>Craig A Van Dyke</t>
        </is>
      </c>
      <c r="I75" t="inlineStr">
        <is>
          <t>President/Chief Investment Officer</t>
        </is>
      </c>
      <c r="J75" t="inlineStr">
        <is>
          <t>CIO</t>
        </is>
      </c>
      <c r="K75" t="inlineStr">
        <is>
          <t>CIO - Top Investment Executive</t>
        </is>
      </c>
      <c r="L75" s="28" t="n">
        <v>317046</v>
      </c>
      <c r="M75" s="28" t="n">
        <v>45643</v>
      </c>
      <c r="N75" s="28" t="n">
        <v>1473</v>
      </c>
      <c r="O75" s="28" t="n">
        <v>40568</v>
      </c>
      <c r="P75" s="28" t="n">
        <v>20886</v>
      </c>
      <c r="Q75" s="28" t="n">
        <v>425616</v>
      </c>
      <c r="R75" s="28" t="n">
        <v>0</v>
      </c>
      <c r="S75" s="28">
        <f>Q75-R75</f>
        <v/>
      </c>
      <c r="T75" s="28">
        <f>IF(S75="","",S75*(1+in_GrowthRate)^(YEARFRAC(DATE(2023,12,31),in_AgeToDate)*IF(in_AgeToDate&lt;DATE(2023,12,31),-1,1)+1))</f>
        <v/>
      </c>
      <c r="U75" s="50">
        <f>IF(AND(AND(OR(in_Mode="All Funds",AND(C75&gt;=in_BandFloor,C75&lt;=in_BandCeiling,OR(in_Geography="National",COUNTIFS(lst_GeoPreset,in_Geography,lst_GeoState,B75)&gt;0,AND(in_Geography="Custom",ISNUMBER(SEARCH(B75,SUBSTITUTE(in_CustomStates," ",""))))),OR(AND(D75="Endowment",Inputs!$B$14="Y"),AND(D75="Foundation",Inputs!$B$15="Y"),AND(D75="Healthcare",Inputs!$B$16="Y"),AND(D75="Pension",Inputs!$B$17="Y"),AND(D75="OCIO",Inputs!$B$18="Y"),AND(D75="Other",Inputs!$B$19="Y")))),A75&lt;&gt;in_ClientOrg,NOT(AND(in_ExclHarvard="Y",ISNUMBER(SEARCH("Harvard",A75))))),$AD75="Y",K75&lt;&gt;"",S75&gt;0),"Y","")</f>
        <v/>
      </c>
      <c r="V75" s="30" t="n">
        <v>1</v>
      </c>
      <c r="W75" t="inlineStr"/>
      <c r="X75" s="28">
        <f>IF(L75+M75=0,"",L75+M75)</f>
        <v/>
      </c>
      <c r="Y75" s="38">
        <f>IF(L75=0,"",M75/L75)</f>
        <v/>
      </c>
      <c r="Z75" t="inlineStr">
        <is>
          <t>CIO - Top Investment Executive</t>
        </is>
      </c>
      <c r="AA75" t="inlineStr">
        <is>
          <t>Leadership</t>
        </is>
      </c>
      <c r="AB75" s="50" t="inlineStr">
        <is>
          <t>Y</t>
        </is>
      </c>
      <c r="AC75" s="43">
        <f>HYPERLINK("https://projects.propublica.org/nonprofits/organizations/420594470/202441639349301364/full","view filing")</f>
        <v/>
      </c>
      <c r="AD75" s="50" t="inlineStr"/>
    </row>
    <row r="76">
      <c r="A76" t="inlineStr">
        <is>
          <t>Betterlife</t>
        </is>
      </c>
      <c r="B76" s="50" t="inlineStr">
        <is>
          <t>WI</t>
        </is>
      </c>
      <c r="C76" s="52" t="n">
        <v>0.59</v>
      </c>
      <c r="D76" t="inlineStr">
        <is>
          <t>Other</t>
        </is>
      </c>
      <c r="E76" s="50" t="n">
        <v>2022</v>
      </c>
      <c r="F76" s="50" t="inlineStr">
        <is>
          <t>2023-07-17</t>
        </is>
      </c>
      <c r="G76" s="50" t="inlineStr">
        <is>
          <t>2022-12-31</t>
        </is>
      </c>
      <c r="H76" t="inlineStr">
        <is>
          <t>Craig A Van Dyke</t>
        </is>
      </c>
      <c r="I76" t="inlineStr">
        <is>
          <t>President/Chief Investment Officer</t>
        </is>
      </c>
      <c r="J76" t="inlineStr">
        <is>
          <t>CIO</t>
        </is>
      </c>
      <c r="K76" t="inlineStr">
        <is>
          <t>CIO - Top Investment Executive</t>
        </is>
      </c>
      <c r="L76" s="28" t="n">
        <v>293886</v>
      </c>
      <c r="M76" s="28" t="n">
        <v>38222</v>
      </c>
      <c r="N76" s="28" t="n">
        <v>1906</v>
      </c>
      <c r="O76" s="28" t="n">
        <v>44900</v>
      </c>
      <c r="P76" s="28" t="n">
        <v>43300</v>
      </c>
      <c r="Q76" s="28" t="n">
        <v>422214</v>
      </c>
      <c r="R76" s="28" t="n">
        <v>0</v>
      </c>
      <c r="S76" s="28">
        <f>Q76-R76</f>
        <v/>
      </c>
      <c r="T76" s="28">
        <f>IF(S76="","",S76*(1+in_GrowthRate)^(YEARFRAC(DATE(2022,12,31),in_AgeToDate)*IF(in_AgeToDate&lt;DATE(2022,12,31),-1,1)+1))</f>
        <v/>
      </c>
      <c r="U76" s="50">
        <f>IF(AND(AND(OR(in_Mode="All Funds",AND(C76&gt;=in_BandFloor,C76&lt;=in_BandCeiling,OR(in_Geography="National",COUNTIFS(lst_GeoPreset,in_Geography,lst_GeoState,B76)&gt;0,AND(in_Geography="Custom",ISNUMBER(SEARCH(B76,SUBSTITUTE(in_CustomStates," ",""))))),OR(AND(D76="Endowment",Inputs!$B$14="Y"),AND(D76="Foundation",Inputs!$B$15="Y"),AND(D76="Healthcare",Inputs!$B$16="Y"),AND(D76="Pension",Inputs!$B$17="Y"),AND(D76="OCIO",Inputs!$B$18="Y"),AND(D76="Other",Inputs!$B$19="Y")))),A76&lt;&gt;in_ClientOrg,NOT(AND(in_ExclHarvard="Y",ISNUMBER(SEARCH("Harvard",A76))))),$AD76="Y",K76&lt;&gt;"",S76&gt;0),"Y","")</f>
        <v/>
      </c>
      <c r="V76" s="30" t="n">
        <v>1</v>
      </c>
      <c r="W76" t="inlineStr"/>
      <c r="X76" s="28">
        <f>IF(L76+M76=0,"",L76+M76)</f>
        <v/>
      </c>
      <c r="Y76" s="38">
        <f>IF(L76=0,"",M76/L76)</f>
        <v/>
      </c>
      <c r="Z76" t="inlineStr">
        <is>
          <t>CIO - Top Investment Executive</t>
        </is>
      </c>
      <c r="AA76" t="inlineStr">
        <is>
          <t>Leadership</t>
        </is>
      </c>
      <c r="AB76" s="50" t="inlineStr">
        <is>
          <t>Y</t>
        </is>
      </c>
      <c r="AC76" s="43">
        <f>HYPERLINK("https://projects.propublica.org/nonprofits/organizations/420594470/202321989349301042/full","view filing")</f>
        <v/>
      </c>
      <c r="AD76" s="50" t="inlineStr"/>
    </row>
    <row r="77">
      <c r="A77" t="inlineStr">
        <is>
          <t>Boilermakers National Health &amp; Welfare Fund</t>
        </is>
      </c>
      <c r="B77" s="50" t="inlineStr">
        <is>
          <t>MN</t>
        </is>
      </c>
      <c r="C77" s="52" t="n">
        <v>1.3</v>
      </c>
      <c r="D77" t="inlineStr">
        <is>
          <t>Pension</t>
        </is>
      </c>
      <c r="E77" s="50" t="n">
        <v>2024</v>
      </c>
      <c r="F77" s="50" t="inlineStr">
        <is>
          <t>2025-11-11</t>
        </is>
      </c>
      <c r="G77" s="50" t="inlineStr">
        <is>
          <t>2024-12-31</t>
        </is>
      </c>
      <c r="H77" t="inlineStr">
        <is>
          <t>Mario Rodriquez</t>
        </is>
      </c>
      <c r="I77" t="inlineStr">
        <is>
          <t>CHIEF INVESTMENT OFFICER</t>
        </is>
      </c>
      <c r="J77" t="inlineStr">
        <is>
          <t>CIO</t>
        </is>
      </c>
      <c r="K77" t="inlineStr">
        <is>
          <t>CIO - Top Investment Executive</t>
        </is>
      </c>
      <c r="L77" s="28" t="n">
        <v>100852</v>
      </c>
      <c r="M77" s="28" t="n">
        <v>0</v>
      </c>
      <c r="N77" s="28" t="n">
        <v>34269</v>
      </c>
      <c r="O77" s="28" t="n">
        <v>43286</v>
      </c>
      <c r="P77" s="28" t="n">
        <v>4999</v>
      </c>
      <c r="Q77" s="28" t="n">
        <v>183406</v>
      </c>
      <c r="R77" s="28" t="n">
        <v>0</v>
      </c>
      <c r="S77" s="28">
        <f>Q77-R77</f>
        <v/>
      </c>
      <c r="T77" s="28">
        <f>IF(S77="","",S77*(1+in_GrowthRate)^(YEARFRAC(DATE(2024,12,31),in_AgeToDate)*IF(in_AgeToDate&lt;DATE(2024,12,31),-1,1)+1))</f>
        <v/>
      </c>
      <c r="U77" s="50">
        <f>IF(AND(AND(OR(in_Mode="All Funds",AND(C77&gt;=in_BandFloor,C77&lt;=in_BandCeiling,OR(in_Geography="National",COUNTIFS(lst_GeoPreset,in_Geography,lst_GeoState,B77)&gt;0,AND(in_Geography="Custom",ISNUMBER(SEARCH(B77,SUBSTITUTE(in_CustomStates," ",""))))),OR(AND(D77="Endowment",Inputs!$B$14="Y"),AND(D77="Foundation",Inputs!$B$15="Y"),AND(D77="Healthcare",Inputs!$B$16="Y"),AND(D77="Pension",Inputs!$B$17="Y"),AND(D77="OCIO",Inputs!$B$18="Y"),AND(D77="Other",Inputs!$B$19="Y")))),A77&lt;&gt;in_ClientOrg,NOT(AND(in_ExclHarvard="Y",ISNUMBER(SEARCH("Harvard",A77))))),$AD77="Y",K77&lt;&gt;"",S77&gt;0),"Y","")</f>
        <v/>
      </c>
      <c r="V77" s="30" t="n">
        <v>1</v>
      </c>
      <c r="W77" t="inlineStr"/>
      <c r="X77" s="28">
        <f>IF(L77+M77=0,"",L77+M77)</f>
        <v/>
      </c>
      <c r="Y77" s="38">
        <f>IF(L77=0,"",M77/L77)</f>
        <v/>
      </c>
      <c r="Z77" t="inlineStr">
        <is>
          <t>CIO - Top Investment Executive</t>
        </is>
      </c>
      <c r="AA77" t="inlineStr">
        <is>
          <t>Leadership</t>
        </is>
      </c>
      <c r="AB77" s="50" t="inlineStr">
        <is>
          <t>Y</t>
        </is>
      </c>
      <c r="AC77" s="43">
        <f>HYPERLINK("https://projects.propublica.org/nonprofits/organizations/366090694/202503159349306020/full","view filing")</f>
        <v/>
      </c>
      <c r="AD77" s="50" t="inlineStr">
        <is>
          <t>Y</t>
        </is>
      </c>
    </row>
    <row r="78">
      <c r="A78" t="inlineStr">
        <is>
          <t>Boilermakers National Health &amp; Welfare Fund</t>
        </is>
      </c>
      <c r="B78" s="50" t="inlineStr">
        <is>
          <t>MN</t>
        </is>
      </c>
      <c r="C78" s="52" t="n">
        <v>1.3</v>
      </c>
      <c r="D78" t="inlineStr">
        <is>
          <t>Pension</t>
        </is>
      </c>
      <c r="E78" s="50" t="n">
        <v>2023</v>
      </c>
      <c r="F78" s="50" t="inlineStr">
        <is>
          <t>2024-11-11</t>
        </is>
      </c>
      <c r="G78" s="50" t="inlineStr">
        <is>
          <t>2023-12-31</t>
        </is>
      </c>
      <c r="H78" t="inlineStr">
        <is>
          <t>Mario Rodriquez</t>
        </is>
      </c>
      <c r="I78" t="inlineStr">
        <is>
          <t>CHIEF INVESTMENT OFFICER</t>
        </is>
      </c>
      <c r="J78" t="inlineStr">
        <is>
          <t>CIO</t>
        </is>
      </c>
      <c r="K78" t="inlineStr">
        <is>
          <t>CIO - Top Investment Executive</t>
        </is>
      </c>
      <c r="L78" s="28" t="n">
        <v>80969</v>
      </c>
      <c r="M78" s="28" t="n">
        <v>0</v>
      </c>
      <c r="N78" s="28" t="n">
        <v>26975</v>
      </c>
      <c r="O78" s="28" t="n">
        <v>34341</v>
      </c>
      <c r="P78" s="28" t="n">
        <v>7418</v>
      </c>
      <c r="Q78" s="28" t="n">
        <v>149703</v>
      </c>
      <c r="R78" s="28" t="n">
        <v>0</v>
      </c>
      <c r="S78" s="28">
        <f>Q78-R78</f>
        <v/>
      </c>
      <c r="T78" s="28">
        <f>IF(S78="","",S78*(1+in_GrowthRate)^(YEARFRAC(DATE(2023,12,31),in_AgeToDate)*IF(in_AgeToDate&lt;DATE(2023,12,31),-1,1)+1))</f>
        <v/>
      </c>
      <c r="U78" s="50">
        <f>IF(AND(AND(OR(in_Mode="All Funds",AND(C78&gt;=in_BandFloor,C78&lt;=in_BandCeiling,OR(in_Geography="National",COUNTIFS(lst_GeoPreset,in_Geography,lst_GeoState,B78)&gt;0,AND(in_Geography="Custom",ISNUMBER(SEARCH(B78,SUBSTITUTE(in_CustomStates," ",""))))),OR(AND(D78="Endowment",Inputs!$B$14="Y"),AND(D78="Foundation",Inputs!$B$15="Y"),AND(D78="Healthcare",Inputs!$B$16="Y"),AND(D78="Pension",Inputs!$B$17="Y"),AND(D78="OCIO",Inputs!$B$18="Y"),AND(D78="Other",Inputs!$B$19="Y")))),A78&lt;&gt;in_ClientOrg,NOT(AND(in_ExclHarvard="Y",ISNUMBER(SEARCH("Harvard",A78))))),$AD78="Y",K78&lt;&gt;"",S78&gt;0),"Y","")</f>
        <v/>
      </c>
      <c r="V78" s="30" t="n">
        <v>1</v>
      </c>
      <c r="W78" t="inlineStr"/>
      <c r="X78" s="28">
        <f>IF(L78+M78=0,"",L78+M78)</f>
        <v/>
      </c>
      <c r="Y78" s="38">
        <f>IF(L78=0,"",M78/L78)</f>
        <v/>
      </c>
      <c r="Z78" t="inlineStr">
        <is>
          <t>CIO - Top Investment Executive</t>
        </is>
      </c>
      <c r="AA78" t="inlineStr">
        <is>
          <t>Leadership</t>
        </is>
      </c>
      <c r="AB78" s="50" t="inlineStr">
        <is>
          <t>Y</t>
        </is>
      </c>
      <c r="AC78" s="43">
        <f>HYPERLINK("https://projects.propublica.org/nonprofits/organizations/366090694/202443169349305164/full","view filing")</f>
        <v/>
      </c>
      <c r="AD78" s="50" t="inlineStr"/>
    </row>
    <row r="79">
      <c r="A79" t="inlineStr">
        <is>
          <t>Boilermakers National Health &amp; Welfare Fund</t>
        </is>
      </c>
      <c r="B79" s="50" t="inlineStr">
        <is>
          <t>MN</t>
        </is>
      </c>
      <c r="C79" s="52" t="n">
        <v>1.3</v>
      </c>
      <c r="D79" t="inlineStr">
        <is>
          <t>Pension</t>
        </is>
      </c>
      <c r="E79" s="50" t="n">
        <v>2022</v>
      </c>
      <c r="F79" s="50" t="inlineStr">
        <is>
          <t>2023-11-13</t>
        </is>
      </c>
      <c r="G79" s="50" t="inlineStr">
        <is>
          <t>2022-12-31</t>
        </is>
      </c>
      <c r="H79" t="inlineStr">
        <is>
          <t>Mario Rodriquez</t>
        </is>
      </c>
      <c r="I79" t="inlineStr">
        <is>
          <t>CHIEF INVESTMENT OFFICER</t>
        </is>
      </c>
      <c r="J79" t="inlineStr">
        <is>
          <t>CIO</t>
        </is>
      </c>
      <c r="K79" t="inlineStr">
        <is>
          <t>CIO - Top Investment Executive</t>
        </is>
      </c>
      <c r="L79" s="28" t="n">
        <v>71066</v>
      </c>
      <c r="M79" s="28" t="n">
        <v>0</v>
      </c>
      <c r="N79" s="28" t="n">
        <v>24852</v>
      </c>
      <c r="O79" s="28" t="n">
        <v>31725</v>
      </c>
      <c r="P79" s="28" t="n">
        <v>7275</v>
      </c>
      <c r="Q79" s="28" t="n">
        <v>134918</v>
      </c>
      <c r="R79" s="28" t="n">
        <v>0</v>
      </c>
      <c r="S79" s="28">
        <f>Q79-R79</f>
        <v/>
      </c>
      <c r="T79" s="28">
        <f>IF(S79="","",S79*(1+in_GrowthRate)^(YEARFRAC(DATE(2022,12,31),in_AgeToDate)*IF(in_AgeToDate&lt;DATE(2022,12,31),-1,1)+1))</f>
        <v/>
      </c>
      <c r="U79" s="50">
        <f>IF(AND(AND(OR(in_Mode="All Funds",AND(C79&gt;=in_BandFloor,C79&lt;=in_BandCeiling,OR(in_Geography="National",COUNTIFS(lst_GeoPreset,in_Geography,lst_GeoState,B79)&gt;0,AND(in_Geography="Custom",ISNUMBER(SEARCH(B79,SUBSTITUTE(in_CustomStates," ",""))))),OR(AND(D79="Endowment",Inputs!$B$14="Y"),AND(D79="Foundation",Inputs!$B$15="Y"),AND(D79="Healthcare",Inputs!$B$16="Y"),AND(D79="Pension",Inputs!$B$17="Y"),AND(D79="OCIO",Inputs!$B$18="Y"),AND(D79="Other",Inputs!$B$19="Y")))),A79&lt;&gt;in_ClientOrg,NOT(AND(in_ExclHarvard="Y",ISNUMBER(SEARCH("Harvard",A79))))),$AD79="Y",K79&lt;&gt;"",S79&gt;0),"Y","")</f>
        <v/>
      </c>
      <c r="V79" s="30" t="n">
        <v>1</v>
      </c>
      <c r="W79" t="inlineStr"/>
      <c r="X79" s="28">
        <f>IF(L79+M79=0,"",L79+M79)</f>
        <v/>
      </c>
      <c r="Y79" s="38">
        <f>IF(L79=0,"",M79/L79)</f>
        <v/>
      </c>
      <c r="Z79" t="inlineStr">
        <is>
          <t>CIO - Top Investment Executive</t>
        </is>
      </c>
      <c r="AA79" t="inlineStr">
        <is>
          <t>Leadership</t>
        </is>
      </c>
      <c r="AB79" s="50" t="inlineStr">
        <is>
          <t>Y</t>
        </is>
      </c>
      <c r="AC79" s="43">
        <f>HYPERLINK("https://projects.propublica.org/nonprofits/organizations/366090694/202303179349302730/full","view filing")</f>
        <v/>
      </c>
      <c r="AD79" s="50" t="inlineStr"/>
    </row>
    <row r="80">
      <c r="A80" t="inlineStr">
        <is>
          <t>Boston College Trustees</t>
        </is>
      </c>
      <c r="B80" s="50" t="inlineStr">
        <is>
          <t>MA</t>
        </is>
      </c>
      <c r="C80" s="52" t="n">
        <v>4.24</v>
      </c>
      <c r="D80" t="inlineStr">
        <is>
          <t>Endowment</t>
        </is>
      </c>
      <c r="E80" s="50" t="n">
        <v>2025</v>
      </c>
      <c r="F80" s="50" t="inlineStr">
        <is>
          <t>2026-04-03</t>
        </is>
      </c>
      <c r="G80" s="50" t="inlineStr">
        <is>
          <t>2025-05-31</t>
        </is>
      </c>
      <c r="H80" t="inlineStr">
        <is>
          <t>John J Zona</t>
        </is>
      </c>
      <c r="I80" t="inlineStr">
        <is>
          <t>CHIEF INVESTMENT OFFICER</t>
        </is>
      </c>
      <c r="J80" t="inlineStr">
        <is>
          <t>CIO</t>
        </is>
      </c>
      <c r="K80" t="inlineStr">
        <is>
          <t>CIO - Top Investment Executive</t>
        </is>
      </c>
      <c r="L80" s="28" t="n">
        <v>707386</v>
      </c>
      <c r="M80" s="28" t="n">
        <v>242782</v>
      </c>
      <c r="N80" s="28" t="n">
        <v>148762</v>
      </c>
      <c r="O80" s="28" t="n">
        <v>34500</v>
      </c>
      <c r="P80" s="28" t="n">
        <v>46069</v>
      </c>
      <c r="Q80" s="28" t="n">
        <v>1179499</v>
      </c>
      <c r="R80" s="28" t="n">
        <v>223228</v>
      </c>
      <c r="S80" s="28">
        <f>Q80-R80</f>
        <v/>
      </c>
      <c r="T80" s="28">
        <f>IF(S80="","",S80*(1+in_GrowthRate)^(YEARFRAC(DATE(2025,5,31),in_AgeToDate)*IF(in_AgeToDate&lt;DATE(2025,5,31),-1,1)+1))</f>
        <v/>
      </c>
      <c r="U80" s="50">
        <f>IF(AND(AND(OR(in_Mode="All Funds",AND(C80&gt;=in_BandFloor,C80&lt;=in_BandCeiling,OR(in_Geography="National",COUNTIFS(lst_GeoPreset,in_Geography,lst_GeoState,B80)&gt;0,AND(in_Geography="Custom",ISNUMBER(SEARCH(B80,SUBSTITUTE(in_CustomStates," ",""))))),OR(AND(D80="Endowment",Inputs!$B$14="Y"),AND(D80="Foundation",Inputs!$B$15="Y"),AND(D80="Healthcare",Inputs!$B$16="Y"),AND(D80="Pension",Inputs!$B$17="Y"),AND(D80="OCIO",Inputs!$B$18="Y"),AND(D80="Other",Inputs!$B$19="Y")))),A80&lt;&gt;in_ClientOrg,NOT(AND(in_ExclHarvard="Y",ISNUMBER(SEARCH("Harvard",A80))))),$AD80="Y",K80&lt;&gt;"",S80&gt;0),"Y","")</f>
        <v/>
      </c>
      <c r="V80" s="30" t="n">
        <v>1</v>
      </c>
      <c r="W80" t="inlineStr"/>
      <c r="X80" s="28">
        <f>IF(L80+M80=0,"",L80+M80)</f>
        <v/>
      </c>
      <c r="Y80" s="38">
        <f>IF(L80=0,"",M80/L80)</f>
        <v/>
      </c>
      <c r="Z80" t="inlineStr">
        <is>
          <t>CIO - Top Investment Executive</t>
        </is>
      </c>
      <c r="AA80" t="inlineStr">
        <is>
          <t>Leadership</t>
        </is>
      </c>
      <c r="AB80" s="50" t="inlineStr">
        <is>
          <t>Y</t>
        </is>
      </c>
      <c r="AC80" s="43">
        <f>HYPERLINK("https://projects.propublica.org/nonprofits/organizations/42103545/202620939349301002/full","view filing")</f>
        <v/>
      </c>
      <c r="AD80" s="50" t="inlineStr">
        <is>
          <t>Y</t>
        </is>
      </c>
    </row>
    <row r="81">
      <c r="A81" t="inlineStr">
        <is>
          <t>Boston College Trustees</t>
        </is>
      </c>
      <c r="B81" s="50" t="inlineStr">
        <is>
          <t>MA</t>
        </is>
      </c>
      <c r="C81" s="52" t="n">
        <v>4.24</v>
      </c>
      <c r="D81" t="inlineStr">
        <is>
          <t>Endowment</t>
        </is>
      </c>
      <c r="E81" s="50" t="n">
        <v>2024</v>
      </c>
      <c r="F81" s="50" t="inlineStr">
        <is>
          <t>2025-04-02</t>
        </is>
      </c>
      <c r="G81" s="50" t="inlineStr">
        <is>
          <t>2024-05-31</t>
        </is>
      </c>
      <c r="H81" t="inlineStr">
        <is>
          <t>John J Zona</t>
        </is>
      </c>
      <c r="I81" t="inlineStr">
        <is>
          <t>CHIEF INVESTMENT OFFICER</t>
        </is>
      </c>
      <c r="J81" t="inlineStr">
        <is>
          <t>CIO</t>
        </is>
      </c>
      <c r="K81" t="inlineStr">
        <is>
          <t>CIO - Top Investment Executive</t>
        </is>
      </c>
      <c r="L81" s="28" t="n">
        <v>655547</v>
      </c>
      <c r="M81" s="28" t="n">
        <v>504186</v>
      </c>
      <c r="N81" s="28" t="n">
        <v>151192</v>
      </c>
      <c r="O81" s="28" t="n">
        <v>256477</v>
      </c>
      <c r="P81" s="28" t="n">
        <v>44153</v>
      </c>
      <c r="Q81" s="28" t="n">
        <v>1611555</v>
      </c>
      <c r="R81" s="28" t="n">
        <v>247446</v>
      </c>
      <c r="S81" s="28">
        <f>Q81-R81</f>
        <v/>
      </c>
      <c r="T81" s="28">
        <f>IF(S81="","",S81*(1+in_GrowthRate)^(YEARFRAC(DATE(2024,5,31),in_AgeToDate)*IF(in_AgeToDate&lt;DATE(2024,5,31),-1,1)+1))</f>
        <v/>
      </c>
      <c r="U81" s="50">
        <f>IF(AND(AND(OR(in_Mode="All Funds",AND(C81&gt;=in_BandFloor,C81&lt;=in_BandCeiling,OR(in_Geography="National",COUNTIFS(lst_GeoPreset,in_Geography,lst_GeoState,B81)&gt;0,AND(in_Geography="Custom",ISNUMBER(SEARCH(B81,SUBSTITUTE(in_CustomStates," ",""))))),OR(AND(D81="Endowment",Inputs!$B$14="Y"),AND(D81="Foundation",Inputs!$B$15="Y"),AND(D81="Healthcare",Inputs!$B$16="Y"),AND(D81="Pension",Inputs!$B$17="Y"),AND(D81="OCIO",Inputs!$B$18="Y"),AND(D81="Other",Inputs!$B$19="Y")))),A81&lt;&gt;in_ClientOrg,NOT(AND(in_ExclHarvard="Y",ISNUMBER(SEARCH("Harvard",A81))))),$AD81="Y",K81&lt;&gt;"",S81&gt;0),"Y","")</f>
        <v/>
      </c>
      <c r="V81" s="30" t="n">
        <v>1</v>
      </c>
      <c r="W81" t="inlineStr"/>
      <c r="X81" s="28">
        <f>IF(L81+M81=0,"",L81+M81)</f>
        <v/>
      </c>
      <c r="Y81" s="38">
        <f>IF(L81=0,"",M81/L81)</f>
        <v/>
      </c>
      <c r="Z81" t="inlineStr">
        <is>
          <t>CIO - Top Investment Executive</t>
        </is>
      </c>
      <c r="AA81" t="inlineStr">
        <is>
          <t>Leadership</t>
        </is>
      </c>
      <c r="AB81" s="50" t="inlineStr">
        <is>
          <t>Y</t>
        </is>
      </c>
      <c r="AC81" s="43">
        <f>HYPERLINK("https://projects.propublica.org/nonprofits/organizations/42103545/202520929349301022/full","view filing")</f>
        <v/>
      </c>
      <c r="AD81" s="50" t="inlineStr"/>
    </row>
    <row r="82">
      <c r="A82" t="inlineStr">
        <is>
          <t>Boston College Trustees</t>
        </is>
      </c>
      <c r="B82" s="50" t="inlineStr">
        <is>
          <t>MA</t>
        </is>
      </c>
      <c r="C82" s="52" t="n">
        <v>4.24</v>
      </c>
      <c r="D82" t="inlineStr">
        <is>
          <t>Endowment</t>
        </is>
      </c>
      <c r="E82" s="50" t="n">
        <v>2023</v>
      </c>
      <c r="F82" s="50" t="inlineStr">
        <is>
          <t>2024-04-11</t>
        </is>
      </c>
      <c r="G82" s="50" t="inlineStr">
        <is>
          <t>2023-05-31</t>
        </is>
      </c>
      <c r="H82" t="inlineStr">
        <is>
          <t>John J Zona</t>
        </is>
      </c>
      <c r="I82" t="inlineStr">
        <is>
          <t>CIO &amp; ASSOC TREAS</t>
        </is>
      </c>
      <c r="J82" t="inlineStr">
        <is>
          <t>CIO</t>
        </is>
      </c>
      <c r="K82" t="inlineStr">
        <is>
          <t>CIO - Top Investment Executive</t>
        </is>
      </c>
      <c r="L82" s="28" t="n">
        <v>629865</v>
      </c>
      <c r="M82" s="28" t="n">
        <v>293225</v>
      </c>
      <c r="N82" s="28" t="n">
        <v>126274</v>
      </c>
      <c r="O82" s="28" t="n">
        <v>253729</v>
      </c>
      <c r="P82" s="28" t="n">
        <v>42324</v>
      </c>
      <c r="Q82" s="28" t="n">
        <v>1345417</v>
      </c>
      <c r="R82" s="28" t="n">
        <v>14353</v>
      </c>
      <c r="S82" s="28">
        <f>Q82-R82</f>
        <v/>
      </c>
      <c r="T82" s="28">
        <f>IF(S82="","",S82*(1+in_GrowthRate)^(YEARFRAC(DATE(2023,5,31),in_AgeToDate)*IF(in_AgeToDate&lt;DATE(2023,5,31),-1,1)+1))</f>
        <v/>
      </c>
      <c r="U82" s="50">
        <f>IF(AND(AND(OR(in_Mode="All Funds",AND(C82&gt;=in_BandFloor,C82&lt;=in_BandCeiling,OR(in_Geography="National",COUNTIFS(lst_GeoPreset,in_Geography,lst_GeoState,B82)&gt;0,AND(in_Geography="Custom",ISNUMBER(SEARCH(B82,SUBSTITUTE(in_CustomStates," ",""))))),OR(AND(D82="Endowment",Inputs!$B$14="Y"),AND(D82="Foundation",Inputs!$B$15="Y"),AND(D82="Healthcare",Inputs!$B$16="Y"),AND(D82="Pension",Inputs!$B$17="Y"),AND(D82="OCIO",Inputs!$B$18="Y"),AND(D82="Other",Inputs!$B$19="Y")))),A82&lt;&gt;in_ClientOrg,NOT(AND(in_ExclHarvard="Y",ISNUMBER(SEARCH("Harvard",A82))))),$AD82="Y",K82&lt;&gt;"",S82&gt;0),"Y","")</f>
        <v/>
      </c>
      <c r="V82" s="30" t="n">
        <v>1</v>
      </c>
      <c r="W82" t="inlineStr"/>
      <c r="X82" s="28">
        <f>IF(L82+M82=0,"",L82+M82)</f>
        <v/>
      </c>
      <c r="Y82" s="38">
        <f>IF(L82=0,"",M82/L82)</f>
        <v/>
      </c>
      <c r="Z82" t="inlineStr">
        <is>
          <t>CIO - Top Investment Executive</t>
        </is>
      </c>
      <c r="AA82" t="inlineStr">
        <is>
          <t>Leadership</t>
        </is>
      </c>
      <c r="AB82" s="50" t="inlineStr">
        <is>
          <t>Y</t>
        </is>
      </c>
      <c r="AC82" s="43">
        <f>HYPERLINK("https://projects.propublica.org/nonprofits/organizations/42103545/202421029349300622/full","view filing")</f>
        <v/>
      </c>
      <c r="AD82" s="50" t="inlineStr"/>
    </row>
    <row r="83">
      <c r="A83" t="inlineStr">
        <is>
          <t>Boston College Trustees</t>
        </is>
      </c>
      <c r="B83" s="50" t="inlineStr">
        <is>
          <t>MA</t>
        </is>
      </c>
      <c r="C83" s="52" t="n">
        <v>4.24</v>
      </c>
      <c r="D83" t="inlineStr">
        <is>
          <t>Endowment</t>
        </is>
      </c>
      <c r="E83" s="50" t="n">
        <v>2022</v>
      </c>
      <c r="F83" s="50" t="inlineStr">
        <is>
          <t>2023-04-14</t>
        </is>
      </c>
      <c r="G83" s="50" t="inlineStr">
        <is>
          <t>2022-05-31</t>
        </is>
      </c>
      <c r="H83" t="inlineStr">
        <is>
          <t>John J Zona</t>
        </is>
      </c>
      <c r="I83" t="inlineStr">
        <is>
          <t>CIO &amp; ASSOC TREAS</t>
        </is>
      </c>
      <c r="J83" t="inlineStr">
        <is>
          <t>CIO</t>
        </is>
      </c>
      <c r="K83" t="inlineStr">
        <is>
          <t>CIO - Top Investment Executive</t>
        </is>
      </c>
      <c r="L83" s="28" t="n">
        <v>611503</v>
      </c>
      <c r="M83" s="28" t="n">
        <v>565985</v>
      </c>
      <c r="N83" s="28" t="n">
        <v>20742</v>
      </c>
      <c r="O83" s="28" t="n">
        <v>276446</v>
      </c>
      <c r="P83" s="28" t="n">
        <v>99743</v>
      </c>
      <c r="Q83" s="28" t="n">
        <v>1574419</v>
      </c>
      <c r="R83" s="28" t="n">
        <v>176417</v>
      </c>
      <c r="S83" s="28">
        <f>Q83-R83</f>
        <v/>
      </c>
      <c r="T83" s="28">
        <f>IF(S83="","",S83*(1+in_GrowthRate)^(YEARFRAC(DATE(2022,5,31),in_AgeToDate)*IF(in_AgeToDate&lt;DATE(2022,5,31),-1,1)+1))</f>
        <v/>
      </c>
      <c r="U83" s="50">
        <f>IF(AND(AND(OR(in_Mode="All Funds",AND(C83&gt;=in_BandFloor,C83&lt;=in_BandCeiling,OR(in_Geography="National",COUNTIFS(lst_GeoPreset,in_Geography,lst_GeoState,B83)&gt;0,AND(in_Geography="Custom",ISNUMBER(SEARCH(B83,SUBSTITUTE(in_CustomStates," ",""))))),OR(AND(D83="Endowment",Inputs!$B$14="Y"),AND(D83="Foundation",Inputs!$B$15="Y"),AND(D83="Healthcare",Inputs!$B$16="Y"),AND(D83="Pension",Inputs!$B$17="Y"),AND(D83="OCIO",Inputs!$B$18="Y"),AND(D83="Other",Inputs!$B$19="Y")))),A83&lt;&gt;in_ClientOrg,NOT(AND(in_ExclHarvard="Y",ISNUMBER(SEARCH("Harvard",A83))))),$AD83="Y",K83&lt;&gt;"",S83&gt;0),"Y","")</f>
        <v/>
      </c>
      <c r="V83" s="30" t="n">
        <v>1</v>
      </c>
      <c r="W83" t="inlineStr"/>
      <c r="X83" s="28">
        <f>IF(L83+M83=0,"",L83+M83)</f>
        <v/>
      </c>
      <c r="Y83" s="38">
        <f>IF(L83=0,"",M83/L83)</f>
        <v/>
      </c>
      <c r="Z83" t="inlineStr">
        <is>
          <t>CIO - Top Investment Executive</t>
        </is>
      </c>
      <c r="AA83" t="inlineStr">
        <is>
          <t>Leadership</t>
        </is>
      </c>
      <c r="AB83" s="50" t="inlineStr">
        <is>
          <t>Y</t>
        </is>
      </c>
      <c r="AC83" s="43">
        <f>HYPERLINK("https://projects.propublica.org/nonprofits/organizations/42103545/202301049349301110/full","view filing")</f>
        <v/>
      </c>
      <c r="AD83" s="50" t="inlineStr"/>
    </row>
    <row r="84">
      <c r="A84" t="inlineStr">
        <is>
          <t>Bowdoin College</t>
        </is>
      </c>
      <c r="B84" s="50" t="inlineStr">
        <is>
          <t>ME</t>
        </is>
      </c>
      <c r="C84" s="52" t="n">
        <v>2.92</v>
      </c>
      <c r="D84" t="inlineStr">
        <is>
          <t>Endowment</t>
        </is>
      </c>
      <c r="E84" s="50" t="n">
        <v>2025</v>
      </c>
      <c r="F84" s="50" t="inlineStr">
        <is>
          <t>2026-05-12</t>
        </is>
      </c>
      <c r="G84" s="50" t="inlineStr">
        <is>
          <t>2025-06-30</t>
        </is>
      </c>
      <c r="H84" t="inlineStr">
        <is>
          <t>Ashley Conrad</t>
        </is>
      </c>
      <c r="I84" t="inlineStr">
        <is>
          <t>ENDOWMENT CHIEF OP OFFICER</t>
        </is>
      </c>
      <c r="J84" t="inlineStr">
        <is>
          <t>COO (Inv Entity)</t>
        </is>
      </c>
      <c r="K84" t="inlineStr">
        <is>
          <t>COO (Investment Office)</t>
        </is>
      </c>
      <c r="L84" s="28" t="n">
        <v>279638</v>
      </c>
      <c r="M84" s="28" t="n">
        <v>190725</v>
      </c>
      <c r="N84" s="28" t="n">
        <v>1088</v>
      </c>
      <c r="O84" s="28" t="n">
        <v>44882</v>
      </c>
      <c r="P84" s="28" t="n">
        <v>27646</v>
      </c>
      <c r="Q84" s="28" t="n">
        <v>543979</v>
      </c>
      <c r="R84" s="28" t="n">
        <v>0</v>
      </c>
      <c r="S84" s="28">
        <f>Q84-R84</f>
        <v/>
      </c>
      <c r="T84" s="28">
        <f>IF(S84="","",S84*(1+in_GrowthRate)^(YEARFRAC(DATE(2025,6,30),in_AgeToDate)*IF(in_AgeToDate&lt;DATE(2025,6,30),-1,1)+1))</f>
        <v/>
      </c>
      <c r="U84" s="50">
        <f>IF(AND(AND(OR(in_Mode="All Funds",AND(C84&gt;=in_BandFloor,C84&lt;=in_BandCeiling,OR(in_Geography="National",COUNTIFS(lst_GeoPreset,in_Geography,lst_GeoState,B84)&gt;0,AND(in_Geography="Custom",ISNUMBER(SEARCH(B84,SUBSTITUTE(in_CustomStates," ",""))))),OR(AND(D84="Endowment",Inputs!$B$14="Y"),AND(D84="Foundation",Inputs!$B$15="Y"),AND(D84="Healthcare",Inputs!$B$16="Y"),AND(D84="Pension",Inputs!$B$17="Y"),AND(D84="OCIO",Inputs!$B$18="Y"),AND(D84="Other",Inputs!$B$19="Y")))),A84&lt;&gt;in_ClientOrg,NOT(AND(in_ExclHarvard="Y",ISNUMBER(SEARCH("Harvard",A84))))),$AD84="Y",K84&lt;&gt;"",S84&gt;0),"Y","")</f>
        <v/>
      </c>
      <c r="V84" s="30" t="n">
        <v>0.253742969905575</v>
      </c>
      <c r="W84" t="inlineStr"/>
      <c r="X84" s="28">
        <f>IF(L84+M84=0,"",L84+M84)</f>
        <v/>
      </c>
      <c r="Y84" s="38">
        <f>IF(L84=0,"",M84/L84)</f>
        <v/>
      </c>
      <c r="Z84" t="inlineStr">
        <is>
          <t>COO (Investment Office)</t>
        </is>
      </c>
      <c r="AA84" t="inlineStr">
        <is>
          <t>Operations &amp; Control</t>
        </is>
      </c>
      <c r="AB84" s="50" t="inlineStr"/>
      <c r="AC84" s="43">
        <f>HYPERLINK("https://projects.propublica.org/nonprofits/organizations/10215213/202611329349306966/full","view filing")</f>
        <v/>
      </c>
      <c r="AD84" s="50" t="inlineStr">
        <is>
          <t>Y</t>
        </is>
      </c>
    </row>
    <row r="85">
      <c r="A85" t="inlineStr">
        <is>
          <t>Bowdoin College</t>
        </is>
      </c>
      <c r="B85" s="50" t="inlineStr">
        <is>
          <t>ME</t>
        </is>
      </c>
      <c r="C85" s="52" t="n">
        <v>2.92</v>
      </c>
      <c r="D85" t="inlineStr">
        <is>
          <t>Endowment</t>
        </is>
      </c>
      <c r="E85" s="50" t="n">
        <v>2025</v>
      </c>
      <c r="F85" s="50" t="inlineStr">
        <is>
          <t>2026-05-12</t>
        </is>
      </c>
      <c r="G85" s="50" t="inlineStr">
        <is>
          <t>2025-06-30</t>
        </is>
      </c>
      <c r="H85" t="inlineStr">
        <is>
          <t>Boris Raykin</t>
        </is>
      </c>
      <c r="I85" t="inlineStr">
        <is>
          <t>DIRECTOR OF INVESTMENTS</t>
        </is>
      </c>
      <c r="J85" t="inlineStr">
        <is>
          <t>Director of Investments</t>
        </is>
      </c>
      <c r="K85" t="inlineStr">
        <is>
          <t>Sr Investment Professional</t>
        </is>
      </c>
      <c r="L85" s="28" t="n">
        <v>545109</v>
      </c>
      <c r="M85" s="28" t="n">
        <v>507377</v>
      </c>
      <c r="N85" s="28" t="n">
        <v>2160</v>
      </c>
      <c r="O85" s="28" t="n">
        <v>45399</v>
      </c>
      <c r="P85" s="28" t="n">
        <v>4111</v>
      </c>
      <c r="Q85" s="28" t="n">
        <v>1104156</v>
      </c>
      <c r="R85" s="28" t="n">
        <v>0</v>
      </c>
      <c r="S85" s="28">
        <f>Q85-R85</f>
        <v/>
      </c>
      <c r="T85" s="28">
        <f>IF(S85="","",S85*(1+in_GrowthRate)^(YEARFRAC(DATE(2025,6,30),in_AgeToDate)*IF(in_AgeToDate&lt;DATE(2025,6,30),-1,1)+1))</f>
        <v/>
      </c>
      <c r="U85" s="50">
        <f>IF(AND(AND(OR(in_Mode="All Funds",AND(C85&gt;=in_BandFloor,C85&lt;=in_BandCeiling,OR(in_Geography="National",COUNTIFS(lst_GeoPreset,in_Geography,lst_GeoState,B85)&gt;0,AND(in_Geography="Custom",ISNUMBER(SEARCH(B85,SUBSTITUTE(in_CustomStates," ",""))))),OR(AND(D85="Endowment",Inputs!$B$14="Y"),AND(D85="Foundation",Inputs!$B$15="Y"),AND(D85="Healthcare",Inputs!$B$16="Y"),AND(D85="Pension",Inputs!$B$17="Y"),AND(D85="OCIO",Inputs!$B$18="Y"),AND(D85="Other",Inputs!$B$19="Y")))),A85&lt;&gt;in_ClientOrg,NOT(AND(in_ExclHarvard="Y",ISNUMBER(SEARCH("Harvard",A85))))),$AD85="Y",K85&lt;&gt;"",S85&gt;0),"Y","")</f>
        <v/>
      </c>
      <c r="V85" s="30" t="n">
        <v>0.5150416149870861</v>
      </c>
      <c r="W85" t="inlineStr"/>
      <c r="X85" s="28">
        <f>IF(L85+M85=0,"",L85+M85)</f>
        <v/>
      </c>
      <c r="Y85" s="38">
        <f>IF(L85=0,"",M85/L85)</f>
        <v/>
      </c>
      <c r="Z85" t="inlineStr">
        <is>
          <t>Director &amp; Investment Officer</t>
        </is>
      </c>
      <c r="AA85" t="inlineStr">
        <is>
          <t>Investments</t>
        </is>
      </c>
      <c r="AB85" s="50" t="inlineStr"/>
      <c r="AC85" s="43">
        <f>HYPERLINK("https://projects.propublica.org/nonprofits/organizations/10215213/202611329349306966/full","view filing")</f>
        <v/>
      </c>
      <c r="AD85" s="50" t="inlineStr">
        <is>
          <t>Y</t>
        </is>
      </c>
    </row>
    <row r="86">
      <c r="A86" t="inlineStr">
        <is>
          <t>Bowdoin College</t>
        </is>
      </c>
      <c r="B86" s="50" t="inlineStr">
        <is>
          <t>ME</t>
        </is>
      </c>
      <c r="C86" s="52" t="n">
        <v>2.92</v>
      </c>
      <c r="D86" t="inlineStr">
        <is>
          <t>Endowment</t>
        </is>
      </c>
      <c r="E86" s="50" t="n">
        <v>2025</v>
      </c>
      <c r="F86" s="50" t="inlineStr">
        <is>
          <t>2026-05-12</t>
        </is>
      </c>
      <c r="G86" s="50" t="inlineStr">
        <is>
          <t>2025-06-30</t>
        </is>
      </c>
      <c r="H86" t="inlineStr">
        <is>
          <t>K Niles Bryant</t>
        </is>
      </c>
      <c r="I86" t="inlineStr">
        <is>
          <t>SVP/CHIEF INVESTMENTS OFFICER</t>
        </is>
      </c>
      <c r="J86" t="inlineStr">
        <is>
          <t>CIO</t>
        </is>
      </c>
      <c r="K86" t="inlineStr">
        <is>
          <t>CIO - Top Investment Executive</t>
        </is>
      </c>
      <c r="L86" s="28" t="n">
        <v>872801</v>
      </c>
      <c r="M86" s="28" t="n">
        <v>1200000</v>
      </c>
      <c r="N86" s="28" t="n">
        <v>2928</v>
      </c>
      <c r="O86" s="28" t="n">
        <v>48927</v>
      </c>
      <c r="P86" s="28" t="n">
        <v>19163</v>
      </c>
      <c r="Q86" s="28" t="n">
        <v>2143819</v>
      </c>
      <c r="R86" s="28" t="n">
        <v>0</v>
      </c>
      <c r="S86" s="28">
        <f>Q86-R86</f>
        <v/>
      </c>
      <c r="T86" s="28">
        <f>IF(S86="","",S86*(1+in_GrowthRate)^(YEARFRAC(DATE(2025,6,30),in_AgeToDate)*IF(in_AgeToDate&lt;DATE(2025,6,30),-1,1)+1))</f>
        <v/>
      </c>
      <c r="U86" s="50">
        <f>IF(AND(AND(OR(in_Mode="All Funds",AND(C86&gt;=in_BandFloor,C86&lt;=in_BandCeiling,OR(in_Geography="National",COUNTIFS(lst_GeoPreset,in_Geography,lst_GeoState,B86)&gt;0,AND(in_Geography="Custom",ISNUMBER(SEARCH(B86,SUBSTITUTE(in_CustomStates," ",""))))),OR(AND(D86="Endowment",Inputs!$B$14="Y"),AND(D86="Foundation",Inputs!$B$15="Y"),AND(D86="Healthcare",Inputs!$B$16="Y"),AND(D86="Pension",Inputs!$B$17="Y"),AND(D86="OCIO",Inputs!$B$18="Y"),AND(D86="Other",Inputs!$B$19="Y")))),A86&lt;&gt;in_ClientOrg,NOT(AND(in_ExclHarvard="Y",ISNUMBER(SEARCH("Harvard",A86))))),$AD86="Y",K86&lt;&gt;"",S86&gt;0),"Y","")</f>
        <v/>
      </c>
      <c r="V86" s="30" t="n">
        <v>1</v>
      </c>
      <c r="W86" t="inlineStr"/>
      <c r="X86" s="28">
        <f>IF(L86+M86=0,"",L86+M86)</f>
        <v/>
      </c>
      <c r="Y86" s="38">
        <f>IF(L86=0,"",M86/L86)</f>
        <v/>
      </c>
      <c r="Z86" t="inlineStr">
        <is>
          <t>CIO - Top Investment Executive</t>
        </is>
      </c>
      <c r="AA86" t="inlineStr">
        <is>
          <t>Leadership</t>
        </is>
      </c>
      <c r="AB86" s="50" t="inlineStr">
        <is>
          <t>Y</t>
        </is>
      </c>
      <c r="AC86" s="43">
        <f>HYPERLINK("https://projects.propublica.org/nonprofits/organizations/10215213/202611329349306966/full","view filing")</f>
        <v/>
      </c>
      <c r="AD86" s="50" t="inlineStr">
        <is>
          <t>Y</t>
        </is>
      </c>
    </row>
    <row r="87">
      <c r="A87" t="inlineStr">
        <is>
          <t>Bowdoin College</t>
        </is>
      </c>
      <c r="B87" s="50" t="inlineStr">
        <is>
          <t>ME</t>
        </is>
      </c>
      <c r="C87" s="52" t="n">
        <v>2.92</v>
      </c>
      <c r="D87" t="inlineStr">
        <is>
          <t>Endowment</t>
        </is>
      </c>
      <c r="E87" s="50" t="n">
        <v>2025</v>
      </c>
      <c r="F87" s="50" t="inlineStr">
        <is>
          <t>2026-05-12</t>
        </is>
      </c>
      <c r="G87" s="50" t="inlineStr">
        <is>
          <t>2025-06-30</t>
        </is>
      </c>
      <c r="H87" t="inlineStr">
        <is>
          <t>Page Machlin</t>
        </is>
      </c>
      <c r="I87" t="inlineStr">
        <is>
          <t>DIRECTOR OF INVESTMENTS</t>
        </is>
      </c>
      <c r="J87" t="inlineStr">
        <is>
          <t>Director of Investments</t>
        </is>
      </c>
      <c r="K87" t="inlineStr">
        <is>
          <t>Sr Investment Professional</t>
        </is>
      </c>
      <c r="L87" s="28" t="n">
        <v>536250</v>
      </c>
      <c r="M87" s="28" t="n">
        <v>489038</v>
      </c>
      <c r="N87" s="28" t="n">
        <v>1584</v>
      </c>
      <c r="O87" s="28" t="n">
        <v>45399</v>
      </c>
      <c r="P87" s="28" t="n">
        <v>3421</v>
      </c>
      <c r="Q87" s="28" t="n">
        <v>1075692</v>
      </c>
      <c r="R87" s="28" t="n">
        <v>0</v>
      </c>
      <c r="S87" s="28">
        <f>Q87-R87</f>
        <v/>
      </c>
      <c r="T87" s="28">
        <f>IF(S87="","",S87*(1+in_GrowthRate)^(YEARFRAC(DATE(2025,6,30),in_AgeToDate)*IF(in_AgeToDate&lt;DATE(2025,6,30),-1,1)+1))</f>
        <v/>
      </c>
      <c r="U87" s="50">
        <f>IF(AND(AND(OR(in_Mode="All Funds",AND(C87&gt;=in_BandFloor,C87&lt;=in_BandCeiling,OR(in_Geography="National",COUNTIFS(lst_GeoPreset,in_Geography,lst_GeoState,B87)&gt;0,AND(in_Geography="Custom",ISNUMBER(SEARCH(B87,SUBSTITUTE(in_CustomStates," ",""))))),OR(AND(D87="Endowment",Inputs!$B$14="Y"),AND(D87="Foundation",Inputs!$B$15="Y"),AND(D87="Healthcare",Inputs!$B$16="Y"),AND(D87="Pension",Inputs!$B$17="Y"),AND(D87="OCIO",Inputs!$B$18="Y"),AND(D87="Other",Inputs!$B$19="Y")))),A87&lt;&gt;in_ClientOrg,NOT(AND(in_ExclHarvard="Y",ISNUMBER(SEARCH("Harvard",A87))))),$AD87="Y",K87&lt;&gt;"",S87&gt;0),"Y","")</f>
        <v/>
      </c>
      <c r="V87" s="30" t="n">
        <v>0.5017643746976773</v>
      </c>
      <c r="W87" t="inlineStr"/>
      <c r="X87" s="28">
        <f>IF(L87+M87=0,"",L87+M87)</f>
        <v/>
      </c>
      <c r="Y87" s="38">
        <f>IF(L87=0,"",M87/L87)</f>
        <v/>
      </c>
      <c r="Z87" t="inlineStr">
        <is>
          <t>Director &amp; Investment Officer</t>
        </is>
      </c>
      <c r="AA87" t="inlineStr">
        <is>
          <t>Investments</t>
        </is>
      </c>
      <c r="AB87" s="50" t="inlineStr"/>
      <c r="AC87" s="43">
        <f>HYPERLINK("https://projects.propublica.org/nonprofits/organizations/10215213/202611329349306966/full","view filing")</f>
        <v/>
      </c>
      <c r="AD87" s="50" t="inlineStr">
        <is>
          <t>Y</t>
        </is>
      </c>
    </row>
    <row r="88">
      <c r="A88" t="inlineStr">
        <is>
          <t>Bowdoin College</t>
        </is>
      </c>
      <c r="B88" s="50" t="inlineStr">
        <is>
          <t>ME</t>
        </is>
      </c>
      <c r="C88" s="52" t="n">
        <v>2.92</v>
      </c>
      <c r="D88" t="inlineStr">
        <is>
          <t>Endowment</t>
        </is>
      </c>
      <c r="E88" s="50" t="n">
        <v>2024</v>
      </c>
      <c r="F88" s="50" t="inlineStr">
        <is>
          <t>2025-05-12</t>
        </is>
      </c>
      <c r="G88" s="50" t="inlineStr">
        <is>
          <t>2024-06-30</t>
        </is>
      </c>
      <c r="H88" t="inlineStr">
        <is>
          <t>Ashley Labreck</t>
        </is>
      </c>
      <c r="I88" t="inlineStr">
        <is>
          <t>ENDOWMENT CHIEF OP OFFICER</t>
        </is>
      </c>
      <c r="J88" t="inlineStr">
        <is>
          <t>COO (Inv Entity)</t>
        </is>
      </c>
      <c r="K88" t="inlineStr">
        <is>
          <t>COO (Investment Office)</t>
        </is>
      </c>
      <c r="L88" s="28" t="n">
        <v>266304</v>
      </c>
      <c r="M88" s="28" t="n">
        <v>184275</v>
      </c>
      <c r="N88" s="28" t="n">
        <v>1023</v>
      </c>
      <c r="O88" s="28" t="n">
        <v>42880</v>
      </c>
      <c r="P88" s="28" t="n">
        <v>32794</v>
      </c>
      <c r="Q88" s="28" t="n">
        <v>527276</v>
      </c>
      <c r="R88" s="28" t="n">
        <v>0</v>
      </c>
      <c r="S88" s="28">
        <f>Q88-R88</f>
        <v/>
      </c>
      <c r="T88" s="28">
        <f>IF(S88="","",S88*(1+in_GrowthRate)^(YEARFRAC(DATE(2024,6,30),in_AgeToDate)*IF(in_AgeToDate&lt;DATE(2024,6,30),-1,1)+1))</f>
        <v/>
      </c>
      <c r="U88" s="50">
        <f>IF(AND(AND(OR(in_Mode="All Funds",AND(C88&gt;=in_BandFloor,C88&lt;=in_BandCeiling,OR(in_Geography="National",COUNTIFS(lst_GeoPreset,in_Geography,lst_GeoState,B88)&gt;0,AND(in_Geography="Custom",ISNUMBER(SEARCH(B88,SUBSTITUTE(in_CustomStates," ",""))))),OR(AND(D88="Endowment",Inputs!$B$14="Y"),AND(D88="Foundation",Inputs!$B$15="Y"),AND(D88="Healthcare",Inputs!$B$16="Y"),AND(D88="Pension",Inputs!$B$17="Y"),AND(D88="OCIO",Inputs!$B$18="Y"),AND(D88="Other",Inputs!$B$19="Y")))),A88&lt;&gt;in_ClientOrg,NOT(AND(in_ExclHarvard="Y",ISNUMBER(SEARCH("Harvard",A88))))),$AD88="Y",K88&lt;&gt;"",S88&gt;0),"Y","")</f>
        <v/>
      </c>
      <c r="V88" s="30" t="n">
        <v>0.2777970371884586</v>
      </c>
      <c r="W88" t="inlineStr"/>
      <c r="X88" s="28">
        <f>IF(L88+M88=0,"",L88+M88)</f>
        <v/>
      </c>
      <c r="Y88" s="38">
        <f>IF(L88=0,"",M88/L88)</f>
        <v/>
      </c>
      <c r="Z88" t="inlineStr">
        <is>
          <t>COO (Investment Office)</t>
        </is>
      </c>
      <c r="AA88" t="inlineStr">
        <is>
          <t>Operations &amp; Control</t>
        </is>
      </c>
      <c r="AB88" s="50" t="inlineStr"/>
      <c r="AC88" s="43">
        <f>HYPERLINK("https://projects.propublica.org/nonprofits/organizations/10215213/202531329349302018/full","view filing")</f>
        <v/>
      </c>
      <c r="AD88" s="50" t="inlineStr"/>
    </row>
    <row r="89">
      <c r="A89" t="inlineStr">
        <is>
          <t>Bowdoin College</t>
        </is>
      </c>
      <c r="B89" s="50" t="inlineStr">
        <is>
          <t>ME</t>
        </is>
      </c>
      <c r="C89" s="52" t="n">
        <v>2.92</v>
      </c>
      <c r="D89" t="inlineStr">
        <is>
          <t>Endowment</t>
        </is>
      </c>
      <c r="E89" s="50" t="n">
        <v>2024</v>
      </c>
      <c r="F89" s="50" t="inlineStr">
        <is>
          <t>2025-05-12</t>
        </is>
      </c>
      <c r="G89" s="50" t="inlineStr">
        <is>
          <t>2024-06-30</t>
        </is>
      </c>
      <c r="H89" t="inlineStr">
        <is>
          <t>Boris Raykin</t>
        </is>
      </c>
      <c r="I89" t="inlineStr">
        <is>
          <t>DIRECTOR OF INVESTMENTS</t>
        </is>
      </c>
      <c r="J89" t="inlineStr">
        <is>
          <t>Director of Investments</t>
        </is>
      </c>
      <c r="K89" t="inlineStr">
        <is>
          <t>Sr Investment Professional</t>
        </is>
      </c>
      <c r="L89" s="28" t="n">
        <v>478547</v>
      </c>
      <c r="M89" s="28" t="n">
        <v>490219</v>
      </c>
      <c r="N89" s="28" t="n">
        <v>1890</v>
      </c>
      <c r="O89" s="28" t="n">
        <v>43453</v>
      </c>
      <c r="P89" s="28" t="n">
        <v>3913</v>
      </c>
      <c r="Q89" s="28" t="n">
        <v>1018022</v>
      </c>
      <c r="R89" s="28" t="n">
        <v>0</v>
      </c>
      <c r="S89" s="28">
        <f>Q89-R89</f>
        <v/>
      </c>
      <c r="T89" s="28">
        <f>IF(S89="","",S89*(1+in_GrowthRate)^(YEARFRAC(DATE(2024,6,30),in_AgeToDate)*IF(in_AgeToDate&lt;DATE(2024,6,30),-1,1)+1))</f>
        <v/>
      </c>
      <c r="U89" s="50">
        <f>IF(AND(AND(OR(in_Mode="All Funds",AND(C89&gt;=in_BandFloor,C89&lt;=in_BandCeiling,OR(in_Geography="National",COUNTIFS(lst_GeoPreset,in_Geography,lst_GeoState,B89)&gt;0,AND(in_Geography="Custom",ISNUMBER(SEARCH(B89,SUBSTITUTE(in_CustomStates," ",""))))),OR(AND(D89="Endowment",Inputs!$B$14="Y"),AND(D89="Foundation",Inputs!$B$15="Y"),AND(D89="Healthcare",Inputs!$B$16="Y"),AND(D89="Pension",Inputs!$B$17="Y"),AND(D89="OCIO",Inputs!$B$18="Y"),AND(D89="Other",Inputs!$B$19="Y")))),A89&lt;&gt;in_ClientOrg,NOT(AND(in_ExclHarvard="Y",ISNUMBER(SEARCH("Harvard",A89))))),$AD89="Y",K89&lt;&gt;"",S89&gt;0),"Y","")</f>
        <v/>
      </c>
      <c r="V89" s="30" t="n">
        <v>0.5363481277218553</v>
      </c>
      <c r="W89" t="inlineStr"/>
      <c r="X89" s="28">
        <f>IF(L89+M89=0,"",L89+M89)</f>
        <v/>
      </c>
      <c r="Y89" s="38">
        <f>IF(L89=0,"",M89/L89)</f>
        <v/>
      </c>
      <c r="Z89" t="inlineStr">
        <is>
          <t>Director &amp; Investment Officer</t>
        </is>
      </c>
      <c r="AA89" t="inlineStr">
        <is>
          <t>Investments</t>
        </is>
      </c>
      <c r="AB89" s="50" t="inlineStr"/>
      <c r="AC89" s="43">
        <f>HYPERLINK("https://projects.propublica.org/nonprofits/organizations/10215213/202531329349302018/full","view filing")</f>
        <v/>
      </c>
      <c r="AD89" s="50" t="inlineStr"/>
    </row>
    <row r="90">
      <c r="A90" t="inlineStr">
        <is>
          <t>Bowdoin College</t>
        </is>
      </c>
      <c r="B90" s="50" t="inlineStr">
        <is>
          <t>ME</t>
        </is>
      </c>
      <c r="C90" s="52" t="n">
        <v>2.92</v>
      </c>
      <c r="D90" t="inlineStr">
        <is>
          <t>Endowment</t>
        </is>
      </c>
      <c r="E90" s="50" t="n">
        <v>2024</v>
      </c>
      <c r="F90" s="50" t="inlineStr">
        <is>
          <t>2025-05-12</t>
        </is>
      </c>
      <c r="G90" s="50" t="inlineStr">
        <is>
          <t>2024-06-30</t>
        </is>
      </c>
      <c r="H90" t="inlineStr">
        <is>
          <t>K Niles Bryant</t>
        </is>
      </c>
      <c r="I90" t="inlineStr">
        <is>
          <t>SVP/CHIEF INVESTMENTS OFFICER</t>
        </is>
      </c>
      <c r="J90" t="inlineStr">
        <is>
          <t>CIO</t>
        </is>
      </c>
      <c r="K90" t="inlineStr">
        <is>
          <t>CIO - Top Investment Executive</t>
        </is>
      </c>
      <c r="L90" s="28" t="n">
        <v>633736</v>
      </c>
      <c r="M90" s="28" t="n">
        <v>1200000</v>
      </c>
      <c r="N90" s="28" t="n">
        <v>1890</v>
      </c>
      <c r="O90" s="28" t="n">
        <v>43453</v>
      </c>
      <c r="P90" s="28" t="n">
        <v>18983</v>
      </c>
      <c r="Q90" s="28" t="n">
        <v>1898062</v>
      </c>
      <c r="R90" s="28" t="n">
        <v>0</v>
      </c>
      <c r="S90" s="28">
        <f>Q90-R90</f>
        <v/>
      </c>
      <c r="T90" s="28">
        <f>IF(S90="","",S90*(1+in_GrowthRate)^(YEARFRAC(DATE(2024,6,30),in_AgeToDate)*IF(in_AgeToDate&lt;DATE(2024,6,30),-1,1)+1))</f>
        <v/>
      </c>
      <c r="U90" s="50">
        <f>IF(AND(AND(OR(in_Mode="All Funds",AND(C90&gt;=in_BandFloor,C90&lt;=in_BandCeiling,OR(in_Geography="National",COUNTIFS(lst_GeoPreset,in_Geography,lst_GeoState,B90)&gt;0,AND(in_Geography="Custom",ISNUMBER(SEARCH(B90,SUBSTITUTE(in_CustomStates," ",""))))),OR(AND(D90="Endowment",Inputs!$B$14="Y"),AND(D90="Foundation",Inputs!$B$15="Y"),AND(D90="Healthcare",Inputs!$B$16="Y"),AND(D90="Pension",Inputs!$B$17="Y"),AND(D90="OCIO",Inputs!$B$18="Y"),AND(D90="Other",Inputs!$B$19="Y")))),A90&lt;&gt;in_ClientOrg,NOT(AND(in_ExclHarvard="Y",ISNUMBER(SEARCH("Harvard",A90))))),$AD90="Y",K90&lt;&gt;"",S90&gt;0),"Y","")</f>
        <v/>
      </c>
      <c r="V90" s="30" t="n">
        <v>1</v>
      </c>
      <c r="W90" t="inlineStr"/>
      <c r="X90" s="28">
        <f>IF(L90+M90=0,"",L90+M90)</f>
        <v/>
      </c>
      <c r="Y90" s="38">
        <f>IF(L90=0,"",M90/L90)</f>
        <v/>
      </c>
      <c r="Z90" t="inlineStr">
        <is>
          <t>CIO - Top Investment Executive</t>
        </is>
      </c>
      <c r="AA90" t="inlineStr">
        <is>
          <t>Leadership</t>
        </is>
      </c>
      <c r="AB90" s="50" t="inlineStr">
        <is>
          <t>Y</t>
        </is>
      </c>
      <c r="AC90" s="43">
        <f>HYPERLINK("https://projects.propublica.org/nonprofits/organizations/10215213/202531329349302018/full","view filing")</f>
        <v/>
      </c>
      <c r="AD90" s="50" t="inlineStr"/>
    </row>
    <row r="91">
      <c r="A91" t="inlineStr">
        <is>
          <t>Bowdoin College</t>
        </is>
      </c>
      <c r="B91" s="50" t="inlineStr">
        <is>
          <t>ME</t>
        </is>
      </c>
      <c r="C91" s="52" t="n">
        <v>2.92</v>
      </c>
      <c r="D91" t="inlineStr">
        <is>
          <t>Endowment</t>
        </is>
      </c>
      <c r="E91" s="50" t="n">
        <v>2024</v>
      </c>
      <c r="F91" s="50" t="inlineStr">
        <is>
          <t>2025-05-12</t>
        </is>
      </c>
      <c r="G91" s="50" t="inlineStr">
        <is>
          <t>2024-06-30</t>
        </is>
      </c>
      <c r="H91" t="inlineStr">
        <is>
          <t>Page Machlin</t>
        </is>
      </c>
      <c r="I91" t="inlineStr">
        <is>
          <t>DIRECTOR OF INVESTMENTS</t>
        </is>
      </c>
      <c r="J91" t="inlineStr">
        <is>
          <t>Director of Investments</t>
        </is>
      </c>
      <c r="K91" t="inlineStr">
        <is>
          <t>Sr Investment Professional</t>
        </is>
      </c>
      <c r="L91" s="28" t="n">
        <v>461250</v>
      </c>
      <c r="M91" s="28" t="n">
        <v>472500</v>
      </c>
      <c r="N91" s="28" t="n">
        <v>1314</v>
      </c>
      <c r="O91" s="28" t="n">
        <v>43453</v>
      </c>
      <c r="P91" s="28" t="n">
        <v>3150</v>
      </c>
      <c r="Q91" s="28" t="n">
        <v>981667</v>
      </c>
      <c r="R91" s="28" t="n">
        <v>0</v>
      </c>
      <c r="S91" s="28">
        <f>Q91-R91</f>
        <v/>
      </c>
      <c r="T91" s="28">
        <f>IF(S91="","",S91*(1+in_GrowthRate)^(YEARFRAC(DATE(2024,6,30),in_AgeToDate)*IF(in_AgeToDate&lt;DATE(2024,6,30),-1,1)+1))</f>
        <v/>
      </c>
      <c r="U91" s="50">
        <f>IF(AND(AND(OR(in_Mode="All Funds",AND(C91&gt;=in_BandFloor,C91&lt;=in_BandCeiling,OR(in_Geography="National",COUNTIFS(lst_GeoPreset,in_Geography,lst_GeoState,B91)&gt;0,AND(in_Geography="Custom",ISNUMBER(SEARCH(B91,SUBSTITUTE(in_CustomStates," ",""))))),OR(AND(D91="Endowment",Inputs!$B$14="Y"),AND(D91="Foundation",Inputs!$B$15="Y"),AND(D91="Healthcare",Inputs!$B$16="Y"),AND(D91="Pension",Inputs!$B$17="Y"),AND(D91="OCIO",Inputs!$B$18="Y"),AND(D91="Other",Inputs!$B$19="Y")))),A91&lt;&gt;in_ClientOrg,NOT(AND(in_ExclHarvard="Y",ISNUMBER(SEARCH("Harvard",A91))))),$AD91="Y",K91&lt;&gt;"",S91&gt;0),"Y","")</f>
        <v/>
      </c>
      <c r="V91" s="30" t="n">
        <v>0.5171943803732438</v>
      </c>
      <c r="W91" t="inlineStr"/>
      <c r="X91" s="28">
        <f>IF(L91+M91=0,"",L91+M91)</f>
        <v/>
      </c>
      <c r="Y91" s="38">
        <f>IF(L91=0,"",M91/L91)</f>
        <v/>
      </c>
      <c r="Z91" t="inlineStr">
        <is>
          <t>Director &amp; Investment Officer</t>
        </is>
      </c>
      <c r="AA91" t="inlineStr">
        <is>
          <t>Investments</t>
        </is>
      </c>
      <c r="AB91" s="50" t="inlineStr"/>
      <c r="AC91" s="43">
        <f>HYPERLINK("https://projects.propublica.org/nonprofits/organizations/10215213/202531329349302018/full","view filing")</f>
        <v/>
      </c>
      <c r="AD91" s="50" t="inlineStr"/>
    </row>
    <row r="92">
      <c r="A92" t="inlineStr">
        <is>
          <t>Bowdoin College</t>
        </is>
      </c>
      <c r="B92" s="50" t="inlineStr">
        <is>
          <t>ME</t>
        </is>
      </c>
      <c r="C92" s="52" t="n">
        <v>2.92</v>
      </c>
      <c r="D92" t="inlineStr">
        <is>
          <t>Endowment</t>
        </is>
      </c>
      <c r="E92" s="50" t="n">
        <v>2023</v>
      </c>
      <c r="F92" s="50" t="inlineStr">
        <is>
          <t>2024-05-14</t>
        </is>
      </c>
      <c r="G92" s="50" t="inlineStr">
        <is>
          <t>2023-06-30</t>
        </is>
      </c>
      <c r="H92" t="inlineStr">
        <is>
          <t>Ashley Labreck</t>
        </is>
      </c>
      <c r="I92" t="inlineStr">
        <is>
          <t>ENDOWMENT CHIEF OP OFFICER</t>
        </is>
      </c>
      <c r="J92" t="inlineStr">
        <is>
          <t>COO (Inv Entity)</t>
        </is>
      </c>
      <c r="K92" t="inlineStr">
        <is>
          <t>COO (Investment Office)</t>
        </is>
      </c>
      <c r="L92" s="28" t="n">
        <v>190664</v>
      </c>
      <c r="M92" s="28" t="n">
        <v>175500</v>
      </c>
      <c r="N92" s="28" t="n">
        <v>684</v>
      </c>
      <c r="O92" s="28" t="n">
        <v>49922</v>
      </c>
      <c r="P92" s="28" t="n">
        <v>29730</v>
      </c>
      <c r="Q92" s="28" t="n">
        <v>446500</v>
      </c>
      <c r="R92" s="28" t="n">
        <v>0</v>
      </c>
      <c r="S92" s="28">
        <f>Q92-R92</f>
        <v/>
      </c>
      <c r="T92" s="28">
        <f>IF(S92="","",S92*(1+in_GrowthRate)^(YEARFRAC(DATE(2023,6,30),in_AgeToDate)*IF(in_AgeToDate&lt;DATE(2023,6,30),-1,1)+1))</f>
        <v/>
      </c>
      <c r="U92" s="50">
        <f>IF(AND(AND(OR(in_Mode="All Funds",AND(C92&gt;=in_BandFloor,C92&lt;=in_BandCeiling,OR(in_Geography="National",COUNTIFS(lst_GeoPreset,in_Geography,lst_GeoState,B92)&gt;0,AND(in_Geography="Custom",ISNUMBER(SEARCH(B92,SUBSTITUTE(in_CustomStates," ",""))))),OR(AND(D92="Endowment",Inputs!$B$14="Y"),AND(D92="Foundation",Inputs!$B$15="Y"),AND(D92="Healthcare",Inputs!$B$16="Y"),AND(D92="Pension",Inputs!$B$17="Y"),AND(D92="OCIO",Inputs!$B$18="Y"),AND(D92="Other",Inputs!$B$19="Y")))),A92&lt;&gt;in_ClientOrg,NOT(AND(in_ExclHarvard="Y",ISNUMBER(SEARCH("Harvard",A92))))),$AD92="Y",K92&lt;&gt;"",S92&gt;0),"Y","")</f>
        <v/>
      </c>
      <c r="V92" s="30" t="n">
        <v>0.2382370140818618</v>
      </c>
      <c r="W92" t="inlineStr"/>
      <c r="X92" s="28">
        <f>IF(L92+M92=0,"",L92+M92)</f>
        <v/>
      </c>
      <c r="Y92" s="38">
        <f>IF(L92=0,"",M92/L92)</f>
        <v/>
      </c>
      <c r="Z92" t="inlineStr">
        <is>
          <t>COO (Investment Office)</t>
        </is>
      </c>
      <c r="AA92" t="inlineStr">
        <is>
          <t>Operations &amp; Control</t>
        </is>
      </c>
      <c r="AB92" s="50" t="inlineStr"/>
      <c r="AC92" s="43">
        <f>HYPERLINK("https://projects.propublica.org/nonprofits/organizations/10215213/202411359349306506/full","view filing")</f>
        <v/>
      </c>
      <c r="AD92" s="50" t="inlineStr"/>
    </row>
    <row r="93">
      <c r="A93" t="inlineStr">
        <is>
          <t>Bowdoin College</t>
        </is>
      </c>
      <c r="B93" s="50" t="inlineStr">
        <is>
          <t>ME</t>
        </is>
      </c>
      <c r="C93" s="52" t="n">
        <v>2.92</v>
      </c>
      <c r="D93" t="inlineStr">
        <is>
          <t>Endowment</t>
        </is>
      </c>
      <c r="E93" s="50" t="n">
        <v>2023</v>
      </c>
      <c r="F93" s="50" t="inlineStr">
        <is>
          <t>2024-05-14</t>
        </is>
      </c>
      <c r="G93" s="50" t="inlineStr">
        <is>
          <t>2023-06-30</t>
        </is>
      </c>
      <c r="H93" t="inlineStr">
        <is>
          <t>Boris Raykin</t>
        </is>
      </c>
      <c r="I93" t="inlineStr">
        <is>
          <t>DIRECTOR OF INVESTMENTS</t>
        </is>
      </c>
      <c r="J93" t="inlineStr">
        <is>
          <t>Director of Investments</t>
        </is>
      </c>
      <c r="K93" t="inlineStr">
        <is>
          <t>Sr Investment Professional</t>
        </is>
      </c>
      <c r="L93" s="28" t="n">
        <v>458438</v>
      </c>
      <c r="M93" s="28" t="n">
        <v>466875</v>
      </c>
      <c r="N93" s="28" t="n">
        <v>1850</v>
      </c>
      <c r="O93" s="28" t="n">
        <v>40188</v>
      </c>
      <c r="P93" s="28" t="n">
        <v>1730</v>
      </c>
      <c r="Q93" s="28" t="n">
        <v>969081</v>
      </c>
      <c r="R93" s="28" t="n">
        <v>0</v>
      </c>
      <c r="S93" s="28">
        <f>Q93-R93</f>
        <v/>
      </c>
      <c r="T93" s="28">
        <f>IF(S93="","",S93*(1+in_GrowthRate)^(YEARFRAC(DATE(2023,6,30),in_AgeToDate)*IF(in_AgeToDate&lt;DATE(2023,6,30),-1,1)+1))</f>
        <v/>
      </c>
      <c r="U93" s="50">
        <f>IF(AND(AND(OR(in_Mode="All Funds",AND(C93&gt;=in_BandFloor,C93&lt;=in_BandCeiling,OR(in_Geography="National",COUNTIFS(lst_GeoPreset,in_Geography,lst_GeoState,B93)&gt;0,AND(in_Geography="Custom",ISNUMBER(SEARCH(B93,SUBSTITUTE(in_CustomStates," ",""))))),OR(AND(D93="Endowment",Inputs!$B$14="Y"),AND(D93="Foundation",Inputs!$B$15="Y"),AND(D93="Healthcare",Inputs!$B$16="Y"),AND(D93="Pension",Inputs!$B$17="Y"),AND(D93="OCIO",Inputs!$B$18="Y"),AND(D93="Other",Inputs!$B$19="Y")))),A93&lt;&gt;in_ClientOrg,NOT(AND(in_ExclHarvard="Y",ISNUMBER(SEARCH("Harvard",A93))))),$AD93="Y",K93&lt;&gt;"",S93&gt;0),"Y","")</f>
        <v/>
      </c>
      <c r="V93" s="30" t="n">
        <v>0.517068228092866</v>
      </c>
      <c r="W93" t="inlineStr"/>
      <c r="X93" s="28">
        <f>IF(L93+M93=0,"",L93+M93)</f>
        <v/>
      </c>
      <c r="Y93" s="38">
        <f>IF(L93=0,"",M93/L93)</f>
        <v/>
      </c>
      <c r="Z93" t="inlineStr">
        <is>
          <t>Director &amp; Investment Officer</t>
        </is>
      </c>
      <c r="AA93" t="inlineStr">
        <is>
          <t>Investments</t>
        </is>
      </c>
      <c r="AB93" s="50" t="inlineStr"/>
      <c r="AC93" s="43">
        <f>HYPERLINK("https://projects.propublica.org/nonprofits/organizations/10215213/202411359349306506/full","view filing")</f>
        <v/>
      </c>
      <c r="AD93" s="50" t="inlineStr"/>
    </row>
    <row r="94">
      <c r="A94" t="inlineStr">
        <is>
          <t>Bowdoin College</t>
        </is>
      </c>
      <c r="B94" s="50" t="inlineStr">
        <is>
          <t>ME</t>
        </is>
      </c>
      <c r="C94" s="52" t="n">
        <v>2.92</v>
      </c>
      <c r="D94" t="inlineStr">
        <is>
          <t>Endowment</t>
        </is>
      </c>
      <c r="E94" s="50" t="n">
        <v>2023</v>
      </c>
      <c r="F94" s="50" t="inlineStr">
        <is>
          <t>2024-05-14</t>
        </is>
      </c>
      <c r="G94" s="50" t="inlineStr">
        <is>
          <t>2023-06-30</t>
        </is>
      </c>
      <c r="H94" t="inlineStr">
        <is>
          <t>K Niles Bryant</t>
        </is>
      </c>
      <c r="I94" t="inlineStr">
        <is>
          <t>SVP/CHIEF INVESTMENTS OFFICER</t>
        </is>
      </c>
      <c r="J94" t="inlineStr">
        <is>
          <t>CIO</t>
        </is>
      </c>
      <c r="K94" t="inlineStr">
        <is>
          <t>CIO - Top Investment Executive</t>
        </is>
      </c>
      <c r="L94" s="28" t="n">
        <v>601850</v>
      </c>
      <c r="M94" s="28" t="n">
        <v>1200000</v>
      </c>
      <c r="N94" s="28" t="n">
        <v>2840</v>
      </c>
      <c r="O94" s="28" t="n">
        <v>40188</v>
      </c>
      <c r="P94" s="28" t="n">
        <v>29306</v>
      </c>
      <c r="Q94" s="28" t="n">
        <v>1874184</v>
      </c>
      <c r="R94" s="28" t="n">
        <v>0</v>
      </c>
      <c r="S94" s="28">
        <f>Q94-R94</f>
        <v/>
      </c>
      <c r="T94" s="28">
        <f>IF(S94="","",S94*(1+in_GrowthRate)^(YEARFRAC(DATE(2023,6,30),in_AgeToDate)*IF(in_AgeToDate&lt;DATE(2023,6,30),-1,1)+1))</f>
        <v/>
      </c>
      <c r="U94" s="50">
        <f>IF(AND(AND(OR(in_Mode="All Funds",AND(C94&gt;=in_BandFloor,C94&lt;=in_BandCeiling,OR(in_Geography="National",COUNTIFS(lst_GeoPreset,in_Geography,lst_GeoState,B94)&gt;0,AND(in_Geography="Custom",ISNUMBER(SEARCH(B94,SUBSTITUTE(in_CustomStates," ",""))))),OR(AND(D94="Endowment",Inputs!$B$14="Y"),AND(D94="Foundation",Inputs!$B$15="Y"),AND(D94="Healthcare",Inputs!$B$16="Y"),AND(D94="Pension",Inputs!$B$17="Y"),AND(D94="OCIO",Inputs!$B$18="Y"),AND(D94="Other",Inputs!$B$19="Y")))),A94&lt;&gt;in_ClientOrg,NOT(AND(in_ExclHarvard="Y",ISNUMBER(SEARCH("Harvard",A94))))),$AD94="Y",K94&lt;&gt;"",S94&gt;0),"Y","")</f>
        <v/>
      </c>
      <c r="V94" s="30" t="n">
        <v>1</v>
      </c>
      <c r="W94" t="inlineStr"/>
      <c r="X94" s="28">
        <f>IF(L94+M94=0,"",L94+M94)</f>
        <v/>
      </c>
      <c r="Y94" s="38">
        <f>IF(L94=0,"",M94/L94)</f>
        <v/>
      </c>
      <c r="Z94" t="inlineStr">
        <is>
          <t>CIO - Top Investment Executive</t>
        </is>
      </c>
      <c r="AA94" t="inlineStr">
        <is>
          <t>Leadership</t>
        </is>
      </c>
      <c r="AB94" s="50" t="inlineStr">
        <is>
          <t>Y</t>
        </is>
      </c>
      <c r="AC94" s="43">
        <f>HYPERLINK("https://projects.propublica.org/nonprofits/organizations/10215213/202411359349306506/full","view filing")</f>
        <v/>
      </c>
      <c r="AD94" s="50" t="inlineStr"/>
    </row>
    <row r="95">
      <c r="A95" t="inlineStr">
        <is>
          <t>Bowdoin College</t>
        </is>
      </c>
      <c r="B95" s="50" t="inlineStr">
        <is>
          <t>ME</t>
        </is>
      </c>
      <c r="C95" s="52" t="n">
        <v>2.92</v>
      </c>
      <c r="D95" t="inlineStr">
        <is>
          <t>Endowment</t>
        </is>
      </c>
      <c r="E95" s="50" t="n">
        <v>2023</v>
      </c>
      <c r="F95" s="50" t="inlineStr">
        <is>
          <t>2024-05-14</t>
        </is>
      </c>
      <c r="G95" s="50" t="inlineStr">
        <is>
          <t>2023-06-30</t>
        </is>
      </c>
      <c r="H95" t="inlineStr">
        <is>
          <t>Page Machlin</t>
        </is>
      </c>
      <c r="I95" t="inlineStr">
        <is>
          <t>DIRECTOR OF INVESTMENTS</t>
        </is>
      </c>
      <c r="J95" t="inlineStr">
        <is>
          <t>Director of Investments</t>
        </is>
      </c>
      <c r="K95" t="inlineStr">
        <is>
          <t>Sr Investment Professional</t>
        </is>
      </c>
      <c r="L95" s="28" t="n">
        <v>375000</v>
      </c>
      <c r="M95" s="28" t="n">
        <v>450000</v>
      </c>
      <c r="N95" s="28" t="n">
        <v>1139</v>
      </c>
      <c r="O95" s="28" t="n">
        <v>40188</v>
      </c>
      <c r="P95" s="28" t="n">
        <v>3099</v>
      </c>
      <c r="Q95" s="28" t="n">
        <v>869426</v>
      </c>
      <c r="R95" s="28" t="n">
        <v>0</v>
      </c>
      <c r="S95" s="28">
        <f>Q95-R95</f>
        <v/>
      </c>
      <c r="T95" s="28">
        <f>IF(S95="","",S95*(1+in_GrowthRate)^(YEARFRAC(DATE(2023,6,30),in_AgeToDate)*IF(in_AgeToDate&lt;DATE(2023,6,30),-1,1)+1))</f>
        <v/>
      </c>
      <c r="U95" s="50">
        <f>IF(AND(AND(OR(in_Mode="All Funds",AND(C95&gt;=in_BandFloor,C95&lt;=in_BandCeiling,OR(in_Geography="National",COUNTIFS(lst_GeoPreset,in_Geography,lst_GeoState,B95)&gt;0,AND(in_Geography="Custom",ISNUMBER(SEARCH(B95,SUBSTITUTE(in_CustomStates," ",""))))),OR(AND(D95="Endowment",Inputs!$B$14="Y"),AND(D95="Foundation",Inputs!$B$15="Y"),AND(D95="Healthcare",Inputs!$B$16="Y"),AND(D95="Pension",Inputs!$B$17="Y"),AND(D95="OCIO",Inputs!$B$18="Y"),AND(D95="Other",Inputs!$B$19="Y")))),A95&lt;&gt;in_ClientOrg,NOT(AND(in_ExclHarvard="Y",ISNUMBER(SEARCH("Harvard",A95))))),$AD95="Y",K95&lt;&gt;"",S95&gt;0),"Y","")</f>
        <v/>
      </c>
      <c r="V95" s="30" t="n">
        <v>0.4638957540988505</v>
      </c>
      <c r="W95" t="inlineStr"/>
      <c r="X95" s="28">
        <f>IF(L95+M95=0,"",L95+M95)</f>
        <v/>
      </c>
      <c r="Y95" s="38">
        <f>IF(L95=0,"",M95/L95)</f>
        <v/>
      </c>
      <c r="Z95" t="inlineStr">
        <is>
          <t>Director &amp; Investment Officer</t>
        </is>
      </c>
      <c r="AA95" t="inlineStr">
        <is>
          <t>Investments</t>
        </is>
      </c>
      <c r="AB95" s="50" t="inlineStr"/>
      <c r="AC95" s="43">
        <f>HYPERLINK("https://projects.propublica.org/nonprofits/organizations/10215213/202411359349306506/full","view filing")</f>
        <v/>
      </c>
      <c r="AD95" s="50" t="inlineStr"/>
    </row>
    <row r="96">
      <c r="A96" t="inlineStr">
        <is>
          <t>Bowdoin College</t>
        </is>
      </c>
      <c r="B96" s="50" t="inlineStr">
        <is>
          <t>ME</t>
        </is>
      </c>
      <c r="C96" s="52" t="n">
        <v>2.92</v>
      </c>
      <c r="D96" t="inlineStr">
        <is>
          <t>Endowment</t>
        </is>
      </c>
      <c r="E96" s="50" t="n">
        <v>2022</v>
      </c>
      <c r="F96" s="50" t="inlineStr">
        <is>
          <t>2023-05-12</t>
        </is>
      </c>
      <c r="G96" s="50" t="inlineStr">
        <is>
          <t>2022-06-30</t>
        </is>
      </c>
      <c r="H96" t="inlineStr">
        <is>
          <t>K Niles Bryant</t>
        </is>
      </c>
      <c r="I96" t="inlineStr">
        <is>
          <t>SVP/CHIEF INVESTMENT OFFICER</t>
        </is>
      </c>
      <c r="J96" t="inlineStr">
        <is>
          <t>CIO</t>
        </is>
      </c>
      <c r="K96" t="inlineStr">
        <is>
          <t>Sr Investment Professional</t>
        </is>
      </c>
      <c r="L96" s="28" t="n">
        <v>547150</v>
      </c>
      <c r="M96" s="28" t="n">
        <v>1000000</v>
      </c>
      <c r="N96" s="28" t="n">
        <v>3037</v>
      </c>
      <c r="O96" s="28" t="n">
        <v>46958</v>
      </c>
      <c r="P96" s="28" t="n">
        <v>27453</v>
      </c>
      <c r="Q96" s="28" t="n">
        <v>1624598</v>
      </c>
      <c r="R96" s="28" t="n">
        <v>0</v>
      </c>
      <c r="S96" s="28">
        <f>Q96-R96</f>
        <v/>
      </c>
      <c r="T96" s="28">
        <f>IF(S96="","",S96*(1+in_GrowthRate)^(YEARFRAC(DATE(2022,6,30),in_AgeToDate)*IF(in_AgeToDate&lt;DATE(2022,6,30),-1,1)+1))</f>
        <v/>
      </c>
      <c r="U96" s="50">
        <f>IF(AND(AND(OR(in_Mode="All Funds",AND(C96&gt;=in_BandFloor,C96&lt;=in_BandCeiling,OR(in_Geography="National",COUNTIFS(lst_GeoPreset,in_Geography,lst_GeoState,B96)&gt;0,AND(in_Geography="Custom",ISNUMBER(SEARCH(B96,SUBSTITUTE(in_CustomStates," ",""))))),OR(AND(D96="Endowment",Inputs!$B$14="Y"),AND(D96="Foundation",Inputs!$B$15="Y"),AND(D96="Healthcare",Inputs!$B$16="Y"),AND(D96="Pension",Inputs!$B$17="Y"),AND(D96="OCIO",Inputs!$B$18="Y"),AND(D96="Other",Inputs!$B$19="Y")))),A96&lt;&gt;in_ClientOrg,NOT(AND(in_ExclHarvard="Y",ISNUMBER(SEARCH("Harvard",A96))))),$AD96="Y",K96&lt;&gt;"",S96&gt;0),"Y","")</f>
        <v/>
      </c>
      <c r="V96" s="30" t="n">
        <v>0.6100649194590145</v>
      </c>
      <c r="W96" t="inlineStr"/>
      <c r="X96" s="28">
        <f>IF(L96+M96=0,"",L96+M96)</f>
        <v/>
      </c>
      <c r="Y96" s="38">
        <f>IF(L96=0,"",M96/L96)</f>
        <v/>
      </c>
      <c r="Z96" t="inlineStr">
        <is>
          <t>Deputy CIO</t>
        </is>
      </c>
      <c r="AA96" t="inlineStr">
        <is>
          <t>Leadership</t>
        </is>
      </c>
      <c r="AB96" s="50" t="inlineStr"/>
      <c r="AC96" s="43">
        <f>HYPERLINK("https://projects.propublica.org/nonprofits/organizations/10215213/202311329349305061/full","view filing")</f>
        <v/>
      </c>
      <c r="AD96" s="50" t="inlineStr"/>
    </row>
    <row r="97">
      <c r="A97" t="inlineStr">
        <is>
          <t>Bowdoin College</t>
        </is>
      </c>
      <c r="B97" s="50" t="inlineStr">
        <is>
          <t>ME</t>
        </is>
      </c>
      <c r="C97" s="52" t="n">
        <v>2.92</v>
      </c>
      <c r="D97" t="inlineStr">
        <is>
          <t>Endowment</t>
        </is>
      </c>
      <c r="E97" s="50" t="n">
        <v>2022</v>
      </c>
      <c r="F97" s="50" t="inlineStr">
        <is>
          <t>2023-05-12</t>
        </is>
      </c>
      <c r="G97" s="50" t="inlineStr">
        <is>
          <t>2022-06-30</t>
        </is>
      </c>
      <c r="H97" t="inlineStr">
        <is>
          <t>Page Machlin</t>
        </is>
      </c>
      <c r="I97" t="inlineStr">
        <is>
          <t>DIRECTOR OF INVESTMENTS</t>
        </is>
      </c>
      <c r="J97" t="inlineStr">
        <is>
          <t>Director of Investments</t>
        </is>
      </c>
      <c r="K97" t="inlineStr">
        <is>
          <t>Sr Investment Professional</t>
        </is>
      </c>
      <c r="L97" s="28" t="n">
        <v>240417</v>
      </c>
      <c r="M97" s="28" t="n">
        <v>235000</v>
      </c>
      <c r="N97" s="28" t="n">
        <v>1804</v>
      </c>
      <c r="O97" s="28" t="n">
        <v>42738</v>
      </c>
      <c r="P97" s="28" t="n">
        <v>2067</v>
      </c>
      <c r="Q97" s="28" t="n">
        <v>522026</v>
      </c>
      <c r="R97" s="28" t="n">
        <v>0</v>
      </c>
      <c r="S97" s="28">
        <f>Q97-R97</f>
        <v/>
      </c>
      <c r="T97" s="28">
        <f>IF(S97="","",S97*(1+in_GrowthRate)^(YEARFRAC(DATE(2022,6,30),in_AgeToDate)*IF(in_AgeToDate&lt;DATE(2022,6,30),-1,1)+1))</f>
        <v/>
      </c>
      <c r="U97" s="50">
        <f>IF(AND(AND(OR(in_Mode="All Funds",AND(C97&gt;=in_BandFloor,C97&lt;=in_BandCeiling,OR(in_Geography="National",COUNTIFS(lst_GeoPreset,in_Geography,lst_GeoState,B97)&gt;0,AND(in_Geography="Custom",ISNUMBER(SEARCH(B97,SUBSTITUTE(in_CustomStates," ",""))))),OR(AND(D97="Endowment",Inputs!$B$14="Y"),AND(D97="Foundation",Inputs!$B$15="Y"),AND(D97="Healthcare",Inputs!$B$16="Y"),AND(D97="Pension",Inputs!$B$17="Y"),AND(D97="OCIO",Inputs!$B$18="Y"),AND(D97="Other",Inputs!$B$19="Y")))),A97&lt;&gt;in_ClientOrg,NOT(AND(in_ExclHarvard="Y",ISNUMBER(SEARCH("Harvard",A97))))),$AD97="Y",K97&lt;&gt;"",S97&gt;0),"Y","")</f>
        <v/>
      </c>
      <c r="V97" s="30" t="n">
        <v>0.1960298791735011</v>
      </c>
      <c r="W97" t="inlineStr"/>
      <c r="X97" s="28">
        <f>IF(L97+M97=0,"",L97+M97)</f>
        <v/>
      </c>
      <c r="Y97" s="38">
        <f>IF(L97=0,"",M97/L97)</f>
        <v/>
      </c>
      <c r="Z97" t="inlineStr">
        <is>
          <t>Director &amp; Investment Officer</t>
        </is>
      </c>
      <c r="AA97" t="inlineStr">
        <is>
          <t>Investments</t>
        </is>
      </c>
      <c r="AB97" s="50" t="inlineStr"/>
      <c r="AC97" s="43">
        <f>HYPERLINK("https://projects.propublica.org/nonprofits/organizations/10215213/202311329349305061/full","view filing")</f>
        <v/>
      </c>
      <c r="AD97" s="50" t="inlineStr"/>
    </row>
    <row r="98">
      <c r="A98" t="inlineStr">
        <is>
          <t>Bowdoin College</t>
        </is>
      </c>
      <c r="B98" s="50" t="inlineStr">
        <is>
          <t>ME</t>
        </is>
      </c>
      <c r="C98" s="52" t="n">
        <v>2.92</v>
      </c>
      <c r="D98" t="inlineStr">
        <is>
          <t>Endowment</t>
        </is>
      </c>
      <c r="E98" s="50" t="n">
        <v>2022</v>
      </c>
      <c r="F98" s="50" t="inlineStr">
        <is>
          <t>2023-05-12</t>
        </is>
      </c>
      <c r="G98" s="50" t="inlineStr">
        <is>
          <t>2022-06-30</t>
        </is>
      </c>
      <c r="H98" t="inlineStr">
        <is>
          <t>Paula Volent</t>
        </is>
      </c>
      <c r="I98" t="inlineStr">
        <is>
          <t>SVP/CHIEF INVESTMENT OFFICER</t>
        </is>
      </c>
      <c r="J98" t="inlineStr">
        <is>
          <t>CIO</t>
        </is>
      </c>
      <c r="K98" t="inlineStr">
        <is>
          <t>CIO - Top Investment Executive</t>
        </is>
      </c>
      <c r="L98" s="28" t="n">
        <v>953992</v>
      </c>
      <c r="M98" s="28" t="n">
        <v>1300000</v>
      </c>
      <c r="N98" s="28" t="n">
        <v>398451</v>
      </c>
      <c r="O98" s="28" t="n">
        <v>0</v>
      </c>
      <c r="P98" s="28" t="n">
        <v>10549</v>
      </c>
      <c r="Q98" s="28" t="n">
        <v>2662992</v>
      </c>
      <c r="R98" s="28" t="n">
        <v>0</v>
      </c>
      <c r="S98" s="28">
        <f>Q98-R98</f>
        <v/>
      </c>
      <c r="T98" s="28">
        <f>IF(S98="","",S98*(1+in_GrowthRate)^(YEARFRAC(DATE(2022,6,30),in_AgeToDate)*IF(in_AgeToDate&lt;DATE(2022,6,30),-1,1)+1))</f>
        <v/>
      </c>
      <c r="U98" s="50">
        <f>IF(AND(AND(OR(in_Mode="All Funds",AND(C98&gt;=in_BandFloor,C98&lt;=in_BandCeiling,OR(in_Geography="National",COUNTIFS(lst_GeoPreset,in_Geography,lst_GeoState,B98)&gt;0,AND(in_Geography="Custom",ISNUMBER(SEARCH(B98,SUBSTITUTE(in_CustomStates," ",""))))),OR(AND(D98="Endowment",Inputs!$B$14="Y"),AND(D98="Foundation",Inputs!$B$15="Y"),AND(D98="Healthcare",Inputs!$B$16="Y"),AND(D98="Pension",Inputs!$B$17="Y"),AND(D98="OCIO",Inputs!$B$18="Y"),AND(D98="Other",Inputs!$B$19="Y")))),A98&lt;&gt;in_ClientOrg,NOT(AND(in_ExclHarvard="Y",ISNUMBER(SEARCH("Harvard",A98))))),$AD98="Y",K98&lt;&gt;"",S98&gt;0),"Y","")</f>
        <v/>
      </c>
      <c r="V98" s="30" t="n">
        <v>1</v>
      </c>
      <c r="W98" t="inlineStr"/>
      <c r="X98" s="28">
        <f>IF(L98+M98=0,"",L98+M98)</f>
        <v/>
      </c>
      <c r="Y98" s="38">
        <f>IF(L98=0,"",M98/L98)</f>
        <v/>
      </c>
      <c r="Z98" t="inlineStr">
        <is>
          <t>CIO - Top Investment Executive</t>
        </is>
      </c>
      <c r="AA98" t="inlineStr">
        <is>
          <t>Leadership</t>
        </is>
      </c>
      <c r="AB98" s="50" t="inlineStr">
        <is>
          <t>Y</t>
        </is>
      </c>
      <c r="AC98" s="43">
        <f>HYPERLINK("https://projects.propublica.org/nonprofits/organizations/10215213/202311329349305061/full","view filing")</f>
        <v/>
      </c>
      <c r="AD98" s="50" t="inlineStr"/>
    </row>
    <row r="99">
      <c r="A99" t="inlineStr">
        <is>
          <t>Boy Scouts Of America</t>
        </is>
      </c>
      <c r="B99" s="50" t="inlineStr">
        <is>
          <t>TX</t>
        </is>
      </c>
      <c r="C99" s="52" t="n">
        <v>0.23</v>
      </c>
      <c r="D99" t="inlineStr">
        <is>
          <t>Other</t>
        </is>
      </c>
      <c r="E99" s="50" t="n">
        <v>2024</v>
      </c>
      <c r="F99" s="50" t="inlineStr">
        <is>
          <t>2025-11-17</t>
        </is>
      </c>
      <c r="G99" s="50" t="inlineStr">
        <is>
          <t>2024-12-31</t>
        </is>
      </c>
      <c r="H99" t="inlineStr">
        <is>
          <t>Faisal Rajani</t>
        </is>
      </c>
      <c r="I99" t="inlineStr">
        <is>
          <t>SVP Chief Investment Officer * BSAAM Operations-Reimbursable</t>
        </is>
      </c>
      <c r="J99" t="inlineStr">
        <is>
          <t>CIO</t>
        </is>
      </c>
      <c r="K99" t="inlineStr">
        <is>
          <t>CIO - Top Investment Executive</t>
        </is>
      </c>
      <c r="L99" s="28" t="n">
        <v>294414</v>
      </c>
      <c r="M99" s="28" t="n">
        <v>30000</v>
      </c>
      <c r="N99" s="28" t="n">
        <v>0</v>
      </c>
      <c r="O99" s="28" t="n">
        <v>10149</v>
      </c>
      <c r="P99" s="28" t="n">
        <v>37812</v>
      </c>
      <c r="Q99" s="28" t="n">
        <v>366421</v>
      </c>
      <c r="R99" s="28" t="n">
        <v>0</v>
      </c>
      <c r="S99" s="28">
        <f>Q99-R99</f>
        <v/>
      </c>
      <c r="T99" s="28">
        <f>IF(S99="","",S99*(1+in_GrowthRate)^(YEARFRAC(DATE(2024,12,31),in_AgeToDate)*IF(in_AgeToDate&lt;DATE(2024,12,31),-1,1)+1))</f>
        <v/>
      </c>
      <c r="U99" s="50">
        <f>IF(AND(AND(OR(in_Mode="All Funds",AND(C99&gt;=in_BandFloor,C99&lt;=in_BandCeiling,OR(in_Geography="National",COUNTIFS(lst_GeoPreset,in_Geography,lst_GeoState,B99)&gt;0,AND(in_Geography="Custom",ISNUMBER(SEARCH(B99,SUBSTITUTE(in_CustomStates," ",""))))),OR(AND(D99="Endowment",Inputs!$B$14="Y"),AND(D99="Foundation",Inputs!$B$15="Y"),AND(D99="Healthcare",Inputs!$B$16="Y"),AND(D99="Pension",Inputs!$B$17="Y"),AND(D99="OCIO",Inputs!$B$18="Y"),AND(D99="Other",Inputs!$B$19="Y")))),A99&lt;&gt;in_ClientOrg,NOT(AND(in_ExclHarvard="Y",ISNUMBER(SEARCH("Harvard",A99))))),$AD99="Y",K99&lt;&gt;"",S99&gt;0),"Y","")</f>
        <v/>
      </c>
      <c r="V99" s="30" t="n">
        <v>1</v>
      </c>
      <c r="W99" t="inlineStr"/>
      <c r="X99" s="28">
        <f>IF(L99+M99=0,"",L99+M99)</f>
        <v/>
      </c>
      <c r="Y99" s="38">
        <f>IF(L99=0,"",M99/L99)</f>
        <v/>
      </c>
      <c r="Z99" t="inlineStr">
        <is>
          <t>CIO - Top Investment Executive</t>
        </is>
      </c>
      <c r="AA99" t="inlineStr">
        <is>
          <t>Leadership</t>
        </is>
      </c>
      <c r="AB99" s="50" t="inlineStr">
        <is>
          <t>Y</t>
        </is>
      </c>
      <c r="AC99" s="43">
        <f>HYPERLINK("https://projects.propublica.org/nonprofits/organizations/221576300/202523219349326702/full","view filing")</f>
        <v/>
      </c>
      <c r="AD99" s="50" t="inlineStr">
        <is>
          <t>Y</t>
        </is>
      </c>
    </row>
    <row r="100">
      <c r="A100" t="inlineStr">
        <is>
          <t>Boy Scouts Of America</t>
        </is>
      </c>
      <c r="B100" s="50" t="inlineStr">
        <is>
          <t>TX</t>
        </is>
      </c>
      <c r="C100" s="52" t="n">
        <v>0.23</v>
      </c>
      <c r="D100" t="inlineStr">
        <is>
          <t>Other</t>
        </is>
      </c>
      <c r="E100" s="50" t="n">
        <v>2023</v>
      </c>
      <c r="F100" s="50" t="inlineStr">
        <is>
          <t>2024-11-14</t>
        </is>
      </c>
      <c r="G100" s="50" t="inlineStr">
        <is>
          <t>2023-12-31</t>
        </is>
      </c>
      <c r="H100" t="inlineStr">
        <is>
          <t>Faisal Rajani</t>
        </is>
      </c>
      <c r="I100" t="inlineStr">
        <is>
          <t>SVP Chief Investment Officer</t>
        </is>
      </c>
      <c r="J100" t="inlineStr">
        <is>
          <t>CIO</t>
        </is>
      </c>
      <c r="K100" t="inlineStr">
        <is>
          <t>CIO - Top Investment Executive</t>
        </is>
      </c>
      <c r="L100" s="28" t="n">
        <v>293826</v>
      </c>
      <c r="M100" s="28" t="n">
        <v>30000</v>
      </c>
      <c r="N100" s="28" t="n">
        <v>0</v>
      </c>
      <c r="O100" s="28" t="n">
        <v>9900</v>
      </c>
      <c r="P100" s="28" t="n">
        <v>36723</v>
      </c>
      <c r="Q100" s="28" t="n">
        <v>365041</v>
      </c>
      <c r="R100" s="28" t="n">
        <v>0</v>
      </c>
      <c r="S100" s="28">
        <f>Q100-R100</f>
        <v/>
      </c>
      <c r="T100" s="28">
        <f>IF(S100="","",S100*(1+in_GrowthRate)^(YEARFRAC(DATE(2023,12,31),in_AgeToDate)*IF(in_AgeToDate&lt;DATE(2023,12,31),-1,1)+1))</f>
        <v/>
      </c>
      <c r="U100" s="50">
        <f>IF(AND(AND(OR(in_Mode="All Funds",AND(C100&gt;=in_BandFloor,C100&lt;=in_BandCeiling,OR(in_Geography="National",COUNTIFS(lst_GeoPreset,in_Geography,lst_GeoState,B100)&gt;0,AND(in_Geography="Custom",ISNUMBER(SEARCH(B100,SUBSTITUTE(in_CustomStates," ",""))))),OR(AND(D100="Endowment",Inputs!$B$14="Y"),AND(D100="Foundation",Inputs!$B$15="Y"),AND(D100="Healthcare",Inputs!$B$16="Y"),AND(D100="Pension",Inputs!$B$17="Y"),AND(D100="OCIO",Inputs!$B$18="Y"),AND(D100="Other",Inputs!$B$19="Y")))),A100&lt;&gt;in_ClientOrg,NOT(AND(in_ExclHarvard="Y",ISNUMBER(SEARCH("Harvard",A100))))),$AD100="Y",K100&lt;&gt;"",S100&gt;0),"Y","")</f>
        <v/>
      </c>
      <c r="V100" s="30" t="n">
        <v>1</v>
      </c>
      <c r="W100" t="inlineStr"/>
      <c r="X100" s="28">
        <f>IF(L100+M100=0,"",L100+M100)</f>
        <v/>
      </c>
      <c r="Y100" s="38">
        <f>IF(L100=0,"",M100/L100)</f>
        <v/>
      </c>
      <c r="Z100" t="inlineStr">
        <is>
          <t>CIO - Top Investment Executive</t>
        </is>
      </c>
      <c r="AA100" t="inlineStr">
        <is>
          <t>Leadership</t>
        </is>
      </c>
      <c r="AB100" s="50" t="inlineStr">
        <is>
          <t>Y</t>
        </is>
      </c>
      <c r="AC100" s="43">
        <f>HYPERLINK("https://projects.propublica.org/nonprofits/organizations/221576300/202403199349317385/full","view filing")</f>
        <v/>
      </c>
      <c r="AD100" s="50" t="inlineStr"/>
    </row>
    <row r="101">
      <c r="A101" t="inlineStr">
        <is>
          <t>Boy Scouts Of America</t>
        </is>
      </c>
      <c r="B101" s="50" t="inlineStr">
        <is>
          <t>TX</t>
        </is>
      </c>
      <c r="C101" s="52" t="n">
        <v>0.23</v>
      </c>
      <c r="D101" t="inlineStr">
        <is>
          <t>Other</t>
        </is>
      </c>
      <c r="E101" s="50" t="n">
        <v>2022</v>
      </c>
      <c r="F101" s="50" t="inlineStr">
        <is>
          <t>2023-11-14</t>
        </is>
      </c>
      <c r="G101" s="50" t="inlineStr">
        <is>
          <t>2022-12-31</t>
        </is>
      </c>
      <c r="H101" t="inlineStr">
        <is>
          <t>Faisal Rajani</t>
        </is>
      </c>
      <c r="I101" t="inlineStr">
        <is>
          <t>SVP Chief Investment Officer</t>
        </is>
      </c>
      <c r="J101" t="inlineStr">
        <is>
          <t>CIO</t>
        </is>
      </c>
      <c r="K101" t="inlineStr">
        <is>
          <t>CIO - Top Investment Executive</t>
        </is>
      </c>
      <c r="L101" s="28" t="n">
        <v>279094</v>
      </c>
      <c r="M101" s="28" t="n">
        <v>0</v>
      </c>
      <c r="N101" s="28" t="n">
        <v>2340</v>
      </c>
      <c r="O101" s="28" t="n">
        <v>9000</v>
      </c>
      <c r="P101" s="28" t="n">
        <v>36783</v>
      </c>
      <c r="Q101" s="28" t="n">
        <v>327217</v>
      </c>
      <c r="R101" s="28" t="n">
        <v>0</v>
      </c>
      <c r="S101" s="28">
        <f>Q101-R101</f>
        <v/>
      </c>
      <c r="T101" s="28">
        <f>IF(S101="","",S101*(1+in_GrowthRate)^(YEARFRAC(DATE(2022,12,31),in_AgeToDate)*IF(in_AgeToDate&lt;DATE(2022,12,31),-1,1)+1))</f>
        <v/>
      </c>
      <c r="U101" s="50">
        <f>IF(AND(AND(OR(in_Mode="All Funds",AND(C101&gt;=in_BandFloor,C101&lt;=in_BandCeiling,OR(in_Geography="National",COUNTIFS(lst_GeoPreset,in_Geography,lst_GeoState,B101)&gt;0,AND(in_Geography="Custom",ISNUMBER(SEARCH(B101,SUBSTITUTE(in_CustomStates," ",""))))),OR(AND(D101="Endowment",Inputs!$B$14="Y"),AND(D101="Foundation",Inputs!$B$15="Y"),AND(D101="Healthcare",Inputs!$B$16="Y"),AND(D101="Pension",Inputs!$B$17="Y"),AND(D101="OCIO",Inputs!$B$18="Y"),AND(D101="Other",Inputs!$B$19="Y")))),A101&lt;&gt;in_ClientOrg,NOT(AND(in_ExclHarvard="Y",ISNUMBER(SEARCH("Harvard",A101))))),$AD101="Y",K101&lt;&gt;"",S101&gt;0),"Y","")</f>
        <v/>
      </c>
      <c r="V101" s="30" t="n">
        <v>1</v>
      </c>
      <c r="W101" t="inlineStr"/>
      <c r="X101" s="28">
        <f>IF(L101+M101=0,"",L101+M101)</f>
        <v/>
      </c>
      <c r="Y101" s="38">
        <f>IF(L101=0,"",M101/L101)</f>
        <v/>
      </c>
      <c r="Z101" t="inlineStr">
        <is>
          <t>CIO - Top Investment Executive</t>
        </is>
      </c>
      <c r="AA101" t="inlineStr">
        <is>
          <t>Leadership</t>
        </is>
      </c>
      <c r="AB101" s="50" t="inlineStr">
        <is>
          <t>Y</t>
        </is>
      </c>
      <c r="AC101" s="43">
        <f>HYPERLINK("https://projects.propublica.org/nonprofits/organizations/221576300/202323199349305142/full","view filing")</f>
        <v/>
      </c>
      <c r="AD101" s="50" t="inlineStr"/>
    </row>
    <row r="102">
      <c r="A102" t="inlineStr">
        <is>
          <t>Brandeis University</t>
        </is>
      </c>
      <c r="B102" s="50" t="inlineStr">
        <is>
          <t>MA</t>
        </is>
      </c>
      <c r="C102" s="52" t="n">
        <v>1.36</v>
      </c>
      <c r="D102" t="inlineStr">
        <is>
          <t>Endowment</t>
        </is>
      </c>
      <c r="E102" s="50" t="n">
        <v>2025</v>
      </c>
      <c r="F102" s="50" t="inlineStr">
        <is>
          <t>2026-05-11</t>
        </is>
      </c>
      <c r="G102" s="50" t="inlineStr">
        <is>
          <t>2025-06-30</t>
        </is>
      </c>
      <c r="H102" t="inlineStr">
        <is>
          <t>Chris Hofmann</t>
        </is>
      </c>
      <c r="I102" t="inlineStr">
        <is>
          <t>DIRECTOR OF INVESTMENTS</t>
        </is>
      </c>
      <c r="J102" t="inlineStr">
        <is>
          <t>Director of Investments</t>
        </is>
      </c>
      <c r="K102" t="inlineStr">
        <is>
          <t>Sr Investment Professional</t>
        </is>
      </c>
      <c r="L102" s="28" t="n">
        <v>409018</v>
      </c>
      <c r="M102" s="28" t="n">
        <v>0</v>
      </c>
      <c r="N102" s="28" t="n">
        <v>216</v>
      </c>
      <c r="O102" s="28" t="n">
        <v>5000</v>
      </c>
      <c r="P102" s="28" t="n">
        <v>45556</v>
      </c>
      <c r="Q102" s="28" t="n">
        <v>459790</v>
      </c>
      <c r="R102" s="28" t="n">
        <v>0</v>
      </c>
      <c r="S102" s="28">
        <f>Q102-R102</f>
        <v/>
      </c>
      <c r="T102" s="28">
        <f>IF(S102="","",S102*(1+in_GrowthRate)^(YEARFRAC(DATE(2025,6,30),in_AgeToDate)*IF(in_AgeToDate&lt;DATE(2025,6,30),-1,1)+1))</f>
        <v/>
      </c>
      <c r="U102" s="50">
        <f>IF(AND(AND(OR(in_Mode="All Funds",AND(C102&gt;=in_BandFloor,C102&lt;=in_BandCeiling,OR(in_Geography="National",COUNTIFS(lst_GeoPreset,in_Geography,lst_GeoState,B102)&gt;0,AND(in_Geography="Custom",ISNUMBER(SEARCH(B102,SUBSTITUTE(in_CustomStates," ",""))))),OR(AND(D102="Endowment",Inputs!$B$14="Y"),AND(D102="Foundation",Inputs!$B$15="Y"),AND(D102="Healthcare",Inputs!$B$16="Y"),AND(D102="Pension",Inputs!$B$17="Y"),AND(D102="OCIO",Inputs!$B$18="Y"),AND(D102="Other",Inputs!$B$19="Y")))),A102&lt;&gt;in_ClientOrg,NOT(AND(in_ExclHarvard="Y",ISNUMBER(SEARCH("Harvard",A102))))),$AD102="Y",K102&lt;&gt;"",S102&gt;0),"Y","")</f>
        <v/>
      </c>
      <c r="V102" s="30" t="n">
        <v>0.5913309866491072</v>
      </c>
      <c r="W102" t="inlineStr"/>
      <c r="X102" s="28">
        <f>IF(L102+M102=0,"",L102+M102)</f>
        <v/>
      </c>
      <c r="Y102" s="38">
        <f>IF(L102=0,"",M102/L102)</f>
        <v/>
      </c>
      <c r="Z102" t="inlineStr">
        <is>
          <t>Director &amp; Investment Officer</t>
        </is>
      </c>
      <c r="AA102" t="inlineStr">
        <is>
          <t>Investments</t>
        </is>
      </c>
      <c r="AB102" s="50" t="inlineStr"/>
      <c r="AC102" s="43">
        <f>HYPERLINK("https://projects.propublica.org/nonprofits/organizations/42103552/202611319349301651/full","view filing")</f>
        <v/>
      </c>
      <c r="AD102" s="50" t="inlineStr">
        <is>
          <t>Y</t>
        </is>
      </c>
    </row>
    <row r="103">
      <c r="A103" t="inlineStr">
        <is>
          <t>Brandeis University</t>
        </is>
      </c>
      <c r="B103" s="50" t="inlineStr">
        <is>
          <t>MA</t>
        </is>
      </c>
      <c r="C103" s="52" t="n">
        <v>1.36</v>
      </c>
      <c r="D103" t="inlineStr">
        <is>
          <t>Endowment</t>
        </is>
      </c>
      <c r="E103" s="50" t="n">
        <v>2025</v>
      </c>
      <c r="F103" s="50" t="inlineStr">
        <is>
          <t>2026-05-11</t>
        </is>
      </c>
      <c r="G103" s="50" t="inlineStr">
        <is>
          <t>2025-06-30</t>
        </is>
      </c>
      <c r="H103" t="inlineStr">
        <is>
          <t>Tarek Saghir</t>
        </is>
      </c>
      <c r="I103" t="inlineStr">
        <is>
          <t>CHIEF INVESTMENT OFFICER</t>
        </is>
      </c>
      <c r="J103" t="inlineStr">
        <is>
          <t>CIO</t>
        </is>
      </c>
      <c r="K103" t="inlineStr">
        <is>
          <t>CIO - Top Investment Executive</t>
        </is>
      </c>
      <c r="L103" s="28" t="n">
        <v>678356</v>
      </c>
      <c r="M103" s="28" t="n">
        <v>0</v>
      </c>
      <c r="N103" s="28" t="n">
        <v>29540</v>
      </c>
      <c r="O103" s="28" t="n">
        <v>27600</v>
      </c>
      <c r="P103" s="28" t="n">
        <v>42055</v>
      </c>
      <c r="Q103" s="28" t="n">
        <v>777551</v>
      </c>
      <c r="R103" s="28" t="n">
        <v>0</v>
      </c>
      <c r="S103" s="28">
        <f>Q103-R103</f>
        <v/>
      </c>
      <c r="T103" s="28">
        <f>IF(S103="","",S103*(1+in_GrowthRate)^(YEARFRAC(DATE(2025,6,30),in_AgeToDate)*IF(in_AgeToDate&lt;DATE(2025,6,30),-1,1)+1))</f>
        <v/>
      </c>
      <c r="U103" s="50">
        <f>IF(AND(AND(OR(in_Mode="All Funds",AND(C103&gt;=in_BandFloor,C103&lt;=in_BandCeiling,OR(in_Geography="National",COUNTIFS(lst_GeoPreset,in_Geography,lst_GeoState,B103)&gt;0,AND(in_Geography="Custom",ISNUMBER(SEARCH(B103,SUBSTITUTE(in_CustomStates," ",""))))),OR(AND(D103="Endowment",Inputs!$B$14="Y"),AND(D103="Foundation",Inputs!$B$15="Y"),AND(D103="Healthcare",Inputs!$B$16="Y"),AND(D103="Pension",Inputs!$B$17="Y"),AND(D103="OCIO",Inputs!$B$18="Y"),AND(D103="Other",Inputs!$B$19="Y")))),A103&lt;&gt;in_ClientOrg,NOT(AND(in_ExclHarvard="Y",ISNUMBER(SEARCH("Harvard",A103))))),$AD103="Y",K103&lt;&gt;"",S103&gt;0),"Y","")</f>
        <v/>
      </c>
      <c r="V103" s="30" t="n">
        <v>1</v>
      </c>
      <c r="W103" t="inlineStr"/>
      <c r="X103" s="28">
        <f>IF(L103+M103=0,"",L103+M103)</f>
        <v/>
      </c>
      <c r="Y103" s="38">
        <f>IF(L103=0,"",M103/L103)</f>
        <v/>
      </c>
      <c r="Z103" t="inlineStr">
        <is>
          <t>CIO - Top Investment Executive</t>
        </is>
      </c>
      <c r="AA103" t="inlineStr">
        <is>
          <t>Leadership</t>
        </is>
      </c>
      <c r="AB103" s="50" t="inlineStr">
        <is>
          <t>Y</t>
        </is>
      </c>
      <c r="AC103" s="43">
        <f>HYPERLINK("https://projects.propublica.org/nonprofits/organizations/42103552/202611319349301651/full","view filing")</f>
        <v/>
      </c>
      <c r="AD103" s="50" t="inlineStr">
        <is>
          <t>Y</t>
        </is>
      </c>
    </row>
    <row r="104">
      <c r="A104" t="inlineStr">
        <is>
          <t>Brandeis University</t>
        </is>
      </c>
      <c r="B104" s="50" t="inlineStr">
        <is>
          <t>MA</t>
        </is>
      </c>
      <c r="C104" s="52" t="n">
        <v>1.36</v>
      </c>
      <c r="D104" t="inlineStr">
        <is>
          <t>Endowment</t>
        </is>
      </c>
      <c r="E104" s="50" t="n">
        <v>2024</v>
      </c>
      <c r="F104" s="50" t="inlineStr">
        <is>
          <t>2025-05-15</t>
        </is>
      </c>
      <c r="G104" s="50" t="inlineStr">
        <is>
          <t>2024-06-30</t>
        </is>
      </c>
      <c r="H104" t="inlineStr">
        <is>
          <t>Tarek Saghir</t>
        </is>
      </c>
      <c r="I104" t="inlineStr">
        <is>
          <t>CHIEF INVESTMENT OFFICER</t>
        </is>
      </c>
      <c r="J104" t="inlineStr">
        <is>
          <t>CIO</t>
        </is>
      </c>
      <c r="K104" t="inlineStr">
        <is>
          <t>CIO - Top Investment Executive</t>
        </is>
      </c>
      <c r="L104" s="28" t="n">
        <v>666137</v>
      </c>
      <c r="M104" s="28" t="n">
        <v>0</v>
      </c>
      <c r="N104" s="28" t="n">
        <v>28498</v>
      </c>
      <c r="O104" s="28" t="n">
        <v>26400</v>
      </c>
      <c r="P104" s="28" t="n">
        <v>44075</v>
      </c>
      <c r="Q104" s="28" t="n">
        <v>765110</v>
      </c>
      <c r="R104" s="28" t="n">
        <v>0</v>
      </c>
      <c r="S104" s="28">
        <f>Q104-R104</f>
        <v/>
      </c>
      <c r="T104" s="28">
        <f>IF(S104="","",S104*(1+in_GrowthRate)^(YEARFRAC(DATE(2024,6,30),in_AgeToDate)*IF(in_AgeToDate&lt;DATE(2024,6,30),-1,1)+1))</f>
        <v/>
      </c>
      <c r="U104" s="50">
        <f>IF(AND(AND(OR(in_Mode="All Funds",AND(C104&gt;=in_BandFloor,C104&lt;=in_BandCeiling,OR(in_Geography="National",COUNTIFS(lst_GeoPreset,in_Geography,lst_GeoState,B104)&gt;0,AND(in_Geography="Custom",ISNUMBER(SEARCH(B104,SUBSTITUTE(in_CustomStates," ",""))))),OR(AND(D104="Endowment",Inputs!$B$14="Y"),AND(D104="Foundation",Inputs!$B$15="Y"),AND(D104="Healthcare",Inputs!$B$16="Y"),AND(D104="Pension",Inputs!$B$17="Y"),AND(D104="OCIO",Inputs!$B$18="Y"),AND(D104="Other",Inputs!$B$19="Y")))),A104&lt;&gt;in_ClientOrg,NOT(AND(in_ExclHarvard="Y",ISNUMBER(SEARCH("Harvard",A104))))),$AD104="Y",K104&lt;&gt;"",S104&gt;0),"Y","")</f>
        <v/>
      </c>
      <c r="V104" s="30" t="n">
        <v>1</v>
      </c>
      <c r="W104" t="inlineStr"/>
      <c r="X104" s="28">
        <f>IF(L104+M104=0,"",L104+M104)</f>
        <v/>
      </c>
      <c r="Y104" s="38">
        <f>IF(L104=0,"",M104/L104)</f>
        <v/>
      </c>
      <c r="Z104" t="inlineStr">
        <is>
          <t>CIO - Top Investment Executive</t>
        </is>
      </c>
      <c r="AA104" t="inlineStr">
        <is>
          <t>Leadership</t>
        </is>
      </c>
      <c r="AB104" s="50" t="inlineStr">
        <is>
          <t>Y</t>
        </is>
      </c>
      <c r="AC104" s="43">
        <f>HYPERLINK("https://projects.propublica.org/nonprofits/organizations/42103552/202541359349300144/full","view filing")</f>
        <v/>
      </c>
      <c r="AD104" s="50" t="inlineStr"/>
    </row>
    <row r="105">
      <c r="A105" t="inlineStr">
        <is>
          <t>Brookings Institution</t>
        </is>
      </c>
      <c r="B105" s="50" t="inlineStr">
        <is>
          <t>DC</t>
        </is>
      </c>
      <c r="C105" s="52" t="n">
        <v>0.47</v>
      </c>
      <c r="D105" t="inlineStr">
        <is>
          <t>Other</t>
        </is>
      </c>
      <c r="E105" s="50" t="n">
        <v>2025</v>
      </c>
      <c r="F105" s="50" t="inlineStr">
        <is>
          <t>2026-05-14</t>
        </is>
      </c>
      <c r="G105" s="50" t="inlineStr">
        <is>
          <t>2025-06-30</t>
        </is>
      </c>
      <c r="H105" t="inlineStr">
        <is>
          <t>Ankur R Bhatt</t>
        </is>
      </c>
      <c r="I105" t="inlineStr">
        <is>
          <t>VP &amp; CIO</t>
        </is>
      </c>
      <c r="J105" t="inlineStr">
        <is>
          <t>CIO</t>
        </is>
      </c>
      <c r="K105" t="inlineStr">
        <is>
          <t>Sr Investment Professional</t>
        </is>
      </c>
      <c r="L105" s="28" t="n">
        <v>326707</v>
      </c>
      <c r="M105" s="28" t="n">
        <v>16643</v>
      </c>
      <c r="N105" s="28" t="n">
        <v>0</v>
      </c>
      <c r="O105" s="28" t="n">
        <v>40326</v>
      </c>
      <c r="P105" s="28" t="n">
        <v>42797</v>
      </c>
      <c r="Q105" s="28" t="n">
        <v>426473</v>
      </c>
      <c r="R105" s="28" t="n">
        <v>0</v>
      </c>
      <c r="S105" s="28">
        <f>Q105-R105</f>
        <v/>
      </c>
      <c r="T105" s="28">
        <f>IF(S105="","",S105*(1+in_GrowthRate)^(YEARFRAC(DATE(2025,6,30),in_AgeToDate)*IF(in_AgeToDate&lt;DATE(2025,6,30),-1,1)+1))</f>
        <v/>
      </c>
      <c r="U105" s="50">
        <f>IF(AND(AND(OR(in_Mode="All Funds",AND(C105&gt;=in_BandFloor,C105&lt;=in_BandCeiling,OR(in_Geography="National",COUNTIFS(lst_GeoPreset,in_Geography,lst_GeoState,B105)&gt;0,AND(in_Geography="Custom",ISNUMBER(SEARCH(B105,SUBSTITUTE(in_CustomStates," ",""))))),OR(AND(D105="Endowment",Inputs!$B$14="Y"),AND(D105="Foundation",Inputs!$B$15="Y"),AND(D105="Healthcare",Inputs!$B$16="Y"),AND(D105="Pension",Inputs!$B$17="Y"),AND(D105="OCIO",Inputs!$B$18="Y"),AND(D105="Other",Inputs!$B$19="Y")))),A105&lt;&gt;in_ClientOrg,NOT(AND(in_ExclHarvard="Y",ISNUMBER(SEARCH("Harvard",A105))))),$AD105="Y",K105&lt;&gt;"",S105&gt;0),"Y","")</f>
        <v/>
      </c>
      <c r="V105" s="30" t="n">
        <v>0.7780522468251087</v>
      </c>
      <c r="W105" t="inlineStr"/>
      <c r="X105" s="28">
        <f>IF(L105+M105=0,"",L105+M105)</f>
        <v/>
      </c>
      <c r="Y105" s="38">
        <f>IF(L105=0,"",M105/L105)</f>
        <v/>
      </c>
      <c r="Z105" t="inlineStr">
        <is>
          <t>Deputy CIO</t>
        </is>
      </c>
      <c r="AA105" t="inlineStr">
        <is>
          <t>Leadership</t>
        </is>
      </c>
      <c r="AB105" s="50" t="inlineStr"/>
      <c r="AC105" s="43">
        <f>HYPERLINK("https://projects.propublica.org/nonprofits/organizations/530196577/202601359349300310/full","view filing")</f>
        <v/>
      </c>
      <c r="AD105" s="50" t="inlineStr">
        <is>
          <t>Y</t>
        </is>
      </c>
    </row>
    <row r="106">
      <c r="A106" t="inlineStr">
        <is>
          <t>Brookings Institution</t>
        </is>
      </c>
      <c r="B106" s="50" t="inlineStr">
        <is>
          <t>DC</t>
        </is>
      </c>
      <c r="C106" s="52" t="n">
        <v>0.47</v>
      </c>
      <c r="D106" t="inlineStr">
        <is>
          <t>Other</t>
        </is>
      </c>
      <c r="E106" s="50" t="n">
        <v>2025</v>
      </c>
      <c r="F106" s="50" t="inlineStr">
        <is>
          <t>2026-05-14</t>
        </is>
      </c>
      <c r="G106" s="50" t="inlineStr">
        <is>
          <t>2025-06-30</t>
        </is>
      </c>
      <c r="H106" t="inlineStr">
        <is>
          <t>Catherine A Piez</t>
        </is>
      </c>
      <c r="I106" t="inlineStr">
        <is>
          <t>CHIEF INVESTMENT OFFICER</t>
        </is>
      </c>
      <c r="J106" t="inlineStr">
        <is>
          <t>CIO</t>
        </is>
      </c>
      <c r="K106" t="inlineStr">
        <is>
          <t>CIO - Top Investment Executive</t>
        </is>
      </c>
      <c r="L106" s="28" t="n">
        <v>426621</v>
      </c>
      <c r="M106" s="28" t="n">
        <v>21250</v>
      </c>
      <c r="N106" s="28" t="n">
        <v>0</v>
      </c>
      <c r="O106" s="28" t="n">
        <v>52100</v>
      </c>
      <c r="P106" s="28" t="n">
        <v>48158</v>
      </c>
      <c r="Q106" s="28" t="n">
        <v>548129</v>
      </c>
      <c r="R106" s="28" t="n">
        <v>0</v>
      </c>
      <c r="S106" s="28">
        <f>Q106-R106</f>
        <v/>
      </c>
      <c r="T106" s="28">
        <f>IF(S106="","",S106*(1+in_GrowthRate)^(YEARFRAC(DATE(2025,6,30),in_AgeToDate)*IF(in_AgeToDate&lt;DATE(2025,6,30),-1,1)+1))</f>
        <v/>
      </c>
      <c r="U106" s="50">
        <f>IF(AND(AND(OR(in_Mode="All Funds",AND(C106&gt;=in_BandFloor,C106&lt;=in_BandCeiling,OR(in_Geography="National",COUNTIFS(lst_GeoPreset,in_Geography,lst_GeoState,B106)&gt;0,AND(in_Geography="Custom",ISNUMBER(SEARCH(B106,SUBSTITUTE(in_CustomStates," ",""))))),OR(AND(D106="Endowment",Inputs!$B$14="Y"),AND(D106="Foundation",Inputs!$B$15="Y"),AND(D106="Healthcare",Inputs!$B$16="Y"),AND(D106="Pension",Inputs!$B$17="Y"),AND(D106="OCIO",Inputs!$B$18="Y"),AND(D106="Other",Inputs!$B$19="Y")))),A106&lt;&gt;in_ClientOrg,NOT(AND(in_ExclHarvard="Y",ISNUMBER(SEARCH("Harvard",A106))))),$AD106="Y",K106&lt;&gt;"",S106&gt;0),"Y","")</f>
        <v/>
      </c>
      <c r="V106" s="30" t="n">
        <v>1</v>
      </c>
      <c r="W106" t="inlineStr"/>
      <c r="X106" s="28">
        <f>IF(L106+M106=0,"",L106+M106)</f>
        <v/>
      </c>
      <c r="Y106" s="38">
        <f>IF(L106=0,"",M106/L106)</f>
        <v/>
      </c>
      <c r="Z106" t="inlineStr">
        <is>
          <t>CIO - Top Investment Executive</t>
        </is>
      </c>
      <c r="AA106" t="inlineStr">
        <is>
          <t>Leadership</t>
        </is>
      </c>
      <c r="AB106" s="50" t="inlineStr">
        <is>
          <t>Y</t>
        </is>
      </c>
      <c r="AC106" s="43">
        <f>HYPERLINK("https://projects.propublica.org/nonprofits/organizations/530196577/202601359349300310/full","view filing")</f>
        <v/>
      </c>
      <c r="AD106" s="50" t="inlineStr">
        <is>
          <t>Y</t>
        </is>
      </c>
    </row>
    <row r="107">
      <c r="A107" t="inlineStr">
        <is>
          <t>Brookings Institution</t>
        </is>
      </c>
      <c r="B107" s="50" t="inlineStr">
        <is>
          <t>DC</t>
        </is>
      </c>
      <c r="C107" s="52" t="n">
        <v>0.47</v>
      </c>
      <c r="D107" t="inlineStr">
        <is>
          <t>Other</t>
        </is>
      </c>
      <c r="E107" s="50" t="n">
        <v>2024</v>
      </c>
      <c r="F107" s="50" t="inlineStr">
        <is>
          <t>2025-05-14</t>
        </is>
      </c>
      <c r="G107" s="50" t="inlineStr">
        <is>
          <t>2024-06-30</t>
        </is>
      </c>
      <c r="H107" t="inlineStr">
        <is>
          <t>Catherine A Piez</t>
        </is>
      </c>
      <c r="I107" t="inlineStr">
        <is>
          <t>CHIEF INVESTMENT OFFICER</t>
        </is>
      </c>
      <c r="J107" t="inlineStr">
        <is>
          <t>CIO</t>
        </is>
      </c>
      <c r="K107" t="inlineStr">
        <is>
          <t>CIO - Top Investment Executive</t>
        </is>
      </c>
      <c r="L107" s="28" t="n">
        <v>401896</v>
      </c>
      <c r="M107" s="28" t="n">
        <v>19110</v>
      </c>
      <c r="N107" s="28" t="n">
        <v>990</v>
      </c>
      <c r="O107" s="28" t="n">
        <v>39600</v>
      </c>
      <c r="P107" s="28" t="n">
        <v>28385</v>
      </c>
      <c r="Q107" s="28" t="n">
        <v>489981</v>
      </c>
      <c r="R107" s="28" t="n">
        <v>0</v>
      </c>
      <c r="S107" s="28">
        <f>Q107-R107</f>
        <v/>
      </c>
      <c r="T107" s="28">
        <f>IF(S107="","",S107*(1+in_GrowthRate)^(YEARFRAC(DATE(2024,6,30),in_AgeToDate)*IF(in_AgeToDate&lt;DATE(2024,6,30),-1,1)+1))</f>
        <v/>
      </c>
      <c r="U107" s="50">
        <f>IF(AND(AND(OR(in_Mode="All Funds",AND(C107&gt;=in_BandFloor,C107&lt;=in_BandCeiling,OR(in_Geography="National",COUNTIFS(lst_GeoPreset,in_Geography,lst_GeoState,B107)&gt;0,AND(in_Geography="Custom",ISNUMBER(SEARCH(B107,SUBSTITUTE(in_CustomStates," ",""))))),OR(AND(D107="Endowment",Inputs!$B$14="Y"),AND(D107="Foundation",Inputs!$B$15="Y"),AND(D107="Healthcare",Inputs!$B$16="Y"),AND(D107="Pension",Inputs!$B$17="Y"),AND(D107="OCIO",Inputs!$B$18="Y"),AND(D107="Other",Inputs!$B$19="Y")))),A107&lt;&gt;in_ClientOrg,NOT(AND(in_ExclHarvard="Y",ISNUMBER(SEARCH("Harvard",A107))))),$AD107="Y",K107&lt;&gt;"",S107&gt;0),"Y","")</f>
        <v/>
      </c>
      <c r="V107" s="30" t="n">
        <v>1</v>
      </c>
      <c r="W107" t="inlineStr"/>
      <c r="X107" s="28">
        <f>IF(L107+M107=0,"",L107+M107)</f>
        <v/>
      </c>
      <c r="Y107" s="38">
        <f>IF(L107=0,"",M107/L107)</f>
        <v/>
      </c>
      <c r="Z107" t="inlineStr">
        <is>
          <t>CIO - Top Investment Executive</t>
        </is>
      </c>
      <c r="AA107" t="inlineStr">
        <is>
          <t>Leadership</t>
        </is>
      </c>
      <c r="AB107" s="50" t="inlineStr">
        <is>
          <t>Y</t>
        </is>
      </c>
      <c r="AC107" s="43">
        <f>HYPERLINK("https://projects.propublica.org/nonprofits/organizations/530196577/202531349349306718/full","view filing")</f>
        <v/>
      </c>
      <c r="AD107" s="50" t="inlineStr"/>
    </row>
    <row r="108">
      <c r="A108" t="inlineStr">
        <is>
          <t>Brookings Institution</t>
        </is>
      </c>
      <c r="B108" s="50" t="inlineStr">
        <is>
          <t>DC</t>
        </is>
      </c>
      <c r="C108" s="52" t="n">
        <v>0.47</v>
      </c>
      <c r="D108" t="inlineStr">
        <is>
          <t>Other</t>
        </is>
      </c>
      <c r="E108" s="50" t="n">
        <v>2023</v>
      </c>
      <c r="F108" s="50" t="inlineStr">
        <is>
          <t>2024-05-09</t>
        </is>
      </c>
      <c r="G108" s="50" t="inlineStr">
        <is>
          <t>2023-06-30</t>
        </is>
      </c>
      <c r="H108" t="inlineStr">
        <is>
          <t>Catherine A Piez</t>
        </is>
      </c>
      <c r="I108" t="inlineStr">
        <is>
          <t>CHIEF INVESTMENT OFFICER</t>
        </is>
      </c>
      <c r="J108" t="inlineStr">
        <is>
          <t>CIO</t>
        </is>
      </c>
      <c r="K108" t="inlineStr">
        <is>
          <t>CIO - Top Investment Executive</t>
        </is>
      </c>
      <c r="L108" s="28" t="n">
        <v>372327</v>
      </c>
      <c r="M108" s="28" t="n">
        <v>6000</v>
      </c>
      <c r="N108" s="28" t="n">
        <v>645</v>
      </c>
      <c r="O108" s="28" t="n">
        <v>36600</v>
      </c>
      <c r="P108" s="28" t="n">
        <v>27022</v>
      </c>
      <c r="Q108" s="28" t="n">
        <v>442594</v>
      </c>
      <c r="R108" s="28" t="n">
        <v>0</v>
      </c>
      <c r="S108" s="28">
        <f>Q108-R108</f>
        <v/>
      </c>
      <c r="T108" s="28">
        <f>IF(S108="","",S108*(1+in_GrowthRate)^(YEARFRAC(DATE(2023,6,30),in_AgeToDate)*IF(in_AgeToDate&lt;DATE(2023,6,30),-1,1)+1))</f>
        <v/>
      </c>
      <c r="U108" s="50">
        <f>IF(AND(AND(OR(in_Mode="All Funds",AND(C108&gt;=in_BandFloor,C108&lt;=in_BandCeiling,OR(in_Geography="National",COUNTIFS(lst_GeoPreset,in_Geography,lst_GeoState,B108)&gt;0,AND(in_Geography="Custom",ISNUMBER(SEARCH(B108,SUBSTITUTE(in_CustomStates," ",""))))),OR(AND(D108="Endowment",Inputs!$B$14="Y"),AND(D108="Foundation",Inputs!$B$15="Y"),AND(D108="Healthcare",Inputs!$B$16="Y"),AND(D108="Pension",Inputs!$B$17="Y"),AND(D108="OCIO",Inputs!$B$18="Y"),AND(D108="Other",Inputs!$B$19="Y")))),A108&lt;&gt;in_ClientOrg,NOT(AND(in_ExclHarvard="Y",ISNUMBER(SEARCH("Harvard",A108))))),$AD108="Y",K108&lt;&gt;"",S108&gt;0),"Y","")</f>
        <v/>
      </c>
      <c r="V108" s="30" t="n">
        <v>1</v>
      </c>
      <c r="W108" t="inlineStr"/>
      <c r="X108" s="28">
        <f>IF(L108+M108=0,"",L108+M108)</f>
        <v/>
      </c>
      <c r="Y108" s="38">
        <f>IF(L108=0,"",M108/L108)</f>
        <v/>
      </c>
      <c r="Z108" t="inlineStr">
        <is>
          <t>CIO - Top Investment Executive</t>
        </is>
      </c>
      <c r="AA108" t="inlineStr">
        <is>
          <t>Leadership</t>
        </is>
      </c>
      <c r="AB108" s="50" t="inlineStr">
        <is>
          <t>Y</t>
        </is>
      </c>
      <c r="AC108" s="43">
        <f>HYPERLINK("https://projects.propublica.org/nonprofits/organizations/530196577/202441309349303914/full","view filing")</f>
        <v/>
      </c>
      <c r="AD108" s="50" t="inlineStr"/>
    </row>
    <row r="109">
      <c r="A109" t="inlineStr">
        <is>
          <t>Brookings Institution</t>
        </is>
      </c>
      <c r="B109" s="50" t="inlineStr">
        <is>
          <t>DC</t>
        </is>
      </c>
      <c r="C109" s="52" t="n">
        <v>0.47</v>
      </c>
      <c r="D109" t="inlineStr">
        <is>
          <t>Other</t>
        </is>
      </c>
      <c r="E109" s="50" t="n">
        <v>2022</v>
      </c>
      <c r="F109" s="50" t="inlineStr">
        <is>
          <t>2023-05-03</t>
        </is>
      </c>
      <c r="G109" s="50" t="inlineStr">
        <is>
          <t>2022-06-30</t>
        </is>
      </c>
      <c r="H109" t="inlineStr">
        <is>
          <t>Catherine A Piez</t>
        </is>
      </c>
      <c r="I109" t="inlineStr">
        <is>
          <t>CHIEF INVESTMENT OFFICER</t>
        </is>
      </c>
      <c r="J109" t="inlineStr">
        <is>
          <t>CIO</t>
        </is>
      </c>
      <c r="K109" t="inlineStr">
        <is>
          <t>CIO - Top Investment Executive</t>
        </is>
      </c>
      <c r="L109" s="28" t="n">
        <v>358895</v>
      </c>
      <c r="M109" s="28" t="n">
        <v>6000</v>
      </c>
      <c r="N109" s="28" t="n">
        <v>858</v>
      </c>
      <c r="O109" s="28" t="n">
        <v>34800</v>
      </c>
      <c r="P109" s="28" t="n">
        <v>27179</v>
      </c>
      <c r="Q109" s="28" t="n">
        <v>427732</v>
      </c>
      <c r="R109" s="28" t="n">
        <v>0</v>
      </c>
      <c r="S109" s="28">
        <f>Q109-R109</f>
        <v/>
      </c>
      <c r="T109" s="28">
        <f>IF(S109="","",S109*(1+in_GrowthRate)^(YEARFRAC(DATE(2022,6,30),in_AgeToDate)*IF(in_AgeToDate&lt;DATE(2022,6,30),-1,1)+1))</f>
        <v/>
      </c>
      <c r="U109" s="50">
        <f>IF(AND(AND(OR(in_Mode="All Funds",AND(C109&gt;=in_BandFloor,C109&lt;=in_BandCeiling,OR(in_Geography="National",COUNTIFS(lst_GeoPreset,in_Geography,lst_GeoState,B109)&gt;0,AND(in_Geography="Custom",ISNUMBER(SEARCH(B109,SUBSTITUTE(in_CustomStates," ",""))))),OR(AND(D109="Endowment",Inputs!$B$14="Y"),AND(D109="Foundation",Inputs!$B$15="Y"),AND(D109="Healthcare",Inputs!$B$16="Y"),AND(D109="Pension",Inputs!$B$17="Y"),AND(D109="OCIO",Inputs!$B$18="Y"),AND(D109="Other",Inputs!$B$19="Y")))),A109&lt;&gt;in_ClientOrg,NOT(AND(in_ExclHarvard="Y",ISNUMBER(SEARCH("Harvard",A109))))),$AD109="Y",K109&lt;&gt;"",S109&gt;0),"Y","")</f>
        <v/>
      </c>
      <c r="V109" s="30" t="n">
        <v>1</v>
      </c>
      <c r="W109" t="inlineStr"/>
      <c r="X109" s="28">
        <f>IF(L109+M109=0,"",L109+M109)</f>
        <v/>
      </c>
      <c r="Y109" s="38">
        <f>IF(L109=0,"",M109/L109)</f>
        <v/>
      </c>
      <c r="Z109" t="inlineStr">
        <is>
          <t>CIO - Top Investment Executive</t>
        </is>
      </c>
      <c r="AA109" t="inlineStr">
        <is>
          <t>Leadership</t>
        </is>
      </c>
      <c r="AB109" s="50" t="inlineStr">
        <is>
          <t>Y</t>
        </is>
      </c>
      <c r="AC109" s="43">
        <f>HYPERLINK("https://projects.propublica.org/nonprofits/organizations/530196577/202301239349300125/full","view filing")</f>
        <v/>
      </c>
      <c r="AD109" s="50" t="inlineStr"/>
    </row>
    <row r="110">
      <c r="A110" t="inlineStr">
        <is>
          <t>Brown Foundation Inc</t>
        </is>
      </c>
      <c r="B110" s="50" t="inlineStr">
        <is>
          <t>TX</t>
        </is>
      </c>
      <c r="C110" s="52" t="n">
        <v>2.11</v>
      </c>
      <c r="D110" t="inlineStr">
        <is>
          <t>Foundation</t>
        </is>
      </c>
      <c r="E110" s="50" t="n">
        <v>2023</v>
      </c>
      <c r="F110" s="50" t="inlineStr">
        <is>
          <t>2023-11-01</t>
        </is>
      </c>
      <c r="G110" s="50" t="inlineStr">
        <is>
          <t>2023-06-30</t>
        </is>
      </c>
      <c r="H110" t="inlineStr">
        <is>
          <t>Gwendolyn Goffe</t>
        </is>
      </c>
      <c r="I110" t="inlineStr">
        <is>
          <t>CIO</t>
        </is>
      </c>
      <c r="J110" t="inlineStr">
        <is>
          <t>CIO</t>
        </is>
      </c>
      <c r="K110" t="inlineStr">
        <is>
          <t>CIO - Top Investment Executive</t>
        </is>
      </c>
      <c r="L110" s="28" t="n">
        <v>0</v>
      </c>
      <c r="M110" s="28" t="n">
        <v>0</v>
      </c>
      <c r="N110" s="28" t="n">
        <v>0</v>
      </c>
      <c r="O110" s="28" t="n">
        <v>0</v>
      </c>
      <c r="P110" s="28" t="n">
        <v>0</v>
      </c>
      <c r="Q110" s="28" t="n">
        <v>137505</v>
      </c>
      <c r="R110" s="28" t="n">
        <v>0</v>
      </c>
      <c r="S110" s="28">
        <f>Q110-R110</f>
        <v/>
      </c>
      <c r="T110" s="28">
        <f>IF(S110="","",S110*(1+in_GrowthRate)^(YEARFRAC(DATE(2023,6,30),in_AgeToDate)*IF(in_AgeToDate&lt;DATE(2023,6,30),-1,1)+1))</f>
        <v/>
      </c>
      <c r="U110" s="50">
        <f>IF(AND(AND(OR(in_Mode="All Funds",AND(C110&gt;=in_BandFloor,C110&lt;=in_BandCeiling,OR(in_Geography="National",COUNTIFS(lst_GeoPreset,in_Geography,lst_GeoState,B110)&gt;0,AND(in_Geography="Custom",ISNUMBER(SEARCH(B110,SUBSTITUTE(in_CustomStates," ",""))))),OR(AND(D110="Endowment",Inputs!$B$14="Y"),AND(D110="Foundation",Inputs!$B$15="Y"),AND(D110="Healthcare",Inputs!$B$16="Y"),AND(D110="Pension",Inputs!$B$17="Y"),AND(D110="OCIO",Inputs!$B$18="Y"),AND(D110="Other",Inputs!$B$19="Y")))),A110&lt;&gt;in_ClientOrg,NOT(AND(in_ExclHarvard="Y",ISNUMBER(SEARCH("Harvard",A110))))),$AD110="Y",K110&lt;&gt;"",S110&gt;0),"Y","")</f>
        <v/>
      </c>
      <c r="V110" s="30" t="n">
        <v>1</v>
      </c>
      <c r="W110" t="inlineStr"/>
      <c r="X110" s="28">
        <f>IF(L110+M110=0,"",L110+M110)</f>
        <v/>
      </c>
      <c r="Y110" s="38">
        <f>IF(L110=0,"",M110/L110)</f>
        <v/>
      </c>
      <c r="Z110" t="inlineStr">
        <is>
          <t>CIO - Top Investment Executive</t>
        </is>
      </c>
      <c r="AA110" t="inlineStr">
        <is>
          <t>Leadership</t>
        </is>
      </c>
      <c r="AB110" s="50" t="inlineStr">
        <is>
          <t>Y</t>
        </is>
      </c>
      <c r="AC110" s="43">
        <f>HYPERLINK("https://projects.propublica.org/nonprofits/organizations/746036466/202313059349101226/full","view filing")</f>
        <v/>
      </c>
      <c r="AD110" s="50" t="inlineStr"/>
    </row>
    <row r="111">
      <c r="A111" t="inlineStr">
        <is>
          <t>Brown Foundation Inc</t>
        </is>
      </c>
      <c r="B111" s="50" t="inlineStr">
        <is>
          <t>TX</t>
        </is>
      </c>
      <c r="C111" s="52" t="n">
        <v>2.11</v>
      </c>
      <c r="D111" t="inlineStr">
        <is>
          <t>Foundation</t>
        </is>
      </c>
      <c r="E111" s="50" t="n">
        <v>2022</v>
      </c>
      <c r="F111" s="50" t="inlineStr">
        <is>
          <t>2022-11-08</t>
        </is>
      </c>
      <c r="G111" s="50" t="inlineStr">
        <is>
          <t>2022-06-30</t>
        </is>
      </c>
      <c r="H111" t="inlineStr">
        <is>
          <t>Gwendolyn Goffe</t>
        </is>
      </c>
      <c r="I111" t="inlineStr">
        <is>
          <t>CIO</t>
        </is>
      </c>
      <c r="J111" t="inlineStr">
        <is>
          <t>CIO</t>
        </is>
      </c>
      <c r="K111" t="inlineStr">
        <is>
          <t>CIO - Top Investment Executive</t>
        </is>
      </c>
      <c r="L111" s="28" t="n">
        <v>0</v>
      </c>
      <c r="M111" s="28" t="n">
        <v>0</v>
      </c>
      <c r="N111" s="28" t="n">
        <v>0</v>
      </c>
      <c r="O111" s="28" t="n">
        <v>0</v>
      </c>
      <c r="P111" s="28" t="n">
        <v>0</v>
      </c>
      <c r="Q111" s="28" t="n">
        <v>178000</v>
      </c>
      <c r="R111" s="28" t="n">
        <v>0</v>
      </c>
      <c r="S111" s="28">
        <f>Q111-R111</f>
        <v/>
      </c>
      <c r="T111" s="28">
        <f>IF(S111="","",S111*(1+in_GrowthRate)^(YEARFRAC(DATE(2022,6,30),in_AgeToDate)*IF(in_AgeToDate&lt;DATE(2022,6,30),-1,1)+1))</f>
        <v/>
      </c>
      <c r="U111" s="50">
        <f>IF(AND(AND(OR(in_Mode="All Funds",AND(C111&gt;=in_BandFloor,C111&lt;=in_BandCeiling,OR(in_Geography="National",COUNTIFS(lst_GeoPreset,in_Geography,lst_GeoState,B111)&gt;0,AND(in_Geography="Custom",ISNUMBER(SEARCH(B111,SUBSTITUTE(in_CustomStates," ",""))))),OR(AND(D111="Endowment",Inputs!$B$14="Y"),AND(D111="Foundation",Inputs!$B$15="Y"),AND(D111="Healthcare",Inputs!$B$16="Y"),AND(D111="Pension",Inputs!$B$17="Y"),AND(D111="OCIO",Inputs!$B$18="Y"),AND(D111="Other",Inputs!$B$19="Y")))),A111&lt;&gt;in_ClientOrg,NOT(AND(in_ExclHarvard="Y",ISNUMBER(SEARCH("Harvard",A111))))),$AD111="Y",K111&lt;&gt;"",S111&gt;0),"Y","")</f>
        <v/>
      </c>
      <c r="V111" s="30" t="n">
        <v>1</v>
      </c>
      <c r="W111" t="inlineStr"/>
      <c r="X111" s="28">
        <f>IF(L111+M111=0,"",L111+M111)</f>
        <v/>
      </c>
      <c r="Y111" s="38">
        <f>IF(L111=0,"",M111/L111)</f>
        <v/>
      </c>
      <c r="Z111" t="inlineStr">
        <is>
          <t>CIO - Top Investment Executive</t>
        </is>
      </c>
      <c r="AA111" t="inlineStr">
        <is>
          <t>Leadership</t>
        </is>
      </c>
      <c r="AB111" s="50" t="inlineStr">
        <is>
          <t>Y</t>
        </is>
      </c>
      <c r="AC111" s="43">
        <f>HYPERLINK("https://projects.propublica.org/nonprofits/organizations/746036466/202223129349101892/full","view filing")</f>
        <v/>
      </c>
      <c r="AD111" s="50" t="inlineStr"/>
    </row>
    <row r="112">
      <c r="A112" t="inlineStr">
        <is>
          <t>Brown University Of Providence</t>
        </is>
      </c>
      <c r="B112" s="50" t="inlineStr">
        <is>
          <t>RI</t>
        </is>
      </c>
      <c r="C112" s="52" t="n">
        <v>7.28</v>
      </c>
      <c r="D112" t="inlineStr">
        <is>
          <t>Endowment</t>
        </is>
      </c>
      <c r="E112" s="50" t="n">
        <v>2025</v>
      </c>
      <c r="F112" s="50" t="inlineStr">
        <is>
          <t>2026-05-11</t>
        </is>
      </c>
      <c r="G112" s="50" t="inlineStr">
        <is>
          <t>2025-06-30</t>
        </is>
      </c>
      <c r="H112" t="inlineStr">
        <is>
          <t>Erica Nourjian</t>
        </is>
      </c>
      <c r="I112" t="inlineStr">
        <is>
          <t>HEAD OF OPERATIONS-INVESTMENTS</t>
        </is>
      </c>
      <c r="J112" t="inlineStr">
        <is>
          <t>Head of Inv Ops (Inv Entity)</t>
        </is>
      </c>
      <c r="K112" t="inlineStr">
        <is>
          <t>COO (Investment Office)</t>
        </is>
      </c>
      <c r="L112" s="28" t="n">
        <v>438914</v>
      </c>
      <c r="M112" s="28" t="n">
        <v>500000</v>
      </c>
      <c r="N112" s="28" t="n">
        <v>127600</v>
      </c>
      <c r="O112" s="28" t="n">
        <v>110933</v>
      </c>
      <c r="P112" s="28" t="n">
        <v>30266</v>
      </c>
      <c r="Q112" s="28" t="n">
        <v>1207713</v>
      </c>
      <c r="R112" s="28" t="n">
        <v>33333</v>
      </c>
      <c r="S112" s="28">
        <f>Q112-R112</f>
        <v/>
      </c>
      <c r="T112" s="28">
        <f>IF(S112="","",S112*(1+in_GrowthRate)^(YEARFRAC(DATE(2025,6,30),in_AgeToDate)*IF(in_AgeToDate&lt;DATE(2025,6,30),-1,1)+1))</f>
        <v/>
      </c>
      <c r="U112" s="50">
        <f>IF(AND(AND(OR(in_Mode="All Funds",AND(C112&gt;=in_BandFloor,C112&lt;=in_BandCeiling,OR(in_Geography="National",COUNTIFS(lst_GeoPreset,in_Geography,lst_GeoState,B112)&gt;0,AND(in_Geography="Custom",ISNUMBER(SEARCH(B112,SUBSTITUTE(in_CustomStates," ",""))))),OR(AND(D112="Endowment",Inputs!$B$14="Y"),AND(D112="Foundation",Inputs!$B$15="Y"),AND(D112="Healthcare",Inputs!$B$16="Y"),AND(D112="Pension",Inputs!$B$17="Y"),AND(D112="OCIO",Inputs!$B$18="Y"),AND(D112="Other",Inputs!$B$19="Y")))),A112&lt;&gt;in_ClientOrg,NOT(AND(in_ExclHarvard="Y",ISNUMBER(SEARCH("Harvard",A112))))),$AD112="Y",K112&lt;&gt;"",S112&gt;0),"Y","")</f>
        <v/>
      </c>
      <c r="V112" s="30" t="n">
        <v>0.2977734312303825</v>
      </c>
      <c r="W112" t="inlineStr"/>
      <c r="X112" s="28">
        <f>IF(L112+M112=0,"",L112+M112)</f>
        <v/>
      </c>
      <c r="Y112" s="38">
        <f>IF(L112=0,"",M112/L112)</f>
        <v/>
      </c>
      <c r="Z112" t="inlineStr">
        <is>
          <t>COO (Investment Office)</t>
        </is>
      </c>
      <c r="AA112" t="inlineStr">
        <is>
          <t>Operations &amp; Control</t>
        </is>
      </c>
      <c r="AB112" s="50" t="inlineStr"/>
      <c r="AC112" s="43">
        <f>HYPERLINK("https://projects.propublica.org/nonprofits/organizations/50258809/202631319349306043/full","view filing")</f>
        <v/>
      </c>
      <c r="AD112" s="50" t="inlineStr">
        <is>
          <t>Y</t>
        </is>
      </c>
    </row>
    <row r="113">
      <c r="A113" t="inlineStr">
        <is>
          <t>Brown University Of Providence</t>
        </is>
      </c>
      <c r="B113" s="50" t="inlineStr">
        <is>
          <t>RI</t>
        </is>
      </c>
      <c r="C113" s="52" t="n">
        <v>7.28</v>
      </c>
      <c r="D113" t="inlineStr">
        <is>
          <t>Endowment</t>
        </is>
      </c>
      <c r="E113" s="50" t="n">
        <v>2025</v>
      </c>
      <c r="F113" s="50" t="inlineStr">
        <is>
          <t>2026-05-11</t>
        </is>
      </c>
      <c r="G113" s="50" t="inlineStr">
        <is>
          <t>2025-06-30</t>
        </is>
      </c>
      <c r="H113" t="inlineStr">
        <is>
          <t>Gary Padula</t>
        </is>
      </c>
      <c r="I113" t="inlineStr">
        <is>
          <t>MANAGING DIRECTOR</t>
        </is>
      </c>
      <c r="J113" t="inlineStr">
        <is>
          <t>Managing Director</t>
        </is>
      </c>
      <c r="K113" t="inlineStr">
        <is>
          <t>Sr Investment Professional</t>
        </is>
      </c>
      <c r="L113" s="28" t="n">
        <v>311125</v>
      </c>
      <c r="M113" s="28" t="n">
        <v>500000</v>
      </c>
      <c r="N113" s="28" t="n">
        <v>77501</v>
      </c>
      <c r="O113" s="28" t="n">
        <v>68617</v>
      </c>
      <c r="P113" s="28" t="n">
        <v>29140</v>
      </c>
      <c r="Q113" s="28" t="n">
        <v>986383</v>
      </c>
      <c r="R113" s="28" t="n">
        <v>0</v>
      </c>
      <c r="S113" s="28">
        <f>Q113-R113</f>
        <v/>
      </c>
      <c r="T113" s="28">
        <f>IF(S113="","",S113*(1+in_GrowthRate)^(YEARFRAC(DATE(2025,6,30),in_AgeToDate)*IF(in_AgeToDate&lt;DATE(2025,6,30),-1,1)+1))</f>
        <v/>
      </c>
      <c r="U113" s="50">
        <f>IF(AND(AND(OR(in_Mode="All Funds",AND(C113&gt;=in_BandFloor,C113&lt;=in_BandCeiling,OR(in_Geography="National",COUNTIFS(lst_GeoPreset,in_Geography,lst_GeoState,B113)&gt;0,AND(in_Geography="Custom",ISNUMBER(SEARCH(B113,SUBSTITUTE(in_CustomStates," ",""))))),OR(AND(D113="Endowment",Inputs!$B$14="Y"),AND(D113="Foundation",Inputs!$B$15="Y"),AND(D113="Healthcare",Inputs!$B$16="Y"),AND(D113="Pension",Inputs!$B$17="Y"),AND(D113="OCIO",Inputs!$B$18="Y"),AND(D113="Other",Inputs!$B$19="Y")))),A113&lt;&gt;in_ClientOrg,NOT(AND(in_ExclHarvard="Y",ISNUMBER(SEARCH("Harvard",A113))))),$AD113="Y",K113&lt;&gt;"",S113&gt;0),"Y","")</f>
        <v/>
      </c>
      <c r="V113" s="30" t="n">
        <v>0.2501052899549706</v>
      </c>
      <c r="W113" t="inlineStr"/>
      <c r="X113" s="28">
        <f>IF(L113+M113=0,"",L113+M113)</f>
        <v/>
      </c>
      <c r="Y113" s="38">
        <f>IF(L113=0,"",M113/L113)</f>
        <v/>
      </c>
      <c r="Z113" t="inlineStr">
        <is>
          <t>Managing Director</t>
        </is>
      </c>
      <c r="AA113" t="inlineStr">
        <is>
          <t>Investments</t>
        </is>
      </c>
      <c r="AB113" s="50" t="inlineStr"/>
      <c r="AC113" s="43">
        <f>HYPERLINK("https://projects.propublica.org/nonprofits/organizations/50258809/202631319349306043/full","view filing")</f>
        <v/>
      </c>
      <c r="AD113" s="50" t="inlineStr">
        <is>
          <t>Y</t>
        </is>
      </c>
    </row>
    <row r="114">
      <c r="A114" t="inlineStr">
        <is>
          <t>Brown University Of Providence</t>
        </is>
      </c>
      <c r="B114" s="50" t="inlineStr">
        <is>
          <t>RI</t>
        </is>
      </c>
      <c r="C114" s="52" t="n">
        <v>7.28</v>
      </c>
      <c r="D114" t="inlineStr">
        <is>
          <t>Endowment</t>
        </is>
      </c>
      <c r="E114" s="50" t="n">
        <v>2025</v>
      </c>
      <c r="F114" s="50" t="inlineStr">
        <is>
          <t>2026-05-11</t>
        </is>
      </c>
      <c r="G114" s="50" t="inlineStr">
        <is>
          <t>2025-06-30</t>
        </is>
      </c>
      <c r="H114" t="inlineStr">
        <is>
          <t>Jane Dietze</t>
        </is>
      </c>
      <c r="I114" t="inlineStr">
        <is>
          <t>VP &amp; CHIEF INVESTMENT OFFICER</t>
        </is>
      </c>
      <c r="J114" t="inlineStr">
        <is>
          <t>CIO</t>
        </is>
      </c>
      <c r="K114" t="inlineStr">
        <is>
          <t>CIO - Top Investment Executive</t>
        </is>
      </c>
      <c r="L114" s="28" t="n">
        <v>785295</v>
      </c>
      <c r="M114" s="28" t="n">
        <v>1894000</v>
      </c>
      <c r="N114" s="28" t="n">
        <v>1024582</v>
      </c>
      <c r="O114" s="28" t="n">
        <v>284500</v>
      </c>
      <c r="P114" s="28" t="n">
        <v>55494</v>
      </c>
      <c r="Q114" s="28" t="n">
        <v>4043871</v>
      </c>
      <c r="R114" s="28" t="n">
        <v>100000</v>
      </c>
      <c r="S114" s="28">
        <f>Q114-R114</f>
        <v/>
      </c>
      <c r="T114" s="28">
        <f>IF(S114="","",S114*(1+in_GrowthRate)^(YEARFRAC(DATE(2025,6,30),in_AgeToDate)*IF(in_AgeToDate&lt;DATE(2025,6,30),-1,1)+1))</f>
        <v/>
      </c>
      <c r="U114" s="50">
        <f>IF(AND(AND(OR(in_Mode="All Funds",AND(C114&gt;=in_BandFloor,C114&lt;=in_BandCeiling,OR(in_Geography="National",COUNTIFS(lst_GeoPreset,in_Geography,lst_GeoState,B114)&gt;0,AND(in_Geography="Custom",ISNUMBER(SEARCH(B114,SUBSTITUTE(in_CustomStates," ",""))))),OR(AND(D114="Endowment",Inputs!$B$14="Y"),AND(D114="Foundation",Inputs!$B$15="Y"),AND(D114="Healthcare",Inputs!$B$16="Y"),AND(D114="Pension",Inputs!$B$17="Y"),AND(D114="OCIO",Inputs!$B$18="Y"),AND(D114="Other",Inputs!$B$19="Y")))),A114&lt;&gt;in_ClientOrg,NOT(AND(in_ExclHarvard="Y",ISNUMBER(SEARCH("Harvard",A114))))),$AD114="Y",K114&lt;&gt;"",S114&gt;0),"Y","")</f>
        <v/>
      </c>
      <c r="V114" s="30" t="n">
        <v>1</v>
      </c>
      <c r="W114" t="inlineStr"/>
      <c r="X114" s="28">
        <f>IF(L114+M114=0,"",L114+M114)</f>
        <v/>
      </c>
      <c r="Y114" s="38">
        <f>IF(L114=0,"",M114/L114)</f>
        <v/>
      </c>
      <c r="Z114" t="inlineStr">
        <is>
          <t>CIO - Top Investment Executive</t>
        </is>
      </c>
      <c r="AA114" t="inlineStr">
        <is>
          <t>Leadership</t>
        </is>
      </c>
      <c r="AB114" s="50" t="inlineStr">
        <is>
          <t>Y</t>
        </is>
      </c>
      <c r="AC114" s="43">
        <f>HYPERLINK("https://projects.propublica.org/nonprofits/organizations/50258809/202631319349306043/full","view filing")</f>
        <v/>
      </c>
      <c r="AD114" s="50" t="inlineStr">
        <is>
          <t>Y</t>
        </is>
      </c>
    </row>
    <row r="115">
      <c r="A115" t="inlineStr">
        <is>
          <t>Brown University Of Providence</t>
        </is>
      </c>
      <c r="B115" s="50" t="inlineStr">
        <is>
          <t>RI</t>
        </is>
      </c>
      <c r="C115" s="52" t="n">
        <v>7.28</v>
      </c>
      <c r="D115" t="inlineStr">
        <is>
          <t>Endowment</t>
        </is>
      </c>
      <c r="E115" s="50" t="n">
        <v>2025</v>
      </c>
      <c r="F115" s="50" t="inlineStr">
        <is>
          <t>2026-05-11</t>
        </is>
      </c>
      <c r="G115" s="50" t="inlineStr">
        <is>
          <t>2025-06-30</t>
        </is>
      </c>
      <c r="H115" t="inlineStr">
        <is>
          <t>Joshua T Kennedy</t>
        </is>
      </c>
      <c r="I115" t="inlineStr">
        <is>
          <t>MANAGING DIRECTOR</t>
        </is>
      </c>
      <c r="J115" t="inlineStr">
        <is>
          <t>Managing Director</t>
        </is>
      </c>
      <c r="K115" t="inlineStr">
        <is>
          <t>Sr Investment Professional</t>
        </is>
      </c>
      <c r="L115" s="28" t="n">
        <v>505956</v>
      </c>
      <c r="M115" s="28" t="n">
        <v>825000</v>
      </c>
      <c r="N115" s="28" t="n">
        <v>148753</v>
      </c>
      <c r="O115" s="28" t="n">
        <v>135933</v>
      </c>
      <c r="P115" s="28" t="n">
        <v>41579</v>
      </c>
      <c r="Q115" s="28" t="n">
        <v>1657221</v>
      </c>
      <c r="R115" s="28" t="n">
        <v>33333</v>
      </c>
      <c r="S115" s="28">
        <f>Q115-R115</f>
        <v/>
      </c>
      <c r="T115" s="28">
        <f>IF(S115="","",S115*(1+in_GrowthRate)^(YEARFRAC(DATE(2025,6,30),in_AgeToDate)*IF(in_AgeToDate&lt;DATE(2025,6,30),-1,1)+1))</f>
        <v/>
      </c>
      <c r="U115" s="50">
        <f>IF(AND(AND(OR(in_Mode="All Funds",AND(C115&gt;=in_BandFloor,C115&lt;=in_BandCeiling,OR(in_Geography="National",COUNTIFS(lst_GeoPreset,in_Geography,lst_GeoState,B115)&gt;0,AND(in_Geography="Custom",ISNUMBER(SEARCH(B115,SUBSTITUTE(in_CustomStates," ",""))))),OR(AND(D115="Endowment",Inputs!$B$14="Y"),AND(D115="Foundation",Inputs!$B$15="Y"),AND(D115="Healthcare",Inputs!$B$16="Y"),AND(D115="Pension",Inputs!$B$17="Y"),AND(D115="OCIO",Inputs!$B$18="Y"),AND(D115="Other",Inputs!$B$19="Y")))),A115&lt;&gt;in_ClientOrg,NOT(AND(in_ExclHarvard="Y",ISNUMBER(SEARCH("Harvard",A115))))),$AD115="Y",K115&lt;&gt;"",S115&gt;0),"Y","")</f>
        <v/>
      </c>
      <c r="V115" s="30" t="n">
        <v>0.4117497757913481</v>
      </c>
      <c r="W115" t="inlineStr"/>
      <c r="X115" s="28">
        <f>IF(L115+M115=0,"",L115+M115)</f>
        <v/>
      </c>
      <c r="Y115" s="38">
        <f>IF(L115=0,"",M115/L115)</f>
        <v/>
      </c>
      <c r="Z115" t="inlineStr">
        <is>
          <t>Managing Director</t>
        </is>
      </c>
      <c r="AA115" t="inlineStr">
        <is>
          <t>Investments</t>
        </is>
      </c>
      <c r="AB115" s="50" t="inlineStr"/>
      <c r="AC115" s="43">
        <f>HYPERLINK("https://projects.propublica.org/nonprofits/organizations/50258809/202631319349306043/full","view filing")</f>
        <v/>
      </c>
      <c r="AD115" s="50" t="inlineStr">
        <is>
          <t>Y</t>
        </is>
      </c>
    </row>
    <row r="116">
      <c r="A116" t="inlineStr">
        <is>
          <t>Brown University Of Providence</t>
        </is>
      </c>
      <c r="B116" s="50" t="inlineStr">
        <is>
          <t>RI</t>
        </is>
      </c>
      <c r="C116" s="52" t="n">
        <v>7.28</v>
      </c>
      <c r="D116" t="inlineStr">
        <is>
          <t>Endowment</t>
        </is>
      </c>
      <c r="E116" s="50" t="n">
        <v>2025</v>
      </c>
      <c r="F116" s="50" t="inlineStr">
        <is>
          <t>2026-05-11</t>
        </is>
      </c>
      <c r="G116" s="50" t="inlineStr">
        <is>
          <t>2025-06-30</t>
        </is>
      </c>
      <c r="H116" t="inlineStr">
        <is>
          <t>Peter Levine</t>
        </is>
      </c>
      <c r="I116" t="inlineStr">
        <is>
          <t>MANAGING DIRECTOR</t>
        </is>
      </c>
      <c r="J116" t="inlineStr">
        <is>
          <t>Managing Director</t>
        </is>
      </c>
      <c r="K116" t="inlineStr">
        <is>
          <t>Sr Investment Professional</t>
        </is>
      </c>
      <c r="L116" s="28" t="n">
        <v>438410</v>
      </c>
      <c r="M116" s="28" t="n">
        <v>800000</v>
      </c>
      <c r="N116" s="28" t="n">
        <v>149180</v>
      </c>
      <c r="O116" s="28" t="n">
        <v>119267</v>
      </c>
      <c r="P116" s="28" t="n">
        <v>47684</v>
      </c>
      <c r="Q116" s="28" t="n">
        <v>1554541</v>
      </c>
      <c r="R116" s="28" t="n">
        <v>33333</v>
      </c>
      <c r="S116" s="28">
        <f>Q116-R116</f>
        <v/>
      </c>
      <c r="T116" s="28">
        <f>IF(S116="","",S116*(1+in_GrowthRate)^(YEARFRAC(DATE(2025,6,30),in_AgeToDate)*IF(in_AgeToDate&lt;DATE(2025,6,30),-1,1)+1))</f>
        <v/>
      </c>
      <c r="U116" s="50">
        <f>IF(AND(AND(OR(in_Mode="All Funds",AND(C116&gt;=in_BandFloor,C116&lt;=in_BandCeiling,OR(in_Geography="National",COUNTIFS(lst_GeoPreset,in_Geography,lst_GeoState,B116)&gt;0,AND(in_Geography="Custom",ISNUMBER(SEARCH(B116,SUBSTITUTE(in_CustomStates," ",""))))),OR(AND(D116="Endowment",Inputs!$B$14="Y"),AND(D116="Foundation",Inputs!$B$15="Y"),AND(D116="Healthcare",Inputs!$B$16="Y"),AND(D116="Pension",Inputs!$B$17="Y"),AND(D116="OCIO",Inputs!$B$18="Y"),AND(D116="Other",Inputs!$B$19="Y")))),A116&lt;&gt;in_ClientOrg,NOT(AND(in_ExclHarvard="Y",ISNUMBER(SEARCH("Harvard",A116))))),$AD116="Y",K116&lt;&gt;"",S116&gt;0),"Y","")</f>
        <v/>
      </c>
      <c r="V116" s="30" t="n">
        <v>0.3857144414713362</v>
      </c>
      <c r="W116" t="inlineStr"/>
      <c r="X116" s="28">
        <f>IF(L116+M116=0,"",L116+M116)</f>
        <v/>
      </c>
      <c r="Y116" s="38">
        <f>IF(L116=0,"",M116/L116)</f>
        <v/>
      </c>
      <c r="Z116" t="inlineStr">
        <is>
          <t>Managing Director</t>
        </is>
      </c>
      <c r="AA116" t="inlineStr">
        <is>
          <t>Investments</t>
        </is>
      </c>
      <c r="AB116" s="50" t="inlineStr"/>
      <c r="AC116" s="43">
        <f>HYPERLINK("https://projects.propublica.org/nonprofits/organizations/50258809/202631319349306043/full","view filing")</f>
        <v/>
      </c>
      <c r="AD116" s="50" t="inlineStr">
        <is>
          <t>Y</t>
        </is>
      </c>
    </row>
    <row r="117">
      <c r="A117" t="inlineStr">
        <is>
          <t>Brown University Of Providence</t>
        </is>
      </c>
      <c r="B117" s="50" t="inlineStr">
        <is>
          <t>RI</t>
        </is>
      </c>
      <c r="C117" s="52" t="n">
        <v>7.28</v>
      </c>
      <c r="D117" t="inlineStr">
        <is>
          <t>Endowment</t>
        </is>
      </c>
      <c r="E117" s="50" t="n">
        <v>2024</v>
      </c>
      <c r="F117" s="50" t="inlineStr">
        <is>
          <t>2025-05-15</t>
        </is>
      </c>
      <c r="G117" s="50" t="inlineStr">
        <is>
          <t>2024-06-30</t>
        </is>
      </c>
      <c r="H117" t="inlineStr">
        <is>
          <t>Erica Nourjian</t>
        </is>
      </c>
      <c r="I117" t="inlineStr">
        <is>
          <t>HEAD OF OPERATIONS-INVESTMENTS</t>
        </is>
      </c>
      <c r="J117" t="inlineStr">
        <is>
          <t>Head of Inv Ops (Inv Entity)</t>
        </is>
      </c>
      <c r="K117" t="inlineStr">
        <is>
          <t>COO (Investment Office)</t>
        </is>
      </c>
      <c r="L117" s="28" t="n">
        <v>424912</v>
      </c>
      <c r="M117" s="28" t="n">
        <v>450000</v>
      </c>
      <c r="N117" s="28" t="n">
        <v>26400</v>
      </c>
      <c r="O117" s="28" t="n">
        <v>109233</v>
      </c>
      <c r="P117" s="28" t="n">
        <v>29592</v>
      </c>
      <c r="Q117" s="28" t="n">
        <v>1040137</v>
      </c>
      <c r="R117" s="28" t="n">
        <v>0</v>
      </c>
      <c r="S117" s="28">
        <f>Q117-R117</f>
        <v/>
      </c>
      <c r="T117" s="28">
        <f>IF(S117="","",S117*(1+in_GrowthRate)^(YEARFRAC(DATE(2024,6,30),in_AgeToDate)*IF(in_AgeToDate&lt;DATE(2024,6,30),-1,1)+1))</f>
        <v/>
      </c>
      <c r="U117" s="50">
        <f>IF(AND(AND(OR(in_Mode="All Funds",AND(C117&gt;=in_BandFloor,C117&lt;=in_BandCeiling,OR(in_Geography="National",COUNTIFS(lst_GeoPreset,in_Geography,lst_GeoState,B117)&gt;0,AND(in_Geography="Custom",ISNUMBER(SEARCH(B117,SUBSTITUTE(in_CustomStates," ",""))))),OR(AND(D117="Endowment",Inputs!$B$14="Y"),AND(D117="Foundation",Inputs!$B$15="Y"),AND(D117="Healthcare",Inputs!$B$16="Y"),AND(D117="Pension",Inputs!$B$17="Y"),AND(D117="OCIO",Inputs!$B$18="Y"),AND(D117="Other",Inputs!$B$19="Y")))),A117&lt;&gt;in_ClientOrg,NOT(AND(in_ExclHarvard="Y",ISNUMBER(SEARCH("Harvard",A117))))),$AD117="Y",K117&lt;&gt;"",S117&gt;0),"Y","")</f>
        <v/>
      </c>
      <c r="V117" s="30" t="n">
        <v>0.3219861576570915</v>
      </c>
      <c r="W117" t="inlineStr"/>
      <c r="X117" s="28">
        <f>IF(L117+M117=0,"",L117+M117)</f>
        <v/>
      </c>
      <c r="Y117" s="38">
        <f>IF(L117=0,"",M117/L117)</f>
        <v/>
      </c>
      <c r="Z117" t="inlineStr">
        <is>
          <t>COO (Investment Office)</t>
        </is>
      </c>
      <c r="AA117" t="inlineStr">
        <is>
          <t>Operations &amp; Control</t>
        </is>
      </c>
      <c r="AB117" s="50" t="inlineStr"/>
      <c r="AC117" s="43">
        <f>HYPERLINK("https://projects.propublica.org/nonprofits/organizations/50258809/202541359349309534/full","view filing")</f>
        <v/>
      </c>
      <c r="AD117" s="50" t="inlineStr"/>
    </row>
    <row r="118">
      <c r="A118" t="inlineStr">
        <is>
          <t>Brown University Of Providence</t>
        </is>
      </c>
      <c r="B118" s="50" t="inlineStr">
        <is>
          <t>RI</t>
        </is>
      </c>
      <c r="C118" s="52" t="n">
        <v>7.28</v>
      </c>
      <c r="D118" t="inlineStr">
        <is>
          <t>Endowment</t>
        </is>
      </c>
      <c r="E118" s="50" t="n">
        <v>2024</v>
      </c>
      <c r="F118" s="50" t="inlineStr">
        <is>
          <t>2025-05-15</t>
        </is>
      </c>
      <c r="G118" s="50" t="inlineStr">
        <is>
          <t>2024-06-30</t>
        </is>
      </c>
      <c r="H118" t="inlineStr">
        <is>
          <t>Jane Dietze</t>
        </is>
      </c>
      <c r="I118" t="inlineStr">
        <is>
          <t>VP &amp; Chief Investment Officer</t>
        </is>
      </c>
      <c r="J118" t="inlineStr">
        <is>
          <t>CIO</t>
        </is>
      </c>
      <c r="K118" t="inlineStr">
        <is>
          <t>CIO - Top Investment Executive</t>
        </is>
      </c>
      <c r="L118" s="28" t="n">
        <v>729882</v>
      </c>
      <c r="M118" s="28" t="n">
        <v>1474000</v>
      </c>
      <c r="N118" s="28" t="n">
        <v>696574</v>
      </c>
      <c r="O118" s="28" t="n">
        <v>275900</v>
      </c>
      <c r="P118" s="28" t="n">
        <v>54022</v>
      </c>
      <c r="Q118" s="28" t="n">
        <v>3230378</v>
      </c>
      <c r="R118" s="28" t="n">
        <v>0</v>
      </c>
      <c r="S118" s="28">
        <f>Q118-R118</f>
        <v/>
      </c>
      <c r="T118" s="28">
        <f>IF(S118="","",S118*(1+in_GrowthRate)^(YEARFRAC(DATE(2024,6,30),in_AgeToDate)*IF(in_AgeToDate&lt;DATE(2024,6,30),-1,1)+1))</f>
        <v/>
      </c>
      <c r="U118" s="50">
        <f>IF(AND(AND(OR(in_Mode="All Funds",AND(C118&gt;=in_BandFloor,C118&lt;=in_BandCeiling,OR(in_Geography="National",COUNTIFS(lst_GeoPreset,in_Geography,lst_GeoState,B118)&gt;0,AND(in_Geography="Custom",ISNUMBER(SEARCH(B118,SUBSTITUTE(in_CustomStates," ",""))))),OR(AND(D118="Endowment",Inputs!$B$14="Y"),AND(D118="Foundation",Inputs!$B$15="Y"),AND(D118="Healthcare",Inputs!$B$16="Y"),AND(D118="Pension",Inputs!$B$17="Y"),AND(D118="OCIO",Inputs!$B$18="Y"),AND(D118="Other",Inputs!$B$19="Y")))),A118&lt;&gt;in_ClientOrg,NOT(AND(in_ExclHarvard="Y",ISNUMBER(SEARCH("Harvard",A118))))),$AD118="Y",K118&lt;&gt;"",S118&gt;0),"Y","")</f>
        <v/>
      </c>
      <c r="V118" s="30" t="n">
        <v>1</v>
      </c>
      <c r="W118" t="inlineStr"/>
      <c r="X118" s="28">
        <f>IF(L118+M118=0,"",L118+M118)</f>
        <v/>
      </c>
      <c r="Y118" s="38">
        <f>IF(L118=0,"",M118/L118)</f>
        <v/>
      </c>
      <c r="Z118" t="inlineStr">
        <is>
          <t>CIO - Top Investment Executive</t>
        </is>
      </c>
      <c r="AA118" t="inlineStr">
        <is>
          <t>Leadership</t>
        </is>
      </c>
      <c r="AB118" s="50" t="inlineStr">
        <is>
          <t>Y</t>
        </is>
      </c>
      <c r="AC118" s="43">
        <f>HYPERLINK("https://projects.propublica.org/nonprofits/organizations/50258809/202541359349309534/full","view filing")</f>
        <v/>
      </c>
      <c r="AD118" s="50" t="inlineStr"/>
    </row>
    <row r="119">
      <c r="A119" t="inlineStr">
        <is>
          <t>Brown University Of Providence</t>
        </is>
      </c>
      <c r="B119" s="50" t="inlineStr">
        <is>
          <t>RI</t>
        </is>
      </c>
      <c r="C119" s="52" t="n">
        <v>7.28</v>
      </c>
      <c r="D119" t="inlineStr">
        <is>
          <t>Endowment</t>
        </is>
      </c>
      <c r="E119" s="50" t="n">
        <v>2024</v>
      </c>
      <c r="F119" s="50" t="inlineStr">
        <is>
          <t>2025-05-15</t>
        </is>
      </c>
      <c r="G119" s="50" t="inlineStr">
        <is>
          <t>2024-06-30</t>
        </is>
      </c>
      <c r="H119" t="inlineStr">
        <is>
          <t>Joshua T Kennedy</t>
        </is>
      </c>
      <c r="I119" t="inlineStr">
        <is>
          <t>MANAGING DIRECTOR</t>
        </is>
      </c>
      <c r="J119" t="inlineStr">
        <is>
          <t>Managing Director</t>
        </is>
      </c>
      <c r="K119" t="inlineStr">
        <is>
          <t>Sr Investment Professional</t>
        </is>
      </c>
      <c r="L119" s="28" t="n">
        <v>445535</v>
      </c>
      <c r="M119" s="28" t="n">
        <v>800000</v>
      </c>
      <c r="N119" s="28" t="n">
        <v>42300</v>
      </c>
      <c r="O119" s="28" t="n">
        <v>117567</v>
      </c>
      <c r="P119" s="28" t="n">
        <v>30963</v>
      </c>
      <c r="Q119" s="28" t="n">
        <v>1436365</v>
      </c>
      <c r="R119" s="28" t="n">
        <v>0</v>
      </c>
      <c r="S119" s="28">
        <f>Q119-R119</f>
        <v/>
      </c>
      <c r="T119" s="28">
        <f>IF(S119="","",S119*(1+in_GrowthRate)^(YEARFRAC(DATE(2024,6,30),in_AgeToDate)*IF(in_AgeToDate&lt;DATE(2024,6,30),-1,1)+1))</f>
        <v/>
      </c>
      <c r="U119" s="50">
        <f>IF(AND(AND(OR(in_Mode="All Funds",AND(C119&gt;=in_BandFloor,C119&lt;=in_BandCeiling,OR(in_Geography="National",COUNTIFS(lst_GeoPreset,in_Geography,lst_GeoState,B119)&gt;0,AND(in_Geography="Custom",ISNUMBER(SEARCH(B119,SUBSTITUTE(in_CustomStates," ",""))))),OR(AND(D119="Endowment",Inputs!$B$14="Y"),AND(D119="Foundation",Inputs!$B$15="Y"),AND(D119="Healthcare",Inputs!$B$16="Y"),AND(D119="Pension",Inputs!$B$17="Y"),AND(D119="OCIO",Inputs!$B$18="Y"),AND(D119="Other",Inputs!$B$19="Y")))),A119&lt;&gt;in_ClientOrg,NOT(AND(in_ExclHarvard="Y",ISNUMBER(SEARCH("Harvard",A119))))),$AD119="Y",K119&lt;&gt;"",S119&gt;0),"Y","")</f>
        <v/>
      </c>
      <c r="V119" s="30" t="n">
        <v>0.4446430108179291</v>
      </c>
      <c r="W119" t="inlineStr"/>
      <c r="X119" s="28">
        <f>IF(L119+M119=0,"",L119+M119)</f>
        <v/>
      </c>
      <c r="Y119" s="38">
        <f>IF(L119=0,"",M119/L119)</f>
        <v/>
      </c>
      <c r="Z119" t="inlineStr">
        <is>
          <t>Managing Director</t>
        </is>
      </c>
      <c r="AA119" t="inlineStr">
        <is>
          <t>Investments</t>
        </is>
      </c>
      <c r="AB119" s="50" t="inlineStr"/>
      <c r="AC119" s="43">
        <f>HYPERLINK("https://projects.propublica.org/nonprofits/organizations/50258809/202541359349309534/full","view filing")</f>
        <v/>
      </c>
      <c r="AD119" s="50" t="inlineStr"/>
    </row>
    <row r="120">
      <c r="A120" t="inlineStr">
        <is>
          <t>Brown University Of Providence</t>
        </is>
      </c>
      <c r="B120" s="50" t="inlineStr">
        <is>
          <t>RI</t>
        </is>
      </c>
      <c r="C120" s="52" t="n">
        <v>7.28</v>
      </c>
      <c r="D120" t="inlineStr">
        <is>
          <t>Endowment</t>
        </is>
      </c>
      <c r="E120" s="50" t="n">
        <v>2024</v>
      </c>
      <c r="F120" s="50" t="inlineStr">
        <is>
          <t>2025-05-15</t>
        </is>
      </c>
      <c r="G120" s="50" t="inlineStr">
        <is>
          <t>2024-06-30</t>
        </is>
      </c>
      <c r="H120" t="inlineStr">
        <is>
          <t>Katie Galvin</t>
        </is>
      </c>
      <c r="I120" t="inlineStr">
        <is>
          <t>INVESTMENT DIRECTOR</t>
        </is>
      </c>
      <c r="J120" t="inlineStr">
        <is>
          <t>Director of Investments</t>
        </is>
      </c>
      <c r="K120" t="inlineStr">
        <is>
          <t>Sr Investment Professional</t>
        </is>
      </c>
      <c r="L120" s="28" t="n">
        <v>259913</v>
      </c>
      <c r="M120" s="28" t="n">
        <v>493000</v>
      </c>
      <c r="N120" s="28" t="n">
        <v>17227</v>
      </c>
      <c r="O120" s="28" t="n">
        <v>64636</v>
      </c>
      <c r="P120" s="28" t="n">
        <v>23233</v>
      </c>
      <c r="Q120" s="28" t="n">
        <v>858009</v>
      </c>
      <c r="R120" s="28" t="n">
        <v>0</v>
      </c>
      <c r="S120" s="28">
        <f>Q120-R120</f>
        <v/>
      </c>
      <c r="T120" s="28">
        <f>IF(S120="","",S120*(1+in_GrowthRate)^(YEARFRAC(DATE(2024,6,30),in_AgeToDate)*IF(in_AgeToDate&lt;DATE(2024,6,30),-1,1)+1))</f>
        <v/>
      </c>
      <c r="U120" s="50">
        <f>IF(AND(AND(OR(in_Mode="All Funds",AND(C120&gt;=in_BandFloor,C120&lt;=in_BandCeiling,OR(in_Geography="National",COUNTIFS(lst_GeoPreset,in_Geography,lst_GeoState,B120)&gt;0,AND(in_Geography="Custom",ISNUMBER(SEARCH(B120,SUBSTITUTE(in_CustomStates," ",""))))),OR(AND(D120="Endowment",Inputs!$B$14="Y"),AND(D120="Foundation",Inputs!$B$15="Y"),AND(D120="Healthcare",Inputs!$B$16="Y"),AND(D120="Pension",Inputs!$B$17="Y"),AND(D120="OCIO",Inputs!$B$18="Y"),AND(D120="Other",Inputs!$B$19="Y")))),A120&lt;&gt;in_ClientOrg,NOT(AND(in_ExclHarvard="Y",ISNUMBER(SEARCH("Harvard",A120))))),$AD120="Y",K120&lt;&gt;"",S120&gt;0),"Y","")</f>
        <v/>
      </c>
      <c r="V120" s="30" t="n">
        <v>0.2656063779532922</v>
      </c>
      <c r="W120" t="inlineStr"/>
      <c r="X120" s="28">
        <f>IF(L120+M120=0,"",L120+M120)</f>
        <v/>
      </c>
      <c r="Y120" s="38">
        <f>IF(L120=0,"",M120/L120)</f>
        <v/>
      </c>
      <c r="Z120" t="inlineStr">
        <is>
          <t>Director &amp; Investment Officer</t>
        </is>
      </c>
      <c r="AA120" t="inlineStr">
        <is>
          <t>Investments</t>
        </is>
      </c>
      <c r="AB120" s="50" t="inlineStr"/>
      <c r="AC120" s="43">
        <f>HYPERLINK("https://projects.propublica.org/nonprofits/organizations/50258809/202541359349309534/full","view filing")</f>
        <v/>
      </c>
      <c r="AD120" s="50" t="inlineStr"/>
    </row>
    <row r="121">
      <c r="A121" t="inlineStr">
        <is>
          <t>Brown University Of Providence</t>
        </is>
      </c>
      <c r="B121" s="50" t="inlineStr">
        <is>
          <t>RI</t>
        </is>
      </c>
      <c r="C121" s="52" t="n">
        <v>7.28</v>
      </c>
      <c r="D121" t="inlineStr">
        <is>
          <t>Endowment</t>
        </is>
      </c>
      <c r="E121" s="50" t="n">
        <v>2024</v>
      </c>
      <c r="F121" s="50" t="inlineStr">
        <is>
          <t>2025-05-15</t>
        </is>
      </c>
      <c r="G121" s="50" t="inlineStr">
        <is>
          <t>2024-06-30</t>
        </is>
      </c>
      <c r="H121" t="inlineStr">
        <is>
          <t>Peter Levine</t>
        </is>
      </c>
      <c r="I121" t="inlineStr">
        <is>
          <t>MANAGING DIRECTOR</t>
        </is>
      </c>
      <c r="J121" t="inlineStr">
        <is>
          <t>Managing Director</t>
        </is>
      </c>
      <c r="K121" t="inlineStr">
        <is>
          <t>Sr Investment Professional</t>
        </is>
      </c>
      <c r="L121" s="28" t="n">
        <v>410462</v>
      </c>
      <c r="M121" s="28" t="n">
        <v>700000</v>
      </c>
      <c r="N121" s="28" t="n">
        <v>43950</v>
      </c>
      <c r="O121" s="28" t="n">
        <v>109233</v>
      </c>
      <c r="P121" s="28" t="n">
        <v>46259</v>
      </c>
      <c r="Q121" s="28" t="n">
        <v>1309904</v>
      </c>
      <c r="R121" s="28" t="n">
        <v>0</v>
      </c>
      <c r="S121" s="28">
        <f>Q121-R121</f>
        <v/>
      </c>
      <c r="T121" s="28">
        <f>IF(S121="","",S121*(1+in_GrowthRate)^(YEARFRAC(DATE(2024,6,30),in_AgeToDate)*IF(in_AgeToDate&lt;DATE(2024,6,30),-1,1)+1))</f>
        <v/>
      </c>
      <c r="U121" s="50">
        <f>IF(AND(AND(OR(in_Mode="All Funds",AND(C121&gt;=in_BandFloor,C121&lt;=in_BandCeiling,OR(in_Geography="National",COUNTIFS(lst_GeoPreset,in_Geography,lst_GeoState,B121)&gt;0,AND(in_Geography="Custom",ISNUMBER(SEARCH(B121,SUBSTITUTE(in_CustomStates," ",""))))),OR(AND(D121="Endowment",Inputs!$B$14="Y"),AND(D121="Foundation",Inputs!$B$15="Y"),AND(D121="Healthcare",Inputs!$B$16="Y"),AND(D121="Pension",Inputs!$B$17="Y"),AND(D121="OCIO",Inputs!$B$18="Y"),AND(D121="Other",Inputs!$B$19="Y")))),A121&lt;&gt;in_ClientOrg,NOT(AND(in_ExclHarvard="Y",ISNUMBER(SEARCH("Harvard",A121))))),$AD121="Y",K121&lt;&gt;"",S121&gt;0),"Y","")</f>
        <v/>
      </c>
      <c r="V121" s="30" t="n">
        <v>0.4054955797742555</v>
      </c>
      <c r="W121" t="inlineStr"/>
      <c r="X121" s="28">
        <f>IF(L121+M121=0,"",L121+M121)</f>
        <v/>
      </c>
      <c r="Y121" s="38">
        <f>IF(L121=0,"",M121/L121)</f>
        <v/>
      </c>
      <c r="Z121" t="inlineStr">
        <is>
          <t>Managing Director</t>
        </is>
      </c>
      <c r="AA121" t="inlineStr">
        <is>
          <t>Investments</t>
        </is>
      </c>
      <c r="AB121" s="50" t="inlineStr"/>
      <c r="AC121" s="43">
        <f>HYPERLINK("https://projects.propublica.org/nonprofits/organizations/50258809/202541359349309534/full","view filing")</f>
        <v/>
      </c>
      <c r="AD121" s="50" t="inlineStr"/>
    </row>
    <row r="122">
      <c r="A122" t="inlineStr">
        <is>
          <t>Brown University Of Providence</t>
        </is>
      </c>
      <c r="B122" s="50" t="inlineStr">
        <is>
          <t>RI</t>
        </is>
      </c>
      <c r="C122" s="52" t="n">
        <v>7.28</v>
      </c>
      <c r="D122" t="inlineStr">
        <is>
          <t>Endowment</t>
        </is>
      </c>
      <c r="E122" s="50" t="n">
        <v>2023</v>
      </c>
      <c r="F122" s="50" t="inlineStr">
        <is>
          <t>2024-05-10</t>
        </is>
      </c>
      <c r="G122" s="50" t="inlineStr">
        <is>
          <t>2023-06-30</t>
        </is>
      </c>
      <c r="H122" t="inlineStr">
        <is>
          <t>Erica Nourjian</t>
        </is>
      </c>
      <c r="I122" t="inlineStr">
        <is>
          <t>HEAD OF OPERATIONS-INVESTMENTS</t>
        </is>
      </c>
      <c r="J122" t="inlineStr">
        <is>
          <t>Head of Inv Ops (Inv Entity)</t>
        </is>
      </c>
      <c r="K122" t="inlineStr">
        <is>
          <t>COO (Investment Office)</t>
        </is>
      </c>
      <c r="L122" s="28" t="n">
        <v>413804</v>
      </c>
      <c r="M122" s="28" t="n">
        <v>454500</v>
      </c>
      <c r="N122" s="28" t="n">
        <v>24400</v>
      </c>
      <c r="O122" s="28" t="n">
        <v>24400</v>
      </c>
      <c r="P122" s="28" t="n">
        <v>26744</v>
      </c>
      <c r="Q122" s="28" t="n">
        <v>943848</v>
      </c>
      <c r="R122" s="28" t="n">
        <v>0</v>
      </c>
      <c r="S122" s="28">
        <f>Q122-R122</f>
        <v/>
      </c>
      <c r="T122" s="28">
        <f>IF(S122="","",S122*(1+in_GrowthRate)^(YEARFRAC(DATE(2023,6,30),in_AgeToDate)*IF(in_AgeToDate&lt;DATE(2023,6,30),-1,1)+1))</f>
        <v/>
      </c>
      <c r="U122" s="50">
        <f>IF(AND(AND(OR(in_Mode="All Funds",AND(C122&gt;=in_BandFloor,C122&lt;=in_BandCeiling,OR(in_Geography="National",COUNTIFS(lst_GeoPreset,in_Geography,lst_GeoState,B122)&gt;0,AND(in_Geography="Custom",ISNUMBER(SEARCH(B122,SUBSTITUTE(in_CustomStates," ",""))))),OR(AND(D122="Endowment",Inputs!$B$14="Y"),AND(D122="Foundation",Inputs!$B$15="Y"),AND(D122="Healthcare",Inputs!$B$16="Y"),AND(D122="Pension",Inputs!$B$17="Y"),AND(D122="OCIO",Inputs!$B$18="Y"),AND(D122="Other",Inputs!$B$19="Y")))),A122&lt;&gt;in_ClientOrg,NOT(AND(in_ExclHarvard="Y",ISNUMBER(SEARCH("Harvard",A122))))),$AD122="Y",K122&lt;&gt;"",S122&gt;0),"Y","")</f>
        <v/>
      </c>
      <c r="V122" s="30" t="n">
        <v>0.3273927191256929</v>
      </c>
      <c r="W122" t="inlineStr"/>
      <c r="X122" s="28">
        <f>IF(L122+M122=0,"",L122+M122)</f>
        <v/>
      </c>
      <c r="Y122" s="38">
        <f>IF(L122=0,"",M122/L122)</f>
        <v/>
      </c>
      <c r="Z122" t="inlineStr">
        <is>
          <t>COO (Investment Office)</t>
        </is>
      </c>
      <c r="AA122" t="inlineStr">
        <is>
          <t>Operations &amp; Control</t>
        </is>
      </c>
      <c r="AB122" s="50" t="inlineStr"/>
      <c r="AC122" s="43">
        <f>HYPERLINK("https://projects.propublica.org/nonprofits/organizations/50258809/202401319349305030/full","view filing")</f>
        <v/>
      </c>
      <c r="AD122" s="50" t="inlineStr"/>
    </row>
    <row r="123">
      <c r="A123" t="inlineStr">
        <is>
          <t>Brown University Of Providence</t>
        </is>
      </c>
      <c r="B123" s="50" t="inlineStr">
        <is>
          <t>RI</t>
        </is>
      </c>
      <c r="C123" s="52" t="n">
        <v>7.28</v>
      </c>
      <c r="D123" t="inlineStr">
        <is>
          <t>Endowment</t>
        </is>
      </c>
      <c r="E123" s="50" t="n">
        <v>2023</v>
      </c>
      <c r="F123" s="50" t="inlineStr">
        <is>
          <t>2024-05-10</t>
        </is>
      </c>
      <c r="G123" s="50" t="inlineStr">
        <is>
          <t>2023-06-30</t>
        </is>
      </c>
      <c r="H123" t="inlineStr">
        <is>
          <t>Jane Dietze</t>
        </is>
      </c>
      <c r="I123" t="inlineStr">
        <is>
          <t>VP &amp; Chief Investment Officer</t>
        </is>
      </c>
      <c r="J123" t="inlineStr">
        <is>
          <t>CIO</t>
        </is>
      </c>
      <c r="K123" t="inlineStr">
        <is>
          <t>CIO - Top Investment Executive</t>
        </is>
      </c>
      <c r="L123" s="28" t="n">
        <v>736036</v>
      </c>
      <c r="M123" s="28" t="n">
        <v>1458500</v>
      </c>
      <c r="N123" s="28" t="n">
        <v>631055</v>
      </c>
      <c r="O123" s="28" t="n">
        <v>14000</v>
      </c>
      <c r="P123" s="28" t="n">
        <v>43332</v>
      </c>
      <c r="Q123" s="28" t="n">
        <v>2882923</v>
      </c>
      <c r="R123" s="28" t="n">
        <v>0</v>
      </c>
      <c r="S123" s="28">
        <f>Q123-R123</f>
        <v/>
      </c>
      <c r="T123" s="28">
        <f>IF(S123="","",S123*(1+in_GrowthRate)^(YEARFRAC(DATE(2023,6,30),in_AgeToDate)*IF(in_AgeToDate&lt;DATE(2023,6,30),-1,1)+1))</f>
        <v/>
      </c>
      <c r="U123" s="50">
        <f>IF(AND(AND(OR(in_Mode="All Funds",AND(C123&gt;=in_BandFloor,C123&lt;=in_BandCeiling,OR(in_Geography="National",COUNTIFS(lst_GeoPreset,in_Geography,lst_GeoState,B123)&gt;0,AND(in_Geography="Custom",ISNUMBER(SEARCH(B123,SUBSTITUTE(in_CustomStates," ",""))))),OR(AND(D123="Endowment",Inputs!$B$14="Y"),AND(D123="Foundation",Inputs!$B$15="Y"),AND(D123="Healthcare",Inputs!$B$16="Y"),AND(D123="Pension",Inputs!$B$17="Y"),AND(D123="OCIO",Inputs!$B$18="Y"),AND(D123="Other",Inputs!$B$19="Y")))),A123&lt;&gt;in_ClientOrg,NOT(AND(in_ExclHarvard="Y",ISNUMBER(SEARCH("Harvard",A123))))),$AD123="Y",K123&lt;&gt;"",S123&gt;0),"Y","")</f>
        <v/>
      </c>
      <c r="V123" s="30" t="n">
        <v>1</v>
      </c>
      <c r="W123" t="inlineStr"/>
      <c r="X123" s="28">
        <f>IF(L123+M123=0,"",L123+M123)</f>
        <v/>
      </c>
      <c r="Y123" s="38">
        <f>IF(L123=0,"",M123/L123)</f>
        <v/>
      </c>
      <c r="Z123" t="inlineStr">
        <is>
          <t>CIO - Top Investment Executive</t>
        </is>
      </c>
      <c r="AA123" t="inlineStr">
        <is>
          <t>Leadership</t>
        </is>
      </c>
      <c r="AB123" s="50" t="inlineStr">
        <is>
          <t>Y</t>
        </is>
      </c>
      <c r="AC123" s="43">
        <f>HYPERLINK("https://projects.propublica.org/nonprofits/organizations/50258809/202401319349305030/full","view filing")</f>
        <v/>
      </c>
      <c r="AD123" s="50" t="inlineStr"/>
    </row>
    <row r="124">
      <c r="A124" t="inlineStr">
        <is>
          <t>Brown University Of Providence</t>
        </is>
      </c>
      <c r="B124" s="50" t="inlineStr">
        <is>
          <t>RI</t>
        </is>
      </c>
      <c r="C124" s="52" t="n">
        <v>7.28</v>
      </c>
      <c r="D124" t="inlineStr">
        <is>
          <t>Endowment</t>
        </is>
      </c>
      <c r="E124" s="50" t="n">
        <v>2023</v>
      </c>
      <c r="F124" s="50" t="inlineStr">
        <is>
          <t>2024-05-10</t>
        </is>
      </c>
      <c r="G124" s="50" t="inlineStr">
        <is>
          <t>2023-06-30</t>
        </is>
      </c>
      <c r="H124" t="inlineStr">
        <is>
          <t>Joshua T Kennedy</t>
        </is>
      </c>
      <c r="I124" t="inlineStr">
        <is>
          <t>MANAGING DIRECTOR</t>
        </is>
      </c>
      <c r="J124" t="inlineStr">
        <is>
          <t>Managing Director</t>
        </is>
      </c>
      <c r="K124" t="inlineStr">
        <is>
          <t>Sr Investment Professional</t>
        </is>
      </c>
      <c r="L124" s="28" t="n">
        <v>416037</v>
      </c>
      <c r="M124" s="28" t="n">
        <v>798500</v>
      </c>
      <c r="N124" s="28" t="n">
        <v>20500</v>
      </c>
      <c r="O124" s="28" t="n">
        <v>24400</v>
      </c>
      <c r="P124" s="28" t="n">
        <v>25616</v>
      </c>
      <c r="Q124" s="28" t="n">
        <v>1285053</v>
      </c>
      <c r="R124" s="28" t="n">
        <v>0</v>
      </c>
      <c r="S124" s="28">
        <f>Q124-R124</f>
        <v/>
      </c>
      <c r="T124" s="28">
        <f>IF(S124="","",S124*(1+in_GrowthRate)^(YEARFRAC(DATE(2023,6,30),in_AgeToDate)*IF(in_AgeToDate&lt;DATE(2023,6,30),-1,1)+1))</f>
        <v/>
      </c>
      <c r="U124" s="50">
        <f>IF(AND(AND(OR(in_Mode="All Funds",AND(C124&gt;=in_BandFloor,C124&lt;=in_BandCeiling,OR(in_Geography="National",COUNTIFS(lst_GeoPreset,in_Geography,lst_GeoState,B124)&gt;0,AND(in_Geography="Custom",ISNUMBER(SEARCH(B124,SUBSTITUTE(in_CustomStates," ",""))))),OR(AND(D124="Endowment",Inputs!$B$14="Y"),AND(D124="Foundation",Inputs!$B$15="Y"),AND(D124="Healthcare",Inputs!$B$16="Y"),AND(D124="Pension",Inputs!$B$17="Y"),AND(D124="OCIO",Inputs!$B$18="Y"),AND(D124="Other",Inputs!$B$19="Y")))),A124&lt;&gt;in_ClientOrg,NOT(AND(in_ExclHarvard="Y",ISNUMBER(SEARCH("Harvard",A124))))),$AD124="Y",K124&lt;&gt;"",S124&gt;0),"Y","")</f>
        <v/>
      </c>
      <c r="V124" s="30" t="n">
        <v>0.4457465565330743</v>
      </c>
      <c r="W124" t="inlineStr"/>
      <c r="X124" s="28">
        <f>IF(L124+M124=0,"",L124+M124)</f>
        <v/>
      </c>
      <c r="Y124" s="38">
        <f>IF(L124=0,"",M124/L124)</f>
        <v/>
      </c>
      <c r="Z124" t="inlineStr">
        <is>
          <t>Managing Director</t>
        </is>
      </c>
      <c r="AA124" t="inlineStr">
        <is>
          <t>Investments</t>
        </is>
      </c>
      <c r="AB124" s="50" t="inlineStr"/>
      <c r="AC124" s="43">
        <f>HYPERLINK("https://projects.propublica.org/nonprofits/organizations/50258809/202401319349305030/full","view filing")</f>
        <v/>
      </c>
      <c r="AD124" s="50" t="inlineStr"/>
    </row>
    <row r="125">
      <c r="A125" t="inlineStr">
        <is>
          <t>Brown University Of Providence</t>
        </is>
      </c>
      <c r="B125" s="50" t="inlineStr">
        <is>
          <t>RI</t>
        </is>
      </c>
      <c r="C125" s="52" t="n">
        <v>7.28</v>
      </c>
      <c r="D125" t="inlineStr">
        <is>
          <t>Endowment</t>
        </is>
      </c>
      <c r="E125" s="50" t="n">
        <v>2023</v>
      </c>
      <c r="F125" s="50" t="inlineStr">
        <is>
          <t>2024-05-10</t>
        </is>
      </c>
      <c r="G125" s="50" t="inlineStr">
        <is>
          <t>2023-06-30</t>
        </is>
      </c>
      <c r="H125" t="inlineStr">
        <is>
          <t>Katie Galvin</t>
        </is>
      </c>
      <c r="I125" t="inlineStr">
        <is>
          <t>INVESTMENT DIRECTOR</t>
        </is>
      </c>
      <c r="J125" t="inlineStr">
        <is>
          <t>Director of Investments</t>
        </is>
      </c>
      <c r="K125" t="inlineStr">
        <is>
          <t>Sr Investment Professional</t>
        </is>
      </c>
      <c r="L125" s="28" t="n">
        <v>255183</v>
      </c>
      <c r="M125" s="28" t="n">
        <v>497500</v>
      </c>
      <c r="N125" s="28" t="n">
        <v>16781</v>
      </c>
      <c r="O125" s="28" t="n">
        <v>22141</v>
      </c>
      <c r="P125" s="28" t="n">
        <v>12003</v>
      </c>
      <c r="Q125" s="28" t="n">
        <v>803608</v>
      </c>
      <c r="R125" s="28" t="n">
        <v>0</v>
      </c>
      <c r="S125" s="28">
        <f>Q125-R125</f>
        <v/>
      </c>
      <c r="T125" s="28">
        <f>IF(S125="","",S125*(1+in_GrowthRate)^(YEARFRAC(DATE(2023,6,30),in_AgeToDate)*IF(in_AgeToDate&lt;DATE(2023,6,30),-1,1)+1))</f>
        <v/>
      </c>
      <c r="U125" s="50">
        <f>IF(AND(AND(OR(in_Mode="All Funds",AND(C125&gt;=in_BandFloor,C125&lt;=in_BandCeiling,OR(in_Geography="National",COUNTIFS(lst_GeoPreset,in_Geography,lst_GeoState,B125)&gt;0,AND(in_Geography="Custom",ISNUMBER(SEARCH(B125,SUBSTITUTE(in_CustomStates," ",""))))),OR(AND(D125="Endowment",Inputs!$B$14="Y"),AND(D125="Foundation",Inputs!$B$15="Y"),AND(D125="Healthcare",Inputs!$B$16="Y"),AND(D125="Pension",Inputs!$B$17="Y"),AND(D125="OCIO",Inputs!$B$18="Y"),AND(D125="Other",Inputs!$B$19="Y")))),A125&lt;&gt;in_ClientOrg,NOT(AND(in_ExclHarvard="Y",ISNUMBER(SEARCH("Harvard",A125))))),$AD125="Y",K125&lt;&gt;"",S125&gt;0),"Y","")</f>
        <v/>
      </c>
      <c r="V125" s="30" t="n">
        <v>0.2787476460522879</v>
      </c>
      <c r="W125" t="inlineStr"/>
      <c r="X125" s="28">
        <f>IF(L125+M125=0,"",L125+M125)</f>
        <v/>
      </c>
      <c r="Y125" s="38">
        <f>IF(L125=0,"",M125/L125)</f>
        <v/>
      </c>
      <c r="Z125" t="inlineStr">
        <is>
          <t>Director &amp; Investment Officer</t>
        </is>
      </c>
      <c r="AA125" t="inlineStr">
        <is>
          <t>Investments</t>
        </is>
      </c>
      <c r="AB125" s="50" t="inlineStr"/>
      <c r="AC125" s="43">
        <f>HYPERLINK("https://projects.propublica.org/nonprofits/organizations/50258809/202401319349305030/full","view filing")</f>
        <v/>
      </c>
      <c r="AD125" s="50" t="inlineStr"/>
    </row>
    <row r="126">
      <c r="A126" t="inlineStr">
        <is>
          <t>Brown University Of Providence</t>
        </is>
      </c>
      <c r="B126" s="50" t="inlineStr">
        <is>
          <t>RI</t>
        </is>
      </c>
      <c r="C126" s="52" t="n">
        <v>7.28</v>
      </c>
      <c r="D126" t="inlineStr">
        <is>
          <t>Endowment</t>
        </is>
      </c>
      <c r="E126" s="50" t="n">
        <v>2023</v>
      </c>
      <c r="F126" s="50" t="inlineStr">
        <is>
          <t>2024-05-10</t>
        </is>
      </c>
      <c r="G126" s="50" t="inlineStr">
        <is>
          <t>2023-06-30</t>
        </is>
      </c>
      <c r="H126" t="inlineStr">
        <is>
          <t>Peter Levine</t>
        </is>
      </c>
      <c r="I126" t="inlineStr">
        <is>
          <t>MANAGING DIRECTOR</t>
        </is>
      </c>
      <c r="J126" t="inlineStr">
        <is>
          <t>Managing Director</t>
        </is>
      </c>
      <c r="K126" t="inlineStr">
        <is>
          <t>Sr Investment Professional</t>
        </is>
      </c>
      <c r="L126" s="28" t="n">
        <v>423055</v>
      </c>
      <c r="M126" s="28" t="n">
        <v>600500</v>
      </c>
      <c r="N126" s="28" t="n">
        <v>12200</v>
      </c>
      <c r="O126" s="28" t="n">
        <v>24400</v>
      </c>
      <c r="P126" s="28" t="n">
        <v>39559</v>
      </c>
      <c r="Q126" s="28" t="n">
        <v>1099714</v>
      </c>
      <c r="R126" s="28" t="n">
        <v>0</v>
      </c>
      <c r="S126" s="28">
        <f>Q126-R126</f>
        <v/>
      </c>
      <c r="T126" s="28">
        <f>IF(S126="","",S126*(1+in_GrowthRate)^(YEARFRAC(DATE(2023,6,30),in_AgeToDate)*IF(in_AgeToDate&lt;DATE(2023,6,30),-1,1)+1))</f>
        <v/>
      </c>
      <c r="U126" s="50">
        <f>IF(AND(AND(OR(in_Mode="All Funds",AND(C126&gt;=in_BandFloor,C126&lt;=in_BandCeiling,OR(in_Geography="National",COUNTIFS(lst_GeoPreset,in_Geography,lst_GeoState,B126)&gt;0,AND(in_Geography="Custom",ISNUMBER(SEARCH(B126,SUBSTITUTE(in_CustomStates," ",""))))),OR(AND(D126="Endowment",Inputs!$B$14="Y"),AND(D126="Foundation",Inputs!$B$15="Y"),AND(D126="Healthcare",Inputs!$B$16="Y"),AND(D126="Pension",Inputs!$B$17="Y"),AND(D126="OCIO",Inputs!$B$18="Y"),AND(D126="Other",Inputs!$B$19="Y")))),A126&lt;&gt;in_ClientOrg,NOT(AND(in_ExclHarvard="Y",ISNUMBER(SEARCH("Harvard",A126))))),$AD126="Y",K126&lt;&gt;"",S126&gt;0),"Y","")</f>
        <v/>
      </c>
      <c r="V126" s="30" t="n">
        <v>0.3814579855237202</v>
      </c>
      <c r="W126" t="inlineStr"/>
      <c r="X126" s="28">
        <f>IF(L126+M126=0,"",L126+M126)</f>
        <v/>
      </c>
      <c r="Y126" s="38">
        <f>IF(L126=0,"",M126/L126)</f>
        <v/>
      </c>
      <c r="Z126" t="inlineStr">
        <is>
          <t>Managing Director</t>
        </is>
      </c>
      <c r="AA126" t="inlineStr">
        <is>
          <t>Investments</t>
        </is>
      </c>
      <c r="AB126" s="50" t="inlineStr"/>
      <c r="AC126" s="43">
        <f>HYPERLINK("https://projects.propublica.org/nonprofits/organizations/50258809/202401319349305030/full","view filing")</f>
        <v/>
      </c>
      <c r="AD126" s="50" t="inlineStr"/>
    </row>
    <row r="127">
      <c r="A127" t="inlineStr">
        <is>
          <t>Brown University Of Providence</t>
        </is>
      </c>
      <c r="B127" s="50" t="inlineStr">
        <is>
          <t>RI</t>
        </is>
      </c>
      <c r="C127" s="52" t="n">
        <v>7.28</v>
      </c>
      <c r="D127" t="inlineStr">
        <is>
          <t>Endowment</t>
        </is>
      </c>
      <c r="E127" s="50" t="n">
        <v>2022</v>
      </c>
      <c r="F127" s="50" t="inlineStr">
        <is>
          <t>2023-05-11</t>
        </is>
      </c>
      <c r="G127" s="50" t="inlineStr">
        <is>
          <t>2022-06-30</t>
        </is>
      </c>
      <c r="H127" t="inlineStr">
        <is>
          <t>Erica Nourjian</t>
        </is>
      </c>
      <c r="I127" t="inlineStr">
        <is>
          <t>HEAD OF OPERATIONS-INVESTMENTS</t>
        </is>
      </c>
      <c r="J127" t="inlineStr">
        <is>
          <t>Head of Inv Ops (Inv Entity)</t>
        </is>
      </c>
      <c r="K127" t="inlineStr">
        <is>
          <t>COO (Investment Office)</t>
        </is>
      </c>
      <c r="L127" s="28" t="n">
        <v>372701</v>
      </c>
      <c r="M127" s="28" t="n">
        <v>500000</v>
      </c>
      <c r="N127" s="28" t="n">
        <v>0</v>
      </c>
      <c r="O127" s="28" t="n">
        <v>19969</v>
      </c>
      <c r="P127" s="28" t="n">
        <v>25305</v>
      </c>
      <c r="Q127" s="28" t="n">
        <v>917975</v>
      </c>
      <c r="R127" s="28" t="n">
        <v>0</v>
      </c>
      <c r="S127" s="28">
        <f>Q127-R127</f>
        <v/>
      </c>
      <c r="T127" s="28">
        <f>IF(S127="","",S127*(1+in_GrowthRate)^(YEARFRAC(DATE(2022,6,30),in_AgeToDate)*IF(in_AgeToDate&lt;DATE(2022,6,30),-1,1)+1))</f>
        <v/>
      </c>
      <c r="U127" s="50">
        <f>IF(AND(AND(OR(in_Mode="All Funds",AND(C127&gt;=in_BandFloor,C127&lt;=in_BandCeiling,OR(in_Geography="National",COUNTIFS(lst_GeoPreset,in_Geography,lst_GeoState,B127)&gt;0,AND(in_Geography="Custom",ISNUMBER(SEARCH(B127,SUBSTITUTE(in_CustomStates," ",""))))),OR(AND(D127="Endowment",Inputs!$B$14="Y"),AND(D127="Foundation",Inputs!$B$15="Y"),AND(D127="Healthcare",Inputs!$B$16="Y"),AND(D127="Pension",Inputs!$B$17="Y"),AND(D127="OCIO",Inputs!$B$18="Y"),AND(D127="Other",Inputs!$B$19="Y")))),A127&lt;&gt;in_ClientOrg,NOT(AND(in_ExclHarvard="Y",ISNUMBER(SEARCH("Harvard",A127))))),$AD127="Y",K127&lt;&gt;"",S127&gt;0),"Y","")</f>
        <v/>
      </c>
      <c r="V127" s="30" t="n">
        <v>0.3063751462246913</v>
      </c>
      <c r="W127" t="inlineStr"/>
      <c r="X127" s="28">
        <f>IF(L127+M127=0,"",L127+M127)</f>
        <v/>
      </c>
      <c r="Y127" s="38">
        <f>IF(L127=0,"",M127/L127)</f>
        <v/>
      </c>
      <c r="Z127" t="inlineStr">
        <is>
          <t>COO (Investment Office)</t>
        </is>
      </c>
      <c r="AA127" t="inlineStr">
        <is>
          <t>Operations &amp; Control</t>
        </is>
      </c>
      <c r="AB127" s="50" t="inlineStr"/>
      <c r="AC127" s="43">
        <f>HYPERLINK("https://projects.propublica.org/nonprofits/organizations/50258809/202341319349306579/full","view filing")</f>
        <v/>
      </c>
      <c r="AD127" s="50" t="inlineStr"/>
    </row>
    <row r="128">
      <c r="A128" t="inlineStr">
        <is>
          <t>Brown University Of Providence</t>
        </is>
      </c>
      <c r="B128" s="50" t="inlineStr">
        <is>
          <t>RI</t>
        </is>
      </c>
      <c r="C128" s="52" t="n">
        <v>7.28</v>
      </c>
      <c r="D128" t="inlineStr">
        <is>
          <t>Endowment</t>
        </is>
      </c>
      <c r="E128" s="50" t="n">
        <v>2022</v>
      </c>
      <c r="F128" s="50" t="inlineStr">
        <is>
          <t>2023-05-11</t>
        </is>
      </c>
      <c r="G128" s="50" t="inlineStr">
        <is>
          <t>2022-06-30</t>
        </is>
      </c>
      <c r="H128" t="inlineStr">
        <is>
          <t>Jane Dietze</t>
        </is>
      </c>
      <c r="I128" t="inlineStr">
        <is>
          <t>VP &amp; Chief Investment Officer</t>
        </is>
      </c>
      <c r="J128" t="inlineStr">
        <is>
          <t>CIO</t>
        </is>
      </c>
      <c r="K128" t="inlineStr">
        <is>
          <t>CIO - Top Investment Executive</t>
        </is>
      </c>
      <c r="L128" s="28" t="n">
        <v>659006</v>
      </c>
      <c r="M128" s="28" t="n">
        <v>1476000</v>
      </c>
      <c r="N128" s="28" t="n">
        <v>802756</v>
      </c>
      <c r="O128" s="28" t="n">
        <v>17973</v>
      </c>
      <c r="P128" s="28" t="n">
        <v>40510</v>
      </c>
      <c r="Q128" s="28" t="n">
        <v>2996245</v>
      </c>
      <c r="R128" s="28" t="n">
        <v>0</v>
      </c>
      <c r="S128" s="28">
        <f>Q128-R128</f>
        <v/>
      </c>
      <c r="T128" s="28">
        <f>IF(S128="","",S128*(1+in_GrowthRate)^(YEARFRAC(DATE(2022,6,30),in_AgeToDate)*IF(in_AgeToDate&lt;DATE(2022,6,30),-1,1)+1))</f>
        <v/>
      </c>
      <c r="U128" s="50">
        <f>IF(AND(AND(OR(in_Mode="All Funds",AND(C128&gt;=in_BandFloor,C128&lt;=in_BandCeiling,OR(in_Geography="National",COUNTIFS(lst_GeoPreset,in_Geography,lst_GeoState,B128)&gt;0,AND(in_Geography="Custom",ISNUMBER(SEARCH(B128,SUBSTITUTE(in_CustomStates," ",""))))),OR(AND(D128="Endowment",Inputs!$B$14="Y"),AND(D128="Foundation",Inputs!$B$15="Y"),AND(D128="Healthcare",Inputs!$B$16="Y"),AND(D128="Pension",Inputs!$B$17="Y"),AND(D128="OCIO",Inputs!$B$18="Y"),AND(D128="Other",Inputs!$B$19="Y")))),A128&lt;&gt;in_ClientOrg,NOT(AND(in_ExclHarvard="Y",ISNUMBER(SEARCH("Harvard",A128))))),$AD128="Y",K128&lt;&gt;"",S128&gt;0),"Y","")</f>
        <v/>
      </c>
      <c r="V128" s="30" t="n">
        <v>1</v>
      </c>
      <c r="W128" t="inlineStr"/>
      <c r="X128" s="28">
        <f>IF(L128+M128=0,"",L128+M128)</f>
        <v/>
      </c>
      <c r="Y128" s="38">
        <f>IF(L128=0,"",M128/L128)</f>
        <v/>
      </c>
      <c r="Z128" t="inlineStr">
        <is>
          <t>CIO - Top Investment Executive</t>
        </is>
      </c>
      <c r="AA128" t="inlineStr">
        <is>
          <t>Leadership</t>
        </is>
      </c>
      <c r="AB128" s="50" t="inlineStr">
        <is>
          <t>Y</t>
        </is>
      </c>
      <c r="AC128" s="43">
        <f>HYPERLINK("https://projects.propublica.org/nonprofits/organizations/50258809/202341319349306579/full","view filing")</f>
        <v/>
      </c>
      <c r="AD128" s="50" t="inlineStr"/>
    </row>
    <row r="129">
      <c r="A129" t="inlineStr">
        <is>
          <t>Brown University Of Providence</t>
        </is>
      </c>
      <c r="B129" s="50" t="inlineStr">
        <is>
          <t>RI</t>
        </is>
      </c>
      <c r="C129" s="52" t="n">
        <v>7.28</v>
      </c>
      <c r="D129" t="inlineStr">
        <is>
          <t>Endowment</t>
        </is>
      </c>
      <c r="E129" s="50" t="n">
        <v>2022</v>
      </c>
      <c r="F129" s="50" t="inlineStr">
        <is>
          <t>2023-05-11</t>
        </is>
      </c>
      <c r="G129" s="50" t="inlineStr">
        <is>
          <t>2022-06-30</t>
        </is>
      </c>
      <c r="H129" t="inlineStr">
        <is>
          <t>Joshua T Kennedy</t>
        </is>
      </c>
      <c r="I129" t="inlineStr">
        <is>
          <t>MANAGING DIRECTOR</t>
        </is>
      </c>
      <c r="J129" t="inlineStr">
        <is>
          <t>Managing Director</t>
        </is>
      </c>
      <c r="K129" t="inlineStr">
        <is>
          <t>Sr Investment Professional</t>
        </is>
      </c>
      <c r="L129" s="28" t="n">
        <v>409950</v>
      </c>
      <c r="M129" s="28" t="n">
        <v>764000</v>
      </c>
      <c r="N129" s="28" t="n">
        <v>0</v>
      </c>
      <c r="O129" s="28" t="n">
        <v>19200</v>
      </c>
      <c r="P129" s="28" t="n">
        <v>25023</v>
      </c>
      <c r="Q129" s="28" t="n">
        <v>1218173</v>
      </c>
      <c r="R129" s="28" t="n">
        <v>0</v>
      </c>
      <c r="S129" s="28">
        <f>Q129-R129</f>
        <v/>
      </c>
      <c r="T129" s="28">
        <f>IF(S129="","",S129*(1+in_GrowthRate)^(YEARFRAC(DATE(2022,6,30),in_AgeToDate)*IF(in_AgeToDate&lt;DATE(2022,6,30),-1,1)+1))</f>
        <v/>
      </c>
      <c r="U129" s="50">
        <f>IF(AND(AND(OR(in_Mode="All Funds",AND(C129&gt;=in_BandFloor,C129&lt;=in_BandCeiling,OR(in_Geography="National",COUNTIFS(lst_GeoPreset,in_Geography,lst_GeoState,B129)&gt;0,AND(in_Geography="Custom",ISNUMBER(SEARCH(B129,SUBSTITUTE(in_CustomStates," ",""))))),OR(AND(D129="Endowment",Inputs!$B$14="Y"),AND(D129="Foundation",Inputs!$B$15="Y"),AND(D129="Healthcare",Inputs!$B$16="Y"),AND(D129="Pension",Inputs!$B$17="Y"),AND(D129="OCIO",Inputs!$B$18="Y"),AND(D129="Other",Inputs!$B$19="Y")))),A129&lt;&gt;in_ClientOrg,NOT(AND(in_ExclHarvard="Y",ISNUMBER(SEARCH("Harvard",A129))))),$AD129="Y",K129&lt;&gt;"",S129&gt;0),"Y","")</f>
        <v/>
      </c>
      <c r="V129" s="30" t="n">
        <v>0.4065665524681726</v>
      </c>
      <c r="W129" t="inlineStr"/>
      <c r="X129" s="28">
        <f>IF(L129+M129=0,"",L129+M129)</f>
        <v/>
      </c>
      <c r="Y129" s="38">
        <f>IF(L129=0,"",M129/L129)</f>
        <v/>
      </c>
      <c r="Z129" t="inlineStr">
        <is>
          <t>Managing Director</t>
        </is>
      </c>
      <c r="AA129" t="inlineStr">
        <is>
          <t>Investments</t>
        </is>
      </c>
      <c r="AB129" s="50" t="inlineStr"/>
      <c r="AC129" s="43">
        <f>HYPERLINK("https://projects.propublica.org/nonprofits/organizations/50258809/202341319349306579/full","view filing")</f>
        <v/>
      </c>
      <c r="AD129" s="50" t="inlineStr"/>
    </row>
    <row r="130">
      <c r="A130" t="inlineStr">
        <is>
          <t>Brown University Of Providence</t>
        </is>
      </c>
      <c r="B130" s="50" t="inlineStr">
        <is>
          <t>RI</t>
        </is>
      </c>
      <c r="C130" s="52" t="n">
        <v>7.28</v>
      </c>
      <c r="D130" t="inlineStr">
        <is>
          <t>Endowment</t>
        </is>
      </c>
      <c r="E130" s="50" t="n">
        <v>2022</v>
      </c>
      <c r="F130" s="50" t="inlineStr">
        <is>
          <t>2023-05-11</t>
        </is>
      </c>
      <c r="G130" s="50" t="inlineStr">
        <is>
          <t>2022-06-30</t>
        </is>
      </c>
      <c r="H130" t="inlineStr">
        <is>
          <t>Peter Levine</t>
        </is>
      </c>
      <c r="I130" t="inlineStr">
        <is>
          <t>MANAGING DIRECTOR</t>
        </is>
      </c>
      <c r="J130" t="inlineStr">
        <is>
          <t>Managing Director</t>
        </is>
      </c>
      <c r="K130" t="inlineStr">
        <is>
          <t>Sr Investment Professional</t>
        </is>
      </c>
      <c r="L130" s="28" t="n">
        <v>359765</v>
      </c>
      <c r="M130" s="28" t="n">
        <v>564000</v>
      </c>
      <c r="N130" s="28" t="n">
        <v>0</v>
      </c>
      <c r="O130" s="28" t="n">
        <v>20200</v>
      </c>
      <c r="P130" s="28" t="n">
        <v>25208</v>
      </c>
      <c r="Q130" s="28" t="n">
        <v>969173</v>
      </c>
      <c r="R130" s="28" t="n">
        <v>0</v>
      </c>
      <c r="S130" s="28">
        <f>Q130-R130</f>
        <v/>
      </c>
      <c r="T130" s="28">
        <f>IF(S130="","",S130*(1+in_GrowthRate)^(YEARFRAC(DATE(2022,6,30),in_AgeToDate)*IF(in_AgeToDate&lt;DATE(2022,6,30),-1,1)+1))</f>
        <v/>
      </c>
      <c r="U130" s="50">
        <f>IF(AND(AND(OR(in_Mode="All Funds",AND(C130&gt;=in_BandFloor,C130&lt;=in_BandCeiling,OR(in_Geography="National",COUNTIFS(lst_GeoPreset,in_Geography,lst_GeoState,B130)&gt;0,AND(in_Geography="Custom",ISNUMBER(SEARCH(B130,SUBSTITUTE(in_CustomStates," ",""))))),OR(AND(D130="Endowment",Inputs!$B$14="Y"),AND(D130="Foundation",Inputs!$B$15="Y"),AND(D130="Healthcare",Inputs!$B$16="Y"),AND(D130="Pension",Inputs!$B$17="Y"),AND(D130="OCIO",Inputs!$B$18="Y"),AND(D130="Other",Inputs!$B$19="Y")))),A130&lt;&gt;in_ClientOrg,NOT(AND(in_ExclHarvard="Y",ISNUMBER(SEARCH("Harvard",A130))))),$AD130="Y",K130&lt;&gt;"",S130&gt;0),"Y","")</f>
        <v/>
      </c>
      <c r="V130" s="30" t="n">
        <v>0.3234625339383128</v>
      </c>
      <c r="W130" t="inlineStr"/>
      <c r="X130" s="28">
        <f>IF(L130+M130=0,"",L130+M130)</f>
        <v/>
      </c>
      <c r="Y130" s="38">
        <f>IF(L130=0,"",M130/L130)</f>
        <v/>
      </c>
      <c r="Z130" t="inlineStr">
        <is>
          <t>Managing Director</t>
        </is>
      </c>
      <c r="AA130" t="inlineStr">
        <is>
          <t>Investments</t>
        </is>
      </c>
      <c r="AB130" s="50" t="inlineStr"/>
      <c r="AC130" s="43">
        <f>HYPERLINK("https://projects.propublica.org/nonprofits/organizations/50258809/202341319349306579/full","view filing")</f>
        <v/>
      </c>
      <c r="AD130" s="50" t="inlineStr"/>
    </row>
    <row r="131">
      <c r="A131" t="inlineStr">
        <is>
          <t>Bryn Mawr College</t>
        </is>
      </c>
      <c r="B131" s="50" t="inlineStr">
        <is>
          <t>PA</t>
        </is>
      </c>
      <c r="C131" s="52" t="n">
        <v>1.34</v>
      </c>
      <c r="D131" t="inlineStr">
        <is>
          <t>Endowment</t>
        </is>
      </c>
      <c r="E131" s="50" t="n">
        <v>2025</v>
      </c>
      <c r="F131" s="50" t="inlineStr">
        <is>
          <t>2026-04-10</t>
        </is>
      </c>
      <c r="G131" s="50" t="inlineStr">
        <is>
          <t>2025-05-31</t>
        </is>
      </c>
      <c r="H131" t="inlineStr">
        <is>
          <t>Brooke H Jones</t>
        </is>
      </c>
      <c r="I131" t="inlineStr">
        <is>
          <t>VP &amp; CHIEF INVESTMENT OFFICER</t>
        </is>
      </c>
      <c r="J131" t="inlineStr">
        <is>
          <t>CIO</t>
        </is>
      </c>
      <c r="K131" t="inlineStr">
        <is>
          <t>CIO - Top Investment Executive</t>
        </is>
      </c>
      <c r="L131" s="28" t="n">
        <v>693569</v>
      </c>
      <c r="M131" s="28" t="n">
        <v>630000</v>
      </c>
      <c r="N131" s="28" t="n">
        <v>0</v>
      </c>
      <c r="O131" s="28" t="n">
        <v>34500</v>
      </c>
      <c r="P131" s="28" t="n">
        <v>34950</v>
      </c>
      <c r="Q131" s="28" t="n">
        <v>1393019</v>
      </c>
      <c r="R131" s="28" t="n">
        <v>0</v>
      </c>
      <c r="S131" s="28">
        <f>Q131-R131</f>
        <v/>
      </c>
      <c r="T131" s="28">
        <f>IF(S131="","",S131*(1+in_GrowthRate)^(YEARFRAC(DATE(2025,5,31),in_AgeToDate)*IF(in_AgeToDate&lt;DATE(2025,5,31),-1,1)+1))</f>
        <v/>
      </c>
      <c r="U131" s="50">
        <f>IF(AND(AND(OR(in_Mode="All Funds",AND(C131&gt;=in_BandFloor,C131&lt;=in_BandCeiling,OR(in_Geography="National",COUNTIFS(lst_GeoPreset,in_Geography,lst_GeoState,B131)&gt;0,AND(in_Geography="Custom",ISNUMBER(SEARCH(B131,SUBSTITUTE(in_CustomStates," ",""))))),OR(AND(D131="Endowment",Inputs!$B$14="Y"),AND(D131="Foundation",Inputs!$B$15="Y"),AND(D131="Healthcare",Inputs!$B$16="Y"),AND(D131="Pension",Inputs!$B$17="Y"),AND(D131="OCIO",Inputs!$B$18="Y"),AND(D131="Other",Inputs!$B$19="Y")))),A131&lt;&gt;in_ClientOrg,NOT(AND(in_ExclHarvard="Y",ISNUMBER(SEARCH("Harvard",A131))))),$AD131="Y",K131&lt;&gt;"",S131&gt;0),"Y","")</f>
        <v/>
      </c>
      <c r="V131" s="30" t="n">
        <v>1</v>
      </c>
      <c r="W131" t="inlineStr"/>
      <c r="X131" s="28">
        <f>IF(L131+M131=0,"",L131+M131)</f>
        <v/>
      </c>
      <c r="Y131" s="38">
        <f>IF(L131=0,"",M131/L131)</f>
        <v/>
      </c>
      <c r="Z131" t="inlineStr">
        <is>
          <t>CIO - Top Investment Executive</t>
        </is>
      </c>
      <c r="AA131" t="inlineStr">
        <is>
          <t>Leadership</t>
        </is>
      </c>
      <c r="AB131" s="50" t="inlineStr">
        <is>
          <t>Y</t>
        </is>
      </c>
      <c r="AC131" s="43">
        <f>HYPERLINK("https://projects.propublica.org/nonprofits/organizations/231352621/202631009349301723/full","view filing")</f>
        <v/>
      </c>
      <c r="AD131" s="50" t="inlineStr">
        <is>
          <t>Y</t>
        </is>
      </c>
    </row>
    <row r="132">
      <c r="A132" t="inlineStr">
        <is>
          <t>Bryn Mawr College</t>
        </is>
      </c>
      <c r="B132" s="50" t="inlineStr">
        <is>
          <t>PA</t>
        </is>
      </c>
      <c r="C132" s="52" t="n">
        <v>1.34</v>
      </c>
      <c r="D132" t="inlineStr">
        <is>
          <t>Endowment</t>
        </is>
      </c>
      <c r="E132" s="50" t="n">
        <v>2025</v>
      </c>
      <c r="F132" s="50" t="inlineStr">
        <is>
          <t>2026-04-10</t>
        </is>
      </c>
      <c r="G132" s="50" t="inlineStr">
        <is>
          <t>2025-05-31</t>
        </is>
      </c>
      <c r="H132" t="inlineStr">
        <is>
          <t>Gene Kim</t>
        </is>
      </c>
      <c r="I132" t="inlineStr">
        <is>
          <t>MANAGING DIRECTOR, INVESTMENTS</t>
        </is>
      </c>
      <c r="J132" t="inlineStr">
        <is>
          <t>Managing Director</t>
        </is>
      </c>
      <c r="K132" t="inlineStr">
        <is>
          <t>Sr Investment Professional</t>
        </is>
      </c>
      <c r="L132" s="28" t="n">
        <v>362298</v>
      </c>
      <c r="M132" s="28" t="n">
        <v>158760</v>
      </c>
      <c r="N132" s="28" t="n">
        <v>0</v>
      </c>
      <c r="O132" s="28" t="n">
        <v>34500</v>
      </c>
      <c r="P132" s="28" t="n">
        <v>339</v>
      </c>
      <c r="Q132" s="28" t="n">
        <v>555897</v>
      </c>
      <c r="R132" s="28" t="n">
        <v>0</v>
      </c>
      <c r="S132" s="28">
        <f>Q132-R132</f>
        <v/>
      </c>
      <c r="T132" s="28">
        <f>IF(S132="","",S132*(1+in_GrowthRate)^(YEARFRAC(DATE(2025,5,31),in_AgeToDate)*IF(in_AgeToDate&lt;DATE(2025,5,31),-1,1)+1))</f>
        <v/>
      </c>
      <c r="U132" s="50">
        <f>IF(AND(AND(OR(in_Mode="All Funds",AND(C132&gt;=in_BandFloor,C132&lt;=in_BandCeiling,OR(in_Geography="National",COUNTIFS(lst_GeoPreset,in_Geography,lst_GeoState,B132)&gt;0,AND(in_Geography="Custom",ISNUMBER(SEARCH(B132,SUBSTITUTE(in_CustomStates," ",""))))),OR(AND(D132="Endowment",Inputs!$B$14="Y"),AND(D132="Foundation",Inputs!$B$15="Y"),AND(D132="Healthcare",Inputs!$B$16="Y"),AND(D132="Pension",Inputs!$B$17="Y"),AND(D132="OCIO",Inputs!$B$18="Y"),AND(D132="Other",Inputs!$B$19="Y")))),A132&lt;&gt;in_ClientOrg,NOT(AND(in_ExclHarvard="Y",ISNUMBER(SEARCH("Harvard",A132))))),$AD132="Y",K132&lt;&gt;"",S132&gt;0),"Y","")</f>
        <v/>
      </c>
      <c r="V132" s="30" t="n">
        <v>0.3990591657400222</v>
      </c>
      <c r="W132" t="inlineStr"/>
      <c r="X132" s="28">
        <f>IF(L132+M132=0,"",L132+M132)</f>
        <v/>
      </c>
      <c r="Y132" s="38">
        <f>IF(L132=0,"",M132/L132)</f>
        <v/>
      </c>
      <c r="Z132" t="inlineStr">
        <is>
          <t>Managing Director</t>
        </is>
      </c>
      <c r="AA132" t="inlineStr">
        <is>
          <t>Investments</t>
        </is>
      </c>
      <c r="AB132" s="50" t="inlineStr"/>
      <c r="AC132" s="43">
        <f>HYPERLINK("https://projects.propublica.org/nonprofits/organizations/231352621/202631009349301723/full","view filing")</f>
        <v/>
      </c>
      <c r="AD132" s="50" t="inlineStr">
        <is>
          <t>Y</t>
        </is>
      </c>
    </row>
    <row r="133">
      <c r="A133" t="inlineStr">
        <is>
          <t>Bryn Mawr College</t>
        </is>
      </c>
      <c r="B133" s="50" t="inlineStr">
        <is>
          <t>PA</t>
        </is>
      </c>
      <c r="C133" s="52" t="n">
        <v>1.34</v>
      </c>
      <c r="D133" t="inlineStr">
        <is>
          <t>Endowment</t>
        </is>
      </c>
      <c r="E133" s="50" t="n">
        <v>2024</v>
      </c>
      <c r="F133" s="50" t="inlineStr">
        <is>
          <t>2025-04-15</t>
        </is>
      </c>
      <c r="G133" s="50" t="inlineStr">
        <is>
          <t>2024-05-31</t>
        </is>
      </c>
      <c r="H133" t="inlineStr">
        <is>
          <t>Brooke H Jones</t>
        </is>
      </c>
      <c r="I133" t="inlineStr">
        <is>
          <t>CHIEF INVESTMENT OFFICER</t>
        </is>
      </c>
      <c r="J133" t="inlineStr">
        <is>
          <t>CIO</t>
        </is>
      </c>
      <c r="K133" t="inlineStr">
        <is>
          <t>CIO - Top Investment Executive</t>
        </is>
      </c>
      <c r="L133" s="28" t="n">
        <v>650389</v>
      </c>
      <c r="M133" s="28" t="n">
        <v>625000</v>
      </c>
      <c r="N133" s="28" t="n">
        <v>0</v>
      </c>
      <c r="O133" s="28" t="n">
        <v>33000</v>
      </c>
      <c r="P133" s="28" t="n">
        <v>32606</v>
      </c>
      <c r="Q133" s="28" t="n">
        <v>1340995</v>
      </c>
      <c r="R133" s="28" t="n">
        <v>0</v>
      </c>
      <c r="S133" s="28">
        <f>Q133-R133</f>
        <v/>
      </c>
      <c r="T133" s="28">
        <f>IF(S133="","",S133*(1+in_GrowthRate)^(YEARFRAC(DATE(2024,5,31),in_AgeToDate)*IF(in_AgeToDate&lt;DATE(2024,5,31),-1,1)+1))</f>
        <v/>
      </c>
      <c r="U133" s="50">
        <f>IF(AND(AND(OR(in_Mode="All Funds",AND(C133&gt;=in_BandFloor,C133&lt;=in_BandCeiling,OR(in_Geography="National",COUNTIFS(lst_GeoPreset,in_Geography,lst_GeoState,B133)&gt;0,AND(in_Geography="Custom",ISNUMBER(SEARCH(B133,SUBSTITUTE(in_CustomStates," ",""))))),OR(AND(D133="Endowment",Inputs!$B$14="Y"),AND(D133="Foundation",Inputs!$B$15="Y"),AND(D133="Healthcare",Inputs!$B$16="Y"),AND(D133="Pension",Inputs!$B$17="Y"),AND(D133="OCIO",Inputs!$B$18="Y"),AND(D133="Other",Inputs!$B$19="Y")))),A133&lt;&gt;in_ClientOrg,NOT(AND(in_ExclHarvard="Y",ISNUMBER(SEARCH("Harvard",A133))))),$AD133="Y",K133&lt;&gt;"",S133&gt;0),"Y","")</f>
        <v/>
      </c>
      <c r="V133" s="30" t="n">
        <v>1</v>
      </c>
      <c r="W133" t="inlineStr"/>
      <c r="X133" s="28">
        <f>IF(L133+M133=0,"",L133+M133)</f>
        <v/>
      </c>
      <c r="Y133" s="38">
        <f>IF(L133=0,"",M133/L133)</f>
        <v/>
      </c>
      <c r="Z133" t="inlineStr">
        <is>
          <t>CIO - Top Investment Executive</t>
        </is>
      </c>
      <c r="AA133" t="inlineStr">
        <is>
          <t>Leadership</t>
        </is>
      </c>
      <c r="AB133" s="50" t="inlineStr">
        <is>
          <t>Y</t>
        </is>
      </c>
      <c r="AC133" s="43">
        <f>HYPERLINK("https://projects.propublica.org/nonprofits/organizations/231352621/202521059349301247/full","view filing")</f>
        <v/>
      </c>
      <c r="AD133" s="50" t="inlineStr"/>
    </row>
    <row r="134">
      <c r="A134" t="inlineStr">
        <is>
          <t>Bryn Mawr College</t>
        </is>
      </c>
      <c r="B134" s="50" t="inlineStr">
        <is>
          <t>PA</t>
        </is>
      </c>
      <c r="C134" s="52" t="n">
        <v>1.34</v>
      </c>
      <c r="D134" t="inlineStr">
        <is>
          <t>Endowment</t>
        </is>
      </c>
      <c r="E134" s="50" t="n">
        <v>2024</v>
      </c>
      <c r="F134" s="50" t="inlineStr">
        <is>
          <t>2025-04-15</t>
        </is>
      </c>
      <c r="G134" s="50" t="inlineStr">
        <is>
          <t>2024-05-31</t>
        </is>
      </c>
      <c r="H134" t="inlineStr">
        <is>
          <t>Gene Kim</t>
        </is>
      </c>
      <c r="I134" t="inlineStr">
        <is>
          <t>DIRECTOR OF INVESTMENTS</t>
        </is>
      </c>
      <c r="J134" t="inlineStr">
        <is>
          <t>Director of Investments</t>
        </is>
      </c>
      <c r="K134" t="inlineStr">
        <is>
          <t>Sr Investment Professional</t>
        </is>
      </c>
      <c r="L134" s="28" t="n">
        <v>335460</v>
      </c>
      <c r="M134" s="28" t="n">
        <v>317359</v>
      </c>
      <c r="N134" s="28" t="n">
        <v>0</v>
      </c>
      <c r="O134" s="28" t="n">
        <v>33000</v>
      </c>
      <c r="P134" s="28" t="n">
        <v>339</v>
      </c>
      <c r="Q134" s="28" t="n">
        <v>686158</v>
      </c>
      <c r="R134" s="28" t="n">
        <v>0</v>
      </c>
      <c r="S134" s="28">
        <f>Q134-R134</f>
        <v/>
      </c>
      <c r="T134" s="28">
        <f>IF(S134="","",S134*(1+in_GrowthRate)^(YEARFRAC(DATE(2024,5,31),in_AgeToDate)*IF(in_AgeToDate&lt;DATE(2024,5,31),-1,1)+1))</f>
        <v/>
      </c>
      <c r="U134" s="50">
        <f>IF(AND(AND(OR(in_Mode="All Funds",AND(C134&gt;=in_BandFloor,C134&lt;=in_BandCeiling,OR(in_Geography="National",COUNTIFS(lst_GeoPreset,in_Geography,lst_GeoState,B134)&gt;0,AND(in_Geography="Custom",ISNUMBER(SEARCH(B134,SUBSTITUTE(in_CustomStates," ",""))))),OR(AND(D134="Endowment",Inputs!$B$14="Y"),AND(D134="Foundation",Inputs!$B$15="Y"),AND(D134="Healthcare",Inputs!$B$16="Y"),AND(D134="Pension",Inputs!$B$17="Y"),AND(D134="OCIO",Inputs!$B$18="Y"),AND(D134="Other",Inputs!$B$19="Y")))),A134&lt;&gt;in_ClientOrg,NOT(AND(in_ExclHarvard="Y",ISNUMBER(SEARCH("Harvard",A134))))),$AD134="Y",K134&lt;&gt;"",S134&gt;0),"Y","")</f>
        <v/>
      </c>
      <c r="V134" s="30" t="n">
        <v>0.5116782687482057</v>
      </c>
      <c r="W134" t="inlineStr"/>
      <c r="X134" s="28">
        <f>IF(L134+M134=0,"",L134+M134)</f>
        <v/>
      </c>
      <c r="Y134" s="38">
        <f>IF(L134=0,"",M134/L134)</f>
        <v/>
      </c>
      <c r="Z134" t="inlineStr">
        <is>
          <t>Director &amp; Investment Officer</t>
        </is>
      </c>
      <c r="AA134" t="inlineStr">
        <is>
          <t>Investments</t>
        </is>
      </c>
      <c r="AB134" s="50" t="inlineStr"/>
      <c r="AC134" s="43">
        <f>HYPERLINK("https://projects.propublica.org/nonprofits/organizations/231352621/202521059349301247/full","view filing")</f>
        <v/>
      </c>
      <c r="AD134" s="50" t="inlineStr"/>
    </row>
    <row r="135">
      <c r="A135" t="inlineStr">
        <is>
          <t>Bryn Mawr College</t>
        </is>
      </c>
      <c r="B135" s="50" t="inlineStr">
        <is>
          <t>PA</t>
        </is>
      </c>
      <c r="C135" s="52" t="n">
        <v>1.34</v>
      </c>
      <c r="D135" t="inlineStr">
        <is>
          <t>Endowment</t>
        </is>
      </c>
      <c r="E135" s="50" t="n">
        <v>2024</v>
      </c>
      <c r="F135" s="50" t="inlineStr">
        <is>
          <t>2025-04-15</t>
        </is>
      </c>
      <c r="G135" s="50" t="inlineStr">
        <is>
          <t>2024-05-31</t>
        </is>
      </c>
      <c r="H135" t="inlineStr">
        <is>
          <t>Henry Phan</t>
        </is>
      </c>
      <c r="I135" t="inlineStr">
        <is>
          <t>DIR. OF INVESTMENT OPERATIONS AND RISK MANAGEM</t>
        </is>
      </c>
      <c r="J135" t="inlineStr">
        <is>
          <t>Head of Inv Ops (Inv Entity)</t>
        </is>
      </c>
      <c r="K135" t="inlineStr">
        <is>
          <t>COO (Investment Office)</t>
        </is>
      </c>
      <c r="L135" s="28" t="n">
        <v>270372</v>
      </c>
      <c r="M135" s="28" t="n">
        <v>29600</v>
      </c>
      <c r="N135" s="28" t="n">
        <v>0</v>
      </c>
      <c r="O135" s="28" t="n">
        <v>31250</v>
      </c>
      <c r="P135" s="28" t="n">
        <v>32606</v>
      </c>
      <c r="Q135" s="28" t="n">
        <v>363828</v>
      </c>
      <c r="R135" s="28" t="n">
        <v>0</v>
      </c>
      <c r="S135" s="28">
        <f>Q135-R135</f>
        <v/>
      </c>
      <c r="T135" s="28">
        <f>IF(S135="","",S135*(1+in_GrowthRate)^(YEARFRAC(DATE(2024,5,31),in_AgeToDate)*IF(in_AgeToDate&lt;DATE(2024,5,31),-1,1)+1))</f>
        <v/>
      </c>
      <c r="U135" s="50">
        <f>IF(AND(AND(OR(in_Mode="All Funds",AND(C135&gt;=in_BandFloor,C135&lt;=in_BandCeiling,OR(in_Geography="National",COUNTIFS(lst_GeoPreset,in_Geography,lst_GeoState,B135)&gt;0,AND(in_Geography="Custom",ISNUMBER(SEARCH(B135,SUBSTITUTE(in_CustomStates," ",""))))),OR(AND(D135="Endowment",Inputs!$B$14="Y"),AND(D135="Foundation",Inputs!$B$15="Y"),AND(D135="Healthcare",Inputs!$B$16="Y"),AND(D135="Pension",Inputs!$B$17="Y"),AND(D135="OCIO",Inputs!$B$18="Y"),AND(D135="Other",Inputs!$B$19="Y")))),A135&lt;&gt;in_ClientOrg,NOT(AND(in_ExclHarvard="Y",ISNUMBER(SEARCH("Harvard",A135))))),$AD135="Y",K135&lt;&gt;"",S135&gt;0),"Y","")</f>
        <v/>
      </c>
      <c r="V135" s="30" t="n">
        <v>0.2713119735718627</v>
      </c>
      <c r="W135" t="inlineStr"/>
      <c r="X135" s="28">
        <f>IF(L135+M135=0,"",L135+M135)</f>
        <v/>
      </c>
      <c r="Y135" s="38">
        <f>IF(L135=0,"",M135/L135)</f>
        <v/>
      </c>
      <c r="Z135" t="inlineStr">
        <is>
          <t>COO (Investment Office)</t>
        </is>
      </c>
      <c r="AA135" t="inlineStr">
        <is>
          <t>Operations &amp; Control</t>
        </is>
      </c>
      <c r="AB135" s="50" t="inlineStr"/>
      <c r="AC135" s="43">
        <f>HYPERLINK("https://projects.propublica.org/nonprofits/organizations/231352621/202521059349301247/full","view filing")</f>
        <v/>
      </c>
      <c r="AD135" s="50" t="inlineStr"/>
    </row>
    <row r="136">
      <c r="A136" t="inlineStr">
        <is>
          <t>Bryn Mawr College</t>
        </is>
      </c>
      <c r="B136" s="50" t="inlineStr">
        <is>
          <t>PA</t>
        </is>
      </c>
      <c r="C136" s="52" t="n">
        <v>1.34</v>
      </c>
      <c r="D136" t="inlineStr">
        <is>
          <t>Endowment</t>
        </is>
      </c>
      <c r="E136" s="50" t="n">
        <v>2024</v>
      </c>
      <c r="F136" s="50" t="inlineStr">
        <is>
          <t>2025-04-15</t>
        </is>
      </c>
      <c r="G136" s="50" t="inlineStr">
        <is>
          <t>2024-05-31</t>
        </is>
      </c>
      <c r="H136" t="inlineStr">
        <is>
          <t>Wei Xu</t>
        </is>
      </c>
      <c r="I136" t="inlineStr">
        <is>
          <t>DIR. OF INVESTMENTS PRIVATE MARKET</t>
        </is>
      </c>
      <c r="J136" t="inlineStr">
        <is>
          <t>Director of Investments</t>
        </is>
      </c>
      <c r="K136" t="inlineStr">
        <is>
          <t>Sr Investment Professional</t>
        </is>
      </c>
      <c r="L136" s="28" t="n">
        <v>297639</v>
      </c>
      <c r="M136" s="28" t="n">
        <v>2000</v>
      </c>
      <c r="N136" s="28" t="n">
        <v>0</v>
      </c>
      <c r="O136" s="28" t="n">
        <v>14409</v>
      </c>
      <c r="P136" s="28" t="n">
        <v>32645</v>
      </c>
      <c r="Q136" s="28" t="n">
        <v>346693</v>
      </c>
      <c r="R136" s="28" t="n">
        <v>0</v>
      </c>
      <c r="S136" s="28">
        <f>Q136-R136</f>
        <v/>
      </c>
      <c r="T136" s="28">
        <f>IF(S136="","",S136*(1+in_GrowthRate)^(YEARFRAC(DATE(2024,5,31),in_AgeToDate)*IF(in_AgeToDate&lt;DATE(2024,5,31),-1,1)+1))</f>
        <v/>
      </c>
      <c r="U136" s="50">
        <f>IF(AND(AND(OR(in_Mode="All Funds",AND(C136&gt;=in_BandFloor,C136&lt;=in_BandCeiling,OR(in_Geography="National",COUNTIFS(lst_GeoPreset,in_Geography,lst_GeoState,B136)&gt;0,AND(in_Geography="Custom",ISNUMBER(SEARCH(B136,SUBSTITUTE(in_CustomStates," ",""))))),OR(AND(D136="Endowment",Inputs!$B$14="Y"),AND(D136="Foundation",Inputs!$B$15="Y"),AND(D136="Healthcare",Inputs!$B$16="Y"),AND(D136="Pension",Inputs!$B$17="Y"),AND(D136="OCIO",Inputs!$B$18="Y"),AND(D136="Other",Inputs!$B$19="Y")))),A136&lt;&gt;in_ClientOrg,NOT(AND(in_ExclHarvard="Y",ISNUMBER(SEARCH("Harvard",A136))))),$AD136="Y",K136&lt;&gt;"",S136&gt;0),"Y","")</f>
        <v/>
      </c>
      <c r="V136" s="30" t="n">
        <v>0.2585341481511862</v>
      </c>
      <c r="W136" t="inlineStr"/>
      <c r="X136" s="28">
        <f>IF(L136+M136=0,"",L136+M136)</f>
        <v/>
      </c>
      <c r="Y136" s="38">
        <f>IF(L136=0,"",M136/L136)</f>
        <v/>
      </c>
      <c r="Z136" t="inlineStr">
        <is>
          <t>Director &amp; Investment Officer</t>
        </is>
      </c>
      <c r="AA136" t="inlineStr">
        <is>
          <t>Investments</t>
        </is>
      </c>
      <c r="AB136" s="50" t="inlineStr"/>
      <c r="AC136" s="43">
        <f>HYPERLINK("https://projects.propublica.org/nonprofits/organizations/231352621/202521059349301247/full","view filing")</f>
        <v/>
      </c>
      <c r="AD136" s="50" t="inlineStr"/>
    </row>
    <row r="137">
      <c r="A137" t="inlineStr">
        <is>
          <t>Bryn Mawr College</t>
        </is>
      </c>
      <c r="B137" s="50" t="inlineStr">
        <is>
          <t>PA</t>
        </is>
      </c>
      <c r="C137" s="52" t="n">
        <v>1.34</v>
      </c>
      <c r="D137" t="inlineStr">
        <is>
          <t>Endowment</t>
        </is>
      </c>
      <c r="E137" s="50" t="n">
        <v>2023</v>
      </c>
      <c r="F137" s="50" t="inlineStr">
        <is>
          <t>2024-04-09</t>
        </is>
      </c>
      <c r="G137" s="50" t="inlineStr">
        <is>
          <t>2023-05-31</t>
        </is>
      </c>
      <c r="H137" t="inlineStr">
        <is>
          <t>Brooke H Jones</t>
        </is>
      </c>
      <c r="I137" t="inlineStr">
        <is>
          <t>CHIEF INVESTMENT OFFICER</t>
        </is>
      </c>
      <c r="J137" t="inlineStr">
        <is>
          <t>CIO</t>
        </is>
      </c>
      <c r="K137" t="inlineStr">
        <is>
          <t>CIO - Top Investment Executive</t>
        </is>
      </c>
      <c r="L137" s="28" t="n">
        <v>610485</v>
      </c>
      <c r="M137" s="28" t="n">
        <v>450000</v>
      </c>
      <c r="N137" s="28" t="n">
        <v>0</v>
      </c>
      <c r="O137" s="28" t="n">
        <v>30500</v>
      </c>
      <c r="P137" s="28" t="n">
        <v>32366</v>
      </c>
      <c r="Q137" s="28" t="n">
        <v>1123351</v>
      </c>
      <c r="R137" s="28" t="n">
        <v>0</v>
      </c>
      <c r="S137" s="28">
        <f>Q137-R137</f>
        <v/>
      </c>
      <c r="T137" s="28">
        <f>IF(S137="","",S137*(1+in_GrowthRate)^(YEARFRAC(DATE(2023,5,31),in_AgeToDate)*IF(in_AgeToDate&lt;DATE(2023,5,31),-1,1)+1))</f>
        <v/>
      </c>
      <c r="U137" s="50">
        <f>IF(AND(AND(OR(in_Mode="All Funds",AND(C137&gt;=in_BandFloor,C137&lt;=in_BandCeiling,OR(in_Geography="National",COUNTIFS(lst_GeoPreset,in_Geography,lst_GeoState,B137)&gt;0,AND(in_Geography="Custom",ISNUMBER(SEARCH(B137,SUBSTITUTE(in_CustomStates," ",""))))),OR(AND(D137="Endowment",Inputs!$B$14="Y"),AND(D137="Foundation",Inputs!$B$15="Y"),AND(D137="Healthcare",Inputs!$B$16="Y"),AND(D137="Pension",Inputs!$B$17="Y"),AND(D137="OCIO",Inputs!$B$18="Y"),AND(D137="Other",Inputs!$B$19="Y")))),A137&lt;&gt;in_ClientOrg,NOT(AND(in_ExclHarvard="Y",ISNUMBER(SEARCH("Harvard",A137))))),$AD137="Y",K137&lt;&gt;"",S137&gt;0),"Y","")</f>
        <v/>
      </c>
      <c r="V137" s="30" t="n">
        <v>1</v>
      </c>
      <c r="W137" t="inlineStr"/>
      <c r="X137" s="28">
        <f>IF(L137+M137=0,"",L137+M137)</f>
        <v/>
      </c>
      <c r="Y137" s="38">
        <f>IF(L137=0,"",M137/L137)</f>
        <v/>
      </c>
      <c r="Z137" t="inlineStr">
        <is>
          <t>CIO - Top Investment Executive</t>
        </is>
      </c>
      <c r="AA137" t="inlineStr">
        <is>
          <t>Leadership</t>
        </is>
      </c>
      <c r="AB137" s="50" t="inlineStr">
        <is>
          <t>Y</t>
        </is>
      </c>
      <c r="AC137" s="43">
        <f>HYPERLINK("https://projects.propublica.org/nonprofits/organizations/231352621/202421009349301207/full","view filing")</f>
        <v/>
      </c>
      <c r="AD137" s="50" t="inlineStr"/>
    </row>
    <row r="138">
      <c r="A138" t="inlineStr">
        <is>
          <t>Bryn Mawr College</t>
        </is>
      </c>
      <c r="B138" s="50" t="inlineStr">
        <is>
          <t>PA</t>
        </is>
      </c>
      <c r="C138" s="52" t="n">
        <v>1.34</v>
      </c>
      <c r="D138" t="inlineStr">
        <is>
          <t>Endowment</t>
        </is>
      </c>
      <c r="E138" s="50" t="n">
        <v>2023</v>
      </c>
      <c r="F138" s="50" t="inlineStr">
        <is>
          <t>2024-04-09</t>
        </is>
      </c>
      <c r="G138" s="50" t="inlineStr">
        <is>
          <t>2023-05-31</t>
        </is>
      </c>
      <c r="H138" t="inlineStr">
        <is>
          <t>Gene Kim</t>
        </is>
      </c>
      <c r="I138" t="inlineStr">
        <is>
          <t>DIRECTOR OF INVESTMENTS</t>
        </is>
      </c>
      <c r="J138" t="inlineStr">
        <is>
          <t>Director of Investments</t>
        </is>
      </c>
      <c r="K138" t="inlineStr">
        <is>
          <t>Sr Investment Professional</t>
        </is>
      </c>
      <c r="L138" s="28" t="n">
        <v>309060</v>
      </c>
      <c r="M138" s="28" t="n">
        <v>100000</v>
      </c>
      <c r="N138" s="28" t="n">
        <v>0</v>
      </c>
      <c r="O138" s="28" t="n">
        <v>30500</v>
      </c>
      <c r="P138" s="28" t="n">
        <v>368</v>
      </c>
      <c r="Q138" s="28" t="n">
        <v>439928</v>
      </c>
      <c r="R138" s="28" t="n">
        <v>0</v>
      </c>
      <c r="S138" s="28">
        <f>Q138-R138</f>
        <v/>
      </c>
      <c r="T138" s="28">
        <f>IF(S138="","",S138*(1+in_GrowthRate)^(YEARFRAC(DATE(2023,5,31),in_AgeToDate)*IF(in_AgeToDate&lt;DATE(2023,5,31),-1,1)+1))</f>
        <v/>
      </c>
      <c r="U138" s="50">
        <f>IF(AND(AND(OR(in_Mode="All Funds",AND(C138&gt;=in_BandFloor,C138&lt;=in_BandCeiling,OR(in_Geography="National",COUNTIFS(lst_GeoPreset,in_Geography,lst_GeoState,B138)&gt;0,AND(in_Geography="Custom",ISNUMBER(SEARCH(B138,SUBSTITUTE(in_CustomStates," ",""))))),OR(AND(D138="Endowment",Inputs!$B$14="Y"),AND(D138="Foundation",Inputs!$B$15="Y"),AND(D138="Healthcare",Inputs!$B$16="Y"),AND(D138="Pension",Inputs!$B$17="Y"),AND(D138="OCIO",Inputs!$B$18="Y"),AND(D138="Other",Inputs!$B$19="Y")))),A138&lt;&gt;in_ClientOrg,NOT(AND(in_ExclHarvard="Y",ISNUMBER(SEARCH("Harvard",A138))))),$AD138="Y",K138&lt;&gt;"",S138&gt;0),"Y","")</f>
        <v/>
      </c>
      <c r="V138" s="30" t="n">
        <v>0.3916211406764226</v>
      </c>
      <c r="W138" t="inlineStr"/>
      <c r="X138" s="28">
        <f>IF(L138+M138=0,"",L138+M138)</f>
        <v/>
      </c>
      <c r="Y138" s="38">
        <f>IF(L138=0,"",M138/L138)</f>
        <v/>
      </c>
      <c r="Z138" t="inlineStr">
        <is>
          <t>Director &amp; Investment Officer</t>
        </is>
      </c>
      <c r="AA138" t="inlineStr">
        <is>
          <t>Investments</t>
        </is>
      </c>
      <c r="AB138" s="50" t="inlineStr"/>
      <c r="AC138" s="43">
        <f>HYPERLINK("https://projects.propublica.org/nonprofits/organizations/231352621/202421009349301207/full","view filing")</f>
        <v/>
      </c>
      <c r="AD138" s="50" t="inlineStr"/>
    </row>
    <row r="139">
      <c r="A139" t="inlineStr">
        <is>
          <t>Bryn Mawr College</t>
        </is>
      </c>
      <c r="B139" s="50" t="inlineStr">
        <is>
          <t>PA</t>
        </is>
      </c>
      <c r="C139" s="52" t="n">
        <v>1.34</v>
      </c>
      <c r="D139" t="inlineStr">
        <is>
          <t>Endowment</t>
        </is>
      </c>
      <c r="E139" s="50" t="n">
        <v>2022</v>
      </c>
      <c r="F139" s="50" t="inlineStr">
        <is>
          <t>2023-04-10</t>
        </is>
      </c>
      <c r="G139" s="50" t="inlineStr">
        <is>
          <t>2022-05-31</t>
        </is>
      </c>
      <c r="H139" t="inlineStr">
        <is>
          <t>Brooke H Jones</t>
        </is>
      </c>
      <c r="I139" t="inlineStr">
        <is>
          <t>CHIEF INVESTMENT OFFICER</t>
        </is>
      </c>
      <c r="J139" t="inlineStr">
        <is>
          <t>CIO</t>
        </is>
      </c>
      <c r="K139" t="inlineStr">
        <is>
          <t>CIO - Top Investment Executive</t>
        </is>
      </c>
      <c r="L139" s="28" t="n">
        <v>487568</v>
      </c>
      <c r="M139" s="28" t="n">
        <v>279545</v>
      </c>
      <c r="N139" s="28" t="n">
        <v>0</v>
      </c>
      <c r="O139" s="28" t="n">
        <v>28500</v>
      </c>
      <c r="P139" s="28" t="n">
        <v>32366</v>
      </c>
      <c r="Q139" s="28" t="n">
        <v>827979</v>
      </c>
      <c r="R139" s="28" t="n">
        <v>0</v>
      </c>
      <c r="S139" s="28">
        <f>Q139-R139</f>
        <v/>
      </c>
      <c r="T139" s="28">
        <f>IF(S139="","",S139*(1+in_GrowthRate)^(YEARFRAC(DATE(2022,5,31),in_AgeToDate)*IF(in_AgeToDate&lt;DATE(2022,5,31),-1,1)+1))</f>
        <v/>
      </c>
      <c r="U139" s="50">
        <f>IF(AND(AND(OR(in_Mode="All Funds",AND(C139&gt;=in_BandFloor,C139&lt;=in_BandCeiling,OR(in_Geography="National",COUNTIFS(lst_GeoPreset,in_Geography,lst_GeoState,B139)&gt;0,AND(in_Geography="Custom",ISNUMBER(SEARCH(B139,SUBSTITUTE(in_CustomStates," ",""))))),OR(AND(D139="Endowment",Inputs!$B$14="Y"),AND(D139="Foundation",Inputs!$B$15="Y"),AND(D139="Healthcare",Inputs!$B$16="Y"),AND(D139="Pension",Inputs!$B$17="Y"),AND(D139="OCIO",Inputs!$B$18="Y"),AND(D139="Other",Inputs!$B$19="Y")))),A139&lt;&gt;in_ClientOrg,NOT(AND(in_ExclHarvard="Y",ISNUMBER(SEARCH("Harvard",A139))))),$AD139="Y",K139&lt;&gt;"",S139&gt;0),"Y","")</f>
        <v/>
      </c>
      <c r="V139" s="30" t="n">
        <v>1</v>
      </c>
      <c r="W139" t="inlineStr"/>
      <c r="X139" s="28">
        <f>IF(L139+M139=0,"",L139+M139)</f>
        <v/>
      </c>
      <c r="Y139" s="38">
        <f>IF(L139=0,"",M139/L139)</f>
        <v/>
      </c>
      <c r="Z139" t="inlineStr">
        <is>
          <t>CIO - Top Investment Executive</t>
        </is>
      </c>
      <c r="AA139" t="inlineStr">
        <is>
          <t>Leadership</t>
        </is>
      </c>
      <c r="AB139" s="50" t="inlineStr">
        <is>
          <t>Y</t>
        </is>
      </c>
      <c r="AC139" s="43">
        <f>HYPERLINK("https://projects.propublica.org/nonprofits/organizations/231352621/202311009349300846/full","view filing")</f>
        <v/>
      </c>
      <c r="AD139" s="50" t="inlineStr"/>
    </row>
    <row r="140">
      <c r="A140" t="inlineStr">
        <is>
          <t>Bryn Mawr College</t>
        </is>
      </c>
      <c r="B140" s="50" t="inlineStr">
        <is>
          <t>PA</t>
        </is>
      </c>
      <c r="C140" s="52" t="n">
        <v>1.34</v>
      </c>
      <c r="D140" t="inlineStr">
        <is>
          <t>Endowment</t>
        </is>
      </c>
      <c r="E140" s="50" t="n">
        <v>2022</v>
      </c>
      <c r="F140" s="50" t="inlineStr">
        <is>
          <t>2023-04-10</t>
        </is>
      </c>
      <c r="G140" s="50" t="inlineStr">
        <is>
          <t>2022-05-31</t>
        </is>
      </c>
      <c r="H140" t="inlineStr">
        <is>
          <t>Gene Kim</t>
        </is>
      </c>
      <c r="I140" t="inlineStr">
        <is>
          <t>DIRECTOR OF INVESTMENTS</t>
        </is>
      </c>
      <c r="J140" t="inlineStr">
        <is>
          <t>Director of Investments</t>
        </is>
      </c>
      <c r="K140" t="inlineStr">
        <is>
          <t>Sr Investment Professional</t>
        </is>
      </c>
      <c r="L140" s="28" t="n">
        <v>200910</v>
      </c>
      <c r="M140" s="28" t="n">
        <v>2000</v>
      </c>
      <c r="N140" s="28" t="n">
        <v>0</v>
      </c>
      <c r="O140" s="28" t="n">
        <v>17700</v>
      </c>
      <c r="P140" s="28" t="n">
        <v>198</v>
      </c>
      <c r="Q140" s="28" t="n">
        <v>220808</v>
      </c>
      <c r="R140" s="28" t="n">
        <v>0</v>
      </c>
      <c r="S140" s="28">
        <f>Q140-R140</f>
        <v/>
      </c>
      <c r="T140" s="28">
        <f>IF(S140="","",S140*(1+in_GrowthRate)^(YEARFRAC(DATE(2022,5,31),in_AgeToDate)*IF(in_AgeToDate&lt;DATE(2022,5,31),-1,1)+1))</f>
        <v/>
      </c>
      <c r="U140" s="50">
        <f>IF(AND(AND(OR(in_Mode="All Funds",AND(C140&gt;=in_BandFloor,C140&lt;=in_BandCeiling,OR(in_Geography="National",COUNTIFS(lst_GeoPreset,in_Geography,lst_GeoState,B140)&gt;0,AND(in_Geography="Custom",ISNUMBER(SEARCH(B140,SUBSTITUTE(in_CustomStates," ",""))))),OR(AND(D140="Endowment",Inputs!$B$14="Y"),AND(D140="Foundation",Inputs!$B$15="Y"),AND(D140="Healthcare",Inputs!$B$16="Y"),AND(D140="Pension",Inputs!$B$17="Y"),AND(D140="OCIO",Inputs!$B$18="Y"),AND(D140="Other",Inputs!$B$19="Y")))),A140&lt;&gt;in_ClientOrg,NOT(AND(in_ExclHarvard="Y",ISNUMBER(SEARCH("Harvard",A140))))),$AD140="Y",K140&lt;&gt;"",S140&gt;0),"Y","")</f>
        <v/>
      </c>
      <c r="V140" s="30" t="n">
        <v>0.2666830922040293</v>
      </c>
      <c r="W140" t="inlineStr"/>
      <c r="X140" s="28">
        <f>IF(L140+M140=0,"",L140+M140)</f>
        <v/>
      </c>
      <c r="Y140" s="38">
        <f>IF(L140=0,"",M140/L140)</f>
        <v/>
      </c>
      <c r="Z140" t="inlineStr">
        <is>
          <t>Director &amp; Investment Officer</t>
        </is>
      </c>
      <c r="AA140" t="inlineStr">
        <is>
          <t>Investments</t>
        </is>
      </c>
      <c r="AB140" s="50" t="inlineStr"/>
      <c r="AC140" s="43">
        <f>HYPERLINK("https://projects.propublica.org/nonprofits/organizations/231352621/202311009349300846/full","view filing")</f>
        <v/>
      </c>
      <c r="AD140" s="50" t="inlineStr"/>
    </row>
    <row r="141">
      <c r="A141" t="inlineStr">
        <is>
          <t>Bush Foundation</t>
        </is>
      </c>
      <c r="B141" s="50" t="inlineStr">
        <is>
          <t>MN</t>
        </is>
      </c>
      <c r="C141" s="52" t="n">
        <v>1.36</v>
      </c>
      <c r="D141" t="inlineStr">
        <is>
          <t>Foundation</t>
        </is>
      </c>
      <c r="E141" s="50" t="n">
        <v>2024</v>
      </c>
      <c r="F141" s="50" t="inlineStr">
        <is>
          <t>2025-11-13</t>
        </is>
      </c>
      <c r="G141" s="50" t="inlineStr">
        <is>
          <t>2024-12-31</t>
        </is>
      </c>
      <c r="H141" t="inlineStr">
        <is>
          <t>Peterfeso Carol</t>
        </is>
      </c>
      <c r="I141" t="inlineStr">
        <is>
          <t>MANAGING DIRECTOR OF</t>
        </is>
      </c>
      <c r="J141" t="inlineStr">
        <is>
          <t>Managing Director</t>
        </is>
      </c>
      <c r="K141" t="inlineStr">
        <is>
          <t>Sr Investment Professional</t>
        </is>
      </c>
      <c r="L141" s="28" t="n">
        <v>0</v>
      </c>
      <c r="M141" s="28" t="n">
        <v>0</v>
      </c>
      <c r="N141" s="28" t="n">
        <v>0</v>
      </c>
      <c r="O141" s="28" t="n">
        <v>0</v>
      </c>
      <c r="P141" s="28" t="n">
        <v>0</v>
      </c>
      <c r="Q141" s="28" t="n">
        <v>406770</v>
      </c>
      <c r="R141" s="28" t="n">
        <v>0</v>
      </c>
      <c r="S141" s="28">
        <f>Q141-R141</f>
        <v/>
      </c>
      <c r="T141" s="28">
        <f>IF(S141="","",S141*(1+in_GrowthRate)^(YEARFRAC(DATE(2024,12,31),in_AgeToDate)*IF(in_AgeToDate&lt;DATE(2024,12,31),-1,1)+1))</f>
        <v/>
      </c>
      <c r="U141" s="50">
        <f>IF(AND(AND(OR(in_Mode="All Funds",AND(C141&gt;=in_BandFloor,C141&lt;=in_BandCeiling,OR(in_Geography="National",COUNTIFS(lst_GeoPreset,in_Geography,lst_GeoState,B141)&gt;0,AND(in_Geography="Custom",ISNUMBER(SEARCH(B141,SUBSTITUTE(in_CustomStates," ",""))))),OR(AND(D141="Endowment",Inputs!$B$14="Y"),AND(D141="Foundation",Inputs!$B$15="Y"),AND(D141="Healthcare",Inputs!$B$16="Y"),AND(D141="Pension",Inputs!$B$17="Y"),AND(D141="OCIO",Inputs!$B$18="Y"),AND(D141="Other",Inputs!$B$19="Y")))),A141&lt;&gt;in_ClientOrg,NOT(AND(in_ExclHarvard="Y",ISNUMBER(SEARCH("Harvard",A141))))),$AD141="Y",K141&lt;&gt;"",S141&gt;0),"Y","")</f>
        <v/>
      </c>
      <c r="V141" s="30" t="n"/>
      <c r="W141" t="inlineStr"/>
      <c r="X141" s="28">
        <f>IF(L141+M141=0,"",L141+M141)</f>
        <v/>
      </c>
      <c r="Y141" s="38">
        <f>IF(L141=0,"",M141/L141)</f>
        <v/>
      </c>
      <c r="Z141" t="inlineStr">
        <is>
          <t>Managing Director</t>
        </is>
      </c>
      <c r="AA141" t="inlineStr">
        <is>
          <t>Investments</t>
        </is>
      </c>
      <c r="AB141" s="50" t="inlineStr"/>
      <c r="AC141" s="43">
        <f>HYPERLINK("https://projects.propublica.org/nonprofits/organizations/416017815/202543179349102969/full","view filing")</f>
        <v/>
      </c>
      <c r="AD141" s="50" t="inlineStr">
        <is>
          <t>Y</t>
        </is>
      </c>
    </row>
    <row r="142">
      <c r="A142" t="inlineStr">
        <is>
          <t>Bush Foundation</t>
        </is>
      </c>
      <c r="B142" s="50" t="inlineStr">
        <is>
          <t>MN</t>
        </is>
      </c>
      <c r="C142" s="52" t="n">
        <v>1.36</v>
      </c>
      <c r="D142" t="inlineStr">
        <is>
          <t>Foundation</t>
        </is>
      </c>
      <c r="E142" s="50" t="n">
        <v>2023</v>
      </c>
      <c r="F142" s="50" t="inlineStr">
        <is>
          <t>2024-11-14</t>
        </is>
      </c>
      <c r="G142" s="50" t="inlineStr">
        <is>
          <t>2023-12-31</t>
        </is>
      </c>
      <c r="H142" t="inlineStr">
        <is>
          <t>Peterfeso Carol</t>
        </is>
      </c>
      <c r="I142" t="inlineStr">
        <is>
          <t>MANAGING DIRECTOR OF</t>
        </is>
      </c>
      <c r="J142" t="inlineStr">
        <is>
          <t>Managing Director</t>
        </is>
      </c>
      <c r="K142" t="inlineStr">
        <is>
          <t>Sr Investment Professional</t>
        </is>
      </c>
      <c r="L142" s="28" t="n">
        <v>0</v>
      </c>
      <c r="M142" s="28" t="n">
        <v>0</v>
      </c>
      <c r="N142" s="28" t="n">
        <v>0</v>
      </c>
      <c r="O142" s="28" t="n">
        <v>0</v>
      </c>
      <c r="P142" s="28" t="n">
        <v>0</v>
      </c>
      <c r="Q142" s="28" t="n">
        <v>360355</v>
      </c>
      <c r="R142" s="28" t="n">
        <v>0</v>
      </c>
      <c r="S142" s="28">
        <f>Q142-R142</f>
        <v/>
      </c>
      <c r="T142" s="28">
        <f>IF(S142="","",S142*(1+in_GrowthRate)^(YEARFRAC(DATE(2023,12,31),in_AgeToDate)*IF(in_AgeToDate&lt;DATE(2023,12,31),-1,1)+1))</f>
        <v/>
      </c>
      <c r="U142" s="50">
        <f>IF(AND(AND(OR(in_Mode="All Funds",AND(C142&gt;=in_BandFloor,C142&lt;=in_BandCeiling,OR(in_Geography="National",COUNTIFS(lst_GeoPreset,in_Geography,lst_GeoState,B142)&gt;0,AND(in_Geography="Custom",ISNUMBER(SEARCH(B142,SUBSTITUTE(in_CustomStates," ",""))))),OR(AND(D142="Endowment",Inputs!$B$14="Y"),AND(D142="Foundation",Inputs!$B$15="Y"),AND(D142="Healthcare",Inputs!$B$16="Y"),AND(D142="Pension",Inputs!$B$17="Y"),AND(D142="OCIO",Inputs!$B$18="Y"),AND(D142="Other",Inputs!$B$19="Y")))),A142&lt;&gt;in_ClientOrg,NOT(AND(in_ExclHarvard="Y",ISNUMBER(SEARCH("Harvard",A142))))),$AD142="Y",K142&lt;&gt;"",S142&gt;0),"Y","")</f>
        <v/>
      </c>
      <c r="V142" s="30" t="n"/>
      <c r="W142" t="inlineStr"/>
      <c r="X142" s="28">
        <f>IF(L142+M142=0,"",L142+M142)</f>
        <v/>
      </c>
      <c r="Y142" s="38">
        <f>IF(L142=0,"",M142/L142)</f>
        <v/>
      </c>
      <c r="Z142" t="inlineStr">
        <is>
          <t>Managing Director</t>
        </is>
      </c>
      <c r="AA142" t="inlineStr">
        <is>
          <t>Investments</t>
        </is>
      </c>
      <c r="AB142" s="50" t="inlineStr"/>
      <c r="AC142" s="43">
        <f>HYPERLINK("https://projects.propublica.org/nonprofits/organizations/416017815/202413199349104831/full","view filing")</f>
        <v/>
      </c>
      <c r="AD142" s="50" t="inlineStr"/>
    </row>
    <row r="143">
      <c r="A143" t="inlineStr">
        <is>
          <t>Bush Foundation</t>
        </is>
      </c>
      <c r="B143" s="50" t="inlineStr">
        <is>
          <t>MN</t>
        </is>
      </c>
      <c r="C143" s="52" t="n">
        <v>1.36</v>
      </c>
      <c r="D143" t="inlineStr">
        <is>
          <t>Foundation</t>
        </is>
      </c>
      <c r="E143" s="50" t="n">
        <v>2022</v>
      </c>
      <c r="F143" s="50" t="inlineStr">
        <is>
          <t>2023-11-10</t>
        </is>
      </c>
      <c r="G143" s="50" t="inlineStr">
        <is>
          <t>2022-12-31</t>
        </is>
      </c>
      <c r="H143" t="inlineStr">
        <is>
          <t>John Otterlei</t>
        </is>
      </c>
      <c r="I143" t="inlineStr">
        <is>
          <t>CIO</t>
        </is>
      </c>
      <c r="J143" t="inlineStr">
        <is>
          <t>CIO</t>
        </is>
      </c>
      <c r="K143" t="inlineStr">
        <is>
          <t>CIO - Top Investment Executive</t>
        </is>
      </c>
      <c r="L143" s="28" t="n">
        <v>0</v>
      </c>
      <c r="M143" s="28" t="n">
        <v>0</v>
      </c>
      <c r="N143" s="28" t="n">
        <v>0</v>
      </c>
      <c r="O143" s="28" t="n">
        <v>0</v>
      </c>
      <c r="P143" s="28" t="n">
        <v>0</v>
      </c>
      <c r="Q143" s="28" t="n">
        <v>354065</v>
      </c>
      <c r="R143" s="28" t="n">
        <v>0</v>
      </c>
      <c r="S143" s="28">
        <f>Q143-R143</f>
        <v/>
      </c>
      <c r="T143" s="28">
        <f>IF(S143="","",S143*(1+in_GrowthRate)^(YEARFRAC(DATE(2022,12,31),in_AgeToDate)*IF(in_AgeToDate&lt;DATE(2022,12,31),-1,1)+1))</f>
        <v/>
      </c>
      <c r="U143" s="50">
        <f>IF(AND(AND(OR(in_Mode="All Funds",AND(C143&gt;=in_BandFloor,C143&lt;=in_BandCeiling,OR(in_Geography="National",COUNTIFS(lst_GeoPreset,in_Geography,lst_GeoState,B143)&gt;0,AND(in_Geography="Custom",ISNUMBER(SEARCH(B143,SUBSTITUTE(in_CustomStates," ",""))))),OR(AND(D143="Endowment",Inputs!$B$14="Y"),AND(D143="Foundation",Inputs!$B$15="Y"),AND(D143="Healthcare",Inputs!$B$16="Y"),AND(D143="Pension",Inputs!$B$17="Y"),AND(D143="OCIO",Inputs!$B$18="Y"),AND(D143="Other",Inputs!$B$19="Y")))),A143&lt;&gt;in_ClientOrg,NOT(AND(in_ExclHarvard="Y",ISNUMBER(SEARCH("Harvard",A143))))),$AD143="Y",K143&lt;&gt;"",S143&gt;0),"Y","")</f>
        <v/>
      </c>
      <c r="V143" s="30" t="n">
        <v>1</v>
      </c>
      <c r="W143" t="inlineStr"/>
      <c r="X143" s="28">
        <f>IF(L143+M143=0,"",L143+M143)</f>
        <v/>
      </c>
      <c r="Y143" s="38">
        <f>IF(L143=0,"",M143/L143)</f>
        <v/>
      </c>
      <c r="Z143" t="inlineStr">
        <is>
          <t>CIO - Top Investment Executive</t>
        </is>
      </c>
      <c r="AA143" t="inlineStr">
        <is>
          <t>Leadership</t>
        </is>
      </c>
      <c r="AB143" s="50" t="inlineStr">
        <is>
          <t>Y</t>
        </is>
      </c>
      <c r="AC143" s="43">
        <f>HYPERLINK("https://projects.propublica.org/nonprofits/organizations/416017815/202323149349100302/full","view filing")</f>
        <v/>
      </c>
      <c r="AD143" s="50" t="inlineStr"/>
    </row>
    <row r="144">
      <c r="A144" t="inlineStr">
        <is>
          <t>California Institute Of Technology</t>
        </is>
      </c>
      <c r="B144" s="50" t="inlineStr">
        <is>
          <t>CA</t>
        </is>
      </c>
      <c r="C144" s="52" t="n">
        <v>4.32</v>
      </c>
      <c r="D144" t="inlineStr">
        <is>
          <t>Endowment</t>
        </is>
      </c>
      <c r="E144" s="50" t="n">
        <v>2024</v>
      </c>
      <c r="F144" s="50" t="inlineStr">
        <is>
          <t>2025-08-12</t>
        </is>
      </c>
      <c r="G144" s="50" t="inlineStr">
        <is>
          <t>2024-09-30</t>
        </is>
      </c>
      <c r="H144" t="inlineStr">
        <is>
          <t>Douglas N Macbean</t>
        </is>
      </c>
      <c r="I144" t="inlineStr">
        <is>
          <t>SR MANAGING DIR INVESTMENTS</t>
        </is>
      </c>
      <c r="J144" t="inlineStr">
        <is>
          <t>Senior Managing Director</t>
        </is>
      </c>
      <c r="K144" t="inlineStr">
        <is>
          <t>Sr Investment Professional</t>
        </is>
      </c>
      <c r="L144" s="28" t="n">
        <v>427887</v>
      </c>
      <c r="M144" s="28" t="n">
        <v>267118</v>
      </c>
      <c r="N144" s="28" t="n">
        <v>22500</v>
      </c>
      <c r="O144" s="28" t="n">
        <v>181569</v>
      </c>
      <c r="P144" s="28" t="n">
        <v>30291</v>
      </c>
      <c r="Q144" s="28" t="n">
        <v>929365</v>
      </c>
      <c r="R144" s="28" t="n">
        <v>97178</v>
      </c>
      <c r="S144" s="28">
        <f>Q144-R144</f>
        <v/>
      </c>
      <c r="T144" s="28">
        <f>IF(S144="","",S144*(1+in_GrowthRate)^(YEARFRAC(DATE(2024,9,30),in_AgeToDate)*IF(in_AgeToDate&lt;DATE(2024,9,30),-1,1)+1))</f>
        <v/>
      </c>
      <c r="U144" s="50">
        <f>IF(AND(AND(OR(in_Mode="All Funds",AND(C144&gt;=in_BandFloor,C144&lt;=in_BandCeiling,OR(in_Geography="National",COUNTIFS(lst_GeoPreset,in_Geography,lst_GeoState,B144)&gt;0,AND(in_Geography="Custom",ISNUMBER(SEARCH(B144,SUBSTITUTE(in_CustomStates," ",""))))),OR(AND(D144="Endowment",Inputs!$B$14="Y"),AND(D144="Foundation",Inputs!$B$15="Y"),AND(D144="Healthcare",Inputs!$B$16="Y"),AND(D144="Pension",Inputs!$B$17="Y"),AND(D144="OCIO",Inputs!$B$18="Y"),AND(D144="Other",Inputs!$B$19="Y")))),A144&lt;&gt;in_ClientOrg,NOT(AND(in_ExclHarvard="Y",ISNUMBER(SEARCH("Harvard",A144))))),$AD144="Y",K144&lt;&gt;"",S144&gt;0),"Y","")</f>
        <v/>
      </c>
      <c r="V144" s="30" t="n">
        <v>0.6399636717662566</v>
      </c>
      <c r="W144" t="inlineStr"/>
      <c r="X144" s="28">
        <f>IF(L144+M144=0,"",L144+M144)</f>
        <v/>
      </c>
      <c r="Y144" s="38">
        <f>IF(L144=0,"",M144/L144)</f>
        <v/>
      </c>
      <c r="Z144" t="inlineStr">
        <is>
          <t>Managing Director</t>
        </is>
      </c>
      <c r="AA144" t="inlineStr">
        <is>
          <t>Investments</t>
        </is>
      </c>
      <c r="AB144" s="50" t="inlineStr"/>
      <c r="AC144" s="43">
        <f>HYPERLINK("https://projects.propublica.org/nonprofits/organizations/951643307/202512239349302301/full","view filing")</f>
        <v/>
      </c>
      <c r="AD144" s="50" t="inlineStr"/>
    </row>
    <row r="145">
      <c r="A145" t="inlineStr">
        <is>
          <t>California Institute Of Technology</t>
        </is>
      </c>
      <c r="B145" s="50" t="inlineStr">
        <is>
          <t>CA</t>
        </is>
      </c>
      <c r="C145" s="52" t="n">
        <v>4.32</v>
      </c>
      <c r="D145" t="inlineStr">
        <is>
          <t>Endowment</t>
        </is>
      </c>
      <c r="E145" s="50" t="n">
        <v>2024</v>
      </c>
      <c r="F145" s="50" t="inlineStr">
        <is>
          <t>2025-08-12</t>
        </is>
      </c>
      <c r="G145" s="50" t="inlineStr">
        <is>
          <t>2024-09-30</t>
        </is>
      </c>
      <c r="H145" t="inlineStr">
        <is>
          <t>Kirk Kawasawa</t>
        </is>
      </c>
      <c r="I145" t="inlineStr">
        <is>
          <t>SR MNG DIR INVESTMENT OPS</t>
        </is>
      </c>
      <c r="J145" t="inlineStr">
        <is>
          <t>Managing Director</t>
        </is>
      </c>
      <c r="K145" t="inlineStr">
        <is>
          <t>COO (Investment Office)</t>
        </is>
      </c>
      <c r="L145" s="28" t="n">
        <v>349846</v>
      </c>
      <c r="M145" s="28" t="n">
        <v>248190</v>
      </c>
      <c r="N145" s="28" t="n">
        <v>15609</v>
      </c>
      <c r="O145" s="28" t="n">
        <v>130269</v>
      </c>
      <c r="P145" s="28" t="n">
        <v>38174</v>
      </c>
      <c r="Q145" s="28" t="n">
        <v>782088</v>
      </c>
      <c r="R145" s="28" t="n">
        <v>104190</v>
      </c>
      <c r="S145" s="28">
        <f>Q145-R145</f>
        <v/>
      </c>
      <c r="T145" s="28">
        <f>IF(S145="","",S145*(1+in_GrowthRate)^(YEARFRAC(DATE(2024,9,30),in_AgeToDate)*IF(in_AgeToDate&lt;DATE(2024,9,30),-1,1)+1))</f>
        <v/>
      </c>
      <c r="U145" s="50">
        <f>IF(AND(AND(OR(in_Mode="All Funds",AND(C145&gt;=in_BandFloor,C145&lt;=in_BandCeiling,OR(in_Geography="National",COUNTIFS(lst_GeoPreset,in_Geography,lst_GeoState,B145)&gt;0,AND(in_Geography="Custom",ISNUMBER(SEARCH(B145,SUBSTITUTE(in_CustomStates," ",""))))),OR(AND(D145="Endowment",Inputs!$B$14="Y"),AND(D145="Foundation",Inputs!$B$15="Y"),AND(D145="Healthcare",Inputs!$B$16="Y"),AND(D145="Pension",Inputs!$B$17="Y"),AND(D145="OCIO",Inputs!$B$18="Y"),AND(D145="Other",Inputs!$B$19="Y")))),A145&lt;&gt;in_ClientOrg,NOT(AND(in_ExclHarvard="Y",ISNUMBER(SEARCH("Harvard",A145))))),$AD145="Y",K145&lt;&gt;"",S145&gt;0),"Y","")</f>
        <v/>
      </c>
      <c r="V145" s="30" t="n">
        <v>0.5213132302751687</v>
      </c>
      <c r="W145" t="inlineStr"/>
      <c r="X145" s="28">
        <f>IF(L145+M145=0,"",L145+M145)</f>
        <v/>
      </c>
      <c r="Y145" s="38">
        <f>IF(L145=0,"",M145/L145)</f>
        <v/>
      </c>
      <c r="Z145" t="inlineStr">
        <is>
          <t>COO (Investment Office)</t>
        </is>
      </c>
      <c r="AA145" t="inlineStr">
        <is>
          <t>Operations &amp; Control</t>
        </is>
      </c>
      <c r="AB145" s="50" t="inlineStr"/>
      <c r="AC145" s="43">
        <f>HYPERLINK("https://projects.propublica.org/nonprofits/organizations/951643307/202512239349302301/full","view filing")</f>
        <v/>
      </c>
      <c r="AD145" s="50" t="inlineStr"/>
    </row>
    <row r="146">
      <c r="A146" t="inlineStr">
        <is>
          <t>California Institute Of Technology</t>
        </is>
      </c>
      <c r="B146" s="50" t="inlineStr">
        <is>
          <t>CA</t>
        </is>
      </c>
      <c r="C146" s="52" t="n">
        <v>4.32</v>
      </c>
      <c r="D146" t="inlineStr">
        <is>
          <t>Endowment</t>
        </is>
      </c>
      <c r="E146" s="50" t="n">
        <v>2024</v>
      </c>
      <c r="F146" s="50" t="inlineStr">
        <is>
          <t>2025-08-12</t>
        </is>
      </c>
      <c r="G146" s="50" t="inlineStr">
        <is>
          <t>2024-09-30</t>
        </is>
      </c>
      <c r="H146" t="inlineStr">
        <is>
          <t>Scott H Richland</t>
        </is>
      </c>
      <c r="I146" t="inlineStr">
        <is>
          <t>CHIEF INVESTMENT OFFICER</t>
        </is>
      </c>
      <c r="J146" t="inlineStr">
        <is>
          <t>CIO</t>
        </is>
      </c>
      <c r="K146" t="inlineStr">
        <is>
          <t>CIO - Top Investment Executive</t>
        </is>
      </c>
      <c r="L146" s="28" t="n">
        <v>619387</v>
      </c>
      <c r="M146" s="28" t="n">
        <v>685614</v>
      </c>
      <c r="N146" s="28" t="n">
        <v>18750</v>
      </c>
      <c r="O146" s="28" t="n">
        <v>631227</v>
      </c>
      <c r="P146" s="28" t="n">
        <v>31002</v>
      </c>
      <c r="Q146" s="28" t="n">
        <v>1985980</v>
      </c>
      <c r="R146" s="28" t="n">
        <v>685614</v>
      </c>
      <c r="S146" s="28">
        <f>Q146-R146</f>
        <v/>
      </c>
      <c r="T146" s="28">
        <f>IF(S146="","",S146*(1+in_GrowthRate)^(YEARFRAC(DATE(2024,9,30),in_AgeToDate)*IF(in_AgeToDate&lt;DATE(2024,9,30),-1,1)+1))</f>
        <v/>
      </c>
      <c r="U146" s="50">
        <f>IF(AND(AND(OR(in_Mode="All Funds",AND(C146&gt;=in_BandFloor,C146&lt;=in_BandCeiling,OR(in_Geography="National",COUNTIFS(lst_GeoPreset,in_Geography,lst_GeoState,B146)&gt;0,AND(in_Geography="Custom",ISNUMBER(SEARCH(B146,SUBSTITUTE(in_CustomStates," ",""))))),OR(AND(D146="Endowment",Inputs!$B$14="Y"),AND(D146="Foundation",Inputs!$B$15="Y"),AND(D146="Healthcare",Inputs!$B$16="Y"),AND(D146="Pension",Inputs!$B$17="Y"),AND(D146="OCIO",Inputs!$B$18="Y"),AND(D146="Other",Inputs!$B$19="Y")))),A146&lt;&gt;in_ClientOrg,NOT(AND(in_ExclHarvard="Y",ISNUMBER(SEARCH("Harvard",A146))))),$AD146="Y",K146&lt;&gt;"",S146&gt;0),"Y","")</f>
        <v/>
      </c>
      <c r="V146" s="30" t="n">
        <v>1</v>
      </c>
      <c r="W146" t="inlineStr"/>
      <c r="X146" s="28">
        <f>IF(L146+M146=0,"",L146+M146)</f>
        <v/>
      </c>
      <c r="Y146" s="38">
        <f>IF(L146=0,"",M146/L146)</f>
        <v/>
      </c>
      <c r="Z146" t="inlineStr">
        <is>
          <t>CIO - Top Investment Executive</t>
        </is>
      </c>
      <c r="AA146" t="inlineStr">
        <is>
          <t>Leadership</t>
        </is>
      </c>
      <c r="AB146" s="50" t="inlineStr">
        <is>
          <t>Y</t>
        </is>
      </c>
      <c r="AC146" s="43">
        <f>HYPERLINK("https://projects.propublica.org/nonprofits/organizations/951643307/202512239349302301/full","view filing")</f>
        <v/>
      </c>
      <c r="AD146" s="50" t="inlineStr"/>
    </row>
    <row r="147">
      <c r="A147" t="inlineStr">
        <is>
          <t>California Institute Of Technology</t>
        </is>
      </c>
      <c r="B147" s="50" t="inlineStr">
        <is>
          <t>CA</t>
        </is>
      </c>
      <c r="C147" s="52" t="n">
        <v>4.32</v>
      </c>
      <c r="D147" t="inlineStr">
        <is>
          <t>Endowment</t>
        </is>
      </c>
      <c r="E147" s="50" t="n">
        <v>2023</v>
      </c>
      <c r="F147" s="50" t="inlineStr">
        <is>
          <t>2024-08-12</t>
        </is>
      </c>
      <c r="G147" s="50" t="inlineStr">
        <is>
          <t>2023-09-30</t>
        </is>
      </c>
      <c r="H147" t="inlineStr">
        <is>
          <t>Alistair W Thistlethwaite</t>
        </is>
      </c>
      <c r="I147" t="inlineStr">
        <is>
          <t>MNG DIR, PUBLIC/ALT SECURITIES</t>
        </is>
      </c>
      <c r="J147" t="inlineStr">
        <is>
          <t>Managing Director</t>
        </is>
      </c>
      <c r="K147" t="inlineStr">
        <is>
          <t>Sr Investment Professional</t>
        </is>
      </c>
      <c r="L147" s="28" t="n">
        <v>334399</v>
      </c>
      <c r="M147" s="28" t="n">
        <v>175692</v>
      </c>
      <c r="N147" s="28" t="n">
        <v>15750</v>
      </c>
      <c r="O147" s="28" t="n">
        <v>112071</v>
      </c>
      <c r="P147" s="28" t="n">
        <v>14400</v>
      </c>
      <c r="Q147" s="28" t="n">
        <v>652312</v>
      </c>
      <c r="R147" s="28" t="n">
        <v>0</v>
      </c>
      <c r="S147" s="28">
        <f>Q147-R147</f>
        <v/>
      </c>
      <c r="T147" s="28">
        <f>IF(S147="","",S147*(1+in_GrowthRate)^(YEARFRAC(DATE(2023,9,30),in_AgeToDate)*IF(in_AgeToDate&lt;DATE(2023,9,30),-1,1)+1))</f>
        <v/>
      </c>
      <c r="U147" s="50">
        <f>IF(AND(AND(OR(in_Mode="All Funds",AND(C147&gt;=in_BandFloor,C147&lt;=in_BandCeiling,OR(in_Geography="National",COUNTIFS(lst_GeoPreset,in_Geography,lst_GeoState,B147)&gt;0,AND(in_Geography="Custom",ISNUMBER(SEARCH(B147,SUBSTITUTE(in_CustomStates," ",""))))),OR(AND(D147="Endowment",Inputs!$B$14="Y"),AND(D147="Foundation",Inputs!$B$15="Y"),AND(D147="Healthcare",Inputs!$B$16="Y"),AND(D147="Pension",Inputs!$B$17="Y"),AND(D147="OCIO",Inputs!$B$18="Y"),AND(D147="Other",Inputs!$B$19="Y")))),A147&lt;&gt;in_ClientOrg,NOT(AND(in_ExclHarvard="Y",ISNUMBER(SEARCH("Harvard",A147))))),$AD147="Y",K147&lt;&gt;"",S147&gt;0),"Y","")</f>
        <v/>
      </c>
      <c r="V147" s="30" t="n">
        <v>0.4596779706045468</v>
      </c>
      <c r="W147" t="inlineStr"/>
      <c r="X147" s="28">
        <f>IF(L147+M147=0,"",L147+M147)</f>
        <v/>
      </c>
      <c r="Y147" s="38">
        <f>IF(L147=0,"",M147/L147)</f>
        <v/>
      </c>
      <c r="Z147" t="inlineStr">
        <is>
          <t>Managing Director</t>
        </is>
      </c>
      <c r="AA147" t="inlineStr">
        <is>
          <t>Investments</t>
        </is>
      </c>
      <c r="AB147" s="50" t="inlineStr"/>
      <c r="AC147" s="43">
        <f>HYPERLINK("https://projects.propublica.org/nonprofits/organizations/951643307/202412259349300121/full","view filing")</f>
        <v/>
      </c>
      <c r="AD147" s="50" t="inlineStr"/>
    </row>
    <row r="148">
      <c r="A148" t="inlineStr">
        <is>
          <t>California Institute Of Technology</t>
        </is>
      </c>
      <c r="B148" s="50" t="inlineStr">
        <is>
          <t>CA</t>
        </is>
      </c>
      <c r="C148" s="52" t="n">
        <v>4.32</v>
      </c>
      <c r="D148" t="inlineStr">
        <is>
          <t>Endowment</t>
        </is>
      </c>
      <c r="E148" s="50" t="n">
        <v>2023</v>
      </c>
      <c r="F148" s="50" t="inlineStr">
        <is>
          <t>2024-08-12</t>
        </is>
      </c>
      <c r="G148" s="50" t="inlineStr">
        <is>
          <t>2023-09-30</t>
        </is>
      </c>
      <c r="H148" t="inlineStr">
        <is>
          <t>Douglas N Macbean</t>
        </is>
      </c>
      <c r="I148" t="inlineStr">
        <is>
          <t>SR MANAGING DIR. INVESTMENTS</t>
        </is>
      </c>
      <c r="J148" t="inlineStr">
        <is>
          <t>Senior Managing Director</t>
        </is>
      </c>
      <c r="K148" t="inlineStr">
        <is>
          <t>Sr Investment Professional</t>
        </is>
      </c>
      <c r="L148" s="28" t="n">
        <v>384148</v>
      </c>
      <c r="M148" s="28" t="n">
        <v>350423</v>
      </c>
      <c r="N148" s="28" t="n">
        <v>20500</v>
      </c>
      <c r="O148" s="28" t="n">
        <v>136821</v>
      </c>
      <c r="P148" s="28" t="n">
        <v>30859</v>
      </c>
      <c r="Q148" s="28" t="n">
        <v>922751</v>
      </c>
      <c r="R148" s="28" t="n">
        <v>57260</v>
      </c>
      <c r="S148" s="28">
        <f>Q148-R148</f>
        <v/>
      </c>
      <c r="T148" s="28">
        <f>IF(S148="","",S148*(1+in_GrowthRate)^(YEARFRAC(DATE(2023,9,30),in_AgeToDate)*IF(in_AgeToDate&lt;DATE(2023,9,30),-1,1)+1))</f>
        <v/>
      </c>
      <c r="U148" s="50">
        <f>IF(AND(AND(OR(in_Mode="All Funds",AND(C148&gt;=in_BandFloor,C148&lt;=in_BandCeiling,OR(in_Geography="National",COUNTIFS(lst_GeoPreset,in_Geography,lst_GeoState,B148)&gt;0,AND(in_Geography="Custom",ISNUMBER(SEARCH(B148,SUBSTITUTE(in_CustomStates," ",""))))),OR(AND(D148="Endowment",Inputs!$B$14="Y"),AND(D148="Foundation",Inputs!$B$15="Y"),AND(D148="Healthcare",Inputs!$B$16="Y"),AND(D148="Pension",Inputs!$B$17="Y"),AND(D148="OCIO",Inputs!$B$18="Y"),AND(D148="Other",Inputs!$B$19="Y")))),A148&lt;&gt;in_ClientOrg,NOT(AND(in_ExclHarvard="Y",ISNUMBER(SEARCH("Harvard",A148))))),$AD148="Y",K148&lt;&gt;"",S148&gt;0),"Y","")</f>
        <v/>
      </c>
      <c r="V148" s="30" t="n">
        <v>0.609903154405407</v>
      </c>
      <c r="W148" t="inlineStr"/>
      <c r="X148" s="28">
        <f>IF(L148+M148=0,"",L148+M148)</f>
        <v/>
      </c>
      <c r="Y148" s="38">
        <f>IF(L148=0,"",M148/L148)</f>
        <v/>
      </c>
      <c r="Z148" t="inlineStr">
        <is>
          <t>Managing Director</t>
        </is>
      </c>
      <c r="AA148" t="inlineStr">
        <is>
          <t>Investments</t>
        </is>
      </c>
      <c r="AB148" s="50" t="inlineStr"/>
      <c r="AC148" s="43">
        <f>HYPERLINK("https://projects.propublica.org/nonprofits/organizations/951643307/202412259349300121/full","view filing")</f>
        <v/>
      </c>
      <c r="AD148" s="50" t="inlineStr"/>
    </row>
    <row r="149">
      <c r="A149" t="inlineStr">
        <is>
          <t>California Institute Of Technology</t>
        </is>
      </c>
      <c r="B149" s="50" t="inlineStr">
        <is>
          <t>CA</t>
        </is>
      </c>
      <c r="C149" s="52" t="n">
        <v>4.32</v>
      </c>
      <c r="D149" t="inlineStr">
        <is>
          <t>Endowment</t>
        </is>
      </c>
      <c r="E149" s="50" t="n">
        <v>2023</v>
      </c>
      <c r="F149" s="50" t="inlineStr">
        <is>
          <t>2024-08-12</t>
        </is>
      </c>
      <c r="G149" s="50" t="inlineStr">
        <is>
          <t>2023-09-30</t>
        </is>
      </c>
      <c r="H149" t="inlineStr">
        <is>
          <t>Scott H Richland</t>
        </is>
      </c>
      <c r="I149" t="inlineStr">
        <is>
          <t>CHIEF INVESTMENT OFFICER</t>
        </is>
      </c>
      <c r="J149" t="inlineStr">
        <is>
          <t>CIO</t>
        </is>
      </c>
      <c r="K149" t="inlineStr">
        <is>
          <t>CIO - Top Investment Executive</t>
        </is>
      </c>
      <c r="L149" s="28" t="n">
        <v>599301</v>
      </c>
      <c r="M149" s="28" t="n">
        <v>378270</v>
      </c>
      <c r="N149" s="28" t="n">
        <v>20500</v>
      </c>
      <c r="O149" s="28" t="n">
        <v>389421</v>
      </c>
      <c r="P149" s="28" t="n">
        <v>31571</v>
      </c>
      <c r="Q149" s="28" t="n">
        <v>1419063</v>
      </c>
      <c r="R149" s="28" t="n">
        <v>0</v>
      </c>
      <c r="S149" s="28">
        <f>Q149-R149</f>
        <v/>
      </c>
      <c r="T149" s="28">
        <f>IF(S149="","",S149*(1+in_GrowthRate)^(YEARFRAC(DATE(2023,9,30),in_AgeToDate)*IF(in_AgeToDate&lt;DATE(2023,9,30),-1,1)+1))</f>
        <v/>
      </c>
      <c r="U149" s="50">
        <f>IF(AND(AND(OR(in_Mode="All Funds",AND(C149&gt;=in_BandFloor,C149&lt;=in_BandCeiling,OR(in_Geography="National",COUNTIFS(lst_GeoPreset,in_Geography,lst_GeoState,B149)&gt;0,AND(in_Geography="Custom",ISNUMBER(SEARCH(B149,SUBSTITUTE(in_CustomStates," ",""))))),OR(AND(D149="Endowment",Inputs!$B$14="Y"),AND(D149="Foundation",Inputs!$B$15="Y"),AND(D149="Healthcare",Inputs!$B$16="Y"),AND(D149="Pension",Inputs!$B$17="Y"),AND(D149="OCIO",Inputs!$B$18="Y"),AND(D149="Other",Inputs!$B$19="Y")))),A149&lt;&gt;in_ClientOrg,NOT(AND(in_ExclHarvard="Y",ISNUMBER(SEARCH("Harvard",A149))))),$AD149="Y",K149&lt;&gt;"",S149&gt;0),"Y","")</f>
        <v/>
      </c>
      <c r="V149" s="30" t="n">
        <v>1</v>
      </c>
      <c r="W149" t="inlineStr"/>
      <c r="X149" s="28">
        <f>IF(L149+M149=0,"",L149+M149)</f>
        <v/>
      </c>
      <c r="Y149" s="38">
        <f>IF(L149=0,"",M149/L149)</f>
        <v/>
      </c>
      <c r="Z149" t="inlineStr">
        <is>
          <t>CIO - Top Investment Executive</t>
        </is>
      </c>
      <c r="AA149" t="inlineStr">
        <is>
          <t>Leadership</t>
        </is>
      </c>
      <c r="AB149" s="50" t="inlineStr">
        <is>
          <t>Y</t>
        </is>
      </c>
      <c r="AC149" s="43">
        <f>HYPERLINK("https://projects.propublica.org/nonprofits/organizations/951643307/202412259349300121/full","view filing")</f>
        <v/>
      </c>
      <c r="AD149" s="50" t="inlineStr"/>
    </row>
    <row r="150">
      <c r="A150" t="inlineStr">
        <is>
          <t>California Institute Of Technology</t>
        </is>
      </c>
      <c r="B150" s="50" t="inlineStr">
        <is>
          <t>CA</t>
        </is>
      </c>
      <c r="C150" s="52" t="n">
        <v>4.32</v>
      </c>
      <c r="D150" t="inlineStr">
        <is>
          <t>Endowment</t>
        </is>
      </c>
      <c r="E150" s="50" t="n">
        <v>2022</v>
      </c>
      <c r="F150" s="50" t="inlineStr">
        <is>
          <t>2023-08-11</t>
        </is>
      </c>
      <c r="G150" s="50" t="inlineStr">
        <is>
          <t>2022-09-30</t>
        </is>
      </c>
      <c r="H150" t="inlineStr">
        <is>
          <t>Douglas N Macbean</t>
        </is>
      </c>
      <c r="I150" t="inlineStr">
        <is>
          <t>Managing Dir. of Investments</t>
        </is>
      </c>
      <c r="J150" t="inlineStr">
        <is>
          <t>Managing Director</t>
        </is>
      </c>
      <c r="K150" t="inlineStr">
        <is>
          <t>Sr Investment Professional</t>
        </is>
      </c>
      <c r="L150" s="28" t="n">
        <v>306017</v>
      </c>
      <c r="M150" s="28" t="n">
        <v>302940</v>
      </c>
      <c r="N150" s="28" t="n">
        <v>19500</v>
      </c>
      <c r="O150" s="28" t="n">
        <v>182460</v>
      </c>
      <c r="P150" s="28" t="n">
        <v>30759</v>
      </c>
      <c r="Q150" s="28" t="n">
        <v>841676</v>
      </c>
      <c r="R150" s="28" t="n">
        <v>140000</v>
      </c>
      <c r="S150" s="28">
        <f>Q150-R150</f>
        <v/>
      </c>
      <c r="T150" s="28">
        <f>IF(S150="","",S150*(1+in_GrowthRate)^(YEARFRAC(DATE(2022,9,30),in_AgeToDate)*IF(in_AgeToDate&lt;DATE(2022,9,30),-1,1)+1))</f>
        <v/>
      </c>
      <c r="U150" s="50">
        <f>IF(AND(AND(OR(in_Mode="All Funds",AND(C150&gt;=in_BandFloor,C150&lt;=in_BandCeiling,OR(in_Geography="National",COUNTIFS(lst_GeoPreset,in_Geography,lst_GeoState,B150)&gt;0,AND(in_Geography="Custom",ISNUMBER(SEARCH(B150,SUBSTITUTE(in_CustomStates," ",""))))),OR(AND(D150="Endowment",Inputs!$B$14="Y"),AND(D150="Foundation",Inputs!$B$15="Y"),AND(D150="Healthcare",Inputs!$B$16="Y"),AND(D150="Pension",Inputs!$B$17="Y"),AND(D150="OCIO",Inputs!$B$18="Y"),AND(D150="Other",Inputs!$B$19="Y")))),A150&lt;&gt;in_ClientOrg,NOT(AND(in_ExclHarvard="Y",ISNUMBER(SEARCH("Harvard",A150))))),$AD150="Y",K150&lt;&gt;"",S150&gt;0),"Y","")</f>
        <v/>
      </c>
      <c r="V150" s="30" t="n">
        <v>0.3667605421781209</v>
      </c>
      <c r="W150" t="inlineStr"/>
      <c r="X150" s="28">
        <f>IF(L150+M150=0,"",L150+M150)</f>
        <v/>
      </c>
      <c r="Y150" s="38">
        <f>IF(L150=0,"",M150/L150)</f>
        <v/>
      </c>
      <c r="Z150" t="inlineStr">
        <is>
          <t>Managing Director</t>
        </is>
      </c>
      <c r="AA150" t="inlineStr">
        <is>
          <t>Investments</t>
        </is>
      </c>
      <c r="AB150" s="50" t="inlineStr"/>
      <c r="AC150" s="43">
        <f>HYPERLINK("https://projects.propublica.org/nonprofits/organizations/951643307/202342239349301844/full","view filing")</f>
        <v/>
      </c>
      <c r="AD150" s="50" t="inlineStr"/>
    </row>
    <row r="151">
      <c r="A151" t="inlineStr">
        <is>
          <t>California Institute Of Technology</t>
        </is>
      </c>
      <c r="B151" s="50" t="inlineStr">
        <is>
          <t>CA</t>
        </is>
      </c>
      <c r="C151" s="52" t="n">
        <v>4.32</v>
      </c>
      <c r="D151" t="inlineStr">
        <is>
          <t>Endowment</t>
        </is>
      </c>
      <c r="E151" s="50" t="n">
        <v>2022</v>
      </c>
      <c r="F151" s="50" t="inlineStr">
        <is>
          <t>2023-08-11</t>
        </is>
      </c>
      <c r="G151" s="50" t="inlineStr">
        <is>
          <t>2022-09-30</t>
        </is>
      </c>
      <c r="H151" t="inlineStr">
        <is>
          <t>Kirk Kawasawa</t>
        </is>
      </c>
      <c r="I151" t="inlineStr">
        <is>
          <t>SR MG DIRECTOR, INVESTMENT OPS</t>
        </is>
      </c>
      <c r="J151" t="inlineStr">
        <is>
          <t>Managing Director</t>
        </is>
      </c>
      <c r="K151" t="inlineStr">
        <is>
          <t>COO (Investment Office)</t>
        </is>
      </c>
      <c r="L151" s="28" t="n">
        <v>289665</v>
      </c>
      <c r="M151" s="28" t="n">
        <v>465574</v>
      </c>
      <c r="N151" s="28" t="n">
        <v>1721</v>
      </c>
      <c r="O151" s="28" t="n">
        <v>147342</v>
      </c>
      <c r="P151" s="28" t="n">
        <v>26291</v>
      </c>
      <c r="Q151" s="28" t="n">
        <v>930593</v>
      </c>
      <c r="R151" s="28" t="n">
        <v>0</v>
      </c>
      <c r="S151" s="28">
        <f>Q151-R151</f>
        <v/>
      </c>
      <c r="T151" s="28">
        <f>IF(S151="","",S151*(1+in_GrowthRate)^(YEARFRAC(DATE(2022,9,30),in_AgeToDate)*IF(in_AgeToDate&lt;DATE(2022,9,30),-1,1)+1))</f>
        <v/>
      </c>
      <c r="U151" s="50">
        <f>IF(AND(AND(OR(in_Mode="All Funds",AND(C151&gt;=in_BandFloor,C151&lt;=in_BandCeiling,OR(in_Geography="National",COUNTIFS(lst_GeoPreset,in_Geography,lst_GeoState,B151)&gt;0,AND(in_Geography="Custom",ISNUMBER(SEARCH(B151,SUBSTITUTE(in_CustomStates," ",""))))),OR(AND(D151="Endowment",Inputs!$B$14="Y"),AND(D151="Foundation",Inputs!$B$15="Y"),AND(D151="Healthcare",Inputs!$B$16="Y"),AND(D151="Pension",Inputs!$B$17="Y"),AND(D151="OCIO",Inputs!$B$18="Y"),AND(D151="Other",Inputs!$B$19="Y")))),A151&lt;&gt;in_ClientOrg,NOT(AND(in_ExclHarvard="Y",ISNUMBER(SEARCH("Harvard",A151))))),$AD151="Y",K151&lt;&gt;"",S151&gt;0),"Y","")</f>
        <v/>
      </c>
      <c r="V151" s="30" t="n">
        <v>0.4864136627548385</v>
      </c>
      <c r="W151" t="inlineStr"/>
      <c r="X151" s="28">
        <f>IF(L151+M151=0,"",L151+M151)</f>
        <v/>
      </c>
      <c r="Y151" s="38">
        <f>IF(L151=0,"",M151/L151)</f>
        <v/>
      </c>
      <c r="Z151" t="inlineStr">
        <is>
          <t>COO (Investment Office)</t>
        </is>
      </c>
      <c r="AA151" t="inlineStr">
        <is>
          <t>Operations &amp; Control</t>
        </is>
      </c>
      <c r="AB151" s="50" t="inlineStr"/>
      <c r="AC151" s="43">
        <f>HYPERLINK("https://projects.propublica.org/nonprofits/organizations/951643307/202342239349301844/full","view filing")</f>
        <v/>
      </c>
      <c r="AD151" s="50" t="inlineStr"/>
    </row>
    <row r="152">
      <c r="A152" t="inlineStr">
        <is>
          <t>California Institute Of Technology</t>
        </is>
      </c>
      <c r="B152" s="50" t="inlineStr">
        <is>
          <t>CA</t>
        </is>
      </c>
      <c r="C152" s="52" t="n">
        <v>4.32</v>
      </c>
      <c r="D152" t="inlineStr">
        <is>
          <t>Endowment</t>
        </is>
      </c>
      <c r="E152" s="50" t="n">
        <v>2022</v>
      </c>
      <c r="F152" s="50" t="inlineStr">
        <is>
          <t>2023-08-11</t>
        </is>
      </c>
      <c r="G152" s="50" t="inlineStr">
        <is>
          <t>2022-09-30</t>
        </is>
      </c>
      <c r="H152" t="inlineStr">
        <is>
          <t>Pasy Isabella Wang</t>
        </is>
      </c>
      <c r="I152" t="inlineStr">
        <is>
          <t>SR MG DIR OF INVESTMENTS</t>
        </is>
      </c>
      <c r="J152" t="inlineStr">
        <is>
          <t>Managing Director</t>
        </is>
      </c>
      <c r="K152" t="inlineStr">
        <is>
          <t>Sr Investment Professional</t>
        </is>
      </c>
      <c r="L152" s="28" t="n">
        <v>368771</v>
      </c>
      <c r="M152" s="28" t="n">
        <v>463489</v>
      </c>
      <c r="N152" s="28" t="n">
        <v>20109</v>
      </c>
      <c r="O152" s="28" t="n">
        <v>267460</v>
      </c>
      <c r="P152" s="28" t="n">
        <v>42987</v>
      </c>
      <c r="Q152" s="28" t="n">
        <v>1162816</v>
      </c>
      <c r="R152" s="28" t="n">
        <v>415750</v>
      </c>
      <c r="S152" s="28">
        <f>Q152-R152</f>
        <v/>
      </c>
      <c r="T152" s="28">
        <f>IF(S152="","",S152*(1+in_GrowthRate)^(YEARFRAC(DATE(2022,9,30),in_AgeToDate)*IF(in_AgeToDate&lt;DATE(2022,9,30),-1,1)+1))</f>
        <v/>
      </c>
      <c r="U152" s="50">
        <f>IF(AND(AND(OR(in_Mode="All Funds",AND(C152&gt;=in_BandFloor,C152&lt;=in_BandCeiling,OR(in_Geography="National",COUNTIFS(lst_GeoPreset,in_Geography,lst_GeoState,B152)&gt;0,AND(in_Geography="Custom",ISNUMBER(SEARCH(B152,SUBSTITUTE(in_CustomStates," ",""))))),OR(AND(D152="Endowment",Inputs!$B$14="Y"),AND(D152="Foundation",Inputs!$B$15="Y"),AND(D152="Healthcare",Inputs!$B$16="Y"),AND(D152="Pension",Inputs!$B$17="Y"),AND(D152="OCIO",Inputs!$B$18="Y"),AND(D152="Other",Inputs!$B$19="Y")))),A152&lt;&gt;in_ClientOrg,NOT(AND(in_ExclHarvard="Y",ISNUMBER(SEARCH("Harvard",A152))))),$AD152="Y",K152&lt;&gt;"",S152&gt;0),"Y","")</f>
        <v/>
      </c>
      <c r="V152" s="30" t="n">
        <v>0.3904855391987757</v>
      </c>
      <c r="W152" t="inlineStr"/>
      <c r="X152" s="28">
        <f>IF(L152+M152=0,"",L152+M152)</f>
        <v/>
      </c>
      <c r="Y152" s="38">
        <f>IF(L152=0,"",M152/L152)</f>
        <v/>
      </c>
      <c r="Z152" t="inlineStr">
        <is>
          <t>Managing Director</t>
        </is>
      </c>
      <c r="AA152" t="inlineStr">
        <is>
          <t>Investments</t>
        </is>
      </c>
      <c r="AB152" s="50" t="inlineStr"/>
      <c r="AC152" s="43">
        <f>HYPERLINK("https://projects.propublica.org/nonprofits/organizations/951643307/202342239349301844/full","view filing")</f>
        <v/>
      </c>
      <c r="AD152" s="50" t="inlineStr"/>
    </row>
    <row r="153">
      <c r="A153" t="inlineStr">
        <is>
          <t>California Institute Of Technology</t>
        </is>
      </c>
      <c r="B153" s="50" t="inlineStr">
        <is>
          <t>CA</t>
        </is>
      </c>
      <c r="C153" s="52" t="n">
        <v>4.32</v>
      </c>
      <c r="D153" t="inlineStr">
        <is>
          <t>Endowment</t>
        </is>
      </c>
      <c r="E153" s="50" t="n">
        <v>2022</v>
      </c>
      <c r="F153" s="50" t="inlineStr">
        <is>
          <t>2023-08-11</t>
        </is>
      </c>
      <c r="G153" s="50" t="inlineStr">
        <is>
          <t>2022-09-30</t>
        </is>
      </c>
      <c r="H153" t="inlineStr">
        <is>
          <t>Scott H Richland</t>
        </is>
      </c>
      <c r="I153" t="inlineStr">
        <is>
          <t>Chief Investment Officer</t>
        </is>
      </c>
      <c r="J153" t="inlineStr">
        <is>
          <t>CIO</t>
        </is>
      </c>
      <c r="K153" t="inlineStr">
        <is>
          <t>CIO - Top Investment Executive</t>
        </is>
      </c>
      <c r="L153" s="28" t="n">
        <v>594151</v>
      </c>
      <c r="M153" s="28" t="n">
        <v>1606495</v>
      </c>
      <c r="N153" s="28" t="n">
        <v>19500</v>
      </c>
      <c r="O153" s="28" t="n">
        <v>422330</v>
      </c>
      <c r="P153" s="28" t="n">
        <v>31471</v>
      </c>
      <c r="Q153" s="28" t="n">
        <v>2673947</v>
      </c>
      <c r="R153" s="28" t="n">
        <v>760775</v>
      </c>
      <c r="S153" s="28">
        <f>Q153-R153</f>
        <v/>
      </c>
      <c r="T153" s="28">
        <f>IF(S153="","",S153*(1+in_GrowthRate)^(YEARFRAC(DATE(2022,9,30),in_AgeToDate)*IF(in_AgeToDate&lt;DATE(2022,9,30),-1,1)+1))</f>
        <v/>
      </c>
      <c r="U153" s="50">
        <f>IF(AND(AND(OR(in_Mode="All Funds",AND(C153&gt;=in_BandFloor,C153&lt;=in_BandCeiling,OR(in_Geography="National",COUNTIFS(lst_GeoPreset,in_Geography,lst_GeoState,B153)&gt;0,AND(in_Geography="Custom",ISNUMBER(SEARCH(B153,SUBSTITUTE(in_CustomStates," ",""))))),OR(AND(D153="Endowment",Inputs!$B$14="Y"),AND(D153="Foundation",Inputs!$B$15="Y"),AND(D153="Healthcare",Inputs!$B$16="Y"),AND(D153="Pension",Inputs!$B$17="Y"),AND(D153="OCIO",Inputs!$B$18="Y"),AND(D153="Other",Inputs!$B$19="Y")))),A153&lt;&gt;in_ClientOrg,NOT(AND(in_ExclHarvard="Y",ISNUMBER(SEARCH("Harvard",A153))))),$AD153="Y",K153&lt;&gt;"",S153&gt;0),"Y","")</f>
        <v/>
      </c>
      <c r="V153" s="30" t="n">
        <v>1</v>
      </c>
      <c r="W153" t="inlineStr"/>
      <c r="X153" s="28">
        <f>IF(L153+M153=0,"",L153+M153)</f>
        <v/>
      </c>
      <c r="Y153" s="38">
        <f>IF(L153=0,"",M153/L153)</f>
        <v/>
      </c>
      <c r="Z153" t="inlineStr">
        <is>
          <t>CIO - Top Investment Executive</t>
        </is>
      </c>
      <c r="AA153" t="inlineStr">
        <is>
          <t>Leadership</t>
        </is>
      </c>
      <c r="AB153" s="50" t="inlineStr">
        <is>
          <t>Y</t>
        </is>
      </c>
      <c r="AC153" s="43">
        <f>HYPERLINK("https://projects.propublica.org/nonprofits/organizations/951643307/202342239349301844/full","view filing")</f>
        <v/>
      </c>
      <c r="AD153" s="50" t="inlineStr"/>
    </row>
    <row r="154">
      <c r="A154" t="inlineStr">
        <is>
          <t>Carleton College</t>
        </is>
      </c>
      <c r="B154" s="50" t="inlineStr">
        <is>
          <t>MN</t>
        </is>
      </c>
      <c r="C154" s="52" t="n">
        <v>1.33</v>
      </c>
      <c r="D154" t="inlineStr">
        <is>
          <t>Endowment</t>
        </is>
      </c>
      <c r="E154" s="50" t="n">
        <v>2025</v>
      </c>
      <c r="F154" s="50" t="inlineStr">
        <is>
          <t>2026-04-08</t>
        </is>
      </c>
      <c r="G154" s="50" t="inlineStr">
        <is>
          <t>2025-06-30</t>
        </is>
      </c>
      <c r="H154" t="inlineStr">
        <is>
          <t>Jeff Dsida</t>
        </is>
      </c>
      <c r="I154" t="inlineStr">
        <is>
          <t>ASSOCIATE DIRECTOR OF INVESTMENTS</t>
        </is>
      </c>
      <c r="J154" t="inlineStr">
        <is>
          <t>Director of Investments</t>
        </is>
      </c>
      <c r="K154" t="inlineStr">
        <is>
          <t>Sr Investment Professional</t>
        </is>
      </c>
      <c r="L154" s="28" t="n">
        <v>152916</v>
      </c>
      <c r="M154" s="28" t="n">
        <v>74078</v>
      </c>
      <c r="N154" s="28" t="n">
        <v>432</v>
      </c>
      <c r="O154" s="28" t="n">
        <v>16058</v>
      </c>
      <c r="P154" s="28" t="n">
        <v>12566</v>
      </c>
      <c r="Q154" s="28" t="n">
        <v>256050</v>
      </c>
      <c r="R154" s="28" t="n">
        <v>0</v>
      </c>
      <c r="S154" s="28">
        <f>Q154-R154</f>
        <v/>
      </c>
      <c r="T154" s="28">
        <f>IF(S154="","",S154*(1+in_GrowthRate)^(YEARFRAC(DATE(2025,6,30),in_AgeToDate)*IF(in_AgeToDate&lt;DATE(2025,6,30),-1,1)+1))</f>
        <v/>
      </c>
      <c r="U154" s="50">
        <f>IF(AND(AND(OR(in_Mode="All Funds",AND(C154&gt;=in_BandFloor,C154&lt;=in_BandCeiling,OR(in_Geography="National",COUNTIFS(lst_GeoPreset,in_Geography,lst_GeoState,B154)&gt;0,AND(in_Geography="Custom",ISNUMBER(SEARCH(B154,SUBSTITUTE(in_CustomStates," ",""))))),OR(AND(D154="Endowment",Inputs!$B$14="Y"),AND(D154="Foundation",Inputs!$B$15="Y"),AND(D154="Healthcare",Inputs!$B$16="Y"),AND(D154="Pension",Inputs!$B$17="Y"),AND(D154="OCIO",Inputs!$B$18="Y"),AND(D154="Other",Inputs!$B$19="Y")))),A154&lt;&gt;in_ClientOrg,NOT(AND(in_ExclHarvard="Y",ISNUMBER(SEARCH("Harvard",A154))))),$AD154="Y",K154&lt;&gt;"",S154&gt;0),"Y","")</f>
        <v/>
      </c>
      <c r="V154" s="30" t="n">
        <v>0.2566618819265128</v>
      </c>
      <c r="W154" t="inlineStr"/>
      <c r="X154" s="28">
        <f>IF(L154+M154=0,"",L154+M154)</f>
        <v/>
      </c>
      <c r="Y154" s="38">
        <f>IF(L154=0,"",M154/L154)</f>
        <v/>
      </c>
      <c r="Z154" t="inlineStr">
        <is>
          <t>Director &amp; Investment Officer</t>
        </is>
      </c>
      <c r="AA154" t="inlineStr">
        <is>
          <t>Investments</t>
        </is>
      </c>
      <c r="AB154" s="50" t="inlineStr"/>
      <c r="AC154" s="43">
        <f>HYPERLINK("https://projects.propublica.org/nonprofits/organizations/410694747/202640989349301954/full","view filing")</f>
        <v/>
      </c>
      <c r="AD154" s="50" t="inlineStr">
        <is>
          <t>Y</t>
        </is>
      </c>
    </row>
    <row r="155">
      <c r="A155" t="inlineStr">
        <is>
          <t>Carleton College</t>
        </is>
      </c>
      <c r="B155" s="50" t="inlineStr">
        <is>
          <t>MN</t>
        </is>
      </c>
      <c r="C155" s="52" t="n">
        <v>1.33</v>
      </c>
      <c r="D155" t="inlineStr">
        <is>
          <t>Endowment</t>
        </is>
      </c>
      <c r="E155" s="50" t="n">
        <v>2025</v>
      </c>
      <c r="F155" s="50" t="inlineStr">
        <is>
          <t>2026-04-08</t>
        </is>
      </c>
      <c r="G155" s="50" t="inlineStr">
        <is>
          <t>2025-06-30</t>
        </is>
      </c>
      <c r="H155" t="inlineStr">
        <is>
          <t>Kelsey Deshler</t>
        </is>
      </c>
      <c r="I155" t="inlineStr">
        <is>
          <t>CHIEF INVESTMENT OFFICER</t>
        </is>
      </c>
      <c r="J155" t="inlineStr">
        <is>
          <t>CIO</t>
        </is>
      </c>
      <c r="K155" t="inlineStr">
        <is>
          <t>CIO - Top Investment Executive</t>
        </is>
      </c>
      <c r="L155" s="28" t="n">
        <v>487980</v>
      </c>
      <c r="M155" s="28" t="n">
        <v>421204</v>
      </c>
      <c r="N155" s="28" t="n">
        <v>16353</v>
      </c>
      <c r="O155" s="28" t="n">
        <v>34500</v>
      </c>
      <c r="P155" s="28" t="n">
        <v>37579</v>
      </c>
      <c r="Q155" s="28" t="n">
        <v>997616</v>
      </c>
      <c r="R155" s="28" t="n">
        <v>0</v>
      </c>
      <c r="S155" s="28">
        <f>Q155-R155</f>
        <v/>
      </c>
      <c r="T155" s="28">
        <f>IF(S155="","",S155*(1+in_GrowthRate)^(YEARFRAC(DATE(2025,6,30),in_AgeToDate)*IF(in_AgeToDate&lt;DATE(2025,6,30),-1,1)+1))</f>
        <v/>
      </c>
      <c r="U155" s="50">
        <f>IF(AND(AND(OR(in_Mode="All Funds",AND(C155&gt;=in_BandFloor,C155&lt;=in_BandCeiling,OR(in_Geography="National",COUNTIFS(lst_GeoPreset,in_Geography,lst_GeoState,B155)&gt;0,AND(in_Geography="Custom",ISNUMBER(SEARCH(B155,SUBSTITUTE(in_CustomStates," ",""))))),OR(AND(D155="Endowment",Inputs!$B$14="Y"),AND(D155="Foundation",Inputs!$B$15="Y"),AND(D155="Healthcare",Inputs!$B$16="Y"),AND(D155="Pension",Inputs!$B$17="Y"),AND(D155="OCIO",Inputs!$B$18="Y"),AND(D155="Other",Inputs!$B$19="Y")))),A155&lt;&gt;in_ClientOrg,NOT(AND(in_ExclHarvard="Y",ISNUMBER(SEARCH("Harvard",A155))))),$AD155="Y",K155&lt;&gt;"",S155&gt;0),"Y","")</f>
        <v/>
      </c>
      <c r="V155" s="30" t="n">
        <v>1</v>
      </c>
      <c r="W155" t="inlineStr"/>
      <c r="X155" s="28">
        <f>IF(L155+M155=0,"",L155+M155)</f>
        <v/>
      </c>
      <c r="Y155" s="38">
        <f>IF(L155=0,"",M155/L155)</f>
        <v/>
      </c>
      <c r="Z155" t="inlineStr">
        <is>
          <t>CIO - Top Investment Executive</t>
        </is>
      </c>
      <c r="AA155" t="inlineStr">
        <is>
          <t>Leadership</t>
        </is>
      </c>
      <c r="AB155" s="50" t="inlineStr">
        <is>
          <t>Y</t>
        </is>
      </c>
      <c r="AC155" s="43">
        <f>HYPERLINK("https://projects.propublica.org/nonprofits/organizations/410694747/202640989349301954/full","view filing")</f>
        <v/>
      </c>
      <c r="AD155" s="50" t="inlineStr">
        <is>
          <t>Y</t>
        </is>
      </c>
    </row>
    <row r="156">
      <c r="A156" t="inlineStr">
        <is>
          <t>Carleton College</t>
        </is>
      </c>
      <c r="B156" s="50" t="inlineStr">
        <is>
          <t>MN</t>
        </is>
      </c>
      <c r="C156" s="52" t="n">
        <v>1.33</v>
      </c>
      <c r="D156" t="inlineStr">
        <is>
          <t>Endowment</t>
        </is>
      </c>
      <c r="E156" s="50" t="n">
        <v>2025</v>
      </c>
      <c r="F156" s="50" t="inlineStr">
        <is>
          <t>2026-04-08</t>
        </is>
      </c>
      <c r="G156" s="50" t="inlineStr">
        <is>
          <t>2025-06-30</t>
        </is>
      </c>
      <c r="H156" t="inlineStr">
        <is>
          <t>Timothy Griffeth</t>
        </is>
      </c>
      <c r="I156" t="inlineStr">
        <is>
          <t>DIRECTOR OF INVESTMENTS</t>
        </is>
      </c>
      <c r="J156" t="inlineStr">
        <is>
          <t>Director of Investments</t>
        </is>
      </c>
      <c r="K156" t="inlineStr">
        <is>
          <t>Sr Investment Professional</t>
        </is>
      </c>
      <c r="L156" s="28" t="n">
        <v>320836</v>
      </c>
      <c r="M156" s="28" t="n">
        <v>186727</v>
      </c>
      <c r="N156" s="28" t="n">
        <v>810</v>
      </c>
      <c r="O156" s="28" t="n">
        <v>33206</v>
      </c>
      <c r="P156" s="28" t="n">
        <v>35272</v>
      </c>
      <c r="Q156" s="28" t="n">
        <v>576851</v>
      </c>
      <c r="R156" s="28" t="n">
        <v>0</v>
      </c>
      <c r="S156" s="28">
        <f>Q156-R156</f>
        <v/>
      </c>
      <c r="T156" s="28">
        <f>IF(S156="","",S156*(1+in_GrowthRate)^(YEARFRAC(DATE(2025,6,30),in_AgeToDate)*IF(in_AgeToDate&lt;DATE(2025,6,30),-1,1)+1))</f>
        <v/>
      </c>
      <c r="U156" s="50">
        <f>IF(AND(AND(OR(in_Mode="All Funds",AND(C156&gt;=in_BandFloor,C156&lt;=in_BandCeiling,OR(in_Geography="National",COUNTIFS(lst_GeoPreset,in_Geography,lst_GeoState,B156)&gt;0,AND(in_Geography="Custom",ISNUMBER(SEARCH(B156,SUBSTITUTE(in_CustomStates," ",""))))),OR(AND(D156="Endowment",Inputs!$B$14="Y"),AND(D156="Foundation",Inputs!$B$15="Y"),AND(D156="Healthcare",Inputs!$B$16="Y"),AND(D156="Pension",Inputs!$B$17="Y"),AND(D156="OCIO",Inputs!$B$18="Y"),AND(D156="Other",Inputs!$B$19="Y")))),A156&lt;&gt;in_ClientOrg,NOT(AND(in_ExclHarvard="Y",ISNUMBER(SEARCH("Harvard",A156))))),$AD156="Y",K156&lt;&gt;"",S156&gt;0),"Y","")</f>
        <v/>
      </c>
      <c r="V156" s="30" t="n">
        <v>0.5782294991259161</v>
      </c>
      <c r="W156" t="inlineStr"/>
      <c r="X156" s="28">
        <f>IF(L156+M156=0,"",L156+M156)</f>
        <v/>
      </c>
      <c r="Y156" s="38">
        <f>IF(L156=0,"",M156/L156)</f>
        <v/>
      </c>
      <c r="Z156" t="inlineStr">
        <is>
          <t>Director &amp; Investment Officer</t>
        </is>
      </c>
      <c r="AA156" t="inlineStr">
        <is>
          <t>Investments</t>
        </is>
      </c>
      <c r="AB156" s="50" t="inlineStr"/>
      <c r="AC156" s="43">
        <f>HYPERLINK("https://projects.propublica.org/nonprofits/organizations/410694747/202640989349301954/full","view filing")</f>
        <v/>
      </c>
      <c r="AD156" s="50" t="inlineStr">
        <is>
          <t>Y</t>
        </is>
      </c>
    </row>
    <row r="157">
      <c r="A157" t="inlineStr">
        <is>
          <t>Carleton College</t>
        </is>
      </c>
      <c r="B157" s="50" t="inlineStr">
        <is>
          <t>MN</t>
        </is>
      </c>
      <c r="C157" s="52" t="n">
        <v>1.33</v>
      </c>
      <c r="D157" t="inlineStr">
        <is>
          <t>Endowment</t>
        </is>
      </c>
      <c r="E157" s="50" t="n">
        <v>2024</v>
      </c>
      <c r="F157" s="50" t="inlineStr">
        <is>
          <t>2025-04-12</t>
        </is>
      </c>
      <c r="G157" s="50" t="inlineStr">
        <is>
          <t>2024-06-30</t>
        </is>
      </c>
      <c r="H157" t="inlineStr">
        <is>
          <t>Kelsey Deshler</t>
        </is>
      </c>
      <c r="I157" t="inlineStr">
        <is>
          <t>CHIEF INVESTMENT OFFICER</t>
        </is>
      </c>
      <c r="J157" t="inlineStr">
        <is>
          <t>CIO</t>
        </is>
      </c>
      <c r="K157" t="inlineStr">
        <is>
          <t>CIO - Top Investment Executive</t>
        </is>
      </c>
      <c r="L157" s="28" t="n">
        <v>404972</v>
      </c>
      <c r="M157" s="28" t="n">
        <v>514327</v>
      </c>
      <c r="N157" s="28" t="n">
        <v>9207</v>
      </c>
      <c r="O157" s="28" t="n">
        <v>33000</v>
      </c>
      <c r="P157" s="28" t="n">
        <v>31351</v>
      </c>
      <c r="Q157" s="28" t="n">
        <v>992857</v>
      </c>
      <c r="R157" s="28" t="n">
        <v>0</v>
      </c>
      <c r="S157" s="28">
        <f>Q157-R157</f>
        <v/>
      </c>
      <c r="T157" s="28">
        <f>IF(S157="","",S157*(1+in_GrowthRate)^(YEARFRAC(DATE(2024,6,30),in_AgeToDate)*IF(in_AgeToDate&lt;DATE(2024,6,30),-1,1)+1))</f>
        <v/>
      </c>
      <c r="U157" s="50">
        <f>IF(AND(AND(OR(in_Mode="All Funds",AND(C157&gt;=in_BandFloor,C157&lt;=in_BandCeiling,OR(in_Geography="National",COUNTIFS(lst_GeoPreset,in_Geography,lst_GeoState,B157)&gt;0,AND(in_Geography="Custom",ISNUMBER(SEARCH(B157,SUBSTITUTE(in_CustomStates," ",""))))),OR(AND(D157="Endowment",Inputs!$B$14="Y"),AND(D157="Foundation",Inputs!$B$15="Y"),AND(D157="Healthcare",Inputs!$B$16="Y"),AND(D157="Pension",Inputs!$B$17="Y"),AND(D157="OCIO",Inputs!$B$18="Y"),AND(D157="Other",Inputs!$B$19="Y")))),A157&lt;&gt;in_ClientOrg,NOT(AND(in_ExclHarvard="Y",ISNUMBER(SEARCH("Harvard",A157))))),$AD157="Y",K157&lt;&gt;"",S157&gt;0),"Y","")</f>
        <v/>
      </c>
      <c r="V157" s="30" t="n">
        <v>1</v>
      </c>
      <c r="W157" t="inlineStr"/>
      <c r="X157" s="28">
        <f>IF(L157+M157=0,"",L157+M157)</f>
        <v/>
      </c>
      <c r="Y157" s="38">
        <f>IF(L157=0,"",M157/L157)</f>
        <v/>
      </c>
      <c r="Z157" t="inlineStr">
        <is>
          <t>CIO - Top Investment Executive</t>
        </is>
      </c>
      <c r="AA157" t="inlineStr">
        <is>
          <t>Leadership</t>
        </is>
      </c>
      <c r="AB157" s="50" t="inlineStr">
        <is>
          <t>Y</t>
        </is>
      </c>
      <c r="AC157" s="43">
        <f>HYPERLINK("https://projects.propublica.org/nonprofits/organizations/410694747/202541029349300719/full","view filing")</f>
        <v/>
      </c>
      <c r="AD157" s="50" t="inlineStr"/>
    </row>
    <row r="158">
      <c r="A158" t="inlineStr">
        <is>
          <t>Carleton College</t>
        </is>
      </c>
      <c r="B158" s="50" t="inlineStr">
        <is>
          <t>MN</t>
        </is>
      </c>
      <c r="C158" s="52" t="n">
        <v>1.33</v>
      </c>
      <c r="D158" t="inlineStr">
        <is>
          <t>Endowment</t>
        </is>
      </c>
      <c r="E158" s="50" t="n">
        <v>2024</v>
      </c>
      <c r="F158" s="50" t="inlineStr">
        <is>
          <t>2025-04-12</t>
        </is>
      </c>
      <c r="G158" s="50" t="inlineStr">
        <is>
          <t>2024-06-30</t>
        </is>
      </c>
      <c r="H158" t="inlineStr">
        <is>
          <t>Timothy Griffeth</t>
        </is>
      </c>
      <c r="I158" t="inlineStr">
        <is>
          <t>DIRECTOR OF INVESTMENTS</t>
        </is>
      </c>
      <c r="J158" t="inlineStr">
        <is>
          <t>Director of Investments</t>
        </is>
      </c>
      <c r="K158" t="inlineStr">
        <is>
          <t>Sr Investment Professional</t>
        </is>
      </c>
      <c r="L158" s="28" t="n">
        <v>290154</v>
      </c>
      <c r="M158" s="28" t="n">
        <v>306690</v>
      </c>
      <c r="N158" s="28" t="n">
        <v>540</v>
      </c>
      <c r="O158" s="28" t="n">
        <v>27775</v>
      </c>
      <c r="P158" s="28" t="n">
        <v>32531</v>
      </c>
      <c r="Q158" s="28" t="n">
        <v>657690</v>
      </c>
      <c r="R158" s="28" t="n">
        <v>0</v>
      </c>
      <c r="S158" s="28">
        <f>Q158-R158</f>
        <v/>
      </c>
      <c r="T158" s="28">
        <f>IF(S158="","",S158*(1+in_GrowthRate)^(YEARFRAC(DATE(2024,6,30),in_AgeToDate)*IF(in_AgeToDate&lt;DATE(2024,6,30),-1,1)+1))</f>
        <v/>
      </c>
      <c r="U158" s="50">
        <f>IF(AND(AND(OR(in_Mode="All Funds",AND(C158&gt;=in_BandFloor,C158&lt;=in_BandCeiling,OR(in_Geography="National",COUNTIFS(lst_GeoPreset,in_Geography,lst_GeoState,B158)&gt;0,AND(in_Geography="Custom",ISNUMBER(SEARCH(B158,SUBSTITUTE(in_CustomStates," ",""))))),OR(AND(D158="Endowment",Inputs!$B$14="Y"),AND(D158="Foundation",Inputs!$B$15="Y"),AND(D158="Healthcare",Inputs!$B$16="Y"),AND(D158="Pension",Inputs!$B$17="Y"),AND(D158="OCIO",Inputs!$B$18="Y"),AND(D158="Other",Inputs!$B$19="Y")))),A158&lt;&gt;in_ClientOrg,NOT(AND(in_ExclHarvard="Y",ISNUMBER(SEARCH("Harvard",A158))))),$AD158="Y",K158&lt;&gt;"",S158&gt;0),"Y","")</f>
        <v/>
      </c>
      <c r="V158" s="30" t="n">
        <v>0.6624216780462846</v>
      </c>
      <c r="W158" t="inlineStr"/>
      <c r="X158" s="28">
        <f>IF(L158+M158=0,"",L158+M158)</f>
        <v/>
      </c>
      <c r="Y158" s="38">
        <f>IF(L158=0,"",M158/L158)</f>
        <v/>
      </c>
      <c r="Z158" t="inlineStr">
        <is>
          <t>Director &amp; Investment Officer</t>
        </is>
      </c>
      <c r="AA158" t="inlineStr">
        <is>
          <t>Investments</t>
        </is>
      </c>
      <c r="AB158" s="50" t="inlineStr"/>
      <c r="AC158" s="43">
        <f>HYPERLINK("https://projects.propublica.org/nonprofits/organizations/410694747/202541029349300719/full","view filing")</f>
        <v/>
      </c>
      <c r="AD158" s="50" t="inlineStr"/>
    </row>
    <row r="159">
      <c r="A159" t="inlineStr">
        <is>
          <t>Carleton College</t>
        </is>
      </c>
      <c r="B159" s="50" t="inlineStr">
        <is>
          <t>MN</t>
        </is>
      </c>
      <c r="C159" s="52" t="n">
        <v>1.33</v>
      </c>
      <c r="D159" t="inlineStr">
        <is>
          <t>Endowment</t>
        </is>
      </c>
      <c r="E159" s="50" t="n">
        <v>2023</v>
      </c>
      <c r="F159" s="50" t="inlineStr">
        <is>
          <t>2024-04-12</t>
        </is>
      </c>
      <c r="G159" s="50" t="inlineStr">
        <is>
          <t>2023-06-30</t>
        </is>
      </c>
      <c r="H159" t="inlineStr">
        <is>
          <t>Kelsey Deshler</t>
        </is>
      </c>
      <c r="I159" t="inlineStr">
        <is>
          <t>CHIEF INVESTMENT OFFICER</t>
        </is>
      </c>
      <c r="J159" t="inlineStr">
        <is>
          <t>CIO</t>
        </is>
      </c>
      <c r="K159" t="inlineStr">
        <is>
          <t>CIO - Top Investment Executive</t>
        </is>
      </c>
      <c r="L159" s="28" t="n">
        <v>362182</v>
      </c>
      <c r="M159" s="28" t="n">
        <v>420072</v>
      </c>
      <c r="N159" s="28" t="n">
        <v>7143</v>
      </c>
      <c r="O159" s="28" t="n">
        <v>28500</v>
      </c>
      <c r="P159" s="28" t="n">
        <v>31024</v>
      </c>
      <c r="Q159" s="28" t="n">
        <v>848921</v>
      </c>
      <c r="R159" s="28" t="n">
        <v>0</v>
      </c>
      <c r="S159" s="28">
        <f>Q159-R159</f>
        <v/>
      </c>
      <c r="T159" s="28">
        <f>IF(S159="","",S159*(1+in_GrowthRate)^(YEARFRAC(DATE(2023,6,30),in_AgeToDate)*IF(in_AgeToDate&lt;DATE(2023,6,30),-1,1)+1))</f>
        <v/>
      </c>
      <c r="U159" s="50">
        <f>IF(AND(AND(OR(in_Mode="All Funds",AND(C159&gt;=in_BandFloor,C159&lt;=in_BandCeiling,OR(in_Geography="National",COUNTIFS(lst_GeoPreset,in_Geography,lst_GeoState,B159)&gt;0,AND(in_Geography="Custom",ISNUMBER(SEARCH(B159,SUBSTITUTE(in_CustomStates," ",""))))),OR(AND(D159="Endowment",Inputs!$B$14="Y"),AND(D159="Foundation",Inputs!$B$15="Y"),AND(D159="Healthcare",Inputs!$B$16="Y"),AND(D159="Pension",Inputs!$B$17="Y"),AND(D159="OCIO",Inputs!$B$18="Y"),AND(D159="Other",Inputs!$B$19="Y")))),A159&lt;&gt;in_ClientOrg,NOT(AND(in_ExclHarvard="Y",ISNUMBER(SEARCH("Harvard",A159))))),$AD159="Y",K159&lt;&gt;"",S159&gt;0),"Y","")</f>
        <v/>
      </c>
      <c r="V159" s="30" t="n">
        <v>1</v>
      </c>
      <c r="W159" t="inlineStr"/>
      <c r="X159" s="28">
        <f>IF(L159+M159=0,"",L159+M159)</f>
        <v/>
      </c>
      <c r="Y159" s="38">
        <f>IF(L159=0,"",M159/L159)</f>
        <v/>
      </c>
      <c r="Z159" t="inlineStr">
        <is>
          <t>CIO - Top Investment Executive</t>
        </is>
      </c>
      <c r="AA159" t="inlineStr">
        <is>
          <t>Leadership</t>
        </is>
      </c>
      <c r="AB159" s="50" t="inlineStr">
        <is>
          <t>Y</t>
        </is>
      </c>
      <c r="AC159" s="43">
        <f>HYPERLINK("https://projects.propublica.org/nonprofits/organizations/410694747/202401039349301245/full","view filing")</f>
        <v/>
      </c>
      <c r="AD159" s="50" t="inlineStr"/>
    </row>
    <row r="160">
      <c r="A160" t="inlineStr">
        <is>
          <t>Carleton College</t>
        </is>
      </c>
      <c r="B160" s="50" t="inlineStr">
        <is>
          <t>MN</t>
        </is>
      </c>
      <c r="C160" s="52" t="n">
        <v>1.33</v>
      </c>
      <c r="D160" t="inlineStr">
        <is>
          <t>Endowment</t>
        </is>
      </c>
      <c r="E160" s="50" t="n">
        <v>2023</v>
      </c>
      <c r="F160" s="50" t="inlineStr">
        <is>
          <t>2024-04-12</t>
        </is>
      </c>
      <c r="G160" s="50" t="inlineStr">
        <is>
          <t>2023-06-30</t>
        </is>
      </c>
      <c r="H160" t="inlineStr">
        <is>
          <t>Timothy Griffeth</t>
        </is>
      </c>
      <c r="I160" t="inlineStr">
        <is>
          <t>DIRECTOR OF INVESTMENTS</t>
        </is>
      </c>
      <c r="J160" t="inlineStr">
        <is>
          <t>Director of Investments</t>
        </is>
      </c>
      <c r="K160" t="inlineStr">
        <is>
          <t>Sr Investment Professional</t>
        </is>
      </c>
      <c r="L160" s="28" t="n">
        <v>263670</v>
      </c>
      <c r="M160" s="28" t="n">
        <v>249888</v>
      </c>
      <c r="N160" s="28" t="n">
        <v>540</v>
      </c>
      <c r="O160" s="28" t="n">
        <v>30450</v>
      </c>
      <c r="P160" s="28" t="n">
        <v>58064</v>
      </c>
      <c r="Q160" s="28" t="n">
        <v>602612</v>
      </c>
      <c r="R160" s="28" t="n">
        <v>0</v>
      </c>
      <c r="S160" s="28">
        <f>Q160-R160</f>
        <v/>
      </c>
      <c r="T160" s="28">
        <f>IF(S160="","",S160*(1+in_GrowthRate)^(YEARFRAC(DATE(2023,6,30),in_AgeToDate)*IF(in_AgeToDate&lt;DATE(2023,6,30),-1,1)+1))</f>
        <v/>
      </c>
      <c r="U160" s="50">
        <f>IF(AND(AND(OR(in_Mode="All Funds",AND(C160&gt;=in_BandFloor,C160&lt;=in_BandCeiling,OR(in_Geography="National",COUNTIFS(lst_GeoPreset,in_Geography,lst_GeoState,B160)&gt;0,AND(in_Geography="Custom",ISNUMBER(SEARCH(B160,SUBSTITUTE(in_CustomStates," ",""))))),OR(AND(D160="Endowment",Inputs!$B$14="Y"),AND(D160="Foundation",Inputs!$B$15="Y"),AND(D160="Healthcare",Inputs!$B$16="Y"),AND(D160="Pension",Inputs!$B$17="Y"),AND(D160="OCIO",Inputs!$B$18="Y"),AND(D160="Other",Inputs!$B$19="Y")))),A160&lt;&gt;in_ClientOrg,NOT(AND(in_ExclHarvard="Y",ISNUMBER(SEARCH("Harvard",A160))))),$AD160="Y",K160&lt;&gt;"",S160&gt;0),"Y","")</f>
        <v/>
      </c>
      <c r="V160" s="30" t="n">
        <v>0.7098563941756654</v>
      </c>
      <c r="W160" t="inlineStr"/>
      <c r="X160" s="28">
        <f>IF(L160+M160=0,"",L160+M160)</f>
        <v/>
      </c>
      <c r="Y160" s="38">
        <f>IF(L160=0,"",M160/L160)</f>
        <v/>
      </c>
      <c r="Z160" t="inlineStr">
        <is>
          <t>Director &amp; Investment Officer</t>
        </is>
      </c>
      <c r="AA160" t="inlineStr">
        <is>
          <t>Investments</t>
        </is>
      </c>
      <c r="AB160" s="50" t="inlineStr"/>
      <c r="AC160" s="43">
        <f>HYPERLINK("https://projects.propublica.org/nonprofits/organizations/410694747/202401039349301245/full","view filing")</f>
        <v/>
      </c>
      <c r="AD160" s="50" t="inlineStr"/>
    </row>
    <row r="161">
      <c r="A161" t="inlineStr">
        <is>
          <t>Carleton College</t>
        </is>
      </c>
      <c r="B161" s="50" t="inlineStr">
        <is>
          <t>MN</t>
        </is>
      </c>
      <c r="C161" s="52" t="n">
        <v>1.33</v>
      </c>
      <c r="D161" t="inlineStr">
        <is>
          <t>Endowment</t>
        </is>
      </c>
      <c r="E161" s="50" t="n">
        <v>2022</v>
      </c>
      <c r="F161" s="50" t="inlineStr">
        <is>
          <t>2023-05-13</t>
        </is>
      </c>
      <c r="G161" s="50" t="inlineStr">
        <is>
          <t>2022-06-30</t>
        </is>
      </c>
      <c r="H161" t="inlineStr">
        <is>
          <t>Kelsey Deshler</t>
        </is>
      </c>
      <c r="I161" t="inlineStr">
        <is>
          <t>CHIEF INVESTMENT OFFICER</t>
        </is>
      </c>
      <c r="J161" t="inlineStr">
        <is>
          <t>CIO</t>
        </is>
      </c>
      <c r="K161" t="inlineStr">
        <is>
          <t>CIO - Top Investment Executive</t>
        </is>
      </c>
      <c r="L161" s="28" t="n">
        <v>357271</v>
      </c>
      <c r="M161" s="28" t="n">
        <v>317337</v>
      </c>
      <c r="N161" s="28" t="n">
        <v>7889</v>
      </c>
      <c r="O161" s="28" t="n">
        <v>28500</v>
      </c>
      <c r="P161" s="28" t="n">
        <v>31753</v>
      </c>
      <c r="Q161" s="28" t="n">
        <v>742750</v>
      </c>
      <c r="R161" s="28" t="n">
        <v>0</v>
      </c>
      <c r="S161" s="28">
        <f>Q161-R161</f>
        <v/>
      </c>
      <c r="T161" s="28">
        <f>IF(S161="","",S161*(1+in_GrowthRate)^(YEARFRAC(DATE(2022,6,30),in_AgeToDate)*IF(in_AgeToDate&lt;DATE(2022,6,30),-1,1)+1))</f>
        <v/>
      </c>
      <c r="U161" s="50">
        <f>IF(AND(AND(OR(in_Mode="All Funds",AND(C161&gt;=in_BandFloor,C161&lt;=in_BandCeiling,OR(in_Geography="National",COUNTIFS(lst_GeoPreset,in_Geography,lst_GeoState,B161)&gt;0,AND(in_Geography="Custom",ISNUMBER(SEARCH(B161,SUBSTITUTE(in_CustomStates," ",""))))),OR(AND(D161="Endowment",Inputs!$B$14="Y"),AND(D161="Foundation",Inputs!$B$15="Y"),AND(D161="Healthcare",Inputs!$B$16="Y"),AND(D161="Pension",Inputs!$B$17="Y"),AND(D161="OCIO",Inputs!$B$18="Y"),AND(D161="Other",Inputs!$B$19="Y")))),A161&lt;&gt;in_ClientOrg,NOT(AND(in_ExclHarvard="Y",ISNUMBER(SEARCH("Harvard",A161))))),$AD161="Y",K161&lt;&gt;"",S161&gt;0),"Y","")</f>
        <v/>
      </c>
      <c r="V161" s="30" t="n">
        <v>1</v>
      </c>
      <c r="W161" t="inlineStr"/>
      <c r="X161" s="28">
        <f>IF(L161+M161=0,"",L161+M161)</f>
        <v/>
      </c>
      <c r="Y161" s="38">
        <f>IF(L161=0,"",M161/L161)</f>
        <v/>
      </c>
      <c r="Z161" t="inlineStr">
        <is>
          <t>CIO - Top Investment Executive</t>
        </is>
      </c>
      <c r="AA161" t="inlineStr">
        <is>
          <t>Leadership</t>
        </is>
      </c>
      <c r="AB161" s="50" t="inlineStr">
        <is>
          <t>Y</t>
        </is>
      </c>
      <c r="AC161" s="43">
        <f>HYPERLINK("https://projects.propublica.org/nonprofits/organizations/410694747/202341339349300034/full","view filing")</f>
        <v/>
      </c>
      <c r="AD161" s="50" t="inlineStr"/>
    </row>
    <row r="162">
      <c r="A162" t="inlineStr">
        <is>
          <t>Carleton College</t>
        </is>
      </c>
      <c r="B162" s="50" t="inlineStr">
        <is>
          <t>MN</t>
        </is>
      </c>
      <c r="C162" s="52" t="n">
        <v>1.33</v>
      </c>
      <c r="D162" t="inlineStr">
        <is>
          <t>Endowment</t>
        </is>
      </c>
      <c r="E162" s="50" t="n">
        <v>2022</v>
      </c>
      <c r="F162" s="50" t="inlineStr">
        <is>
          <t>2023-05-13</t>
        </is>
      </c>
      <c r="G162" s="50" t="inlineStr">
        <is>
          <t>2022-06-30</t>
        </is>
      </c>
      <c r="H162" t="inlineStr">
        <is>
          <t>Timothy Griffeth</t>
        </is>
      </c>
      <c r="I162" t="inlineStr">
        <is>
          <t>DIRECTOR OF INVESTMENTS</t>
        </is>
      </c>
      <c r="J162" t="inlineStr">
        <is>
          <t>Director of Investments</t>
        </is>
      </c>
      <c r="K162" t="inlineStr">
        <is>
          <t>Sr Investment Professional</t>
        </is>
      </c>
      <c r="L162" s="28" t="n">
        <v>248767</v>
      </c>
      <c r="M162" s="28" t="n">
        <v>197041</v>
      </c>
      <c r="N162" s="28" t="n">
        <v>540</v>
      </c>
      <c r="O162" s="28" t="n">
        <v>24500</v>
      </c>
      <c r="P162" s="28" t="n">
        <v>48568</v>
      </c>
      <c r="Q162" s="28" t="n">
        <v>519416</v>
      </c>
      <c r="R162" s="28" t="n">
        <v>0</v>
      </c>
      <c r="S162" s="28">
        <f>Q162-R162</f>
        <v/>
      </c>
      <c r="T162" s="28">
        <f>IF(S162="","",S162*(1+in_GrowthRate)^(YEARFRAC(DATE(2022,6,30),in_AgeToDate)*IF(in_AgeToDate&lt;DATE(2022,6,30),-1,1)+1))</f>
        <v/>
      </c>
      <c r="U162" s="50">
        <f>IF(AND(AND(OR(in_Mode="All Funds",AND(C162&gt;=in_BandFloor,C162&lt;=in_BandCeiling,OR(in_Geography="National",COUNTIFS(lst_GeoPreset,in_Geography,lst_GeoState,B162)&gt;0,AND(in_Geography="Custom",ISNUMBER(SEARCH(B162,SUBSTITUTE(in_CustomStates," ",""))))),OR(AND(D162="Endowment",Inputs!$B$14="Y"),AND(D162="Foundation",Inputs!$B$15="Y"),AND(D162="Healthcare",Inputs!$B$16="Y"),AND(D162="Pension",Inputs!$B$17="Y"),AND(D162="OCIO",Inputs!$B$18="Y"),AND(D162="Other",Inputs!$B$19="Y")))),A162&lt;&gt;in_ClientOrg,NOT(AND(in_ExclHarvard="Y",ISNUMBER(SEARCH("Harvard",A162))))),$AD162="Y",K162&lt;&gt;"",S162&gt;0),"Y","")</f>
        <v/>
      </c>
      <c r="V162" s="30" t="n">
        <v>0.6993147088522383</v>
      </c>
      <c r="W162" t="inlineStr"/>
      <c r="X162" s="28">
        <f>IF(L162+M162=0,"",L162+M162)</f>
        <v/>
      </c>
      <c r="Y162" s="38">
        <f>IF(L162=0,"",M162/L162)</f>
        <v/>
      </c>
      <c r="Z162" t="inlineStr">
        <is>
          <t>Director &amp; Investment Officer</t>
        </is>
      </c>
      <c r="AA162" t="inlineStr">
        <is>
          <t>Investments</t>
        </is>
      </c>
      <c r="AB162" s="50" t="inlineStr"/>
      <c r="AC162" s="43">
        <f>HYPERLINK("https://projects.propublica.org/nonprofits/organizations/410694747/202341339349300034/full","view filing")</f>
        <v/>
      </c>
      <c r="AD162" s="50" t="inlineStr"/>
    </row>
    <row r="163">
      <c r="A163" t="inlineStr">
        <is>
          <t>Carnegie Corporation Of New York</t>
        </is>
      </c>
      <c r="B163" s="50" t="inlineStr">
        <is>
          <t>NY</t>
        </is>
      </c>
      <c r="C163" s="52" t="n">
        <v>4.81</v>
      </c>
      <c r="D163" t="inlineStr">
        <is>
          <t>Foundation</t>
        </is>
      </c>
      <c r="E163" s="50" t="n">
        <v>2025</v>
      </c>
      <c r="F163" s="50" t="inlineStr">
        <is>
          <t>2026-06-25</t>
        </is>
      </c>
      <c r="G163" s="50" t="inlineStr">
        <is>
          <t>2025-09-30</t>
        </is>
      </c>
      <c r="H163" t="inlineStr">
        <is>
          <t>Jon-Michael Consalvo</t>
        </is>
      </c>
      <c r="I163" t="inlineStr">
        <is>
          <t>VP, Chief Investment Officer</t>
        </is>
      </c>
      <c r="J163" t="inlineStr">
        <is>
          <t>CIO</t>
        </is>
      </c>
      <c r="K163" t="inlineStr">
        <is>
          <t>CIO - Top Investment Executive</t>
        </is>
      </c>
      <c r="L163" s="28" t="n">
        <v>0</v>
      </c>
      <c r="M163" s="28" t="n">
        <v>0</v>
      </c>
      <c r="N163" s="28" t="n">
        <v>0</v>
      </c>
      <c r="O163" s="28" t="n">
        <v>0</v>
      </c>
      <c r="P163" s="28" t="n">
        <v>161653</v>
      </c>
      <c r="Q163" s="28" t="n">
        <v>1126153</v>
      </c>
      <c r="R163" s="28" t="n">
        <v>0</v>
      </c>
      <c r="S163" s="28">
        <f>Q163-R163</f>
        <v/>
      </c>
      <c r="T163" s="28">
        <f>IF(S163="","",S163*(1+in_GrowthRate)^(YEARFRAC(DATE(2025,9,30),in_AgeToDate)*IF(in_AgeToDate&lt;DATE(2025,9,30),-1,1)+1))</f>
        <v/>
      </c>
      <c r="U163" s="50">
        <f>IF(AND(AND(OR(in_Mode="All Funds",AND(C163&gt;=in_BandFloor,C163&lt;=in_BandCeiling,OR(in_Geography="National",COUNTIFS(lst_GeoPreset,in_Geography,lst_GeoState,B163)&gt;0,AND(in_Geography="Custom",ISNUMBER(SEARCH(B163,SUBSTITUTE(in_CustomStates," ",""))))),OR(AND(D163="Endowment",Inputs!$B$14="Y"),AND(D163="Foundation",Inputs!$B$15="Y"),AND(D163="Healthcare",Inputs!$B$16="Y"),AND(D163="Pension",Inputs!$B$17="Y"),AND(D163="OCIO",Inputs!$B$18="Y"),AND(D163="Other",Inputs!$B$19="Y")))),A163&lt;&gt;in_ClientOrg,NOT(AND(in_ExclHarvard="Y",ISNUMBER(SEARCH("Harvard",A163))))),$AD163="Y",K163&lt;&gt;"",S163&gt;0),"Y","")</f>
        <v/>
      </c>
      <c r="V163" s="30" t="n">
        <v>1</v>
      </c>
      <c r="W163" t="inlineStr"/>
      <c r="X163" s="28">
        <f>IF(L163+M163=0,"",L163+M163)</f>
        <v/>
      </c>
      <c r="Y163" s="38">
        <f>IF(L163=0,"",M163/L163)</f>
        <v/>
      </c>
      <c r="Z163" t="inlineStr">
        <is>
          <t>CIO - Top Investment Executive</t>
        </is>
      </c>
      <c r="AA163" t="inlineStr">
        <is>
          <t>Leadership</t>
        </is>
      </c>
      <c r="AB163" s="50" t="inlineStr">
        <is>
          <t>Y</t>
        </is>
      </c>
      <c r="AC163" s="43">
        <f>HYPERLINK("https://projects.propublica.org/nonprofits/organizations/131628151/202641769349100209/full","view filing")</f>
        <v/>
      </c>
      <c r="AD163" s="50" t="inlineStr">
        <is>
          <t>Y</t>
        </is>
      </c>
    </row>
    <row r="164">
      <c r="A164" t="inlineStr">
        <is>
          <t>Carnegie Corporation Of New York</t>
        </is>
      </c>
      <c r="B164" s="50" t="inlineStr">
        <is>
          <t>NY</t>
        </is>
      </c>
      <c r="C164" s="52" t="n">
        <v>4.81</v>
      </c>
      <c r="D164" t="inlineStr">
        <is>
          <t>Foundation</t>
        </is>
      </c>
      <c r="E164" s="50" t="n">
        <v>2024</v>
      </c>
      <c r="F164" s="50" t="inlineStr">
        <is>
          <t>2025-07-11</t>
        </is>
      </c>
      <c r="G164" s="50" t="inlineStr">
        <is>
          <t>2024-09-30</t>
        </is>
      </c>
      <c r="H164" t="inlineStr">
        <is>
          <t>Cecelia Chen</t>
        </is>
      </c>
      <c r="I164" t="inlineStr">
        <is>
          <t>Director Investments</t>
        </is>
      </c>
      <c r="J164" t="inlineStr">
        <is>
          <t>Director of Investments</t>
        </is>
      </c>
      <c r="K164" t="inlineStr">
        <is>
          <t>Sr Investment Professional</t>
        </is>
      </c>
      <c r="L164" s="28" t="n">
        <v>0</v>
      </c>
      <c r="M164" s="28" t="n">
        <v>0</v>
      </c>
      <c r="N164" s="28" t="n">
        <v>0</v>
      </c>
      <c r="O164" s="28" t="n">
        <v>0</v>
      </c>
      <c r="P164" s="28" t="n">
        <v>0</v>
      </c>
      <c r="Q164" s="28" t="n">
        <v>497178</v>
      </c>
      <c r="R164" s="28" t="n">
        <v>0</v>
      </c>
      <c r="S164" s="28">
        <f>Q164-R164</f>
        <v/>
      </c>
      <c r="T164" s="28">
        <f>IF(S164="","",S164*(1+in_GrowthRate)^(YEARFRAC(DATE(2024,9,30),in_AgeToDate)*IF(in_AgeToDate&lt;DATE(2024,9,30),-1,1)+1))</f>
        <v/>
      </c>
      <c r="U164" s="50">
        <f>IF(AND(AND(OR(in_Mode="All Funds",AND(C164&gt;=in_BandFloor,C164&lt;=in_BandCeiling,OR(in_Geography="National",COUNTIFS(lst_GeoPreset,in_Geography,lst_GeoState,B164)&gt;0,AND(in_Geography="Custom",ISNUMBER(SEARCH(B164,SUBSTITUTE(in_CustomStates," ",""))))),OR(AND(D164="Endowment",Inputs!$B$14="Y"),AND(D164="Foundation",Inputs!$B$15="Y"),AND(D164="Healthcare",Inputs!$B$16="Y"),AND(D164="Pension",Inputs!$B$17="Y"),AND(D164="OCIO",Inputs!$B$18="Y"),AND(D164="Other",Inputs!$B$19="Y")))),A164&lt;&gt;in_ClientOrg,NOT(AND(in_ExclHarvard="Y",ISNUMBER(SEARCH("Harvard",A164))))),$AD164="Y",K164&lt;&gt;"",S164&gt;0),"Y","")</f>
        <v/>
      </c>
      <c r="V164" s="30" t="n">
        <v>0.3848305648869143</v>
      </c>
      <c r="W164" t="inlineStr"/>
      <c r="X164" s="28">
        <f>IF(L164+M164=0,"",L164+M164)</f>
        <v/>
      </c>
      <c r="Y164" s="38">
        <f>IF(L164=0,"",M164/L164)</f>
        <v/>
      </c>
      <c r="Z164" t="inlineStr">
        <is>
          <t>Director &amp; Investment Officer</t>
        </is>
      </c>
      <c r="AA164" t="inlineStr">
        <is>
          <t>Investments</t>
        </is>
      </c>
      <c r="AB164" s="50" t="inlineStr"/>
      <c r="AC164" s="43">
        <f>HYPERLINK("https://projects.propublica.org/nonprofits/organizations/131628151/202531929349101203/full","view filing")</f>
        <v/>
      </c>
      <c r="AD164" s="50" t="inlineStr"/>
    </row>
    <row r="165">
      <c r="A165" t="inlineStr">
        <is>
          <t>Carnegie Corporation Of New York</t>
        </is>
      </c>
      <c r="B165" s="50" t="inlineStr">
        <is>
          <t>NY</t>
        </is>
      </c>
      <c r="C165" s="52" t="n">
        <v>4.81</v>
      </c>
      <c r="D165" t="inlineStr">
        <is>
          <t>Foundation</t>
        </is>
      </c>
      <c r="E165" s="50" t="n">
        <v>2024</v>
      </c>
      <c r="F165" s="50" t="inlineStr">
        <is>
          <t>2025-07-11</t>
        </is>
      </c>
      <c r="G165" s="50" t="inlineStr">
        <is>
          <t>2024-09-30</t>
        </is>
      </c>
      <c r="H165" t="inlineStr">
        <is>
          <t>Jon-Michael Consalvo</t>
        </is>
      </c>
      <c r="I165" t="inlineStr">
        <is>
          <t>Chief Investment Officer (started 10/7/23)</t>
        </is>
      </c>
      <c r="J165" t="inlineStr">
        <is>
          <t>CIO</t>
        </is>
      </c>
      <c r="K165" t="inlineStr">
        <is>
          <t>CIO - Top Investment Executive</t>
        </is>
      </c>
      <c r="L165" s="28" t="n">
        <v>0</v>
      </c>
      <c r="M165" s="28" t="n">
        <v>0</v>
      </c>
      <c r="N165" s="28" t="n">
        <v>0</v>
      </c>
      <c r="O165" s="28" t="n">
        <v>0</v>
      </c>
      <c r="P165" s="28" t="n">
        <v>139440</v>
      </c>
      <c r="Q165" s="28" t="n">
        <v>1291940</v>
      </c>
      <c r="R165" s="28" t="n">
        <v>0</v>
      </c>
      <c r="S165" s="28">
        <f>Q165-R165</f>
        <v/>
      </c>
      <c r="T165" s="28">
        <f>IF(S165="","",S165*(1+in_GrowthRate)^(YEARFRAC(DATE(2024,9,30),in_AgeToDate)*IF(in_AgeToDate&lt;DATE(2024,9,30),-1,1)+1))</f>
        <v/>
      </c>
      <c r="U165" s="50">
        <f>IF(AND(AND(OR(in_Mode="All Funds",AND(C165&gt;=in_BandFloor,C165&lt;=in_BandCeiling,OR(in_Geography="National",COUNTIFS(lst_GeoPreset,in_Geography,lst_GeoState,B165)&gt;0,AND(in_Geography="Custom",ISNUMBER(SEARCH(B165,SUBSTITUTE(in_CustomStates," ",""))))),OR(AND(D165="Endowment",Inputs!$B$14="Y"),AND(D165="Foundation",Inputs!$B$15="Y"),AND(D165="Healthcare",Inputs!$B$16="Y"),AND(D165="Pension",Inputs!$B$17="Y"),AND(D165="OCIO",Inputs!$B$18="Y"),AND(D165="Other",Inputs!$B$19="Y")))),A165&lt;&gt;in_ClientOrg,NOT(AND(in_ExclHarvard="Y",ISNUMBER(SEARCH("Harvard",A165))))),$AD165="Y",K165&lt;&gt;"",S165&gt;0),"Y","")</f>
        <v/>
      </c>
      <c r="V165" s="30" t="n">
        <v>1</v>
      </c>
      <c r="W165" t="inlineStr"/>
      <c r="X165" s="28">
        <f>IF(L165+M165=0,"",L165+M165)</f>
        <v/>
      </c>
      <c r="Y165" s="38">
        <f>IF(L165=0,"",M165/L165)</f>
        <v/>
      </c>
      <c r="Z165" t="inlineStr">
        <is>
          <t>CIO - Top Investment Executive</t>
        </is>
      </c>
      <c r="AA165" t="inlineStr">
        <is>
          <t>Leadership</t>
        </is>
      </c>
      <c r="AB165" s="50" t="inlineStr">
        <is>
          <t>Y</t>
        </is>
      </c>
      <c r="AC165" s="43">
        <f>HYPERLINK("https://projects.propublica.org/nonprofits/organizations/131628151/202531929349101203/full","view filing")</f>
        <v/>
      </c>
      <c r="AD165" s="50" t="inlineStr"/>
    </row>
    <row r="166">
      <c r="A166" t="inlineStr">
        <is>
          <t>Carnegie Corporation Of New York</t>
        </is>
      </c>
      <c r="B166" s="50" t="inlineStr">
        <is>
          <t>NY</t>
        </is>
      </c>
      <c r="C166" s="52" t="n">
        <v>4.81</v>
      </c>
      <c r="D166" t="inlineStr">
        <is>
          <t>Foundation</t>
        </is>
      </c>
      <c r="E166" s="50" t="n">
        <v>2024</v>
      </c>
      <c r="F166" s="50" t="inlineStr">
        <is>
          <t>2025-07-11</t>
        </is>
      </c>
      <c r="G166" s="50" t="inlineStr">
        <is>
          <t>2024-09-30</t>
        </is>
      </c>
      <c r="H166" t="inlineStr">
        <is>
          <t>Mark Baumgartner</t>
        </is>
      </c>
      <c r="I166" t="inlineStr">
        <is>
          <t>Chief Investment Officer (ended 10/6/23)</t>
        </is>
      </c>
      <c r="J166" t="inlineStr">
        <is>
          <t>CIO</t>
        </is>
      </c>
      <c r="K166" t="inlineStr">
        <is>
          <t>Sr Investment Professional</t>
        </is>
      </c>
      <c r="L166" s="28" t="n">
        <v>0</v>
      </c>
      <c r="M166" s="28" t="n">
        <v>0</v>
      </c>
      <c r="N166" s="28" t="n">
        <v>0</v>
      </c>
      <c r="O166" s="28" t="n">
        <v>0</v>
      </c>
      <c r="P166" s="28" t="n">
        <v>20282</v>
      </c>
      <c r="Q166" s="28" t="n">
        <v>36740</v>
      </c>
      <c r="R166" s="28" t="n">
        <v>0</v>
      </c>
      <c r="S166" s="28">
        <f>Q166-R166</f>
        <v/>
      </c>
      <c r="T166" s="28">
        <f>IF(S166="","",S166*(1+in_GrowthRate)^(YEARFRAC(DATE(2024,9,30),in_AgeToDate)*IF(in_AgeToDate&lt;DATE(2024,9,30),-1,1)+1))</f>
        <v/>
      </c>
      <c r="U166" s="50">
        <f>IF(AND(AND(OR(in_Mode="All Funds",AND(C166&gt;=in_BandFloor,C166&lt;=in_BandCeiling,OR(in_Geography="National",COUNTIFS(lst_GeoPreset,in_Geography,lst_GeoState,B166)&gt;0,AND(in_Geography="Custom",ISNUMBER(SEARCH(B166,SUBSTITUTE(in_CustomStates," ",""))))),OR(AND(D166="Endowment",Inputs!$B$14="Y"),AND(D166="Foundation",Inputs!$B$15="Y"),AND(D166="Healthcare",Inputs!$B$16="Y"),AND(D166="Pension",Inputs!$B$17="Y"),AND(D166="OCIO",Inputs!$B$18="Y"),AND(D166="Other",Inputs!$B$19="Y")))),A166&lt;&gt;in_ClientOrg,NOT(AND(in_ExclHarvard="Y",ISNUMBER(SEARCH("Harvard",A166))))),$AD166="Y",K166&lt;&gt;"",S166&gt;0),"Y","")</f>
        <v/>
      </c>
      <c r="V166" s="30" t="n">
        <v>0.02843785315107513</v>
      </c>
      <c r="W166" t="inlineStr"/>
      <c r="X166" s="28">
        <f>IF(L166+M166=0,"",L166+M166)</f>
        <v/>
      </c>
      <c r="Y166" s="38">
        <f>IF(L166=0,"",M166/L166)</f>
        <v/>
      </c>
      <c r="Z166" t="inlineStr">
        <is>
          <t>Deputy CIO</t>
        </is>
      </c>
      <c r="AA166" t="inlineStr">
        <is>
          <t>Leadership</t>
        </is>
      </c>
      <c r="AB166" s="50" t="inlineStr"/>
      <c r="AC166" s="43">
        <f>HYPERLINK("https://projects.propublica.org/nonprofits/organizations/131628151/202531929349101203/full","view filing")</f>
        <v/>
      </c>
      <c r="AD166" s="50" t="inlineStr"/>
    </row>
    <row r="167">
      <c r="A167" t="inlineStr">
        <is>
          <t>Carnegie Corporation Of New York</t>
        </is>
      </c>
      <c r="B167" s="50" t="inlineStr">
        <is>
          <t>NY</t>
        </is>
      </c>
      <c r="C167" s="52" t="n">
        <v>4.81</v>
      </c>
      <c r="D167" t="inlineStr">
        <is>
          <t>Foundation</t>
        </is>
      </c>
      <c r="E167" s="50" t="n">
        <v>2023</v>
      </c>
      <c r="F167" s="50" t="inlineStr">
        <is>
          <t>2024-08-12</t>
        </is>
      </c>
      <c r="G167" s="50" t="inlineStr">
        <is>
          <t>2023-09-30</t>
        </is>
      </c>
      <c r="H167" t="inlineStr">
        <is>
          <t>Mark Baumgartner</t>
        </is>
      </c>
      <c r="I167" t="inlineStr">
        <is>
          <t>Chief Investment Officer</t>
        </is>
      </c>
      <c r="J167" t="inlineStr">
        <is>
          <t>CIO</t>
        </is>
      </c>
      <c r="K167" t="inlineStr">
        <is>
          <t>CIO - Top Investment Executive</t>
        </is>
      </c>
      <c r="L167" s="28" t="n">
        <v>0</v>
      </c>
      <c r="M167" s="28" t="n">
        <v>0</v>
      </c>
      <c r="N167" s="28" t="n">
        <v>0</v>
      </c>
      <c r="O167" s="28" t="n">
        <v>0</v>
      </c>
      <c r="P167" s="28" t="n">
        <v>153702</v>
      </c>
      <c r="Q167" s="28" t="n">
        <v>1926025</v>
      </c>
      <c r="R167" s="28" t="n">
        <v>0</v>
      </c>
      <c r="S167" s="28">
        <f>Q167-R167</f>
        <v/>
      </c>
      <c r="T167" s="28">
        <f>IF(S167="","",S167*(1+in_GrowthRate)^(YEARFRAC(DATE(2023,9,30),in_AgeToDate)*IF(in_AgeToDate&lt;DATE(2023,9,30),-1,1)+1))</f>
        <v/>
      </c>
      <c r="U167" s="50">
        <f>IF(AND(AND(OR(in_Mode="All Funds",AND(C167&gt;=in_BandFloor,C167&lt;=in_BandCeiling,OR(in_Geography="National",COUNTIFS(lst_GeoPreset,in_Geography,lst_GeoState,B167)&gt;0,AND(in_Geography="Custom",ISNUMBER(SEARCH(B167,SUBSTITUTE(in_CustomStates," ",""))))),OR(AND(D167="Endowment",Inputs!$B$14="Y"),AND(D167="Foundation",Inputs!$B$15="Y"),AND(D167="Healthcare",Inputs!$B$16="Y"),AND(D167="Pension",Inputs!$B$17="Y"),AND(D167="OCIO",Inputs!$B$18="Y"),AND(D167="Other",Inputs!$B$19="Y")))),A167&lt;&gt;in_ClientOrg,NOT(AND(in_ExclHarvard="Y",ISNUMBER(SEARCH("Harvard",A167))))),$AD167="Y",K167&lt;&gt;"",S167&gt;0),"Y","")</f>
        <v/>
      </c>
      <c r="V167" s="30" t="n">
        <v>1</v>
      </c>
      <c r="W167" t="inlineStr"/>
      <c r="X167" s="28">
        <f>IF(L167+M167=0,"",L167+M167)</f>
        <v/>
      </c>
      <c r="Y167" s="38">
        <f>IF(L167=0,"",M167/L167)</f>
        <v/>
      </c>
      <c r="Z167" t="inlineStr">
        <is>
          <t>CIO - Top Investment Executive</t>
        </is>
      </c>
      <c r="AA167" t="inlineStr">
        <is>
          <t>Leadership</t>
        </is>
      </c>
      <c r="AB167" s="50" t="inlineStr">
        <is>
          <t>Y</t>
        </is>
      </c>
      <c r="AC167" s="43">
        <f>HYPERLINK("https://projects.propublica.org/nonprofits/organizations/131628151/202442259349101009/full","view filing")</f>
        <v/>
      </c>
      <c r="AD167" s="50" t="inlineStr"/>
    </row>
    <row r="168">
      <c r="A168" t="inlineStr">
        <is>
          <t>Carnegie Corporation Of New York</t>
        </is>
      </c>
      <c r="B168" s="50" t="inlineStr">
        <is>
          <t>NY</t>
        </is>
      </c>
      <c r="C168" s="52" t="n">
        <v>4.81</v>
      </c>
      <c r="D168" t="inlineStr">
        <is>
          <t>Foundation</t>
        </is>
      </c>
      <c r="E168" s="50" t="n">
        <v>2022</v>
      </c>
      <c r="F168" s="50" t="inlineStr">
        <is>
          <t>2023-08-14</t>
        </is>
      </c>
      <c r="G168" s="50" t="inlineStr">
        <is>
          <t>2022-09-30</t>
        </is>
      </c>
      <c r="H168" t="inlineStr">
        <is>
          <t>Mark Baumgartner</t>
        </is>
      </c>
      <c r="I168" t="inlineStr">
        <is>
          <t>Chief Investment Officer</t>
        </is>
      </c>
      <c r="J168" t="inlineStr">
        <is>
          <t>CIO</t>
        </is>
      </c>
      <c r="K168" t="inlineStr">
        <is>
          <t>CIO - Top Investment Executive</t>
        </is>
      </c>
      <c r="L168" s="28" t="n">
        <v>0</v>
      </c>
      <c r="M168" s="28" t="n">
        <v>0</v>
      </c>
      <c r="N168" s="28" t="n">
        <v>0</v>
      </c>
      <c r="O168" s="28" t="n">
        <v>0</v>
      </c>
      <c r="P168" s="28" t="n">
        <v>165623</v>
      </c>
      <c r="Q168" s="28" t="n">
        <v>2078540</v>
      </c>
      <c r="R168" s="28" t="n">
        <v>0</v>
      </c>
      <c r="S168" s="28">
        <f>Q168-R168</f>
        <v/>
      </c>
      <c r="T168" s="28">
        <f>IF(S168="","",S168*(1+in_GrowthRate)^(YEARFRAC(DATE(2022,9,30),in_AgeToDate)*IF(in_AgeToDate&lt;DATE(2022,9,30),-1,1)+1))</f>
        <v/>
      </c>
      <c r="U168" s="50">
        <f>IF(AND(AND(OR(in_Mode="All Funds",AND(C168&gt;=in_BandFloor,C168&lt;=in_BandCeiling,OR(in_Geography="National",COUNTIFS(lst_GeoPreset,in_Geography,lst_GeoState,B168)&gt;0,AND(in_Geography="Custom",ISNUMBER(SEARCH(B168,SUBSTITUTE(in_CustomStates," ",""))))),OR(AND(D168="Endowment",Inputs!$B$14="Y"),AND(D168="Foundation",Inputs!$B$15="Y"),AND(D168="Healthcare",Inputs!$B$16="Y"),AND(D168="Pension",Inputs!$B$17="Y"),AND(D168="OCIO",Inputs!$B$18="Y"),AND(D168="Other",Inputs!$B$19="Y")))),A168&lt;&gt;in_ClientOrg,NOT(AND(in_ExclHarvard="Y",ISNUMBER(SEARCH("Harvard",A168))))),$AD168="Y",K168&lt;&gt;"",S168&gt;0),"Y","")</f>
        <v/>
      </c>
      <c r="V168" s="30" t="n">
        <v>1</v>
      </c>
      <c r="W168" t="inlineStr"/>
      <c r="X168" s="28">
        <f>IF(L168+M168=0,"",L168+M168)</f>
        <v/>
      </c>
      <c r="Y168" s="38">
        <f>IF(L168=0,"",M168/L168)</f>
        <v/>
      </c>
      <c r="Z168" t="inlineStr">
        <is>
          <t>CIO - Top Investment Executive</t>
        </is>
      </c>
      <c r="AA168" t="inlineStr">
        <is>
          <t>Leadership</t>
        </is>
      </c>
      <c r="AB168" s="50" t="inlineStr">
        <is>
          <t>Y</t>
        </is>
      </c>
      <c r="AC168" s="43">
        <f>HYPERLINK("https://projects.propublica.org/nonprofits/organizations/131628151/202342269349100709/full","view filing")</f>
        <v/>
      </c>
      <c r="AD168" s="50" t="inlineStr"/>
    </row>
    <row r="169">
      <c r="A169" t="inlineStr">
        <is>
          <t>Carnegie Institution Of Washington</t>
        </is>
      </c>
      <c r="B169" s="50" t="inlineStr">
        <is>
          <t>DC</t>
        </is>
      </c>
      <c r="C169" s="52" t="n">
        <v>0.99</v>
      </c>
      <c r="D169" t="inlineStr">
        <is>
          <t>Other</t>
        </is>
      </c>
      <c r="E169" s="50" t="n">
        <v>2025</v>
      </c>
      <c r="F169" s="50" t="inlineStr">
        <is>
          <t>2026-05-11</t>
        </is>
      </c>
      <c r="G169" s="50" t="inlineStr">
        <is>
          <t>2025-06-30</t>
        </is>
      </c>
      <c r="H169" t="inlineStr">
        <is>
          <t>Edward Lamade</t>
        </is>
      </c>
      <c r="I169" t="inlineStr">
        <is>
          <t>INVESTMENT DIRECTOR</t>
        </is>
      </c>
      <c r="J169" t="inlineStr">
        <is>
          <t>Director of Investments</t>
        </is>
      </c>
      <c r="K169" t="inlineStr">
        <is>
          <t>Sr Investment Professional</t>
        </is>
      </c>
      <c r="L169" s="28" t="n">
        <v>361632</v>
      </c>
      <c r="M169" s="28" t="n">
        <v>175000</v>
      </c>
      <c r="N169" s="28" t="n">
        <v>180</v>
      </c>
      <c r="O169" s="28" t="n">
        <v>50663</v>
      </c>
      <c r="P169" s="28" t="n">
        <v>38192</v>
      </c>
      <c r="Q169" s="28" t="n">
        <v>625667</v>
      </c>
      <c r="R169" s="28" t="n">
        <v>0</v>
      </c>
      <c r="S169" s="28">
        <f>Q169-R169</f>
        <v/>
      </c>
      <c r="T169" s="28">
        <f>IF(S169="","",S169*(1+in_GrowthRate)^(YEARFRAC(DATE(2025,6,30),in_AgeToDate)*IF(in_AgeToDate&lt;DATE(2025,6,30),-1,1)+1))</f>
        <v/>
      </c>
      <c r="U169" s="50">
        <f>IF(AND(AND(OR(in_Mode="All Funds",AND(C169&gt;=in_BandFloor,C169&lt;=in_BandCeiling,OR(in_Geography="National",COUNTIFS(lst_GeoPreset,in_Geography,lst_GeoState,B169)&gt;0,AND(in_Geography="Custom",ISNUMBER(SEARCH(B169,SUBSTITUTE(in_CustomStates," ",""))))),OR(AND(D169="Endowment",Inputs!$B$14="Y"),AND(D169="Foundation",Inputs!$B$15="Y"),AND(D169="Healthcare",Inputs!$B$16="Y"),AND(D169="Pension",Inputs!$B$17="Y"),AND(D169="OCIO",Inputs!$B$18="Y"),AND(D169="Other",Inputs!$B$19="Y")))),A169&lt;&gt;in_ClientOrg,NOT(AND(in_ExclHarvard="Y",ISNUMBER(SEARCH("Harvard",A169))))),$AD169="Y",K169&lt;&gt;"",S169&gt;0),"Y","")</f>
        <v/>
      </c>
      <c r="V169" s="30" t="n">
        <v>0.6150536344833553</v>
      </c>
      <c r="W169" t="inlineStr"/>
      <c r="X169" s="28">
        <f>IF(L169+M169=0,"",L169+M169)</f>
        <v/>
      </c>
      <c r="Y169" s="38">
        <f>IF(L169=0,"",M169/L169)</f>
        <v/>
      </c>
      <c r="Z169" t="inlineStr">
        <is>
          <t>Director &amp; Investment Officer</t>
        </is>
      </c>
      <c r="AA169" t="inlineStr">
        <is>
          <t>Investments</t>
        </is>
      </c>
      <c r="AB169" s="50" t="inlineStr"/>
      <c r="AC169" s="43">
        <f>HYPERLINK("https://projects.propublica.org/nonprofits/organizations/530196523/202601319349306125/full","view filing")</f>
        <v/>
      </c>
      <c r="AD169" s="50" t="inlineStr">
        <is>
          <t>Y</t>
        </is>
      </c>
    </row>
    <row r="170">
      <c r="A170" t="inlineStr">
        <is>
          <t>Carnegie Institution Of Washington</t>
        </is>
      </c>
      <c r="B170" s="50" t="inlineStr">
        <is>
          <t>DC</t>
        </is>
      </c>
      <c r="C170" s="52" t="n">
        <v>0.99</v>
      </c>
      <c r="D170" t="inlineStr">
        <is>
          <t>Other</t>
        </is>
      </c>
      <c r="E170" s="50" t="n">
        <v>2025</v>
      </c>
      <c r="F170" s="50" t="inlineStr">
        <is>
          <t>2026-05-11</t>
        </is>
      </c>
      <c r="G170" s="50" t="inlineStr">
        <is>
          <t>2025-06-30</t>
        </is>
      </c>
      <c r="H170" t="inlineStr">
        <is>
          <t>Michael Stambaugh</t>
        </is>
      </c>
      <c r="I170" t="inlineStr">
        <is>
          <t>CHIEF INVESTMENT OFFICER</t>
        </is>
      </c>
      <c r="J170" t="inlineStr">
        <is>
          <t>CIO</t>
        </is>
      </c>
      <c r="K170" t="inlineStr">
        <is>
          <t>CIO - Top Investment Executive</t>
        </is>
      </c>
      <c r="L170" s="28" t="n">
        <v>581825</v>
      </c>
      <c r="M170" s="28" t="n">
        <v>368670</v>
      </c>
      <c r="N170" s="28" t="n">
        <v>3096</v>
      </c>
      <c r="O170" s="28" t="n">
        <v>60185</v>
      </c>
      <c r="P170" s="28" t="n">
        <v>3480</v>
      </c>
      <c r="Q170" s="28" t="n">
        <v>1017256</v>
      </c>
      <c r="R170" s="28" t="n">
        <v>0</v>
      </c>
      <c r="S170" s="28">
        <f>Q170-R170</f>
        <v/>
      </c>
      <c r="T170" s="28">
        <f>IF(S170="","",S170*(1+in_GrowthRate)^(YEARFRAC(DATE(2025,6,30),in_AgeToDate)*IF(in_AgeToDate&lt;DATE(2025,6,30),-1,1)+1))</f>
        <v/>
      </c>
      <c r="U170" s="50">
        <f>IF(AND(AND(OR(in_Mode="All Funds",AND(C170&gt;=in_BandFloor,C170&lt;=in_BandCeiling,OR(in_Geography="National",COUNTIFS(lst_GeoPreset,in_Geography,lst_GeoState,B170)&gt;0,AND(in_Geography="Custom",ISNUMBER(SEARCH(B170,SUBSTITUTE(in_CustomStates," ",""))))),OR(AND(D170="Endowment",Inputs!$B$14="Y"),AND(D170="Foundation",Inputs!$B$15="Y"),AND(D170="Healthcare",Inputs!$B$16="Y"),AND(D170="Pension",Inputs!$B$17="Y"),AND(D170="OCIO",Inputs!$B$18="Y"),AND(D170="Other",Inputs!$B$19="Y")))),A170&lt;&gt;in_ClientOrg,NOT(AND(in_ExclHarvard="Y",ISNUMBER(SEARCH("Harvard",A170))))),$AD170="Y",K170&lt;&gt;"",S170&gt;0),"Y","")</f>
        <v/>
      </c>
      <c r="V170" s="30" t="n">
        <v>1</v>
      </c>
      <c r="W170" t="inlineStr"/>
      <c r="X170" s="28">
        <f>IF(L170+M170=0,"",L170+M170)</f>
        <v/>
      </c>
      <c r="Y170" s="38">
        <f>IF(L170=0,"",M170/L170)</f>
        <v/>
      </c>
      <c r="Z170" t="inlineStr">
        <is>
          <t>CIO - Top Investment Executive</t>
        </is>
      </c>
      <c r="AA170" t="inlineStr">
        <is>
          <t>Leadership</t>
        </is>
      </c>
      <c r="AB170" s="50" t="inlineStr">
        <is>
          <t>Y</t>
        </is>
      </c>
      <c r="AC170" s="43">
        <f>HYPERLINK("https://projects.propublica.org/nonprofits/organizations/530196523/202601319349306125/full","view filing")</f>
        <v/>
      </c>
      <c r="AD170" s="50" t="inlineStr">
        <is>
          <t>Y</t>
        </is>
      </c>
    </row>
    <row r="171">
      <c r="A171" t="inlineStr">
        <is>
          <t>Carnegie Institution Of Washington</t>
        </is>
      </c>
      <c r="B171" s="50" t="inlineStr">
        <is>
          <t>DC</t>
        </is>
      </c>
      <c r="C171" s="52" t="n">
        <v>0.99</v>
      </c>
      <c r="D171" t="inlineStr">
        <is>
          <t>Other</t>
        </is>
      </c>
      <c r="E171" s="50" t="n">
        <v>2024</v>
      </c>
      <c r="F171" s="50" t="inlineStr">
        <is>
          <t>2025-05-14</t>
        </is>
      </c>
      <c r="G171" s="50" t="inlineStr">
        <is>
          <t>2024-06-30</t>
        </is>
      </c>
      <c r="H171" t="inlineStr">
        <is>
          <t>Edward Lamade</t>
        </is>
      </c>
      <c r="I171" t="inlineStr">
        <is>
          <t>INVESTMENT DIRECTOR</t>
        </is>
      </c>
      <c r="J171" t="inlineStr">
        <is>
          <t>Director of Investments</t>
        </is>
      </c>
      <c r="K171" t="inlineStr">
        <is>
          <t>Sr Investment Professional</t>
        </is>
      </c>
      <c r="L171" s="28" t="n">
        <v>342880</v>
      </c>
      <c r="M171" s="28" t="n">
        <v>145000</v>
      </c>
      <c r="N171" s="28" t="n">
        <v>180</v>
      </c>
      <c r="O171" s="28" t="n">
        <v>47768</v>
      </c>
      <c r="P171" s="28" t="n">
        <v>38835</v>
      </c>
      <c r="Q171" s="28" t="n">
        <v>574663</v>
      </c>
      <c r="R171" s="28" t="n">
        <v>0</v>
      </c>
      <c r="S171" s="28">
        <f>Q171-R171</f>
        <v/>
      </c>
      <c r="T171" s="28">
        <f>IF(S171="","",S171*(1+in_GrowthRate)^(YEARFRAC(DATE(2024,6,30),in_AgeToDate)*IF(in_AgeToDate&lt;DATE(2024,6,30),-1,1)+1))</f>
        <v/>
      </c>
      <c r="U171" s="50">
        <f>IF(AND(AND(OR(in_Mode="All Funds",AND(C171&gt;=in_BandFloor,C171&lt;=in_BandCeiling,OR(in_Geography="National",COUNTIFS(lst_GeoPreset,in_Geography,lst_GeoState,B171)&gt;0,AND(in_Geography="Custom",ISNUMBER(SEARCH(B171,SUBSTITUTE(in_CustomStates," ",""))))),OR(AND(D171="Endowment",Inputs!$B$14="Y"),AND(D171="Foundation",Inputs!$B$15="Y"),AND(D171="Healthcare",Inputs!$B$16="Y"),AND(D171="Pension",Inputs!$B$17="Y"),AND(D171="OCIO",Inputs!$B$18="Y"),AND(D171="Other",Inputs!$B$19="Y")))),A171&lt;&gt;in_ClientOrg,NOT(AND(in_ExclHarvard="Y",ISNUMBER(SEARCH("Harvard",A171))))),$AD171="Y",K171&lt;&gt;"",S171&gt;0),"Y","")</f>
        <v/>
      </c>
      <c r="V171" s="30" t="n">
        <v>0.5325243483176262</v>
      </c>
      <c r="W171" t="inlineStr"/>
      <c r="X171" s="28">
        <f>IF(L171+M171=0,"",L171+M171)</f>
        <v/>
      </c>
      <c r="Y171" s="38">
        <f>IF(L171=0,"",M171/L171)</f>
        <v/>
      </c>
      <c r="Z171" t="inlineStr">
        <is>
          <t>Director &amp; Investment Officer</t>
        </is>
      </c>
      <c r="AA171" t="inlineStr">
        <is>
          <t>Investments</t>
        </is>
      </c>
      <c r="AB171" s="50" t="inlineStr"/>
      <c r="AC171" s="43">
        <f>HYPERLINK("https://projects.propublica.org/nonprofits/organizations/530196523/202501349349312655/full","view filing")</f>
        <v/>
      </c>
      <c r="AD171" s="50" t="inlineStr"/>
    </row>
    <row r="172">
      <c r="A172" t="inlineStr">
        <is>
          <t>Carnegie Institution Of Washington</t>
        </is>
      </c>
      <c r="B172" s="50" t="inlineStr">
        <is>
          <t>DC</t>
        </is>
      </c>
      <c r="C172" s="52" t="n">
        <v>0.99</v>
      </c>
      <c r="D172" t="inlineStr">
        <is>
          <t>Other</t>
        </is>
      </c>
      <c r="E172" s="50" t="n">
        <v>2024</v>
      </c>
      <c r="F172" s="50" t="inlineStr">
        <is>
          <t>2025-05-14</t>
        </is>
      </c>
      <c r="G172" s="50" t="inlineStr">
        <is>
          <t>2024-06-30</t>
        </is>
      </c>
      <c r="H172" t="inlineStr">
        <is>
          <t>Michael Stambaugh</t>
        </is>
      </c>
      <c r="I172" t="inlineStr">
        <is>
          <t>CHIEF INVESTMENT OFFICER</t>
        </is>
      </c>
      <c r="J172" t="inlineStr">
        <is>
          <t>CIO</t>
        </is>
      </c>
      <c r="K172" t="inlineStr">
        <is>
          <t>CIO - Top Investment Executive</t>
        </is>
      </c>
      <c r="L172" s="28" t="n">
        <v>568074</v>
      </c>
      <c r="M172" s="28" t="n">
        <v>448000</v>
      </c>
      <c r="N172" s="28" t="n">
        <v>3096</v>
      </c>
      <c r="O172" s="28" t="n">
        <v>56760</v>
      </c>
      <c r="P172" s="28" t="n">
        <v>3200</v>
      </c>
      <c r="Q172" s="28" t="n">
        <v>1079130</v>
      </c>
      <c r="R172" s="28" t="n">
        <v>0</v>
      </c>
      <c r="S172" s="28">
        <f>Q172-R172</f>
        <v/>
      </c>
      <c r="T172" s="28">
        <f>IF(S172="","",S172*(1+in_GrowthRate)^(YEARFRAC(DATE(2024,6,30),in_AgeToDate)*IF(in_AgeToDate&lt;DATE(2024,6,30),-1,1)+1))</f>
        <v/>
      </c>
      <c r="U172" s="50">
        <f>IF(AND(AND(OR(in_Mode="All Funds",AND(C172&gt;=in_BandFloor,C172&lt;=in_BandCeiling,OR(in_Geography="National",COUNTIFS(lst_GeoPreset,in_Geography,lst_GeoState,B172)&gt;0,AND(in_Geography="Custom",ISNUMBER(SEARCH(B172,SUBSTITUTE(in_CustomStates," ",""))))),OR(AND(D172="Endowment",Inputs!$B$14="Y"),AND(D172="Foundation",Inputs!$B$15="Y"),AND(D172="Healthcare",Inputs!$B$16="Y"),AND(D172="Pension",Inputs!$B$17="Y"),AND(D172="OCIO",Inputs!$B$18="Y"),AND(D172="Other",Inputs!$B$19="Y")))),A172&lt;&gt;in_ClientOrg,NOT(AND(in_ExclHarvard="Y",ISNUMBER(SEARCH("Harvard",A172))))),$AD172="Y",K172&lt;&gt;"",S172&gt;0),"Y","")</f>
        <v/>
      </c>
      <c r="V172" s="30" t="n">
        <v>1</v>
      </c>
      <c r="W172" t="inlineStr"/>
      <c r="X172" s="28">
        <f>IF(L172+M172=0,"",L172+M172)</f>
        <v/>
      </c>
      <c r="Y172" s="38">
        <f>IF(L172=0,"",M172/L172)</f>
        <v/>
      </c>
      <c r="Z172" t="inlineStr">
        <is>
          <t>CIO - Top Investment Executive</t>
        </is>
      </c>
      <c r="AA172" t="inlineStr">
        <is>
          <t>Leadership</t>
        </is>
      </c>
      <c r="AB172" s="50" t="inlineStr">
        <is>
          <t>Y</t>
        </is>
      </c>
      <c r="AC172" s="43">
        <f>HYPERLINK("https://projects.propublica.org/nonprofits/organizations/530196523/202501349349312655/full","view filing")</f>
        <v/>
      </c>
      <c r="AD172" s="50" t="inlineStr"/>
    </row>
    <row r="173">
      <c r="A173" t="inlineStr">
        <is>
          <t>Carnegie Institution Of Washington</t>
        </is>
      </c>
      <c r="B173" s="50" t="inlineStr">
        <is>
          <t>DC</t>
        </is>
      </c>
      <c r="C173" s="52" t="n">
        <v>0.99</v>
      </c>
      <c r="D173" t="inlineStr">
        <is>
          <t>Other</t>
        </is>
      </c>
      <c r="E173" s="50" t="n">
        <v>2023</v>
      </c>
      <c r="F173" s="50" t="inlineStr">
        <is>
          <t>2024-05-14</t>
        </is>
      </c>
      <c r="G173" s="50" t="inlineStr">
        <is>
          <t>2023-06-30</t>
        </is>
      </c>
      <c r="H173" t="inlineStr">
        <is>
          <t>Edward Lamade</t>
        </is>
      </c>
      <c r="I173" t="inlineStr">
        <is>
          <t>INVESTMENT DIRECTOR</t>
        </is>
      </c>
      <c r="J173" t="inlineStr">
        <is>
          <t>Director of Investments</t>
        </is>
      </c>
      <c r="K173" t="inlineStr">
        <is>
          <t>Sr Investment Professional</t>
        </is>
      </c>
      <c r="L173" s="28" t="n">
        <v>326632</v>
      </c>
      <c r="M173" s="28" t="n">
        <v>0</v>
      </c>
      <c r="N173" s="28" t="n">
        <v>180</v>
      </c>
      <c r="O173" s="28" t="n">
        <v>0</v>
      </c>
      <c r="P173" s="28" t="n">
        <v>31607</v>
      </c>
      <c r="Q173" s="28" t="n">
        <v>358419</v>
      </c>
      <c r="R173" s="28" t="n">
        <v>0</v>
      </c>
      <c r="S173" s="28">
        <f>Q173-R173</f>
        <v/>
      </c>
      <c r="T173" s="28">
        <f>IF(S173="","",S173*(1+in_GrowthRate)^(YEARFRAC(DATE(2023,6,30),in_AgeToDate)*IF(in_AgeToDate&lt;DATE(2023,6,30),-1,1)+1))</f>
        <v/>
      </c>
      <c r="U173" s="50">
        <f>IF(AND(AND(OR(in_Mode="All Funds",AND(C173&gt;=in_BandFloor,C173&lt;=in_BandCeiling,OR(in_Geography="National",COUNTIFS(lst_GeoPreset,in_Geography,lst_GeoState,B173)&gt;0,AND(in_Geography="Custom",ISNUMBER(SEARCH(B173,SUBSTITUTE(in_CustomStates," ",""))))),OR(AND(D173="Endowment",Inputs!$B$14="Y"),AND(D173="Foundation",Inputs!$B$15="Y"),AND(D173="Healthcare",Inputs!$B$16="Y"),AND(D173="Pension",Inputs!$B$17="Y"),AND(D173="OCIO",Inputs!$B$18="Y"),AND(D173="Other",Inputs!$B$19="Y")))),A173&lt;&gt;in_ClientOrg,NOT(AND(in_ExclHarvard="Y",ISNUMBER(SEARCH("Harvard",A173))))),$AD173="Y",K173&lt;&gt;"",S173&gt;0),"Y","")</f>
        <v/>
      </c>
      <c r="V173" s="30" t="n">
        <v>0.3198898651874925</v>
      </c>
      <c r="W173" t="inlineStr"/>
      <c r="X173" s="28">
        <f>IF(L173+M173=0,"",L173+M173)</f>
        <v/>
      </c>
      <c r="Y173" s="38">
        <f>IF(L173=0,"",M173/L173)</f>
        <v/>
      </c>
      <c r="Z173" t="inlineStr">
        <is>
          <t>Director &amp; Investment Officer</t>
        </is>
      </c>
      <c r="AA173" t="inlineStr">
        <is>
          <t>Investments</t>
        </is>
      </c>
      <c r="AB173" s="50" t="inlineStr"/>
      <c r="AC173" s="43">
        <f>HYPERLINK("https://projects.propublica.org/nonprofits/organizations/530196523/202431359349308223/full","view filing")</f>
        <v/>
      </c>
      <c r="AD173" s="50" t="inlineStr"/>
    </row>
    <row r="174">
      <c r="A174" t="inlineStr">
        <is>
          <t>Carnegie Institution Of Washington</t>
        </is>
      </c>
      <c r="B174" s="50" t="inlineStr">
        <is>
          <t>DC</t>
        </is>
      </c>
      <c r="C174" s="52" t="n">
        <v>0.99</v>
      </c>
      <c r="D174" t="inlineStr">
        <is>
          <t>Other</t>
        </is>
      </c>
      <c r="E174" s="50" t="n">
        <v>2023</v>
      </c>
      <c r="F174" s="50" t="inlineStr">
        <is>
          <t>2024-05-14</t>
        </is>
      </c>
      <c r="G174" s="50" t="inlineStr">
        <is>
          <t>2023-06-30</t>
        </is>
      </c>
      <c r="H174" t="inlineStr">
        <is>
          <t>Michael Stambaugh</t>
        </is>
      </c>
      <c r="I174" t="inlineStr">
        <is>
          <t>CHIEF INVESTMENT OFFICER</t>
        </is>
      </c>
      <c r="J174" t="inlineStr">
        <is>
          <t>CIO</t>
        </is>
      </c>
      <c r="K174" t="inlineStr">
        <is>
          <t>CIO - Top Investment Executive</t>
        </is>
      </c>
      <c r="L174" s="28" t="n">
        <v>540850</v>
      </c>
      <c r="M174" s="28" t="n">
        <v>525000</v>
      </c>
      <c r="N174" s="28" t="n">
        <v>431</v>
      </c>
      <c r="O174" s="28" t="n">
        <v>51713</v>
      </c>
      <c r="P174" s="28" t="n">
        <v>2451</v>
      </c>
      <c r="Q174" s="28" t="n">
        <v>1120445</v>
      </c>
      <c r="R174" s="28" t="n">
        <v>0</v>
      </c>
      <c r="S174" s="28">
        <f>Q174-R174</f>
        <v/>
      </c>
      <c r="T174" s="28">
        <f>IF(S174="","",S174*(1+in_GrowthRate)^(YEARFRAC(DATE(2023,6,30),in_AgeToDate)*IF(in_AgeToDate&lt;DATE(2023,6,30),-1,1)+1))</f>
        <v/>
      </c>
      <c r="U174" s="50">
        <f>IF(AND(AND(OR(in_Mode="All Funds",AND(C174&gt;=in_BandFloor,C174&lt;=in_BandCeiling,OR(in_Geography="National",COUNTIFS(lst_GeoPreset,in_Geography,lst_GeoState,B174)&gt;0,AND(in_Geography="Custom",ISNUMBER(SEARCH(B174,SUBSTITUTE(in_CustomStates," ",""))))),OR(AND(D174="Endowment",Inputs!$B$14="Y"),AND(D174="Foundation",Inputs!$B$15="Y"),AND(D174="Healthcare",Inputs!$B$16="Y"),AND(D174="Pension",Inputs!$B$17="Y"),AND(D174="OCIO",Inputs!$B$18="Y"),AND(D174="Other",Inputs!$B$19="Y")))),A174&lt;&gt;in_ClientOrg,NOT(AND(in_ExclHarvard="Y",ISNUMBER(SEARCH("Harvard",A174))))),$AD174="Y",K174&lt;&gt;"",S174&gt;0),"Y","")</f>
        <v/>
      </c>
      <c r="V174" s="30" t="n">
        <v>1</v>
      </c>
      <c r="W174" t="inlineStr"/>
      <c r="X174" s="28">
        <f>IF(L174+M174=0,"",L174+M174)</f>
        <v/>
      </c>
      <c r="Y174" s="38">
        <f>IF(L174=0,"",M174/L174)</f>
        <v/>
      </c>
      <c r="Z174" t="inlineStr">
        <is>
          <t>CIO - Top Investment Executive</t>
        </is>
      </c>
      <c r="AA174" t="inlineStr">
        <is>
          <t>Leadership</t>
        </is>
      </c>
      <c r="AB174" s="50" t="inlineStr">
        <is>
          <t>Y</t>
        </is>
      </c>
      <c r="AC174" s="43">
        <f>HYPERLINK("https://projects.propublica.org/nonprofits/organizations/530196523/202431359349308223/full","view filing")</f>
        <v/>
      </c>
      <c r="AD174" s="50" t="inlineStr"/>
    </row>
    <row r="175">
      <c r="A175" t="inlineStr">
        <is>
          <t>Carnegie Institution Of Washington</t>
        </is>
      </c>
      <c r="B175" s="50" t="inlineStr">
        <is>
          <t>DC</t>
        </is>
      </c>
      <c r="C175" s="52" t="n">
        <v>0.99</v>
      </c>
      <c r="D175" t="inlineStr">
        <is>
          <t>Other</t>
        </is>
      </c>
      <c r="E175" s="50" t="n">
        <v>2022</v>
      </c>
      <c r="F175" s="50" t="inlineStr">
        <is>
          <t>2023-05-12</t>
        </is>
      </c>
      <c r="G175" s="50" t="inlineStr">
        <is>
          <t>2022-06-30</t>
        </is>
      </c>
      <c r="H175" t="inlineStr">
        <is>
          <t>Edward Lamade</t>
        </is>
      </c>
      <c r="I175" t="inlineStr">
        <is>
          <t>INVESTMENT DIRECTOR</t>
        </is>
      </c>
      <c r="J175" t="inlineStr">
        <is>
          <t>Director of Investments</t>
        </is>
      </c>
      <c r="K175" t="inlineStr">
        <is>
          <t>Sr Investment Professional</t>
        </is>
      </c>
      <c r="L175" s="28" t="n">
        <v>319568</v>
      </c>
      <c r="M175" s="28" t="n">
        <v>75000</v>
      </c>
      <c r="N175" s="28" t="n">
        <v>188</v>
      </c>
      <c r="O175" s="28" t="n">
        <v>43889</v>
      </c>
      <c r="P175" s="28" t="n">
        <v>28789</v>
      </c>
      <c r="Q175" s="28" t="n">
        <v>467434</v>
      </c>
      <c r="R175" s="28" t="n">
        <v>0</v>
      </c>
      <c r="S175" s="28">
        <f>Q175-R175</f>
        <v/>
      </c>
      <c r="T175" s="28">
        <f>IF(S175="","",S175*(1+in_GrowthRate)^(YEARFRAC(DATE(2022,6,30),in_AgeToDate)*IF(in_AgeToDate&lt;DATE(2022,6,30),-1,1)+1))</f>
        <v/>
      </c>
      <c r="U175" s="50">
        <f>IF(AND(AND(OR(in_Mode="All Funds",AND(C175&gt;=in_BandFloor,C175&lt;=in_BandCeiling,OR(in_Geography="National",COUNTIFS(lst_GeoPreset,in_Geography,lst_GeoState,B175)&gt;0,AND(in_Geography="Custom",ISNUMBER(SEARCH(B175,SUBSTITUTE(in_CustomStates," ",""))))),OR(AND(D175="Endowment",Inputs!$B$14="Y"),AND(D175="Foundation",Inputs!$B$15="Y"),AND(D175="Healthcare",Inputs!$B$16="Y"),AND(D175="Pension",Inputs!$B$17="Y"),AND(D175="OCIO",Inputs!$B$18="Y"),AND(D175="Other",Inputs!$B$19="Y")))),A175&lt;&gt;in_ClientOrg,NOT(AND(in_ExclHarvard="Y",ISNUMBER(SEARCH("Harvard",A175))))),$AD175="Y",K175&lt;&gt;"",S175&gt;0),"Y","")</f>
        <v/>
      </c>
      <c r="V175" s="30" t="n">
        <v>0.4505353211734271</v>
      </c>
      <c r="W175" t="inlineStr"/>
      <c r="X175" s="28">
        <f>IF(L175+M175=0,"",L175+M175)</f>
        <v/>
      </c>
      <c r="Y175" s="38">
        <f>IF(L175=0,"",M175/L175)</f>
        <v/>
      </c>
      <c r="Z175" t="inlineStr">
        <is>
          <t>Director &amp; Investment Officer</t>
        </is>
      </c>
      <c r="AA175" t="inlineStr">
        <is>
          <t>Investments</t>
        </is>
      </c>
      <c r="AB175" s="50" t="inlineStr"/>
      <c r="AC175" s="43">
        <f>HYPERLINK("https://projects.propublica.org/nonprofits/organizations/530196523/202341329349301699/full","view filing")</f>
        <v/>
      </c>
      <c r="AD175" s="50" t="inlineStr"/>
    </row>
    <row r="176">
      <c r="A176" t="inlineStr">
        <is>
          <t>Carnegie Institution Of Washington</t>
        </is>
      </c>
      <c r="B176" s="50" t="inlineStr">
        <is>
          <t>DC</t>
        </is>
      </c>
      <c r="C176" s="52" t="n">
        <v>0.99</v>
      </c>
      <c r="D176" t="inlineStr">
        <is>
          <t>Other</t>
        </is>
      </c>
      <c r="E176" s="50" t="n">
        <v>2022</v>
      </c>
      <c r="F176" s="50" t="inlineStr">
        <is>
          <t>2023-05-12</t>
        </is>
      </c>
      <c r="G176" s="50" t="inlineStr">
        <is>
          <t>2022-06-30</t>
        </is>
      </c>
      <c r="H176" t="inlineStr">
        <is>
          <t>Michael Stambaugh</t>
        </is>
      </c>
      <c r="I176" t="inlineStr">
        <is>
          <t>CHIEF INVESTMENT OFFICER</t>
        </is>
      </c>
      <c r="J176" t="inlineStr">
        <is>
          <t>CIO</t>
        </is>
      </c>
      <c r="K176" t="inlineStr">
        <is>
          <t>CIO - Top Investment Executive</t>
        </is>
      </c>
      <c r="L176" s="28" t="n">
        <v>522548</v>
      </c>
      <c r="M176" s="28" t="n">
        <v>462656</v>
      </c>
      <c r="N176" s="28" t="n">
        <v>414</v>
      </c>
      <c r="O176" s="28" t="n">
        <v>48459</v>
      </c>
      <c r="P176" s="28" t="n">
        <v>3431</v>
      </c>
      <c r="Q176" s="28" t="n">
        <v>1037508</v>
      </c>
      <c r="R176" s="28" t="n">
        <v>0</v>
      </c>
      <c r="S176" s="28">
        <f>Q176-R176</f>
        <v/>
      </c>
      <c r="T176" s="28">
        <f>IF(S176="","",S176*(1+in_GrowthRate)^(YEARFRAC(DATE(2022,6,30),in_AgeToDate)*IF(in_AgeToDate&lt;DATE(2022,6,30),-1,1)+1))</f>
        <v/>
      </c>
      <c r="U176" s="50">
        <f>IF(AND(AND(OR(in_Mode="All Funds",AND(C176&gt;=in_BandFloor,C176&lt;=in_BandCeiling,OR(in_Geography="National",COUNTIFS(lst_GeoPreset,in_Geography,lst_GeoState,B176)&gt;0,AND(in_Geography="Custom",ISNUMBER(SEARCH(B176,SUBSTITUTE(in_CustomStates," ",""))))),OR(AND(D176="Endowment",Inputs!$B$14="Y"),AND(D176="Foundation",Inputs!$B$15="Y"),AND(D176="Healthcare",Inputs!$B$16="Y"),AND(D176="Pension",Inputs!$B$17="Y"),AND(D176="OCIO",Inputs!$B$18="Y"),AND(D176="Other",Inputs!$B$19="Y")))),A176&lt;&gt;in_ClientOrg,NOT(AND(in_ExclHarvard="Y",ISNUMBER(SEARCH("Harvard",A176))))),$AD176="Y",K176&lt;&gt;"",S176&gt;0),"Y","")</f>
        <v/>
      </c>
      <c r="V176" s="30" t="n">
        <v>1</v>
      </c>
      <c r="W176" t="inlineStr"/>
      <c r="X176" s="28">
        <f>IF(L176+M176=0,"",L176+M176)</f>
        <v/>
      </c>
      <c r="Y176" s="38">
        <f>IF(L176=0,"",M176/L176)</f>
        <v/>
      </c>
      <c r="Z176" t="inlineStr">
        <is>
          <t>CIO - Top Investment Executive</t>
        </is>
      </c>
      <c r="AA176" t="inlineStr">
        <is>
          <t>Leadership</t>
        </is>
      </c>
      <c r="AB176" s="50" t="inlineStr">
        <is>
          <t>Y</t>
        </is>
      </c>
      <c r="AC176" s="43">
        <f>HYPERLINK("https://projects.propublica.org/nonprofits/organizations/530196523/202341329349301699/full","view filing")</f>
        <v/>
      </c>
      <c r="AD176" s="50" t="inlineStr"/>
    </row>
    <row r="177">
      <c r="A177" t="inlineStr">
        <is>
          <t>Carnegie Mellon University</t>
        </is>
      </c>
      <c r="B177" s="50" t="inlineStr">
        <is>
          <t>PA</t>
        </is>
      </c>
      <c r="C177" s="52" t="n">
        <v>4.29</v>
      </c>
      <c r="D177" t="inlineStr">
        <is>
          <t>Endowment</t>
        </is>
      </c>
      <c r="E177" s="50" t="n">
        <v>2025</v>
      </c>
      <c r="F177" s="50" t="inlineStr">
        <is>
          <t>2026-05-14</t>
        </is>
      </c>
      <c r="G177" s="50" t="inlineStr">
        <is>
          <t>2025-06-30</t>
        </is>
      </c>
      <c r="H177" t="inlineStr">
        <is>
          <t>Charles A Kennedy</t>
        </is>
      </c>
      <c r="I177" t="inlineStr">
        <is>
          <t>CHIEF INVESTMENT OFFICER</t>
        </is>
      </c>
      <c r="J177" t="inlineStr">
        <is>
          <t>CIO</t>
        </is>
      </c>
      <c r="K177" t="inlineStr">
        <is>
          <t>CIO - Top Investment Executive</t>
        </is>
      </c>
      <c r="L177" s="28" t="n">
        <v>543517</v>
      </c>
      <c r="M177" s="28" t="n">
        <v>924797</v>
      </c>
      <c r="N177" s="28" t="n">
        <v>49138</v>
      </c>
      <c r="O177" s="28" t="n">
        <v>689754</v>
      </c>
      <c r="P177" s="28" t="n">
        <v>36047</v>
      </c>
      <c r="Q177" s="28" t="n">
        <v>2243253</v>
      </c>
      <c r="R177" s="28" t="n">
        <v>816320</v>
      </c>
      <c r="S177" s="28">
        <f>Q177-R177</f>
        <v/>
      </c>
      <c r="T177" s="28">
        <f>IF(S177="","",S177*(1+in_GrowthRate)^(YEARFRAC(DATE(2025,6,30),in_AgeToDate)*IF(in_AgeToDate&lt;DATE(2025,6,30),-1,1)+1))</f>
        <v/>
      </c>
      <c r="U177" s="50">
        <f>IF(AND(AND(OR(in_Mode="All Funds",AND(C177&gt;=in_BandFloor,C177&lt;=in_BandCeiling,OR(in_Geography="National",COUNTIFS(lst_GeoPreset,in_Geography,lst_GeoState,B177)&gt;0,AND(in_Geography="Custom",ISNUMBER(SEARCH(B177,SUBSTITUTE(in_CustomStates," ",""))))),OR(AND(D177="Endowment",Inputs!$B$14="Y"),AND(D177="Foundation",Inputs!$B$15="Y"),AND(D177="Healthcare",Inputs!$B$16="Y"),AND(D177="Pension",Inputs!$B$17="Y"),AND(D177="OCIO",Inputs!$B$18="Y"),AND(D177="Other",Inputs!$B$19="Y")))),A177&lt;&gt;in_ClientOrg,NOT(AND(in_ExclHarvard="Y",ISNUMBER(SEARCH("Harvard",A177))))),$AD177="Y",K177&lt;&gt;"",S177&gt;0),"Y","")</f>
        <v/>
      </c>
      <c r="V177" s="30" t="n">
        <v>1</v>
      </c>
      <c r="W177" t="inlineStr"/>
      <c r="X177" s="28">
        <f>IF(L177+M177=0,"",L177+M177)</f>
        <v/>
      </c>
      <c r="Y177" s="38">
        <f>IF(L177=0,"",M177/L177)</f>
        <v/>
      </c>
      <c r="Z177" t="inlineStr">
        <is>
          <t>CIO - Top Investment Executive</t>
        </is>
      </c>
      <c r="AA177" t="inlineStr">
        <is>
          <t>Leadership</t>
        </is>
      </c>
      <c r="AB177" s="50" t="inlineStr">
        <is>
          <t>Y</t>
        </is>
      </c>
      <c r="AC177" s="43">
        <f>HYPERLINK("https://projects.propublica.org/nonprofits/organizations/250969449/202601349349302900/full","view filing")</f>
        <v/>
      </c>
      <c r="AD177" s="50" t="inlineStr">
        <is>
          <t>Y</t>
        </is>
      </c>
    </row>
    <row r="178">
      <c r="A178" t="inlineStr">
        <is>
          <t>Carnegie Mellon University</t>
        </is>
      </c>
      <c r="B178" s="50" t="inlineStr">
        <is>
          <t>PA</t>
        </is>
      </c>
      <c r="C178" s="52" t="n">
        <v>4.29</v>
      </c>
      <c r="D178" t="inlineStr">
        <is>
          <t>Endowment</t>
        </is>
      </c>
      <c r="E178" s="50" t="n">
        <v>2024</v>
      </c>
      <c r="F178" s="50" t="inlineStr">
        <is>
          <t>2025-05-14</t>
        </is>
      </c>
      <c r="G178" s="50" t="inlineStr">
        <is>
          <t>2024-06-30</t>
        </is>
      </c>
      <c r="H178" t="inlineStr">
        <is>
          <t>Charles A Kennedy</t>
        </is>
      </c>
      <c r="I178" t="inlineStr">
        <is>
          <t>CHIEF INVESTMENT OFFICER</t>
        </is>
      </c>
      <c r="J178" t="inlineStr">
        <is>
          <t>CIO</t>
        </is>
      </c>
      <c r="K178" t="inlineStr">
        <is>
          <t>CIO - Top Investment Executive</t>
        </is>
      </c>
      <c r="L178" s="28" t="n">
        <v>525150</v>
      </c>
      <c r="M178" s="28" t="n">
        <v>885236</v>
      </c>
      <c r="N178" s="28" t="n">
        <v>48195</v>
      </c>
      <c r="O178" s="28" t="n">
        <v>862196</v>
      </c>
      <c r="P178" s="28" t="n">
        <v>33944</v>
      </c>
      <c r="Q178" s="28" t="n">
        <v>2354721</v>
      </c>
      <c r="R178" s="28" t="n">
        <v>780931</v>
      </c>
      <c r="S178" s="28">
        <f>Q178-R178</f>
        <v/>
      </c>
      <c r="T178" s="28">
        <f>IF(S178="","",S178*(1+in_GrowthRate)^(YEARFRAC(DATE(2024,6,30),in_AgeToDate)*IF(in_AgeToDate&lt;DATE(2024,6,30),-1,1)+1))</f>
        <v/>
      </c>
      <c r="U178" s="50">
        <f>IF(AND(AND(OR(in_Mode="All Funds",AND(C178&gt;=in_BandFloor,C178&lt;=in_BandCeiling,OR(in_Geography="National",COUNTIFS(lst_GeoPreset,in_Geography,lst_GeoState,B178)&gt;0,AND(in_Geography="Custom",ISNUMBER(SEARCH(B178,SUBSTITUTE(in_CustomStates," ",""))))),OR(AND(D178="Endowment",Inputs!$B$14="Y"),AND(D178="Foundation",Inputs!$B$15="Y"),AND(D178="Healthcare",Inputs!$B$16="Y"),AND(D178="Pension",Inputs!$B$17="Y"),AND(D178="OCIO",Inputs!$B$18="Y"),AND(D178="Other",Inputs!$B$19="Y")))),A178&lt;&gt;in_ClientOrg,NOT(AND(in_ExclHarvard="Y",ISNUMBER(SEARCH("Harvard",A178))))),$AD178="Y",K178&lt;&gt;"",S178&gt;0),"Y","")</f>
        <v/>
      </c>
      <c r="V178" s="30" t="n">
        <v>1</v>
      </c>
      <c r="W178" t="inlineStr"/>
      <c r="X178" s="28">
        <f>IF(L178+M178=0,"",L178+M178)</f>
        <v/>
      </c>
      <c r="Y178" s="38">
        <f>IF(L178=0,"",M178/L178)</f>
        <v/>
      </c>
      <c r="Z178" t="inlineStr">
        <is>
          <t>CIO - Top Investment Executive</t>
        </is>
      </c>
      <c r="AA178" t="inlineStr">
        <is>
          <t>Leadership</t>
        </is>
      </c>
      <c r="AB178" s="50" t="inlineStr">
        <is>
          <t>Y</t>
        </is>
      </c>
      <c r="AC178" s="43">
        <f>HYPERLINK("https://projects.propublica.org/nonprofits/organizations/250969449/202541349349303374/full","view filing")</f>
        <v/>
      </c>
      <c r="AD178" s="50" t="inlineStr"/>
    </row>
    <row r="179">
      <c r="A179" t="inlineStr">
        <is>
          <t>Carnegie Mellon University</t>
        </is>
      </c>
      <c r="B179" s="50" t="inlineStr">
        <is>
          <t>PA</t>
        </is>
      </c>
      <c r="C179" s="52" t="n">
        <v>4.29</v>
      </c>
      <c r="D179" t="inlineStr">
        <is>
          <t>Endowment</t>
        </is>
      </c>
      <c r="E179" s="50" t="n">
        <v>2023</v>
      </c>
      <c r="F179" s="50" t="inlineStr">
        <is>
          <t>2024-05-13</t>
        </is>
      </c>
      <c r="G179" s="50" t="inlineStr">
        <is>
          <t>2023-06-30</t>
        </is>
      </c>
      <c r="H179" t="inlineStr">
        <is>
          <t>Charles A Kennedy</t>
        </is>
      </c>
      <c r="I179" t="inlineStr">
        <is>
          <t>CHIEF INVESTMENT OFFICER</t>
        </is>
      </c>
      <c r="J179" t="inlineStr">
        <is>
          <t>CIO</t>
        </is>
      </c>
      <c r="K179" t="inlineStr">
        <is>
          <t>CIO - Top Investment Executive</t>
        </is>
      </c>
      <c r="L179" s="28" t="n">
        <v>510311</v>
      </c>
      <c r="M179" s="28" t="n">
        <v>976658</v>
      </c>
      <c r="N179" s="28" t="n">
        <v>46657</v>
      </c>
      <c r="O179" s="28" t="n">
        <v>619566</v>
      </c>
      <c r="P179" s="28" t="n">
        <v>29536</v>
      </c>
      <c r="Q179" s="28" t="n">
        <v>2182728</v>
      </c>
      <c r="R179" s="28" t="n">
        <v>662198</v>
      </c>
      <c r="S179" s="28">
        <f>Q179-R179</f>
        <v/>
      </c>
      <c r="T179" s="28">
        <f>IF(S179="","",S179*(1+in_GrowthRate)^(YEARFRAC(DATE(2023,6,30),in_AgeToDate)*IF(in_AgeToDate&lt;DATE(2023,6,30),-1,1)+1))</f>
        <v/>
      </c>
      <c r="U179" s="50">
        <f>IF(AND(AND(OR(in_Mode="All Funds",AND(C179&gt;=in_BandFloor,C179&lt;=in_BandCeiling,OR(in_Geography="National",COUNTIFS(lst_GeoPreset,in_Geography,lst_GeoState,B179)&gt;0,AND(in_Geography="Custom",ISNUMBER(SEARCH(B179,SUBSTITUTE(in_CustomStates," ",""))))),OR(AND(D179="Endowment",Inputs!$B$14="Y"),AND(D179="Foundation",Inputs!$B$15="Y"),AND(D179="Healthcare",Inputs!$B$16="Y"),AND(D179="Pension",Inputs!$B$17="Y"),AND(D179="OCIO",Inputs!$B$18="Y"),AND(D179="Other",Inputs!$B$19="Y")))),A179&lt;&gt;in_ClientOrg,NOT(AND(in_ExclHarvard="Y",ISNUMBER(SEARCH("Harvard",A179))))),$AD179="Y",K179&lt;&gt;"",S179&gt;0),"Y","")</f>
        <v/>
      </c>
      <c r="V179" s="30" t="n">
        <v>1</v>
      </c>
      <c r="W179" t="inlineStr"/>
      <c r="X179" s="28">
        <f>IF(L179+M179=0,"",L179+M179)</f>
        <v/>
      </c>
      <c r="Y179" s="38">
        <f>IF(L179=0,"",M179/L179)</f>
        <v/>
      </c>
      <c r="Z179" t="inlineStr">
        <is>
          <t>CIO - Top Investment Executive</t>
        </is>
      </c>
      <c r="AA179" t="inlineStr">
        <is>
          <t>Leadership</t>
        </is>
      </c>
      <c r="AB179" s="50" t="inlineStr">
        <is>
          <t>Y</t>
        </is>
      </c>
      <c r="AC179" s="43">
        <f>HYPERLINK("https://projects.propublica.org/nonprofits/organizations/250969449/202421349349301302/full","view filing")</f>
        <v/>
      </c>
      <c r="AD179" s="50" t="inlineStr"/>
    </row>
    <row r="180">
      <c r="A180" t="inlineStr">
        <is>
          <t>Carnegie Mellon University</t>
        </is>
      </c>
      <c r="B180" s="50" t="inlineStr">
        <is>
          <t>PA</t>
        </is>
      </c>
      <c r="C180" s="52" t="n">
        <v>4.29</v>
      </c>
      <c r="D180" t="inlineStr">
        <is>
          <t>Endowment</t>
        </is>
      </c>
      <c r="E180" s="50" t="n">
        <v>2022</v>
      </c>
      <c r="F180" s="50" t="inlineStr">
        <is>
          <t>2023-05-11</t>
        </is>
      </c>
      <c r="G180" s="50" t="inlineStr">
        <is>
          <t>2022-06-30</t>
        </is>
      </c>
      <c r="H180" t="inlineStr">
        <is>
          <t>Charles A Kennedy</t>
        </is>
      </c>
      <c r="I180" t="inlineStr">
        <is>
          <t>CHIEF INVESTMENT OFFICER</t>
        </is>
      </c>
      <c r="J180" t="inlineStr">
        <is>
          <t>CIO</t>
        </is>
      </c>
      <c r="K180" t="inlineStr">
        <is>
          <t>CIO - Top Investment Executive</t>
        </is>
      </c>
      <c r="L180" s="28" t="n">
        <v>486827</v>
      </c>
      <c r="M180" s="28" t="n">
        <v>615072</v>
      </c>
      <c r="N180" s="28" t="n">
        <v>44728</v>
      </c>
      <c r="O180" s="28" t="n">
        <v>374306</v>
      </c>
      <c r="P180" s="28" t="n">
        <v>44327</v>
      </c>
      <c r="Q180" s="28" t="n">
        <v>1565260</v>
      </c>
      <c r="R180" s="28" t="n">
        <v>268066</v>
      </c>
      <c r="S180" s="28">
        <f>Q180-R180</f>
        <v/>
      </c>
      <c r="T180" s="28">
        <f>IF(S180="","",S180*(1+in_GrowthRate)^(YEARFRAC(DATE(2022,6,30),in_AgeToDate)*IF(in_AgeToDate&lt;DATE(2022,6,30),-1,1)+1))</f>
        <v/>
      </c>
      <c r="U180" s="50">
        <f>IF(AND(AND(OR(in_Mode="All Funds",AND(C180&gt;=in_BandFloor,C180&lt;=in_BandCeiling,OR(in_Geography="National",COUNTIFS(lst_GeoPreset,in_Geography,lst_GeoState,B180)&gt;0,AND(in_Geography="Custom",ISNUMBER(SEARCH(B180,SUBSTITUTE(in_CustomStates," ",""))))),OR(AND(D180="Endowment",Inputs!$B$14="Y"),AND(D180="Foundation",Inputs!$B$15="Y"),AND(D180="Healthcare",Inputs!$B$16="Y"),AND(D180="Pension",Inputs!$B$17="Y"),AND(D180="OCIO",Inputs!$B$18="Y"),AND(D180="Other",Inputs!$B$19="Y")))),A180&lt;&gt;in_ClientOrg,NOT(AND(in_ExclHarvard="Y",ISNUMBER(SEARCH("Harvard",A180))))),$AD180="Y",K180&lt;&gt;"",S180&gt;0),"Y","")</f>
        <v/>
      </c>
      <c r="V180" s="30" t="n">
        <v>1</v>
      </c>
      <c r="W180" t="inlineStr"/>
      <c r="X180" s="28">
        <f>IF(L180+M180=0,"",L180+M180)</f>
        <v/>
      </c>
      <c r="Y180" s="38">
        <f>IF(L180=0,"",M180/L180)</f>
        <v/>
      </c>
      <c r="Z180" t="inlineStr">
        <is>
          <t>CIO - Top Investment Executive</t>
        </is>
      </c>
      <c r="AA180" t="inlineStr">
        <is>
          <t>Leadership</t>
        </is>
      </c>
      <c r="AB180" s="50" t="inlineStr">
        <is>
          <t>Y</t>
        </is>
      </c>
      <c r="AC180" s="43">
        <f>HYPERLINK("https://projects.propublica.org/nonprofits/organizations/250969449/202321319349303482/full","view filing")</f>
        <v/>
      </c>
      <c r="AD180" s="50" t="inlineStr"/>
    </row>
    <row r="181">
      <c r="A181" t="inlineStr">
        <is>
          <t>Case Western Reserve University</t>
        </is>
      </c>
      <c r="B181" s="50" t="inlineStr">
        <is>
          <t>OH</t>
        </is>
      </c>
      <c r="C181" s="52" t="n">
        <v>2.52</v>
      </c>
      <c r="D181" t="inlineStr">
        <is>
          <t>Endowment</t>
        </is>
      </c>
      <c r="E181" s="50" t="n">
        <v>2025</v>
      </c>
      <c r="F181" s="50" t="inlineStr">
        <is>
          <t>2026-05-11</t>
        </is>
      </c>
      <c r="G181" s="50" t="inlineStr">
        <is>
          <t>2025-06-30</t>
        </is>
      </c>
      <c r="H181" t="inlineStr">
        <is>
          <t>Tim Milanich</t>
        </is>
      </c>
      <c r="I181" t="inlineStr">
        <is>
          <t>Chief Investment Officer</t>
        </is>
      </c>
      <c r="J181" t="inlineStr">
        <is>
          <t>CIO</t>
        </is>
      </c>
      <c r="K181" t="inlineStr">
        <is>
          <t>CIO - Top Investment Executive</t>
        </is>
      </c>
      <c r="L181" s="28" t="n">
        <v>471204</v>
      </c>
      <c r="M181" s="28" t="n">
        <v>302027</v>
      </c>
      <c r="N181" s="28" t="n">
        <v>1542</v>
      </c>
      <c r="O181" s="28" t="n">
        <v>37212</v>
      </c>
      <c r="P181" s="28" t="n">
        <v>19939</v>
      </c>
      <c r="Q181" s="28" t="n">
        <v>831924</v>
      </c>
      <c r="R181" s="28" t="n">
        <v>0</v>
      </c>
      <c r="S181" s="28">
        <f>Q181-R181</f>
        <v/>
      </c>
      <c r="T181" s="28">
        <f>IF(S181="","",S181*(1+in_GrowthRate)^(YEARFRAC(DATE(2025,6,30),in_AgeToDate)*IF(in_AgeToDate&lt;DATE(2025,6,30),-1,1)+1))</f>
        <v/>
      </c>
      <c r="U181" s="50">
        <f>IF(AND(AND(OR(in_Mode="All Funds",AND(C181&gt;=in_BandFloor,C181&lt;=in_BandCeiling,OR(in_Geography="National",COUNTIFS(lst_GeoPreset,in_Geography,lst_GeoState,B181)&gt;0,AND(in_Geography="Custom",ISNUMBER(SEARCH(B181,SUBSTITUTE(in_CustomStates," ",""))))),OR(AND(D181="Endowment",Inputs!$B$14="Y"),AND(D181="Foundation",Inputs!$B$15="Y"),AND(D181="Healthcare",Inputs!$B$16="Y"),AND(D181="Pension",Inputs!$B$17="Y"),AND(D181="OCIO",Inputs!$B$18="Y"),AND(D181="Other",Inputs!$B$19="Y")))),A181&lt;&gt;in_ClientOrg,NOT(AND(in_ExclHarvard="Y",ISNUMBER(SEARCH("Harvard",A181))))),$AD181="Y",K181&lt;&gt;"",S181&gt;0),"Y","")</f>
        <v/>
      </c>
      <c r="V181" s="30" t="n">
        <v>1</v>
      </c>
      <c r="W181" t="inlineStr"/>
      <c r="X181" s="28">
        <f>IF(L181+M181=0,"",L181+M181)</f>
        <v/>
      </c>
      <c r="Y181" s="38">
        <f>IF(L181=0,"",M181/L181)</f>
        <v/>
      </c>
      <c r="Z181" t="inlineStr">
        <is>
          <t>CIO - Top Investment Executive</t>
        </is>
      </c>
      <c r="AA181" t="inlineStr">
        <is>
          <t>Leadership</t>
        </is>
      </c>
      <c r="AB181" s="50" t="inlineStr">
        <is>
          <t>Y</t>
        </is>
      </c>
      <c r="AC181" s="43">
        <f>HYPERLINK("https://projects.propublica.org/nonprofits/organizations/341018992/202601319349303805/full","view filing")</f>
        <v/>
      </c>
      <c r="AD181" s="50" t="inlineStr">
        <is>
          <t>Y</t>
        </is>
      </c>
    </row>
    <row r="182">
      <c r="A182" t="inlineStr">
        <is>
          <t>Case Western Reserve University</t>
        </is>
      </c>
      <c r="B182" s="50" t="inlineStr">
        <is>
          <t>OH</t>
        </is>
      </c>
      <c r="C182" s="52" t="n">
        <v>2.52</v>
      </c>
      <c r="D182" t="inlineStr">
        <is>
          <t>Endowment</t>
        </is>
      </c>
      <c r="E182" s="50" t="n">
        <v>2024</v>
      </c>
      <c r="F182" s="50" t="inlineStr">
        <is>
          <t>2025-05-13</t>
        </is>
      </c>
      <c r="G182" s="50" t="inlineStr">
        <is>
          <t>2024-06-30</t>
        </is>
      </c>
      <c r="H182" t="inlineStr">
        <is>
          <t>Tim Milanich</t>
        </is>
      </c>
      <c r="I182" t="inlineStr">
        <is>
          <t>Chief Investment Officer</t>
        </is>
      </c>
      <c r="J182" t="inlineStr">
        <is>
          <t>CIO</t>
        </is>
      </c>
      <c r="K182" t="inlineStr">
        <is>
          <t>CIO - Top Investment Executive</t>
        </is>
      </c>
      <c r="L182" s="28" t="n">
        <v>448725</v>
      </c>
      <c r="M182" s="28" t="n">
        <v>315164</v>
      </c>
      <c r="N182" s="28" t="n">
        <v>1110</v>
      </c>
      <c r="O182" s="28" t="n">
        <v>35028</v>
      </c>
      <c r="P182" s="28" t="n">
        <v>19040</v>
      </c>
      <c r="Q182" s="28" t="n">
        <v>819067</v>
      </c>
      <c r="R182" s="28" t="n">
        <v>0</v>
      </c>
      <c r="S182" s="28">
        <f>Q182-R182</f>
        <v/>
      </c>
      <c r="T182" s="28">
        <f>IF(S182="","",S182*(1+in_GrowthRate)^(YEARFRAC(DATE(2024,6,30),in_AgeToDate)*IF(in_AgeToDate&lt;DATE(2024,6,30),-1,1)+1))</f>
        <v/>
      </c>
      <c r="U182" s="50">
        <f>IF(AND(AND(OR(in_Mode="All Funds",AND(C182&gt;=in_BandFloor,C182&lt;=in_BandCeiling,OR(in_Geography="National",COUNTIFS(lst_GeoPreset,in_Geography,lst_GeoState,B182)&gt;0,AND(in_Geography="Custom",ISNUMBER(SEARCH(B182,SUBSTITUTE(in_CustomStates," ",""))))),OR(AND(D182="Endowment",Inputs!$B$14="Y"),AND(D182="Foundation",Inputs!$B$15="Y"),AND(D182="Healthcare",Inputs!$B$16="Y"),AND(D182="Pension",Inputs!$B$17="Y"),AND(D182="OCIO",Inputs!$B$18="Y"),AND(D182="Other",Inputs!$B$19="Y")))),A182&lt;&gt;in_ClientOrg,NOT(AND(in_ExclHarvard="Y",ISNUMBER(SEARCH("Harvard",A182))))),$AD182="Y",K182&lt;&gt;"",S182&gt;0),"Y","")</f>
        <v/>
      </c>
      <c r="V182" s="30" t="n">
        <v>1</v>
      </c>
      <c r="W182" t="inlineStr"/>
      <c r="X182" s="28">
        <f>IF(L182+M182=0,"",L182+M182)</f>
        <v/>
      </c>
      <c r="Y182" s="38">
        <f>IF(L182=0,"",M182/L182)</f>
        <v/>
      </c>
      <c r="Z182" t="inlineStr">
        <is>
          <t>CIO - Top Investment Executive</t>
        </is>
      </c>
      <c r="AA182" t="inlineStr">
        <is>
          <t>Leadership</t>
        </is>
      </c>
      <c r="AB182" s="50" t="inlineStr">
        <is>
          <t>Y</t>
        </is>
      </c>
      <c r="AC182" s="43">
        <f>HYPERLINK("https://projects.propublica.org/nonprofits/organizations/341018992/202531339349302638/full","view filing")</f>
        <v/>
      </c>
      <c r="AD182" s="50" t="inlineStr"/>
    </row>
    <row r="183">
      <c r="A183" t="inlineStr">
        <is>
          <t>Case Western Reserve University</t>
        </is>
      </c>
      <c r="B183" s="50" t="inlineStr">
        <is>
          <t>OH</t>
        </is>
      </c>
      <c r="C183" s="52" t="n">
        <v>2.52</v>
      </c>
      <c r="D183" t="inlineStr">
        <is>
          <t>Endowment</t>
        </is>
      </c>
      <c r="E183" s="50" t="n">
        <v>2023</v>
      </c>
      <c r="F183" s="50" t="inlineStr">
        <is>
          <t>2024-05-02</t>
        </is>
      </c>
      <c r="G183" s="50" t="inlineStr">
        <is>
          <t>2023-06-30</t>
        </is>
      </c>
      <c r="H183" t="inlineStr">
        <is>
          <t>Tim Milanich</t>
        </is>
      </c>
      <c r="I183" t="inlineStr">
        <is>
          <t>Chief Investment Officer</t>
        </is>
      </c>
      <c r="J183" t="inlineStr">
        <is>
          <t>CIO</t>
        </is>
      </c>
      <c r="K183" t="inlineStr">
        <is>
          <t>CIO - Top Investment Executive</t>
        </is>
      </c>
      <c r="L183" s="28" t="n">
        <v>426991</v>
      </c>
      <c r="M183" s="28" t="n">
        <v>445176</v>
      </c>
      <c r="N183" s="28" t="n">
        <v>1110</v>
      </c>
      <c r="O183" s="28" t="n">
        <v>32802</v>
      </c>
      <c r="P183" s="28" t="n">
        <v>18344</v>
      </c>
      <c r="Q183" s="28" t="n">
        <v>924423</v>
      </c>
      <c r="R183" s="28" t="n">
        <v>0</v>
      </c>
      <c r="S183" s="28">
        <f>Q183-R183</f>
        <v/>
      </c>
      <c r="T183" s="28">
        <f>IF(S183="","",S183*(1+in_GrowthRate)^(YEARFRAC(DATE(2023,6,30),in_AgeToDate)*IF(in_AgeToDate&lt;DATE(2023,6,30),-1,1)+1))</f>
        <v/>
      </c>
      <c r="U183" s="50">
        <f>IF(AND(AND(OR(in_Mode="All Funds",AND(C183&gt;=in_BandFloor,C183&lt;=in_BandCeiling,OR(in_Geography="National",COUNTIFS(lst_GeoPreset,in_Geography,lst_GeoState,B183)&gt;0,AND(in_Geography="Custom",ISNUMBER(SEARCH(B183,SUBSTITUTE(in_CustomStates," ",""))))),OR(AND(D183="Endowment",Inputs!$B$14="Y"),AND(D183="Foundation",Inputs!$B$15="Y"),AND(D183="Healthcare",Inputs!$B$16="Y"),AND(D183="Pension",Inputs!$B$17="Y"),AND(D183="OCIO",Inputs!$B$18="Y"),AND(D183="Other",Inputs!$B$19="Y")))),A183&lt;&gt;in_ClientOrg,NOT(AND(in_ExclHarvard="Y",ISNUMBER(SEARCH("Harvard",A183))))),$AD183="Y",K183&lt;&gt;"",S183&gt;0),"Y","")</f>
        <v/>
      </c>
      <c r="V183" s="30" t="n">
        <v>1</v>
      </c>
      <c r="W183" t="inlineStr"/>
      <c r="X183" s="28">
        <f>IF(L183+M183=0,"",L183+M183)</f>
        <v/>
      </c>
      <c r="Y183" s="38">
        <f>IF(L183=0,"",M183/L183)</f>
        <v/>
      </c>
      <c r="Z183" t="inlineStr">
        <is>
          <t>CIO - Top Investment Executive</t>
        </is>
      </c>
      <c r="AA183" t="inlineStr">
        <is>
          <t>Leadership</t>
        </is>
      </c>
      <c r="AB183" s="50" t="inlineStr">
        <is>
          <t>Y</t>
        </is>
      </c>
      <c r="AC183" s="43">
        <f>HYPERLINK("https://projects.propublica.org/nonprofits/organizations/341018992/202431239349301518/full","view filing")</f>
        <v/>
      </c>
      <c r="AD183" s="50" t="inlineStr"/>
    </row>
    <row r="184">
      <c r="A184" t="inlineStr">
        <is>
          <t>Case Western Reserve University</t>
        </is>
      </c>
      <c r="B184" s="50" t="inlineStr">
        <is>
          <t>OH</t>
        </is>
      </c>
      <c r="C184" s="52" t="n">
        <v>2.52</v>
      </c>
      <c r="D184" t="inlineStr">
        <is>
          <t>Endowment</t>
        </is>
      </c>
      <c r="E184" s="50" t="n">
        <v>2022</v>
      </c>
      <c r="F184" s="50" t="inlineStr">
        <is>
          <t>2023-05-10</t>
        </is>
      </c>
      <c r="G184" s="50" t="inlineStr">
        <is>
          <t>2022-06-30</t>
        </is>
      </c>
      <c r="H184" t="inlineStr">
        <is>
          <t>Tim Milanich</t>
        </is>
      </c>
      <c r="I184" t="inlineStr">
        <is>
          <t>Chief Investment Officer</t>
        </is>
      </c>
      <c r="J184" t="inlineStr">
        <is>
          <t>CIO</t>
        </is>
      </c>
      <c r="K184" t="inlineStr">
        <is>
          <t>CIO - Top Investment Executive</t>
        </is>
      </c>
      <c r="L184" s="28" t="n">
        <v>413591</v>
      </c>
      <c r="M184" s="28" t="n">
        <v>280326</v>
      </c>
      <c r="N184" s="28" t="n">
        <v>1110</v>
      </c>
      <c r="O184" s="28" t="n">
        <v>31695</v>
      </c>
      <c r="P184" s="28" t="n">
        <v>18344</v>
      </c>
      <c r="Q184" s="28" t="n">
        <v>745066</v>
      </c>
      <c r="R184" s="28" t="n">
        <v>0</v>
      </c>
      <c r="S184" s="28">
        <f>Q184-R184</f>
        <v/>
      </c>
      <c r="T184" s="28">
        <f>IF(S184="","",S184*(1+in_GrowthRate)^(YEARFRAC(DATE(2022,6,30),in_AgeToDate)*IF(in_AgeToDate&lt;DATE(2022,6,30),-1,1)+1))</f>
        <v/>
      </c>
      <c r="U184" s="50">
        <f>IF(AND(AND(OR(in_Mode="All Funds",AND(C184&gt;=in_BandFloor,C184&lt;=in_BandCeiling,OR(in_Geography="National",COUNTIFS(lst_GeoPreset,in_Geography,lst_GeoState,B184)&gt;0,AND(in_Geography="Custom",ISNUMBER(SEARCH(B184,SUBSTITUTE(in_CustomStates," ",""))))),OR(AND(D184="Endowment",Inputs!$B$14="Y"),AND(D184="Foundation",Inputs!$B$15="Y"),AND(D184="Healthcare",Inputs!$B$16="Y"),AND(D184="Pension",Inputs!$B$17="Y"),AND(D184="OCIO",Inputs!$B$18="Y"),AND(D184="Other",Inputs!$B$19="Y")))),A184&lt;&gt;in_ClientOrg,NOT(AND(in_ExclHarvard="Y",ISNUMBER(SEARCH("Harvard",A184))))),$AD184="Y",K184&lt;&gt;"",S184&gt;0),"Y","")</f>
        <v/>
      </c>
      <c r="V184" s="30" t="n">
        <v>1</v>
      </c>
      <c r="W184" t="inlineStr"/>
      <c r="X184" s="28">
        <f>IF(L184+M184=0,"",L184+M184)</f>
        <v/>
      </c>
      <c r="Y184" s="38">
        <f>IF(L184=0,"",M184/L184)</f>
        <v/>
      </c>
      <c r="Z184" t="inlineStr">
        <is>
          <t>CIO - Top Investment Executive</t>
        </is>
      </c>
      <c r="AA184" t="inlineStr">
        <is>
          <t>Leadership</t>
        </is>
      </c>
      <c r="AB184" s="50" t="inlineStr">
        <is>
          <t>Y</t>
        </is>
      </c>
      <c r="AC184" s="43">
        <f>HYPERLINK("https://projects.propublica.org/nonprofits/organizations/341018992/202321309349303767/full","view filing")</f>
        <v/>
      </c>
      <c r="AD184" s="50" t="inlineStr"/>
    </row>
    <row r="185">
      <c r="A185" t="inlineStr">
        <is>
          <t>Casey Family Programs</t>
        </is>
      </c>
      <c r="B185" s="50" t="inlineStr">
        <is>
          <t>WA</t>
        </is>
      </c>
      <c r="C185" s="52" t="n">
        <v>2.45</v>
      </c>
      <c r="D185" t="inlineStr">
        <is>
          <t>Foundation</t>
        </is>
      </c>
      <c r="E185" s="50" t="n">
        <v>2024</v>
      </c>
      <c r="F185" s="50" t="inlineStr">
        <is>
          <t>2025-11-14</t>
        </is>
      </c>
      <c r="G185" s="50" t="inlineStr">
        <is>
          <t>2024-12-31</t>
        </is>
      </c>
      <c r="H185" t="inlineStr">
        <is>
          <t>Joseph A Boateng</t>
        </is>
      </c>
      <c r="I185" t="inlineStr">
        <is>
          <t>CHIEF INVESTMENT OFFICER</t>
        </is>
      </c>
      <c r="J185" t="inlineStr">
        <is>
          <t>CIO</t>
        </is>
      </c>
      <c r="K185" t="inlineStr">
        <is>
          <t>CIO - Top Investment Executive</t>
        </is>
      </c>
      <c r="L185" s="28" t="n">
        <v>0</v>
      </c>
      <c r="M185" s="28" t="n">
        <v>0</v>
      </c>
      <c r="N185" s="28" t="n">
        <v>0</v>
      </c>
      <c r="O185" s="28" t="n">
        <v>0</v>
      </c>
      <c r="P185" s="28" t="n">
        <v>59800</v>
      </c>
      <c r="Q185" s="28" t="n">
        <v>1378202</v>
      </c>
      <c r="R185" s="28" t="n">
        <v>0</v>
      </c>
      <c r="S185" s="28">
        <f>Q185-R185</f>
        <v/>
      </c>
      <c r="T185" s="28">
        <f>IF(S185="","",S185*(1+in_GrowthRate)^(YEARFRAC(DATE(2024,12,31),in_AgeToDate)*IF(in_AgeToDate&lt;DATE(2024,12,31),-1,1)+1))</f>
        <v/>
      </c>
      <c r="U185" s="50">
        <f>IF(AND(AND(OR(in_Mode="All Funds",AND(C185&gt;=in_BandFloor,C185&lt;=in_BandCeiling,OR(in_Geography="National",COUNTIFS(lst_GeoPreset,in_Geography,lst_GeoState,B185)&gt;0,AND(in_Geography="Custom",ISNUMBER(SEARCH(B185,SUBSTITUTE(in_CustomStates," ",""))))),OR(AND(D185="Endowment",Inputs!$B$14="Y"),AND(D185="Foundation",Inputs!$B$15="Y"),AND(D185="Healthcare",Inputs!$B$16="Y"),AND(D185="Pension",Inputs!$B$17="Y"),AND(D185="OCIO",Inputs!$B$18="Y"),AND(D185="Other",Inputs!$B$19="Y")))),A185&lt;&gt;in_ClientOrg,NOT(AND(in_ExclHarvard="Y",ISNUMBER(SEARCH("Harvard",A185))))),$AD185="Y",K185&lt;&gt;"",S185&gt;0),"Y","")</f>
        <v/>
      </c>
      <c r="V185" s="30" t="n">
        <v>1</v>
      </c>
      <c r="W185" t="inlineStr"/>
      <c r="X185" s="28">
        <f>IF(L185+M185=0,"",L185+M185)</f>
        <v/>
      </c>
      <c r="Y185" s="38">
        <f>IF(L185=0,"",M185/L185)</f>
        <v/>
      </c>
      <c r="Z185" t="inlineStr">
        <is>
          <t>CIO - Top Investment Executive</t>
        </is>
      </c>
      <c r="AA185" t="inlineStr">
        <is>
          <t>Leadership</t>
        </is>
      </c>
      <c r="AB185" s="50" t="inlineStr">
        <is>
          <t>Y</t>
        </is>
      </c>
      <c r="AC185" s="43">
        <f>HYPERLINK("https://projects.propublica.org/nonprofits/organizations/910793881/202533189349102538/full","view filing")</f>
        <v/>
      </c>
      <c r="AD185" s="50" t="inlineStr">
        <is>
          <t>Y</t>
        </is>
      </c>
    </row>
    <row r="186">
      <c r="A186" t="inlineStr">
        <is>
          <t>Casey Family Programs</t>
        </is>
      </c>
      <c r="B186" s="50" t="inlineStr">
        <is>
          <t>WA</t>
        </is>
      </c>
      <c r="C186" s="52" t="n">
        <v>2.45</v>
      </c>
      <c r="D186" t="inlineStr">
        <is>
          <t>Foundation</t>
        </is>
      </c>
      <c r="E186" s="50" t="n">
        <v>2023</v>
      </c>
      <c r="F186" s="50" t="inlineStr">
        <is>
          <t>2024-11-11</t>
        </is>
      </c>
      <c r="G186" s="50" t="inlineStr">
        <is>
          <t>2023-12-31</t>
        </is>
      </c>
      <c r="H186" t="inlineStr">
        <is>
          <t>Baggenstos Bryan T</t>
        </is>
      </c>
      <c r="I186" t="inlineStr">
        <is>
          <t>DIRECTOR INVESTMENTS</t>
        </is>
      </c>
      <c r="J186" t="inlineStr">
        <is>
          <t>Director of Investments</t>
        </is>
      </c>
      <c r="K186" t="inlineStr">
        <is>
          <t>Sr Investment Professional</t>
        </is>
      </c>
      <c r="L186" s="28" t="n">
        <v>0</v>
      </c>
      <c r="M186" s="28" t="n">
        <v>0</v>
      </c>
      <c r="N186" s="28" t="n">
        <v>0</v>
      </c>
      <c r="O186" s="28" t="n">
        <v>0</v>
      </c>
      <c r="P186" s="28" t="n">
        <v>0</v>
      </c>
      <c r="Q186" s="28" t="n">
        <v>513772</v>
      </c>
      <c r="R186" s="28" t="n">
        <v>0</v>
      </c>
      <c r="S186" s="28">
        <f>Q186-R186</f>
        <v/>
      </c>
      <c r="T186" s="28">
        <f>IF(S186="","",S186*(1+in_GrowthRate)^(YEARFRAC(DATE(2023,12,31),in_AgeToDate)*IF(in_AgeToDate&lt;DATE(2023,12,31),-1,1)+1))</f>
        <v/>
      </c>
      <c r="U186" s="50">
        <f>IF(AND(AND(OR(in_Mode="All Funds",AND(C186&gt;=in_BandFloor,C186&lt;=in_BandCeiling,OR(in_Geography="National",COUNTIFS(lst_GeoPreset,in_Geography,lst_GeoState,B186)&gt;0,AND(in_Geography="Custom",ISNUMBER(SEARCH(B186,SUBSTITUTE(in_CustomStates," ",""))))),OR(AND(D186="Endowment",Inputs!$B$14="Y"),AND(D186="Foundation",Inputs!$B$15="Y"),AND(D186="Healthcare",Inputs!$B$16="Y"),AND(D186="Pension",Inputs!$B$17="Y"),AND(D186="OCIO",Inputs!$B$18="Y"),AND(D186="Other",Inputs!$B$19="Y")))),A186&lt;&gt;in_ClientOrg,NOT(AND(in_ExclHarvard="Y",ISNUMBER(SEARCH("Harvard",A186))))),$AD186="Y",K186&lt;&gt;"",S186&gt;0),"Y","")</f>
        <v/>
      </c>
      <c r="V186" s="30" t="n">
        <v>0.2543871549766643</v>
      </c>
      <c r="W186" t="inlineStr"/>
      <c r="X186" s="28">
        <f>IF(L186+M186=0,"",L186+M186)</f>
        <v/>
      </c>
      <c r="Y186" s="38">
        <f>IF(L186=0,"",M186/L186)</f>
        <v/>
      </c>
      <c r="Z186" t="inlineStr">
        <is>
          <t>Director &amp; Investment Officer</t>
        </is>
      </c>
      <c r="AA186" t="inlineStr">
        <is>
          <t>Investments</t>
        </is>
      </c>
      <c r="AB186" s="50" t="inlineStr"/>
      <c r="AC186" s="43">
        <f>HYPERLINK("https://projects.propublica.org/nonprofits/organizations/910793881/202423169349102347/full","view filing")</f>
        <v/>
      </c>
      <c r="AD186" s="50" t="inlineStr"/>
    </row>
    <row r="187">
      <c r="A187" t="inlineStr">
        <is>
          <t>Casey Family Programs</t>
        </is>
      </c>
      <c r="B187" s="50" t="inlineStr">
        <is>
          <t>WA</t>
        </is>
      </c>
      <c r="C187" s="52" t="n">
        <v>2.45</v>
      </c>
      <c r="D187" t="inlineStr">
        <is>
          <t>Foundation</t>
        </is>
      </c>
      <c r="E187" s="50" t="n">
        <v>2023</v>
      </c>
      <c r="F187" s="50" t="inlineStr">
        <is>
          <t>2024-11-11</t>
        </is>
      </c>
      <c r="G187" s="50" t="inlineStr">
        <is>
          <t>2023-12-31</t>
        </is>
      </c>
      <c r="H187" t="inlineStr">
        <is>
          <t>Foo Sheng-Sheng</t>
        </is>
      </c>
      <c r="I187" t="inlineStr">
        <is>
          <t>DIRECTOR INVESTMENTS</t>
        </is>
      </c>
      <c r="J187" t="inlineStr">
        <is>
          <t>Director of Investments</t>
        </is>
      </c>
      <c r="K187" t="inlineStr">
        <is>
          <t>Sr Investment Professional</t>
        </is>
      </c>
      <c r="L187" s="28" t="n">
        <v>0</v>
      </c>
      <c r="M187" s="28" t="n">
        <v>0</v>
      </c>
      <c r="N187" s="28" t="n">
        <v>0</v>
      </c>
      <c r="O187" s="28" t="n">
        <v>0</v>
      </c>
      <c r="P187" s="28" t="n">
        <v>0</v>
      </c>
      <c r="Q187" s="28" t="n">
        <v>589778</v>
      </c>
      <c r="R187" s="28" t="n">
        <v>0</v>
      </c>
      <c r="S187" s="28">
        <f>Q187-R187</f>
        <v/>
      </c>
      <c r="T187" s="28">
        <f>IF(S187="","",S187*(1+in_GrowthRate)^(YEARFRAC(DATE(2023,12,31),in_AgeToDate)*IF(in_AgeToDate&lt;DATE(2023,12,31),-1,1)+1))</f>
        <v/>
      </c>
      <c r="U187" s="50">
        <f>IF(AND(AND(OR(in_Mode="All Funds",AND(C187&gt;=in_BandFloor,C187&lt;=in_BandCeiling,OR(in_Geography="National",COUNTIFS(lst_GeoPreset,in_Geography,lst_GeoState,B187)&gt;0,AND(in_Geography="Custom",ISNUMBER(SEARCH(B187,SUBSTITUTE(in_CustomStates," ",""))))),OR(AND(D187="Endowment",Inputs!$B$14="Y"),AND(D187="Foundation",Inputs!$B$15="Y"),AND(D187="Healthcare",Inputs!$B$16="Y"),AND(D187="Pension",Inputs!$B$17="Y"),AND(D187="OCIO",Inputs!$B$18="Y"),AND(D187="Other",Inputs!$B$19="Y")))),A187&lt;&gt;in_ClientOrg,NOT(AND(in_ExclHarvard="Y",ISNUMBER(SEARCH("Harvard",A187))))),$AD187="Y",K187&lt;&gt;"",S187&gt;0),"Y","")</f>
        <v/>
      </c>
      <c r="V187" s="30" t="n">
        <v>0.2920204827974803</v>
      </c>
      <c r="W187" t="inlineStr"/>
      <c r="X187" s="28">
        <f>IF(L187+M187=0,"",L187+M187)</f>
        <v/>
      </c>
      <c r="Y187" s="38">
        <f>IF(L187=0,"",M187/L187)</f>
        <v/>
      </c>
      <c r="Z187" t="inlineStr">
        <is>
          <t>Director &amp; Investment Officer</t>
        </is>
      </c>
      <c r="AA187" t="inlineStr">
        <is>
          <t>Investments</t>
        </is>
      </c>
      <c r="AB187" s="50" t="inlineStr"/>
      <c r="AC187" s="43">
        <f>HYPERLINK("https://projects.propublica.org/nonprofits/organizations/910793881/202423169349102347/full","view filing")</f>
        <v/>
      </c>
      <c r="AD187" s="50" t="inlineStr"/>
    </row>
    <row r="188">
      <c r="A188" t="inlineStr">
        <is>
          <t>Casey Family Programs</t>
        </is>
      </c>
      <c r="B188" s="50" t="inlineStr">
        <is>
          <t>WA</t>
        </is>
      </c>
      <c r="C188" s="52" t="n">
        <v>2.45</v>
      </c>
      <c r="D188" t="inlineStr">
        <is>
          <t>Foundation</t>
        </is>
      </c>
      <c r="E188" s="50" t="n">
        <v>2023</v>
      </c>
      <c r="F188" s="50" t="inlineStr">
        <is>
          <t>2024-11-11</t>
        </is>
      </c>
      <c r="G188" s="50" t="inlineStr">
        <is>
          <t>2023-12-31</t>
        </is>
      </c>
      <c r="H188" t="inlineStr">
        <is>
          <t>Hahn Kathy P</t>
        </is>
      </c>
      <c r="I188" t="inlineStr">
        <is>
          <t>DIRECTOR INVESTMENTS</t>
        </is>
      </c>
      <c r="J188" t="inlineStr">
        <is>
          <t>Director of Investments</t>
        </is>
      </c>
      <c r="K188" t="inlineStr">
        <is>
          <t>Sr Investment Professional</t>
        </is>
      </c>
      <c r="L188" s="28" t="n">
        <v>0</v>
      </c>
      <c r="M188" s="28" t="n">
        <v>0</v>
      </c>
      <c r="N188" s="28" t="n">
        <v>0</v>
      </c>
      <c r="O188" s="28" t="n">
        <v>0</v>
      </c>
      <c r="P188" s="28" t="n">
        <v>0</v>
      </c>
      <c r="Q188" s="28" t="n">
        <v>595605</v>
      </c>
      <c r="R188" s="28" t="n">
        <v>0</v>
      </c>
      <c r="S188" s="28">
        <f>Q188-R188</f>
        <v/>
      </c>
      <c r="T188" s="28">
        <f>IF(S188="","",S188*(1+in_GrowthRate)^(YEARFRAC(DATE(2023,12,31),in_AgeToDate)*IF(in_AgeToDate&lt;DATE(2023,12,31),-1,1)+1))</f>
        <v/>
      </c>
      <c r="U188" s="50">
        <f>IF(AND(AND(OR(in_Mode="All Funds",AND(C188&gt;=in_BandFloor,C188&lt;=in_BandCeiling,OR(in_Geography="National",COUNTIFS(lst_GeoPreset,in_Geography,lst_GeoState,B188)&gt;0,AND(in_Geography="Custom",ISNUMBER(SEARCH(B188,SUBSTITUTE(in_CustomStates," ",""))))),OR(AND(D188="Endowment",Inputs!$B$14="Y"),AND(D188="Foundation",Inputs!$B$15="Y"),AND(D188="Healthcare",Inputs!$B$16="Y"),AND(D188="Pension",Inputs!$B$17="Y"),AND(D188="OCIO",Inputs!$B$18="Y"),AND(D188="Other",Inputs!$B$19="Y")))),A188&lt;&gt;in_ClientOrg,NOT(AND(in_ExclHarvard="Y",ISNUMBER(SEARCH("Harvard",A188))))),$AD188="Y",K188&lt;&gt;"",S188&gt;0),"Y","")</f>
        <v/>
      </c>
      <c r="V188" s="30" t="n">
        <v>0.2949056418798146</v>
      </c>
      <c r="W188" t="inlineStr"/>
      <c r="X188" s="28">
        <f>IF(L188+M188=0,"",L188+M188)</f>
        <v/>
      </c>
      <c r="Y188" s="38">
        <f>IF(L188=0,"",M188/L188)</f>
        <v/>
      </c>
      <c r="Z188" t="inlineStr">
        <is>
          <t>Director &amp; Investment Officer</t>
        </is>
      </c>
      <c r="AA188" t="inlineStr">
        <is>
          <t>Investments</t>
        </is>
      </c>
      <c r="AB188" s="50" t="inlineStr"/>
      <c r="AC188" s="43">
        <f>HYPERLINK("https://projects.propublica.org/nonprofits/organizations/910793881/202423169349102347/full","view filing")</f>
        <v/>
      </c>
      <c r="AD188" s="50" t="inlineStr"/>
    </row>
    <row r="189">
      <c r="A189" t="inlineStr">
        <is>
          <t>Casey Family Programs</t>
        </is>
      </c>
      <c r="B189" s="50" t="inlineStr">
        <is>
          <t>WA</t>
        </is>
      </c>
      <c r="C189" s="52" t="n">
        <v>2.45</v>
      </c>
      <c r="D189" t="inlineStr">
        <is>
          <t>Foundation</t>
        </is>
      </c>
      <c r="E189" s="50" t="n">
        <v>2023</v>
      </c>
      <c r="F189" s="50" t="inlineStr">
        <is>
          <t>2024-11-11</t>
        </is>
      </c>
      <c r="G189" s="50" t="inlineStr">
        <is>
          <t>2023-12-31</t>
        </is>
      </c>
      <c r="H189" t="inlineStr">
        <is>
          <t>Joseph A Boateng</t>
        </is>
      </c>
      <c r="I189" t="inlineStr">
        <is>
          <t>CHIEF INVESTMENT OFFICER</t>
        </is>
      </c>
      <c r="J189" t="inlineStr">
        <is>
          <t>CIO</t>
        </is>
      </c>
      <c r="K189" t="inlineStr">
        <is>
          <t>CIO - Top Investment Executive</t>
        </is>
      </c>
      <c r="L189" s="28" t="n">
        <v>0</v>
      </c>
      <c r="M189" s="28" t="n">
        <v>0</v>
      </c>
      <c r="N189" s="28" t="n">
        <v>0</v>
      </c>
      <c r="O189" s="28" t="n">
        <v>0</v>
      </c>
      <c r="P189" s="28" t="n">
        <v>58400</v>
      </c>
      <c r="Q189" s="28" t="n">
        <v>2019646</v>
      </c>
      <c r="R189" s="28" t="n">
        <v>0</v>
      </c>
      <c r="S189" s="28">
        <f>Q189-R189</f>
        <v/>
      </c>
      <c r="T189" s="28">
        <f>IF(S189="","",S189*(1+in_GrowthRate)^(YEARFRAC(DATE(2023,12,31),in_AgeToDate)*IF(in_AgeToDate&lt;DATE(2023,12,31),-1,1)+1))</f>
        <v/>
      </c>
      <c r="U189" s="50">
        <f>IF(AND(AND(OR(in_Mode="All Funds",AND(C189&gt;=in_BandFloor,C189&lt;=in_BandCeiling,OR(in_Geography="National",COUNTIFS(lst_GeoPreset,in_Geography,lst_GeoState,B189)&gt;0,AND(in_Geography="Custom",ISNUMBER(SEARCH(B189,SUBSTITUTE(in_CustomStates," ",""))))),OR(AND(D189="Endowment",Inputs!$B$14="Y"),AND(D189="Foundation",Inputs!$B$15="Y"),AND(D189="Healthcare",Inputs!$B$16="Y"),AND(D189="Pension",Inputs!$B$17="Y"),AND(D189="OCIO",Inputs!$B$18="Y"),AND(D189="Other",Inputs!$B$19="Y")))),A189&lt;&gt;in_ClientOrg,NOT(AND(in_ExclHarvard="Y",ISNUMBER(SEARCH("Harvard",A189))))),$AD189="Y",K189&lt;&gt;"",S189&gt;0),"Y","")</f>
        <v/>
      </c>
      <c r="V189" s="30" t="n">
        <v>1</v>
      </c>
      <c r="W189" t="inlineStr"/>
      <c r="X189" s="28">
        <f>IF(L189+M189=0,"",L189+M189)</f>
        <v/>
      </c>
      <c r="Y189" s="38">
        <f>IF(L189=0,"",M189/L189)</f>
        <v/>
      </c>
      <c r="Z189" t="inlineStr">
        <is>
          <t>CIO - Top Investment Executive</t>
        </is>
      </c>
      <c r="AA189" t="inlineStr">
        <is>
          <t>Leadership</t>
        </is>
      </c>
      <c r="AB189" s="50" t="inlineStr">
        <is>
          <t>Y</t>
        </is>
      </c>
      <c r="AC189" s="43">
        <f>HYPERLINK("https://projects.propublica.org/nonprofits/organizations/910793881/202423169349102347/full","view filing")</f>
        <v/>
      </c>
      <c r="AD189" s="50" t="inlineStr"/>
    </row>
    <row r="190">
      <c r="A190" t="inlineStr">
        <is>
          <t>Casey Family Programs</t>
        </is>
      </c>
      <c r="B190" s="50" t="inlineStr">
        <is>
          <t>WA</t>
        </is>
      </c>
      <c r="C190" s="52" t="n">
        <v>2.45</v>
      </c>
      <c r="D190" t="inlineStr">
        <is>
          <t>Foundation</t>
        </is>
      </c>
      <c r="E190" s="50" t="n">
        <v>2022</v>
      </c>
      <c r="F190" s="50" t="inlineStr">
        <is>
          <t>2023-11-14</t>
        </is>
      </c>
      <c r="G190" s="50" t="inlineStr">
        <is>
          <t>2022-12-31</t>
        </is>
      </c>
      <c r="H190" t="inlineStr">
        <is>
          <t>Baggenstos Bryan T</t>
        </is>
      </c>
      <c r="I190" t="inlineStr">
        <is>
          <t>DIRECTOR INVESTMENTS</t>
        </is>
      </c>
      <c r="J190" t="inlineStr">
        <is>
          <t>Director of Investments</t>
        </is>
      </c>
      <c r="K190" t="inlineStr">
        <is>
          <t>Sr Investment Professional</t>
        </is>
      </c>
      <c r="L190" s="28" t="n">
        <v>0</v>
      </c>
      <c r="M190" s="28" t="n">
        <v>0</v>
      </c>
      <c r="N190" s="28" t="n">
        <v>0</v>
      </c>
      <c r="O190" s="28" t="n">
        <v>0</v>
      </c>
      <c r="P190" s="28" t="n">
        <v>0</v>
      </c>
      <c r="Q190" s="28" t="n">
        <v>486573</v>
      </c>
      <c r="R190" s="28" t="n">
        <v>0</v>
      </c>
      <c r="S190" s="28">
        <f>Q190-R190</f>
        <v/>
      </c>
      <c r="T190" s="28">
        <f>IF(S190="","",S190*(1+in_GrowthRate)^(YEARFRAC(DATE(2022,12,31),in_AgeToDate)*IF(in_AgeToDate&lt;DATE(2022,12,31),-1,1)+1))</f>
        <v/>
      </c>
      <c r="U190" s="50">
        <f>IF(AND(AND(OR(in_Mode="All Funds",AND(C190&gt;=in_BandFloor,C190&lt;=in_BandCeiling,OR(in_Geography="National",COUNTIFS(lst_GeoPreset,in_Geography,lst_GeoState,B190)&gt;0,AND(in_Geography="Custom",ISNUMBER(SEARCH(B190,SUBSTITUTE(in_CustomStates," ",""))))),OR(AND(D190="Endowment",Inputs!$B$14="Y"),AND(D190="Foundation",Inputs!$B$15="Y"),AND(D190="Healthcare",Inputs!$B$16="Y"),AND(D190="Pension",Inputs!$B$17="Y"),AND(D190="OCIO",Inputs!$B$18="Y"),AND(D190="Other",Inputs!$B$19="Y")))),A190&lt;&gt;in_ClientOrg,NOT(AND(in_ExclHarvard="Y",ISNUMBER(SEARCH("Harvard",A190))))),$AD190="Y",K190&lt;&gt;"",S190&gt;0),"Y","")</f>
        <v/>
      </c>
      <c r="V190" s="30" t="n">
        <v>0.2410121884833766</v>
      </c>
      <c r="W190" t="inlineStr"/>
      <c r="X190" s="28">
        <f>IF(L190+M190=0,"",L190+M190)</f>
        <v/>
      </c>
      <c r="Y190" s="38">
        <f>IF(L190=0,"",M190/L190)</f>
        <v/>
      </c>
      <c r="Z190" t="inlineStr">
        <is>
          <t>Director &amp; Investment Officer</t>
        </is>
      </c>
      <c r="AA190" t="inlineStr">
        <is>
          <t>Investments</t>
        </is>
      </c>
      <c r="AB190" s="50" t="inlineStr"/>
      <c r="AC190" s="43">
        <f>HYPERLINK("https://projects.propublica.org/nonprofits/organizations/910793881/202343189349103429/full","view filing")</f>
        <v/>
      </c>
      <c r="AD190" s="50" t="inlineStr"/>
    </row>
    <row r="191">
      <c r="A191" t="inlineStr">
        <is>
          <t>Casey Family Programs</t>
        </is>
      </c>
      <c r="B191" s="50" t="inlineStr">
        <is>
          <t>WA</t>
        </is>
      </c>
      <c r="C191" s="52" t="n">
        <v>2.45</v>
      </c>
      <c r="D191" t="inlineStr">
        <is>
          <t>Foundation</t>
        </is>
      </c>
      <c r="E191" s="50" t="n">
        <v>2022</v>
      </c>
      <c r="F191" s="50" t="inlineStr">
        <is>
          <t>2023-11-14</t>
        </is>
      </c>
      <c r="G191" s="50" t="inlineStr">
        <is>
          <t>2022-12-31</t>
        </is>
      </c>
      <c r="H191" t="inlineStr">
        <is>
          <t>Foo Sheng-Sheng</t>
        </is>
      </c>
      <c r="I191" t="inlineStr">
        <is>
          <t>DIRECTOR INVESTMENTS</t>
        </is>
      </c>
      <c r="J191" t="inlineStr">
        <is>
          <t>Director of Investments</t>
        </is>
      </c>
      <c r="K191" t="inlineStr">
        <is>
          <t>Sr Investment Professional</t>
        </is>
      </c>
      <c r="L191" s="28" t="n">
        <v>0</v>
      </c>
      <c r="M191" s="28" t="n">
        <v>0</v>
      </c>
      <c r="N191" s="28" t="n">
        <v>0</v>
      </c>
      <c r="O191" s="28" t="n">
        <v>0</v>
      </c>
      <c r="P191" s="28" t="n">
        <v>0</v>
      </c>
      <c r="Q191" s="28" t="n">
        <v>598081</v>
      </c>
      <c r="R191" s="28" t="n">
        <v>0</v>
      </c>
      <c r="S191" s="28">
        <f>Q191-R191</f>
        <v/>
      </c>
      <c r="T191" s="28">
        <f>IF(S191="","",S191*(1+in_GrowthRate)^(YEARFRAC(DATE(2022,12,31),in_AgeToDate)*IF(in_AgeToDate&lt;DATE(2022,12,31),-1,1)+1))</f>
        <v/>
      </c>
      <c r="U191" s="50">
        <f>IF(AND(AND(OR(in_Mode="All Funds",AND(C191&gt;=in_BandFloor,C191&lt;=in_BandCeiling,OR(in_Geography="National",COUNTIFS(lst_GeoPreset,in_Geography,lst_GeoState,B191)&gt;0,AND(in_Geography="Custom",ISNUMBER(SEARCH(B191,SUBSTITUTE(in_CustomStates," ",""))))),OR(AND(D191="Endowment",Inputs!$B$14="Y"),AND(D191="Foundation",Inputs!$B$15="Y"),AND(D191="Healthcare",Inputs!$B$16="Y"),AND(D191="Pension",Inputs!$B$17="Y"),AND(D191="OCIO",Inputs!$B$18="Y"),AND(D191="Other",Inputs!$B$19="Y")))),A191&lt;&gt;in_ClientOrg,NOT(AND(in_ExclHarvard="Y",ISNUMBER(SEARCH("Harvard",A191))))),$AD191="Y",K191&lt;&gt;"",S191&gt;0),"Y","")</f>
        <v/>
      </c>
      <c r="V191" s="30" t="n">
        <v>0.2962449842065351</v>
      </c>
      <c r="W191" t="inlineStr"/>
      <c r="X191" s="28">
        <f>IF(L191+M191=0,"",L191+M191)</f>
        <v/>
      </c>
      <c r="Y191" s="38">
        <f>IF(L191=0,"",M191/L191)</f>
        <v/>
      </c>
      <c r="Z191" t="inlineStr">
        <is>
          <t>Director &amp; Investment Officer</t>
        </is>
      </c>
      <c r="AA191" t="inlineStr">
        <is>
          <t>Investments</t>
        </is>
      </c>
      <c r="AB191" s="50" t="inlineStr"/>
      <c r="AC191" s="43">
        <f>HYPERLINK("https://projects.propublica.org/nonprofits/organizations/910793881/202343189349103429/full","view filing")</f>
        <v/>
      </c>
      <c r="AD191" s="50" t="inlineStr"/>
    </row>
    <row r="192">
      <c r="A192" t="inlineStr">
        <is>
          <t>Casey Family Programs</t>
        </is>
      </c>
      <c r="B192" s="50" t="inlineStr">
        <is>
          <t>WA</t>
        </is>
      </c>
      <c r="C192" s="52" t="n">
        <v>2.45</v>
      </c>
      <c r="D192" t="inlineStr">
        <is>
          <t>Foundation</t>
        </is>
      </c>
      <c r="E192" s="50" t="n">
        <v>2022</v>
      </c>
      <c r="F192" s="50" t="inlineStr">
        <is>
          <t>2023-11-14</t>
        </is>
      </c>
      <c r="G192" s="50" t="inlineStr">
        <is>
          <t>2022-12-31</t>
        </is>
      </c>
      <c r="H192" t="inlineStr">
        <is>
          <t>Hahn Kathy P</t>
        </is>
      </c>
      <c r="I192" t="inlineStr">
        <is>
          <t>DIRECTOR INVESTMENTS</t>
        </is>
      </c>
      <c r="J192" t="inlineStr">
        <is>
          <t>Director of Investments</t>
        </is>
      </c>
      <c r="K192" t="inlineStr">
        <is>
          <t>Sr Investment Professional</t>
        </is>
      </c>
      <c r="L192" s="28" t="n">
        <v>0</v>
      </c>
      <c r="M192" s="28" t="n">
        <v>0</v>
      </c>
      <c r="N192" s="28" t="n">
        <v>0</v>
      </c>
      <c r="O192" s="28" t="n">
        <v>0</v>
      </c>
      <c r="P192" s="28" t="n">
        <v>0</v>
      </c>
      <c r="Q192" s="28" t="n">
        <v>584998</v>
      </c>
      <c r="R192" s="28" t="n">
        <v>0</v>
      </c>
      <c r="S192" s="28">
        <f>Q192-R192</f>
        <v/>
      </c>
      <c r="T192" s="28">
        <f>IF(S192="","",S192*(1+in_GrowthRate)^(YEARFRAC(DATE(2022,12,31),in_AgeToDate)*IF(in_AgeToDate&lt;DATE(2022,12,31),-1,1)+1))</f>
        <v/>
      </c>
      <c r="U192" s="50">
        <f>IF(AND(AND(OR(in_Mode="All Funds",AND(C192&gt;=in_BandFloor,C192&lt;=in_BandCeiling,OR(in_Geography="National",COUNTIFS(lst_GeoPreset,in_Geography,lst_GeoState,B192)&gt;0,AND(in_Geography="Custom",ISNUMBER(SEARCH(B192,SUBSTITUTE(in_CustomStates," ",""))))),OR(AND(D192="Endowment",Inputs!$B$14="Y"),AND(D192="Foundation",Inputs!$B$15="Y"),AND(D192="Healthcare",Inputs!$B$16="Y"),AND(D192="Pension",Inputs!$B$17="Y"),AND(D192="OCIO",Inputs!$B$18="Y"),AND(D192="Other",Inputs!$B$19="Y")))),A192&lt;&gt;in_ClientOrg,NOT(AND(in_ExclHarvard="Y",ISNUMBER(SEARCH("Harvard",A192))))),$AD192="Y",K192&lt;&gt;"",S192&gt;0),"Y","")</f>
        <v/>
      </c>
      <c r="V192" s="30" t="n">
        <v>0.2897646360122702</v>
      </c>
      <c r="W192" t="inlineStr"/>
      <c r="X192" s="28">
        <f>IF(L192+M192=0,"",L192+M192)</f>
        <v/>
      </c>
      <c r="Y192" s="38">
        <f>IF(L192=0,"",M192/L192)</f>
        <v/>
      </c>
      <c r="Z192" t="inlineStr">
        <is>
          <t>Director &amp; Investment Officer</t>
        </is>
      </c>
      <c r="AA192" t="inlineStr">
        <is>
          <t>Investments</t>
        </is>
      </c>
      <c r="AB192" s="50" t="inlineStr"/>
      <c r="AC192" s="43">
        <f>HYPERLINK("https://projects.propublica.org/nonprofits/organizations/910793881/202343189349103429/full","view filing")</f>
        <v/>
      </c>
      <c r="AD192" s="50" t="inlineStr"/>
    </row>
    <row r="193">
      <c r="A193" t="inlineStr">
        <is>
          <t>Casey Family Programs</t>
        </is>
      </c>
      <c r="B193" s="50" t="inlineStr">
        <is>
          <t>WA</t>
        </is>
      </c>
      <c r="C193" s="52" t="n">
        <v>2.45</v>
      </c>
      <c r="D193" t="inlineStr">
        <is>
          <t>Foundation</t>
        </is>
      </c>
      <c r="E193" s="50" t="n">
        <v>2022</v>
      </c>
      <c r="F193" s="50" t="inlineStr">
        <is>
          <t>2023-11-14</t>
        </is>
      </c>
      <c r="G193" s="50" t="inlineStr">
        <is>
          <t>2022-12-31</t>
        </is>
      </c>
      <c r="H193" t="inlineStr">
        <is>
          <t>Joseph A Boateng</t>
        </is>
      </c>
      <c r="I193" t="inlineStr">
        <is>
          <t>CHIEF INVESTMENT OFFICER</t>
        </is>
      </c>
      <c r="J193" t="inlineStr">
        <is>
          <t>CIO</t>
        </is>
      </c>
      <c r="K193" t="inlineStr">
        <is>
          <t>CIO - Top Investment Executive</t>
        </is>
      </c>
      <c r="L193" s="28" t="n">
        <v>0</v>
      </c>
      <c r="M193" s="28" t="n">
        <v>0</v>
      </c>
      <c r="N193" s="28" t="n">
        <v>0</v>
      </c>
      <c r="O193" s="28" t="n">
        <v>0</v>
      </c>
      <c r="P193" s="28" t="n">
        <v>55600</v>
      </c>
      <c r="Q193" s="28" t="n">
        <v>2018873</v>
      </c>
      <c r="R193" s="28" t="n">
        <v>0</v>
      </c>
      <c r="S193" s="28">
        <f>Q193-R193</f>
        <v/>
      </c>
      <c r="T193" s="28">
        <f>IF(S193="","",S193*(1+in_GrowthRate)^(YEARFRAC(DATE(2022,12,31),in_AgeToDate)*IF(in_AgeToDate&lt;DATE(2022,12,31),-1,1)+1))</f>
        <v/>
      </c>
      <c r="U193" s="50">
        <f>IF(AND(AND(OR(in_Mode="All Funds",AND(C193&gt;=in_BandFloor,C193&lt;=in_BandCeiling,OR(in_Geography="National",COUNTIFS(lst_GeoPreset,in_Geography,lst_GeoState,B193)&gt;0,AND(in_Geography="Custom",ISNUMBER(SEARCH(B193,SUBSTITUTE(in_CustomStates," ",""))))),OR(AND(D193="Endowment",Inputs!$B$14="Y"),AND(D193="Foundation",Inputs!$B$15="Y"),AND(D193="Healthcare",Inputs!$B$16="Y"),AND(D193="Pension",Inputs!$B$17="Y"),AND(D193="OCIO",Inputs!$B$18="Y"),AND(D193="Other",Inputs!$B$19="Y")))),A193&lt;&gt;in_ClientOrg,NOT(AND(in_ExclHarvard="Y",ISNUMBER(SEARCH("Harvard",A193))))),$AD193="Y",K193&lt;&gt;"",S193&gt;0),"Y","")</f>
        <v/>
      </c>
      <c r="V193" s="30" t="n">
        <v>1</v>
      </c>
      <c r="W193" t="inlineStr"/>
      <c r="X193" s="28">
        <f>IF(L193+M193=0,"",L193+M193)</f>
        <v/>
      </c>
      <c r="Y193" s="38">
        <f>IF(L193=0,"",M193/L193)</f>
        <v/>
      </c>
      <c r="Z193" t="inlineStr">
        <is>
          <t>CIO - Top Investment Executive</t>
        </is>
      </c>
      <c r="AA193" t="inlineStr">
        <is>
          <t>Leadership</t>
        </is>
      </c>
      <c r="AB193" s="50" t="inlineStr">
        <is>
          <t>Y</t>
        </is>
      </c>
      <c r="AC193" s="43">
        <f>HYPERLINK("https://projects.propublica.org/nonprofits/organizations/910793881/202343189349103429/full","view filing")</f>
        <v/>
      </c>
      <c r="AD193" s="50" t="inlineStr"/>
    </row>
    <row r="194">
      <c r="A194" t="inlineStr">
        <is>
          <t>Chapman University</t>
        </is>
      </c>
      <c r="B194" s="50" t="inlineStr">
        <is>
          <t>CA</t>
        </is>
      </c>
      <c r="C194" s="52" t="n">
        <v>0.93</v>
      </c>
      <c r="D194" t="inlineStr">
        <is>
          <t>Endowment</t>
        </is>
      </c>
      <c r="E194" s="50" t="n">
        <v>2025</v>
      </c>
      <c r="F194" s="50" t="inlineStr">
        <is>
          <t>2026-04-10</t>
        </is>
      </c>
      <c r="G194" s="50" t="inlineStr">
        <is>
          <t>2025-05-31</t>
        </is>
      </c>
      <c r="H194" t="inlineStr">
        <is>
          <t>Helen Norris</t>
        </is>
      </c>
      <c r="I194" t="inlineStr">
        <is>
          <t>VICE PRESIDENT &amp; CIO</t>
        </is>
      </c>
      <c r="J194" t="inlineStr">
        <is>
          <t>CIO</t>
        </is>
      </c>
      <c r="K194" t="inlineStr">
        <is>
          <t>CIO - Top Investment Executive</t>
        </is>
      </c>
      <c r="L194" s="28" t="n">
        <v>384358</v>
      </c>
      <c r="M194" s="28" t="n">
        <v>35000</v>
      </c>
      <c r="N194" s="28" t="n">
        <v>6285</v>
      </c>
      <c r="O194" s="28" t="n">
        <v>61050</v>
      </c>
      <c r="P194" s="28" t="n">
        <v>1542</v>
      </c>
      <c r="Q194" s="28" t="n">
        <v>488235</v>
      </c>
      <c r="R194" s="28" t="n">
        <v>0</v>
      </c>
      <c r="S194" s="28">
        <f>Q194-R194</f>
        <v/>
      </c>
      <c r="T194" s="28">
        <f>IF(S194="","",S194*(1+in_GrowthRate)^(YEARFRAC(DATE(2025,5,31),in_AgeToDate)*IF(in_AgeToDate&lt;DATE(2025,5,31),-1,1)+1))</f>
        <v/>
      </c>
      <c r="U194" s="50">
        <f>IF(AND(AND(OR(in_Mode="All Funds",AND(C194&gt;=in_BandFloor,C194&lt;=in_BandCeiling,OR(in_Geography="National",COUNTIFS(lst_GeoPreset,in_Geography,lst_GeoState,B194)&gt;0,AND(in_Geography="Custom",ISNUMBER(SEARCH(B194,SUBSTITUTE(in_CustomStates," ",""))))),OR(AND(D194="Endowment",Inputs!$B$14="Y"),AND(D194="Foundation",Inputs!$B$15="Y"),AND(D194="Healthcare",Inputs!$B$16="Y"),AND(D194="Pension",Inputs!$B$17="Y"),AND(D194="OCIO",Inputs!$B$18="Y"),AND(D194="Other",Inputs!$B$19="Y")))),A194&lt;&gt;in_ClientOrg,NOT(AND(in_ExclHarvard="Y",ISNUMBER(SEARCH("Harvard",A194))))),$AD194="Y",K194&lt;&gt;"",S194&gt;0),"Y","")</f>
        <v/>
      </c>
      <c r="V194" s="30" t="n">
        <v>1</v>
      </c>
      <c r="W194" t="inlineStr"/>
      <c r="X194" s="28">
        <f>IF(L194+M194=0,"",L194+M194)</f>
        <v/>
      </c>
      <c r="Y194" s="38">
        <f>IF(L194=0,"",M194/L194)</f>
        <v/>
      </c>
      <c r="Z194" t="inlineStr">
        <is>
          <t>CIO - Top Investment Executive</t>
        </is>
      </c>
      <c r="AA194" t="inlineStr">
        <is>
          <t>Leadership</t>
        </is>
      </c>
      <c r="AB194" s="50" t="inlineStr">
        <is>
          <t>Y</t>
        </is>
      </c>
      <c r="AC194" s="43">
        <f>HYPERLINK("https://projects.propublica.org/nonprofits/organizations/951643992/202641009349300639/full","view filing")</f>
        <v/>
      </c>
      <c r="AD194" s="50" t="inlineStr">
        <is>
          <t>Y</t>
        </is>
      </c>
    </row>
    <row r="195">
      <c r="A195" t="inlineStr">
        <is>
          <t>Chapman University</t>
        </is>
      </c>
      <c r="B195" s="50" t="inlineStr">
        <is>
          <t>CA</t>
        </is>
      </c>
      <c r="C195" s="52" t="n">
        <v>0.93</v>
      </c>
      <c r="D195" t="inlineStr">
        <is>
          <t>Endowment</t>
        </is>
      </c>
      <c r="E195" s="50" t="n">
        <v>2025</v>
      </c>
      <c r="F195" s="50" t="inlineStr">
        <is>
          <t>2026-04-10</t>
        </is>
      </c>
      <c r="G195" s="50" t="inlineStr">
        <is>
          <t>2025-05-31</t>
        </is>
      </c>
      <c r="H195" t="inlineStr">
        <is>
          <t>Janna Bersi</t>
        </is>
      </c>
      <c r="I195" t="inlineStr">
        <is>
          <t>SR.VP, INVESTMENTS &amp; ADMIN</t>
        </is>
      </c>
      <c r="J195" t="inlineStr">
        <is>
          <t>Director of Investments</t>
        </is>
      </c>
      <c r="K195" t="inlineStr">
        <is>
          <t>Sr Investment Professional</t>
        </is>
      </c>
      <c r="L195" s="28" t="n">
        <v>537375</v>
      </c>
      <c r="M195" s="28" t="n">
        <v>100000</v>
      </c>
      <c r="N195" s="28" t="n">
        <v>2661</v>
      </c>
      <c r="O195" s="28" t="n">
        <v>31050</v>
      </c>
      <c r="P195" s="28" t="n">
        <v>16624</v>
      </c>
      <c r="Q195" s="28" t="n">
        <v>687710</v>
      </c>
      <c r="R195" s="28" t="n">
        <v>0</v>
      </c>
      <c r="S195" s="28">
        <f>Q195-R195</f>
        <v/>
      </c>
      <c r="T195" s="28">
        <f>IF(S195="","",S195*(1+in_GrowthRate)^(YEARFRAC(DATE(2025,5,31),in_AgeToDate)*IF(in_AgeToDate&lt;DATE(2025,5,31),-1,1)+1))</f>
        <v/>
      </c>
      <c r="U195" s="50">
        <f>IF(AND(AND(OR(in_Mode="All Funds",AND(C195&gt;=in_BandFloor,C195&lt;=in_BandCeiling,OR(in_Geography="National",COUNTIFS(lst_GeoPreset,in_Geography,lst_GeoState,B195)&gt;0,AND(in_Geography="Custom",ISNUMBER(SEARCH(B195,SUBSTITUTE(in_CustomStates," ",""))))),OR(AND(D195="Endowment",Inputs!$B$14="Y"),AND(D195="Foundation",Inputs!$B$15="Y"),AND(D195="Healthcare",Inputs!$B$16="Y"),AND(D195="Pension",Inputs!$B$17="Y"),AND(D195="OCIO",Inputs!$B$18="Y"),AND(D195="Other",Inputs!$B$19="Y")))),A195&lt;&gt;in_ClientOrg,NOT(AND(in_ExclHarvard="Y",ISNUMBER(SEARCH("Harvard",A195))))),$AD195="Y",K195&lt;&gt;"",S195&gt;0),"Y","")</f>
        <v/>
      </c>
      <c r="V195" s="30" t="n">
        <v>1.408563499134638</v>
      </c>
      <c r="W195" t="inlineStr"/>
      <c r="X195" s="28">
        <f>IF(L195+M195=0,"",L195+M195)</f>
        <v/>
      </c>
      <c r="Y195" s="38">
        <f>IF(L195=0,"",M195/L195)</f>
        <v/>
      </c>
      <c r="Z195" t="inlineStr">
        <is>
          <t>Director &amp; Investment Officer</t>
        </is>
      </c>
      <c r="AA195" t="inlineStr">
        <is>
          <t>Investments</t>
        </is>
      </c>
      <c r="AB195" s="50" t="inlineStr"/>
      <c r="AC195" s="43">
        <f>HYPERLINK("https://projects.propublica.org/nonprofits/organizations/951643992/202641009349300639/full","view filing")</f>
        <v/>
      </c>
      <c r="AD195" s="50" t="inlineStr">
        <is>
          <t>Y</t>
        </is>
      </c>
    </row>
    <row r="196">
      <c r="A196" t="inlineStr">
        <is>
          <t>Chapman University</t>
        </is>
      </c>
      <c r="B196" s="50" t="inlineStr">
        <is>
          <t>CA</t>
        </is>
      </c>
      <c r="C196" s="52" t="n">
        <v>0.93</v>
      </c>
      <c r="D196" t="inlineStr">
        <is>
          <t>Endowment</t>
        </is>
      </c>
      <c r="E196" s="50" t="n">
        <v>2024</v>
      </c>
      <c r="F196" s="50" t="inlineStr">
        <is>
          <t>2025-04-11</t>
        </is>
      </c>
      <c r="G196" s="50" t="inlineStr">
        <is>
          <t>2024-05-31</t>
        </is>
      </c>
      <c r="H196" t="inlineStr">
        <is>
          <t>Helen Norris</t>
        </is>
      </c>
      <c r="I196" t="inlineStr">
        <is>
          <t>VICE PRESIDENT &amp; CIO</t>
        </is>
      </c>
      <c r="J196" t="inlineStr">
        <is>
          <t>CIO</t>
        </is>
      </c>
      <c r="K196" t="inlineStr">
        <is>
          <t>CIO - Top Investment Executive</t>
        </is>
      </c>
      <c r="L196" s="28" t="n">
        <v>369924</v>
      </c>
      <c r="M196" s="28" t="n">
        <v>25000</v>
      </c>
      <c r="N196" s="28" t="n">
        <v>6105</v>
      </c>
      <c r="O196" s="28" t="n">
        <v>59700</v>
      </c>
      <c r="P196" s="28" t="n">
        <v>1675</v>
      </c>
      <c r="Q196" s="28" t="n">
        <v>462404</v>
      </c>
      <c r="R196" s="28" t="n">
        <v>0</v>
      </c>
      <c r="S196" s="28">
        <f>Q196-R196</f>
        <v/>
      </c>
      <c r="T196" s="28">
        <f>IF(S196="","",S196*(1+in_GrowthRate)^(YEARFRAC(DATE(2024,5,31),in_AgeToDate)*IF(in_AgeToDate&lt;DATE(2024,5,31),-1,1)+1))</f>
        <v/>
      </c>
      <c r="U196" s="50">
        <f>IF(AND(AND(OR(in_Mode="All Funds",AND(C196&gt;=in_BandFloor,C196&lt;=in_BandCeiling,OR(in_Geography="National",COUNTIFS(lst_GeoPreset,in_Geography,lst_GeoState,B196)&gt;0,AND(in_Geography="Custom",ISNUMBER(SEARCH(B196,SUBSTITUTE(in_CustomStates," ",""))))),OR(AND(D196="Endowment",Inputs!$B$14="Y"),AND(D196="Foundation",Inputs!$B$15="Y"),AND(D196="Healthcare",Inputs!$B$16="Y"),AND(D196="Pension",Inputs!$B$17="Y"),AND(D196="OCIO",Inputs!$B$18="Y"),AND(D196="Other",Inputs!$B$19="Y")))),A196&lt;&gt;in_ClientOrg,NOT(AND(in_ExclHarvard="Y",ISNUMBER(SEARCH("Harvard",A196))))),$AD196="Y",K196&lt;&gt;"",S196&gt;0),"Y","")</f>
        <v/>
      </c>
      <c r="V196" s="30" t="n">
        <v>1</v>
      </c>
      <c r="W196" t="inlineStr"/>
      <c r="X196" s="28">
        <f>IF(L196+M196=0,"",L196+M196)</f>
        <v/>
      </c>
      <c r="Y196" s="38">
        <f>IF(L196=0,"",M196/L196)</f>
        <v/>
      </c>
      <c r="Z196" t="inlineStr">
        <is>
          <t>CIO - Top Investment Executive</t>
        </is>
      </c>
      <c r="AA196" t="inlineStr">
        <is>
          <t>Leadership</t>
        </is>
      </c>
      <c r="AB196" s="50" t="inlineStr">
        <is>
          <t>Y</t>
        </is>
      </c>
      <c r="AC196" s="43">
        <f>HYPERLINK("https://projects.propublica.org/nonprofits/organizations/951643992/202531019349301313/full","view filing")</f>
        <v/>
      </c>
      <c r="AD196" s="50" t="inlineStr"/>
    </row>
    <row r="197">
      <c r="A197" t="inlineStr">
        <is>
          <t>Chapman University</t>
        </is>
      </c>
      <c r="B197" s="50" t="inlineStr">
        <is>
          <t>CA</t>
        </is>
      </c>
      <c r="C197" s="52" t="n">
        <v>0.93</v>
      </c>
      <c r="D197" t="inlineStr">
        <is>
          <t>Endowment</t>
        </is>
      </c>
      <c r="E197" s="50" t="n">
        <v>2024</v>
      </c>
      <c r="F197" s="50" t="inlineStr">
        <is>
          <t>2025-04-11</t>
        </is>
      </c>
      <c r="G197" s="50" t="inlineStr">
        <is>
          <t>2024-05-31</t>
        </is>
      </c>
      <c r="H197" t="inlineStr">
        <is>
          <t>Janna Bersi</t>
        </is>
      </c>
      <c r="I197" t="inlineStr">
        <is>
          <t>VP, INVESTMENTS &amp; ADMIN</t>
        </is>
      </c>
      <c r="J197" t="inlineStr">
        <is>
          <t>Director of Investments</t>
        </is>
      </c>
      <c r="K197" t="inlineStr">
        <is>
          <t>Sr Investment Professional</t>
        </is>
      </c>
      <c r="L197" s="28" t="n">
        <v>477706</v>
      </c>
      <c r="M197" s="28" t="n">
        <v>100000</v>
      </c>
      <c r="N197" s="28" t="n">
        <v>2855</v>
      </c>
      <c r="O197" s="28" t="n">
        <v>29700</v>
      </c>
      <c r="P197" s="28" t="n">
        <v>15562</v>
      </c>
      <c r="Q197" s="28" t="n">
        <v>625823</v>
      </c>
      <c r="R197" s="28" t="n">
        <v>0</v>
      </c>
      <c r="S197" s="28">
        <f>Q197-R197</f>
        <v/>
      </c>
      <c r="T197" s="28">
        <f>IF(S197="","",S197*(1+in_GrowthRate)^(YEARFRAC(DATE(2024,5,31),in_AgeToDate)*IF(in_AgeToDate&lt;DATE(2024,5,31),-1,1)+1))</f>
        <v/>
      </c>
      <c r="U197" s="50">
        <f>IF(AND(AND(OR(in_Mode="All Funds",AND(C197&gt;=in_BandFloor,C197&lt;=in_BandCeiling,OR(in_Geography="National",COUNTIFS(lst_GeoPreset,in_Geography,lst_GeoState,B197)&gt;0,AND(in_Geography="Custom",ISNUMBER(SEARCH(B197,SUBSTITUTE(in_CustomStates," ",""))))),OR(AND(D197="Endowment",Inputs!$B$14="Y"),AND(D197="Foundation",Inputs!$B$15="Y"),AND(D197="Healthcare",Inputs!$B$16="Y"),AND(D197="Pension",Inputs!$B$17="Y"),AND(D197="OCIO",Inputs!$B$18="Y"),AND(D197="Other",Inputs!$B$19="Y")))),A197&lt;&gt;in_ClientOrg,NOT(AND(in_ExclHarvard="Y",ISNUMBER(SEARCH("Harvard",A197))))),$AD197="Y",K197&lt;&gt;"",S197&gt;0),"Y","")</f>
        <v/>
      </c>
      <c r="V197" s="30" t="n">
        <v>1.353411735192602</v>
      </c>
      <c r="W197" t="inlineStr"/>
      <c r="X197" s="28">
        <f>IF(L197+M197=0,"",L197+M197)</f>
        <v/>
      </c>
      <c r="Y197" s="38">
        <f>IF(L197=0,"",M197/L197)</f>
        <v/>
      </c>
      <c r="Z197" t="inlineStr">
        <is>
          <t>Director &amp; Investment Officer</t>
        </is>
      </c>
      <c r="AA197" t="inlineStr">
        <is>
          <t>Investments</t>
        </is>
      </c>
      <c r="AB197" s="50" t="inlineStr"/>
      <c r="AC197" s="43">
        <f>HYPERLINK("https://projects.propublica.org/nonprofits/organizations/951643992/202531019349301313/full","view filing")</f>
        <v/>
      </c>
      <c r="AD197" s="50" t="inlineStr"/>
    </row>
    <row r="198">
      <c r="A198" t="inlineStr">
        <is>
          <t>Chapman University</t>
        </is>
      </c>
      <c r="B198" s="50" t="inlineStr">
        <is>
          <t>CA</t>
        </is>
      </c>
      <c r="C198" s="52" t="n">
        <v>0.93</v>
      </c>
      <c r="D198" t="inlineStr">
        <is>
          <t>Endowment</t>
        </is>
      </c>
      <c r="E198" s="50" t="n">
        <v>2023</v>
      </c>
      <c r="F198" s="50" t="inlineStr">
        <is>
          <t>2024-04-05</t>
        </is>
      </c>
      <c r="G198" s="50" t="inlineStr">
        <is>
          <t>2023-05-31</t>
        </is>
      </c>
      <c r="H198" t="inlineStr">
        <is>
          <t>Helen Norris</t>
        </is>
      </c>
      <c r="I198" t="inlineStr">
        <is>
          <t>VICE PRESIDENT &amp; CIO</t>
        </is>
      </c>
      <c r="J198" t="inlineStr">
        <is>
          <t>CIO</t>
        </is>
      </c>
      <c r="K198" t="inlineStr">
        <is>
          <t>CIO - Top Investment Executive</t>
        </is>
      </c>
      <c r="L198" s="28" t="n">
        <v>354920</v>
      </c>
      <c r="M198" s="28" t="n">
        <v>25000</v>
      </c>
      <c r="N198" s="28" t="n">
        <v>163183</v>
      </c>
      <c r="O198" s="28" t="n">
        <v>64850</v>
      </c>
      <c r="P198" s="28" t="n">
        <v>1637</v>
      </c>
      <c r="Q198" s="28" t="n">
        <v>609590</v>
      </c>
      <c r="R198" s="28" t="n">
        <v>153755</v>
      </c>
      <c r="S198" s="28">
        <f>Q198-R198</f>
        <v/>
      </c>
      <c r="T198" s="28">
        <f>IF(S198="","",S198*(1+in_GrowthRate)^(YEARFRAC(DATE(2023,5,31),in_AgeToDate)*IF(in_AgeToDate&lt;DATE(2023,5,31),-1,1)+1))</f>
        <v/>
      </c>
      <c r="U198" s="50">
        <f>IF(AND(AND(OR(in_Mode="All Funds",AND(C198&gt;=in_BandFloor,C198&lt;=in_BandCeiling,OR(in_Geography="National",COUNTIFS(lst_GeoPreset,in_Geography,lst_GeoState,B198)&gt;0,AND(in_Geography="Custom",ISNUMBER(SEARCH(B198,SUBSTITUTE(in_CustomStates," ",""))))),OR(AND(D198="Endowment",Inputs!$B$14="Y"),AND(D198="Foundation",Inputs!$B$15="Y"),AND(D198="Healthcare",Inputs!$B$16="Y"),AND(D198="Pension",Inputs!$B$17="Y"),AND(D198="OCIO",Inputs!$B$18="Y"),AND(D198="Other",Inputs!$B$19="Y")))),A198&lt;&gt;in_ClientOrg,NOT(AND(in_ExclHarvard="Y",ISNUMBER(SEARCH("Harvard",A198))))),$AD198="Y",K198&lt;&gt;"",S198&gt;0),"Y","")</f>
        <v/>
      </c>
      <c r="V198" s="30" t="n">
        <v>1</v>
      </c>
      <c r="W198" t="inlineStr"/>
      <c r="X198" s="28">
        <f>IF(L198+M198=0,"",L198+M198)</f>
        <v/>
      </c>
      <c r="Y198" s="38">
        <f>IF(L198=0,"",M198/L198)</f>
        <v/>
      </c>
      <c r="Z198" t="inlineStr">
        <is>
          <t>CIO - Top Investment Executive</t>
        </is>
      </c>
      <c r="AA198" t="inlineStr">
        <is>
          <t>Leadership</t>
        </is>
      </c>
      <c r="AB198" s="50" t="inlineStr">
        <is>
          <t>Y</t>
        </is>
      </c>
      <c r="AC198" s="43">
        <f>HYPERLINK("https://projects.propublica.org/nonprofits/organizations/951643992/202440969349301509/full","view filing")</f>
        <v/>
      </c>
      <c r="AD198" s="50" t="inlineStr"/>
    </row>
    <row r="199">
      <c r="A199" t="inlineStr">
        <is>
          <t>Chapman University</t>
        </is>
      </c>
      <c r="B199" s="50" t="inlineStr">
        <is>
          <t>CA</t>
        </is>
      </c>
      <c r="C199" s="52" t="n">
        <v>0.93</v>
      </c>
      <c r="D199" t="inlineStr">
        <is>
          <t>Endowment</t>
        </is>
      </c>
      <c r="E199" s="50" t="n">
        <v>2023</v>
      </c>
      <c r="F199" s="50" t="inlineStr">
        <is>
          <t>2024-04-05</t>
        </is>
      </c>
      <c r="G199" s="50" t="inlineStr">
        <is>
          <t>2023-05-31</t>
        </is>
      </c>
      <c r="H199" t="inlineStr">
        <is>
          <t>Janna Bersi</t>
        </is>
      </c>
      <c r="I199" t="inlineStr">
        <is>
          <t>VP, INVESTMENTS &amp; ADMIN</t>
        </is>
      </c>
      <c r="J199" t="inlineStr">
        <is>
          <t>Director of Investments</t>
        </is>
      </c>
      <c r="K199" t="inlineStr">
        <is>
          <t>Sr Investment Professional</t>
        </is>
      </c>
      <c r="L199" s="28" t="n">
        <v>463080</v>
      </c>
      <c r="M199" s="28" t="n">
        <v>100000</v>
      </c>
      <c r="N199" s="28" t="n">
        <v>2740</v>
      </c>
      <c r="O199" s="28" t="n">
        <v>36332</v>
      </c>
      <c r="P199" s="28" t="n">
        <v>14668</v>
      </c>
      <c r="Q199" s="28" t="n">
        <v>616820</v>
      </c>
      <c r="R199" s="28" t="n">
        <v>0</v>
      </c>
      <c r="S199" s="28">
        <f>Q199-R199</f>
        <v/>
      </c>
      <c r="T199" s="28">
        <f>IF(S199="","",S199*(1+in_GrowthRate)^(YEARFRAC(DATE(2023,5,31),in_AgeToDate)*IF(in_AgeToDate&lt;DATE(2023,5,31),-1,1)+1))</f>
        <v/>
      </c>
      <c r="U199" s="50">
        <f>IF(AND(AND(OR(in_Mode="All Funds",AND(C199&gt;=in_BandFloor,C199&lt;=in_BandCeiling,OR(in_Geography="National",COUNTIFS(lst_GeoPreset,in_Geography,lst_GeoState,B199)&gt;0,AND(in_Geography="Custom",ISNUMBER(SEARCH(B199,SUBSTITUTE(in_CustomStates," ",""))))),OR(AND(D199="Endowment",Inputs!$B$14="Y"),AND(D199="Foundation",Inputs!$B$15="Y"),AND(D199="Healthcare",Inputs!$B$16="Y"),AND(D199="Pension",Inputs!$B$17="Y"),AND(D199="OCIO",Inputs!$B$18="Y"),AND(D199="Other",Inputs!$B$19="Y")))),A199&lt;&gt;in_ClientOrg,NOT(AND(in_ExclHarvard="Y",ISNUMBER(SEARCH("Harvard",A199))))),$AD199="Y",K199&lt;&gt;"",S199&gt;0),"Y","")</f>
        <v/>
      </c>
      <c r="V199" s="30" t="n">
        <v>1.35316507069444</v>
      </c>
      <c r="W199" t="inlineStr"/>
      <c r="X199" s="28">
        <f>IF(L199+M199=0,"",L199+M199)</f>
        <v/>
      </c>
      <c r="Y199" s="38">
        <f>IF(L199=0,"",M199/L199)</f>
        <v/>
      </c>
      <c r="Z199" t="inlineStr">
        <is>
          <t>Director &amp; Investment Officer</t>
        </is>
      </c>
      <c r="AA199" t="inlineStr">
        <is>
          <t>Investments</t>
        </is>
      </c>
      <c r="AB199" s="50" t="inlineStr"/>
      <c r="AC199" s="43">
        <f>HYPERLINK("https://projects.propublica.org/nonprofits/organizations/951643992/202440969349301509/full","view filing")</f>
        <v/>
      </c>
      <c r="AD199" s="50" t="inlineStr"/>
    </row>
    <row r="200">
      <c r="A200" t="inlineStr">
        <is>
          <t>Chapman University</t>
        </is>
      </c>
      <c r="B200" s="50" t="inlineStr">
        <is>
          <t>CA</t>
        </is>
      </c>
      <c r="C200" s="52" t="n">
        <v>0.93</v>
      </c>
      <c r="D200" t="inlineStr">
        <is>
          <t>Endowment</t>
        </is>
      </c>
      <c r="E200" s="50" t="n">
        <v>2022</v>
      </c>
      <c r="F200" s="50" t="inlineStr">
        <is>
          <t>2023-04-12</t>
        </is>
      </c>
      <c r="G200" s="50" t="inlineStr">
        <is>
          <t>2022-05-31</t>
        </is>
      </c>
      <c r="H200" t="inlineStr">
        <is>
          <t>Helen Norris</t>
        </is>
      </c>
      <c r="I200" t="inlineStr">
        <is>
          <t>VICE PRESIDENT &amp; CIO</t>
        </is>
      </c>
      <c r="J200" t="inlineStr">
        <is>
          <t>CIO</t>
        </is>
      </c>
      <c r="K200" t="inlineStr">
        <is>
          <t>CIO - Top Investment Executive</t>
        </is>
      </c>
      <c r="L200" s="28" t="n">
        <v>340680</v>
      </c>
      <c r="M200" s="28" t="n">
        <v>75000</v>
      </c>
      <c r="N200" s="28" t="n">
        <v>5717</v>
      </c>
      <c r="O200" s="28" t="n">
        <v>54182</v>
      </c>
      <c r="P200" s="28" t="n">
        <v>1661</v>
      </c>
      <c r="Q200" s="28" t="n">
        <v>477240</v>
      </c>
      <c r="R200" s="28" t="n">
        <v>0</v>
      </c>
      <c r="S200" s="28">
        <f>Q200-R200</f>
        <v/>
      </c>
      <c r="T200" s="28">
        <f>IF(S200="","",S200*(1+in_GrowthRate)^(YEARFRAC(DATE(2022,5,31),in_AgeToDate)*IF(in_AgeToDate&lt;DATE(2022,5,31),-1,1)+1))</f>
        <v/>
      </c>
      <c r="U200" s="50">
        <f>IF(AND(AND(OR(in_Mode="All Funds",AND(C200&gt;=in_BandFloor,C200&lt;=in_BandCeiling,OR(in_Geography="National",COUNTIFS(lst_GeoPreset,in_Geography,lst_GeoState,B200)&gt;0,AND(in_Geography="Custom",ISNUMBER(SEARCH(B200,SUBSTITUTE(in_CustomStates," ",""))))),OR(AND(D200="Endowment",Inputs!$B$14="Y"),AND(D200="Foundation",Inputs!$B$15="Y"),AND(D200="Healthcare",Inputs!$B$16="Y"),AND(D200="Pension",Inputs!$B$17="Y"),AND(D200="OCIO",Inputs!$B$18="Y"),AND(D200="Other",Inputs!$B$19="Y")))),A200&lt;&gt;in_ClientOrg,NOT(AND(in_ExclHarvard="Y",ISNUMBER(SEARCH("Harvard",A200))))),$AD200="Y",K200&lt;&gt;"",S200&gt;0),"Y","")</f>
        <v/>
      </c>
      <c r="V200" s="30" t="n">
        <v>1</v>
      </c>
      <c r="W200" t="inlineStr"/>
      <c r="X200" s="28">
        <f>IF(L200+M200=0,"",L200+M200)</f>
        <v/>
      </c>
      <c r="Y200" s="38">
        <f>IF(L200=0,"",M200/L200)</f>
        <v/>
      </c>
      <c r="Z200" t="inlineStr">
        <is>
          <t>CIO - Top Investment Executive</t>
        </is>
      </c>
      <c r="AA200" t="inlineStr">
        <is>
          <t>Leadership</t>
        </is>
      </c>
      <c r="AB200" s="50" t="inlineStr">
        <is>
          <t>Y</t>
        </is>
      </c>
      <c r="AC200" s="43">
        <f>HYPERLINK("https://projects.propublica.org/nonprofits/organizations/951643992/202341029349300139/full","view filing")</f>
        <v/>
      </c>
      <c r="AD200" s="50" t="inlineStr"/>
    </row>
    <row r="201">
      <c r="A201" t="inlineStr">
        <is>
          <t>Chapman University</t>
        </is>
      </c>
      <c r="B201" s="50" t="inlineStr">
        <is>
          <t>CA</t>
        </is>
      </c>
      <c r="C201" s="52" t="n">
        <v>0.93</v>
      </c>
      <c r="D201" t="inlineStr">
        <is>
          <t>Endowment</t>
        </is>
      </c>
      <c r="E201" s="50" t="n">
        <v>2022</v>
      </c>
      <c r="F201" s="50" t="inlineStr">
        <is>
          <t>2023-04-12</t>
        </is>
      </c>
      <c r="G201" s="50" t="inlineStr">
        <is>
          <t>2022-05-31</t>
        </is>
      </c>
      <c r="H201" t="inlineStr">
        <is>
          <t>Janna Bersi</t>
        </is>
      </c>
      <c r="I201" t="inlineStr">
        <is>
          <t>VP, INVESTMENTS &amp; ADMIN</t>
        </is>
      </c>
      <c r="J201" t="inlineStr">
        <is>
          <t>Director of Investments</t>
        </is>
      </c>
      <c r="K201" t="inlineStr">
        <is>
          <t>Sr Investment Professional</t>
        </is>
      </c>
      <c r="L201" s="28" t="n">
        <v>364584</v>
      </c>
      <c r="M201" s="28" t="n">
        <v>50000</v>
      </c>
      <c r="N201" s="28" t="n">
        <v>2436</v>
      </c>
      <c r="O201" s="28" t="n">
        <v>28622</v>
      </c>
      <c r="P201" s="28" t="n">
        <v>13610</v>
      </c>
      <c r="Q201" s="28" t="n">
        <v>459252</v>
      </c>
      <c r="R201" s="28" t="n">
        <v>0</v>
      </c>
      <c r="S201" s="28">
        <f>Q201-R201</f>
        <v/>
      </c>
      <c r="T201" s="28">
        <f>IF(S201="","",S201*(1+in_GrowthRate)^(YEARFRAC(DATE(2022,5,31),in_AgeToDate)*IF(in_AgeToDate&lt;DATE(2022,5,31),-1,1)+1))</f>
        <v/>
      </c>
      <c r="U201" s="50">
        <f>IF(AND(AND(OR(in_Mode="All Funds",AND(C201&gt;=in_BandFloor,C201&lt;=in_BandCeiling,OR(in_Geography="National",COUNTIFS(lst_GeoPreset,in_Geography,lst_GeoState,B201)&gt;0,AND(in_Geography="Custom",ISNUMBER(SEARCH(B201,SUBSTITUTE(in_CustomStates," ",""))))),OR(AND(D201="Endowment",Inputs!$B$14="Y"),AND(D201="Foundation",Inputs!$B$15="Y"),AND(D201="Healthcare",Inputs!$B$16="Y"),AND(D201="Pension",Inputs!$B$17="Y"),AND(D201="OCIO",Inputs!$B$18="Y"),AND(D201="Other",Inputs!$B$19="Y")))),A201&lt;&gt;in_ClientOrg,NOT(AND(in_ExclHarvard="Y",ISNUMBER(SEARCH("Harvard",A201))))),$AD201="Y",K201&lt;&gt;"",S201&gt;0),"Y","")</f>
        <v/>
      </c>
      <c r="V201" s="30" t="n">
        <v>0.9623082725672617</v>
      </c>
      <c r="W201" t="inlineStr"/>
      <c r="X201" s="28">
        <f>IF(L201+M201=0,"",L201+M201)</f>
        <v/>
      </c>
      <c r="Y201" s="38">
        <f>IF(L201=0,"",M201/L201)</f>
        <v/>
      </c>
      <c r="Z201" t="inlineStr">
        <is>
          <t>Director &amp; Investment Officer</t>
        </is>
      </c>
      <c r="AA201" t="inlineStr">
        <is>
          <t>Investments</t>
        </is>
      </c>
      <c r="AB201" s="50" t="inlineStr"/>
      <c r="AC201" s="43">
        <f>HYPERLINK("https://projects.propublica.org/nonprofits/organizations/951643992/202341029349300139/full","view filing")</f>
        <v/>
      </c>
      <c r="AD201" s="50" t="inlineStr"/>
    </row>
    <row r="202">
      <c r="A202" t="inlineStr">
        <is>
          <t>Charles Stewart Mott Foundation</t>
        </is>
      </c>
      <c r="B202" s="50" t="inlineStr">
        <is>
          <t>MI</t>
        </is>
      </c>
      <c r="C202" s="52" t="n">
        <v>3.6</v>
      </c>
      <c r="D202" t="inlineStr">
        <is>
          <t>Foundation</t>
        </is>
      </c>
      <c r="E202" s="50" t="n">
        <v>2024</v>
      </c>
      <c r="F202" s="50" t="inlineStr">
        <is>
          <t>2025-11-13</t>
        </is>
      </c>
      <c r="G202" s="50" t="inlineStr">
        <is>
          <t>2024-12-31</t>
        </is>
      </c>
      <c r="H202" t="inlineStr">
        <is>
          <t>Cheryl Garneau</t>
        </is>
      </c>
      <c r="I202" t="inlineStr">
        <is>
          <t>INVESTMENT MANAGER</t>
        </is>
      </c>
      <c r="J202" t="inlineStr">
        <is>
          <t>Investment Manager</t>
        </is>
      </c>
      <c r="K202" t="inlineStr">
        <is>
          <t>Sr Investment Professional</t>
        </is>
      </c>
      <c r="L202" s="28" t="n">
        <v>0</v>
      </c>
      <c r="M202" s="28" t="n">
        <v>0</v>
      </c>
      <c r="N202" s="28" t="n">
        <v>0</v>
      </c>
      <c r="O202" s="28" t="n">
        <v>0</v>
      </c>
      <c r="P202" s="28" t="n">
        <v>0</v>
      </c>
      <c r="Q202" s="28" t="n">
        <v>532248</v>
      </c>
      <c r="R202" s="28" t="n">
        <v>0</v>
      </c>
      <c r="S202" s="28">
        <f>Q202-R202</f>
        <v/>
      </c>
      <c r="T202" s="28">
        <f>IF(S202="","",S202*(1+in_GrowthRate)^(YEARFRAC(DATE(2024,12,31),in_AgeToDate)*IF(in_AgeToDate&lt;DATE(2024,12,31),-1,1)+1))</f>
        <v/>
      </c>
      <c r="U202" s="50">
        <f>IF(AND(AND(OR(in_Mode="All Funds",AND(C202&gt;=in_BandFloor,C202&lt;=in_BandCeiling,OR(in_Geography="National",COUNTIFS(lst_GeoPreset,in_Geography,lst_GeoState,B202)&gt;0,AND(in_Geography="Custom",ISNUMBER(SEARCH(B202,SUBSTITUTE(in_CustomStates," ",""))))),OR(AND(D202="Endowment",Inputs!$B$14="Y"),AND(D202="Foundation",Inputs!$B$15="Y"),AND(D202="Healthcare",Inputs!$B$16="Y"),AND(D202="Pension",Inputs!$B$17="Y"),AND(D202="OCIO",Inputs!$B$18="Y"),AND(D202="Other",Inputs!$B$19="Y")))),A202&lt;&gt;in_ClientOrg,NOT(AND(in_ExclHarvard="Y",ISNUMBER(SEARCH("Harvard",A202))))),$AD202="Y",K202&lt;&gt;"",S202&gt;0),"Y","")</f>
        <v/>
      </c>
      <c r="V202" s="30" t="n">
        <v>0.56249801843542</v>
      </c>
      <c r="W202" t="inlineStr"/>
      <c r="X202" s="28">
        <f>IF(L202+M202=0,"",L202+M202)</f>
        <v/>
      </c>
      <c r="Y202" s="38">
        <f>IF(L202=0,"",M202/L202)</f>
        <v/>
      </c>
      <c r="Z202" t="inlineStr">
        <is>
          <t>Director &amp; Investment Officer</t>
        </is>
      </c>
      <c r="AA202" t="inlineStr">
        <is>
          <t>Investments</t>
        </is>
      </c>
      <c r="AB202" s="50" t="inlineStr"/>
      <c r="AC202" s="43">
        <f>HYPERLINK("https://projects.propublica.org/nonprofits/organizations/381211227/202513179349100631/full","view filing")</f>
        <v/>
      </c>
      <c r="AD202" s="50" t="inlineStr">
        <is>
          <t>Y</t>
        </is>
      </c>
    </row>
    <row r="203">
      <c r="A203" t="inlineStr">
        <is>
          <t>Charles Stewart Mott Foundation</t>
        </is>
      </c>
      <c r="B203" s="50" t="inlineStr">
        <is>
          <t>MI</t>
        </is>
      </c>
      <c r="C203" s="52" t="n">
        <v>3.6</v>
      </c>
      <c r="D203" t="inlineStr">
        <is>
          <t>Foundation</t>
        </is>
      </c>
      <c r="E203" s="50" t="n">
        <v>2024</v>
      </c>
      <c r="F203" s="50" t="inlineStr">
        <is>
          <t>2025-11-13</t>
        </is>
      </c>
      <c r="G203" s="50" t="inlineStr">
        <is>
          <t>2024-12-31</t>
        </is>
      </c>
      <c r="H203" t="inlineStr">
        <is>
          <t>Jon Mecoli</t>
        </is>
      </c>
      <c r="I203" t="inlineStr">
        <is>
          <t>INVESTMENT MANAGER</t>
        </is>
      </c>
      <c r="J203" t="inlineStr">
        <is>
          <t>Investment Manager</t>
        </is>
      </c>
      <c r="K203" t="inlineStr">
        <is>
          <t>Sr Investment Professional</t>
        </is>
      </c>
      <c r="L203" s="28" t="n">
        <v>0</v>
      </c>
      <c r="M203" s="28" t="n">
        <v>0</v>
      </c>
      <c r="N203" s="28" t="n">
        <v>0</v>
      </c>
      <c r="O203" s="28" t="n">
        <v>0</v>
      </c>
      <c r="P203" s="28" t="n">
        <v>0</v>
      </c>
      <c r="Q203" s="28" t="n">
        <v>451073</v>
      </c>
      <c r="R203" s="28" t="n">
        <v>0</v>
      </c>
      <c r="S203" s="28">
        <f>Q203-R203</f>
        <v/>
      </c>
      <c r="T203" s="28">
        <f>IF(S203="","",S203*(1+in_GrowthRate)^(YEARFRAC(DATE(2024,12,31),in_AgeToDate)*IF(in_AgeToDate&lt;DATE(2024,12,31),-1,1)+1))</f>
        <v/>
      </c>
      <c r="U203" s="50">
        <f>IF(AND(AND(OR(in_Mode="All Funds",AND(C203&gt;=in_BandFloor,C203&lt;=in_BandCeiling,OR(in_Geography="National",COUNTIFS(lst_GeoPreset,in_Geography,lst_GeoState,B203)&gt;0,AND(in_Geography="Custom",ISNUMBER(SEARCH(B203,SUBSTITUTE(in_CustomStates," ",""))))),OR(AND(D203="Endowment",Inputs!$B$14="Y"),AND(D203="Foundation",Inputs!$B$15="Y"),AND(D203="Healthcare",Inputs!$B$16="Y"),AND(D203="Pension",Inputs!$B$17="Y"),AND(D203="OCIO",Inputs!$B$18="Y"),AND(D203="Other",Inputs!$B$19="Y")))),A203&lt;&gt;in_ClientOrg,NOT(AND(in_ExclHarvard="Y",ISNUMBER(SEARCH("Harvard",A203))))),$AD203="Y",K203&lt;&gt;"",S203&gt;0),"Y","")</f>
        <v/>
      </c>
      <c r="V203" s="30" t="n">
        <v>0.4767094825527202</v>
      </c>
      <c r="W203" t="inlineStr"/>
      <c r="X203" s="28">
        <f>IF(L203+M203=0,"",L203+M203)</f>
        <v/>
      </c>
      <c r="Y203" s="38">
        <f>IF(L203=0,"",M203/L203)</f>
        <v/>
      </c>
      <c r="Z203" t="inlineStr">
        <is>
          <t>Director &amp; Investment Officer</t>
        </is>
      </c>
      <c r="AA203" t="inlineStr">
        <is>
          <t>Investments</t>
        </is>
      </c>
      <c r="AB203" s="50" t="inlineStr"/>
      <c r="AC203" s="43">
        <f>HYPERLINK("https://projects.propublica.org/nonprofits/organizations/381211227/202513179349100631/full","view filing")</f>
        <v/>
      </c>
      <c r="AD203" s="50" t="inlineStr">
        <is>
          <t>Y</t>
        </is>
      </c>
    </row>
    <row r="204">
      <c r="A204" t="inlineStr">
        <is>
          <t>Charles Stewart Mott Foundation</t>
        </is>
      </c>
      <c r="B204" s="50" t="inlineStr">
        <is>
          <t>MI</t>
        </is>
      </c>
      <c r="C204" s="52" t="n">
        <v>3.6</v>
      </c>
      <c r="D204" t="inlineStr">
        <is>
          <t>Foundation</t>
        </is>
      </c>
      <c r="E204" s="50" t="n">
        <v>2024</v>
      </c>
      <c r="F204" s="50" t="inlineStr">
        <is>
          <t>2025-11-13</t>
        </is>
      </c>
      <c r="G204" s="50" t="inlineStr">
        <is>
          <t>2024-12-31</t>
        </is>
      </c>
      <c r="H204" t="inlineStr">
        <is>
          <t>Ken Austin</t>
        </is>
      </c>
      <c r="I204" t="inlineStr">
        <is>
          <t>INVESTMENT MANAGER</t>
        </is>
      </c>
      <c r="J204" t="inlineStr">
        <is>
          <t>Investment Manager</t>
        </is>
      </c>
      <c r="K204" t="inlineStr">
        <is>
          <t>Sr Investment Professional</t>
        </is>
      </c>
      <c r="L204" s="28" t="n">
        <v>0</v>
      </c>
      <c r="M204" s="28" t="n">
        <v>0</v>
      </c>
      <c r="N204" s="28" t="n">
        <v>0</v>
      </c>
      <c r="O204" s="28" t="n">
        <v>0</v>
      </c>
      <c r="P204" s="28" t="n">
        <v>0</v>
      </c>
      <c r="Q204" s="28" t="n">
        <v>536562</v>
      </c>
      <c r="R204" s="28" t="n">
        <v>0</v>
      </c>
      <c r="S204" s="28">
        <f>Q204-R204</f>
        <v/>
      </c>
      <c r="T204" s="28">
        <f>IF(S204="","",S204*(1+in_GrowthRate)^(YEARFRAC(DATE(2024,12,31),in_AgeToDate)*IF(in_AgeToDate&lt;DATE(2024,12,31),-1,1)+1))</f>
        <v/>
      </c>
      <c r="U204" s="50">
        <f>IF(AND(AND(OR(in_Mode="All Funds",AND(C204&gt;=in_BandFloor,C204&lt;=in_BandCeiling,OR(in_Geography="National",COUNTIFS(lst_GeoPreset,in_Geography,lst_GeoState,B204)&gt;0,AND(in_Geography="Custom",ISNUMBER(SEARCH(B204,SUBSTITUTE(in_CustomStates," ",""))))),OR(AND(D204="Endowment",Inputs!$B$14="Y"),AND(D204="Foundation",Inputs!$B$15="Y"),AND(D204="Healthcare",Inputs!$B$16="Y"),AND(D204="Pension",Inputs!$B$17="Y"),AND(D204="OCIO",Inputs!$B$18="Y"),AND(D204="Other",Inputs!$B$19="Y")))),A204&lt;&gt;in_ClientOrg,NOT(AND(in_ExclHarvard="Y",ISNUMBER(SEARCH("Harvard",A204))))),$AD204="Y",K204&lt;&gt;"",S204&gt;0),"Y","")</f>
        <v/>
      </c>
      <c r="V204" s="30" t="n">
        <v>0.5670572022210433</v>
      </c>
      <c r="W204" t="inlineStr"/>
      <c r="X204" s="28">
        <f>IF(L204+M204=0,"",L204+M204)</f>
        <v/>
      </c>
      <c r="Y204" s="38">
        <f>IF(L204=0,"",M204/L204)</f>
        <v/>
      </c>
      <c r="Z204" t="inlineStr">
        <is>
          <t>Director &amp; Investment Officer</t>
        </is>
      </c>
      <c r="AA204" t="inlineStr">
        <is>
          <t>Investments</t>
        </is>
      </c>
      <c r="AB204" s="50" t="inlineStr"/>
      <c r="AC204" s="43">
        <f>HYPERLINK("https://projects.propublica.org/nonprofits/organizations/381211227/202513179349100631/full","view filing")</f>
        <v/>
      </c>
      <c r="AD204" s="50" t="inlineStr">
        <is>
          <t>Y</t>
        </is>
      </c>
    </row>
    <row r="205">
      <c r="A205" t="inlineStr">
        <is>
          <t>Charles Stewart Mott Foundation</t>
        </is>
      </c>
      <c r="B205" s="50" t="inlineStr">
        <is>
          <t>MI</t>
        </is>
      </c>
      <c r="C205" s="52" t="n">
        <v>3.6</v>
      </c>
      <c r="D205" t="inlineStr">
        <is>
          <t>Foundation</t>
        </is>
      </c>
      <c r="E205" s="50" t="n">
        <v>2024</v>
      </c>
      <c r="F205" s="50" t="inlineStr">
        <is>
          <t>2025-11-13</t>
        </is>
      </c>
      <c r="G205" s="50" t="inlineStr">
        <is>
          <t>2024-12-31</t>
        </is>
      </c>
      <c r="H205" t="inlineStr">
        <is>
          <t>Nancy Orr</t>
        </is>
      </c>
      <c r="I205" t="inlineStr">
        <is>
          <t>VICE PRESIDENT &amp; CIO (BEG 1/6/24)</t>
        </is>
      </c>
      <c r="J205" t="inlineStr">
        <is>
          <t>CIO</t>
        </is>
      </c>
      <c r="K205" t="inlineStr">
        <is>
          <t>CIO - Top Investment Executive</t>
        </is>
      </c>
      <c r="L205" s="28" t="n">
        <v>0</v>
      </c>
      <c r="M205" s="28" t="n">
        <v>0</v>
      </c>
      <c r="N205" s="28" t="n">
        <v>0</v>
      </c>
      <c r="O205" s="28" t="n">
        <v>0</v>
      </c>
      <c r="P205" s="28" t="n">
        <v>46222</v>
      </c>
      <c r="Q205" s="28" t="n">
        <v>946222</v>
      </c>
      <c r="R205" s="28" t="n">
        <v>0</v>
      </c>
      <c r="S205" s="28">
        <f>Q205-R205</f>
        <v/>
      </c>
      <c r="T205" s="28">
        <f>IF(S205="","",S205*(1+in_GrowthRate)^(YEARFRAC(DATE(2024,12,31),in_AgeToDate)*IF(in_AgeToDate&lt;DATE(2024,12,31),-1,1)+1))</f>
        <v/>
      </c>
      <c r="U205" s="50">
        <f>IF(AND(AND(OR(in_Mode="All Funds",AND(C205&gt;=in_BandFloor,C205&lt;=in_BandCeiling,OR(in_Geography="National",COUNTIFS(lst_GeoPreset,in_Geography,lst_GeoState,B205)&gt;0,AND(in_Geography="Custom",ISNUMBER(SEARCH(B205,SUBSTITUTE(in_CustomStates," ",""))))),OR(AND(D205="Endowment",Inputs!$B$14="Y"),AND(D205="Foundation",Inputs!$B$15="Y"),AND(D205="Healthcare",Inputs!$B$16="Y"),AND(D205="Pension",Inputs!$B$17="Y"),AND(D205="OCIO",Inputs!$B$18="Y"),AND(D205="Other",Inputs!$B$19="Y")))),A205&lt;&gt;in_ClientOrg,NOT(AND(in_ExclHarvard="Y",ISNUMBER(SEARCH("Harvard",A205))))),$AD205="Y",K205&lt;&gt;"",S205&gt;0),"Y","")</f>
        <v/>
      </c>
      <c r="V205" s="30" t="n">
        <v>1</v>
      </c>
      <c r="W205" t="inlineStr"/>
      <c r="X205" s="28">
        <f>IF(L205+M205=0,"",L205+M205)</f>
        <v/>
      </c>
      <c r="Y205" s="38">
        <f>IF(L205=0,"",M205/L205)</f>
        <v/>
      </c>
      <c r="Z205" t="inlineStr">
        <is>
          <t>CIO - Top Investment Executive</t>
        </is>
      </c>
      <c r="AA205" t="inlineStr">
        <is>
          <t>Leadership</t>
        </is>
      </c>
      <c r="AB205" s="50" t="inlineStr">
        <is>
          <t>Y</t>
        </is>
      </c>
      <c r="AC205" s="43">
        <f>HYPERLINK("https://projects.propublica.org/nonprofits/organizations/381211227/202513179349100631/full","view filing")</f>
        <v/>
      </c>
      <c r="AD205" s="50" t="inlineStr">
        <is>
          <t>Y</t>
        </is>
      </c>
    </row>
    <row r="206">
      <c r="A206" t="inlineStr">
        <is>
          <t>Charles Stewart Mott Foundation</t>
        </is>
      </c>
      <c r="B206" s="50" t="inlineStr">
        <is>
          <t>MI</t>
        </is>
      </c>
      <c r="C206" s="52" t="n">
        <v>3.6</v>
      </c>
      <c r="D206" t="inlineStr">
        <is>
          <t>Foundation</t>
        </is>
      </c>
      <c r="E206" s="50" t="n">
        <v>2024</v>
      </c>
      <c r="F206" s="50" t="inlineStr">
        <is>
          <t>2025-11-13</t>
        </is>
      </c>
      <c r="G206" s="50" t="inlineStr">
        <is>
          <t>2024-12-31</t>
        </is>
      </c>
      <c r="H206" t="inlineStr">
        <is>
          <t>Stephen Vessells</t>
        </is>
      </c>
      <c r="I206" t="inlineStr">
        <is>
          <t>INVESTMENT MANAGER</t>
        </is>
      </c>
      <c r="J206" t="inlineStr">
        <is>
          <t>Investment Manager</t>
        </is>
      </c>
      <c r="K206" t="inlineStr">
        <is>
          <t>Sr Investment Professional</t>
        </is>
      </c>
      <c r="L206" s="28" t="n">
        <v>0</v>
      </c>
      <c r="M206" s="28" t="n">
        <v>0</v>
      </c>
      <c r="N206" s="28" t="n">
        <v>0</v>
      </c>
      <c r="O206" s="28" t="n">
        <v>0</v>
      </c>
      <c r="P206" s="28" t="n">
        <v>0</v>
      </c>
      <c r="Q206" s="28" t="n">
        <v>475162</v>
      </c>
      <c r="R206" s="28" t="n">
        <v>0</v>
      </c>
      <c r="S206" s="28">
        <f>Q206-R206</f>
        <v/>
      </c>
      <c r="T206" s="28">
        <f>IF(S206="","",S206*(1+in_GrowthRate)^(YEARFRAC(DATE(2024,12,31),in_AgeToDate)*IF(in_AgeToDate&lt;DATE(2024,12,31),-1,1)+1))</f>
        <v/>
      </c>
      <c r="U206" s="50">
        <f>IF(AND(AND(OR(in_Mode="All Funds",AND(C206&gt;=in_BandFloor,C206&lt;=in_BandCeiling,OR(in_Geography="National",COUNTIFS(lst_GeoPreset,in_Geography,lst_GeoState,B206)&gt;0,AND(in_Geography="Custom",ISNUMBER(SEARCH(B206,SUBSTITUTE(in_CustomStates," ",""))))),OR(AND(D206="Endowment",Inputs!$B$14="Y"),AND(D206="Foundation",Inputs!$B$15="Y"),AND(D206="Healthcare",Inputs!$B$16="Y"),AND(D206="Pension",Inputs!$B$17="Y"),AND(D206="OCIO",Inputs!$B$18="Y"),AND(D206="Other",Inputs!$B$19="Y")))),A206&lt;&gt;in_ClientOrg,NOT(AND(in_ExclHarvard="Y",ISNUMBER(SEARCH("Harvard",A206))))),$AD206="Y",K206&lt;&gt;"",S206&gt;0),"Y","")</f>
        <v/>
      </c>
      <c r="V206" s="30" t="n">
        <v>0.50216756744189</v>
      </c>
      <c r="W206" t="inlineStr"/>
      <c r="X206" s="28">
        <f>IF(L206+M206=0,"",L206+M206)</f>
        <v/>
      </c>
      <c r="Y206" s="38">
        <f>IF(L206=0,"",M206/L206)</f>
        <v/>
      </c>
      <c r="Z206" t="inlineStr">
        <is>
          <t>Director &amp; Investment Officer</t>
        </is>
      </c>
      <c r="AA206" t="inlineStr">
        <is>
          <t>Investments</t>
        </is>
      </c>
      <c r="AB206" s="50" t="inlineStr"/>
      <c r="AC206" s="43">
        <f>HYPERLINK("https://projects.propublica.org/nonprofits/organizations/381211227/202513179349100631/full","view filing")</f>
        <v/>
      </c>
      <c r="AD206" s="50" t="inlineStr">
        <is>
          <t>Y</t>
        </is>
      </c>
    </row>
    <row r="207">
      <c r="A207" t="inlineStr">
        <is>
          <t>Charles Stewart Mott Foundation</t>
        </is>
      </c>
      <c r="B207" s="50" t="inlineStr">
        <is>
          <t>MI</t>
        </is>
      </c>
      <c r="C207" s="52" t="n">
        <v>3.6</v>
      </c>
      <c r="D207" t="inlineStr">
        <is>
          <t>Foundation</t>
        </is>
      </c>
      <c r="E207" s="50" t="n">
        <v>2023</v>
      </c>
      <c r="F207" s="50" t="inlineStr">
        <is>
          <t>2024-11-12</t>
        </is>
      </c>
      <c r="G207" s="50" t="inlineStr">
        <is>
          <t>2023-12-31</t>
        </is>
      </c>
      <c r="H207" t="inlineStr">
        <is>
          <t>Cheryl Garneau</t>
        </is>
      </c>
      <c r="I207" t="inlineStr">
        <is>
          <t>INVESTMENT MANAGER</t>
        </is>
      </c>
      <c r="J207" t="inlineStr">
        <is>
          <t>Investment Manager</t>
        </is>
      </c>
      <c r="K207" t="inlineStr">
        <is>
          <t>Sr Investment Professional</t>
        </is>
      </c>
      <c r="L207" s="28" t="n">
        <v>0</v>
      </c>
      <c r="M207" s="28" t="n">
        <v>0</v>
      </c>
      <c r="N207" s="28" t="n">
        <v>0</v>
      </c>
      <c r="O207" s="28" t="n">
        <v>0</v>
      </c>
      <c r="P207" s="28" t="n">
        <v>0</v>
      </c>
      <c r="Q207" s="28" t="n">
        <v>560941</v>
      </c>
      <c r="R207" s="28" t="n">
        <v>0</v>
      </c>
      <c r="S207" s="28">
        <f>Q207-R207</f>
        <v/>
      </c>
      <c r="T207" s="28">
        <f>IF(S207="","",S207*(1+in_GrowthRate)^(YEARFRAC(DATE(2023,12,31),in_AgeToDate)*IF(in_AgeToDate&lt;DATE(2023,12,31),-1,1)+1))</f>
        <v/>
      </c>
      <c r="U207" s="50">
        <f>IF(AND(AND(OR(in_Mode="All Funds",AND(C207&gt;=in_BandFloor,C207&lt;=in_BandCeiling,OR(in_Geography="National",COUNTIFS(lst_GeoPreset,in_Geography,lst_GeoState,B207)&gt;0,AND(in_Geography="Custom",ISNUMBER(SEARCH(B207,SUBSTITUTE(in_CustomStates," ",""))))),OR(AND(D207="Endowment",Inputs!$B$14="Y"),AND(D207="Foundation",Inputs!$B$15="Y"),AND(D207="Healthcare",Inputs!$B$16="Y"),AND(D207="Pension",Inputs!$B$17="Y"),AND(D207="OCIO",Inputs!$B$18="Y"),AND(D207="Other",Inputs!$B$19="Y")))),A207&lt;&gt;in_ClientOrg,NOT(AND(in_ExclHarvard="Y",ISNUMBER(SEARCH("Harvard",A207))))),$AD207="Y",K207&lt;&gt;"",S207&gt;0),"Y","")</f>
        <v/>
      </c>
      <c r="V207" s="30" t="n">
        <v>0.2691368769737581</v>
      </c>
      <c r="W207" t="inlineStr"/>
      <c r="X207" s="28">
        <f>IF(L207+M207=0,"",L207+M207)</f>
        <v/>
      </c>
      <c r="Y207" s="38">
        <f>IF(L207=0,"",M207/L207)</f>
        <v/>
      </c>
      <c r="Z207" t="inlineStr">
        <is>
          <t>Director &amp; Investment Officer</t>
        </is>
      </c>
      <c r="AA207" t="inlineStr">
        <is>
          <t>Investments</t>
        </is>
      </c>
      <c r="AB207" s="50" t="inlineStr"/>
      <c r="AC207" s="43">
        <f>HYPERLINK("https://projects.propublica.org/nonprofits/organizations/381211227/202423179349102547/full","view filing")</f>
        <v/>
      </c>
      <c r="AD207" s="50" t="inlineStr"/>
    </row>
    <row r="208">
      <c r="A208" t="inlineStr">
        <is>
          <t>Charles Stewart Mott Foundation</t>
        </is>
      </c>
      <c r="B208" s="50" t="inlineStr">
        <is>
          <t>MI</t>
        </is>
      </c>
      <c r="C208" s="52" t="n">
        <v>3.6</v>
      </c>
      <c r="D208" t="inlineStr">
        <is>
          <t>Foundation</t>
        </is>
      </c>
      <c r="E208" s="50" t="n">
        <v>2023</v>
      </c>
      <c r="F208" s="50" t="inlineStr">
        <is>
          <t>2024-11-12</t>
        </is>
      </c>
      <c r="G208" s="50" t="inlineStr">
        <is>
          <t>2023-12-31</t>
        </is>
      </c>
      <c r="H208" t="inlineStr">
        <is>
          <t>Harris Sibunruang</t>
        </is>
      </c>
      <c r="I208" t="inlineStr">
        <is>
          <t>INVESTMENT MANAGER</t>
        </is>
      </c>
      <c r="J208" t="inlineStr">
        <is>
          <t>Investment Manager</t>
        </is>
      </c>
      <c r="K208" t="inlineStr">
        <is>
          <t>Sr Investment Professional</t>
        </is>
      </c>
      <c r="L208" s="28" t="n">
        <v>0</v>
      </c>
      <c r="M208" s="28" t="n">
        <v>0</v>
      </c>
      <c r="N208" s="28" t="n">
        <v>0</v>
      </c>
      <c r="O208" s="28" t="n">
        <v>0</v>
      </c>
      <c r="P208" s="28" t="n">
        <v>0</v>
      </c>
      <c r="Q208" s="28" t="n">
        <v>457000</v>
      </c>
      <c r="R208" s="28" t="n">
        <v>0</v>
      </c>
      <c r="S208" s="28">
        <f>Q208-R208</f>
        <v/>
      </c>
      <c r="T208" s="28">
        <f>IF(S208="","",S208*(1+in_GrowthRate)^(YEARFRAC(DATE(2023,12,31),in_AgeToDate)*IF(in_AgeToDate&lt;DATE(2023,12,31),-1,1)+1))</f>
        <v/>
      </c>
      <c r="U208" s="50">
        <f>IF(AND(AND(OR(in_Mode="All Funds",AND(C208&gt;=in_BandFloor,C208&lt;=in_BandCeiling,OR(in_Geography="National",COUNTIFS(lst_GeoPreset,in_Geography,lst_GeoState,B208)&gt;0,AND(in_Geography="Custom",ISNUMBER(SEARCH(B208,SUBSTITUTE(in_CustomStates," ",""))))),OR(AND(D208="Endowment",Inputs!$B$14="Y"),AND(D208="Foundation",Inputs!$B$15="Y"),AND(D208="Healthcare",Inputs!$B$16="Y"),AND(D208="Pension",Inputs!$B$17="Y"),AND(D208="OCIO",Inputs!$B$18="Y"),AND(D208="Other",Inputs!$B$19="Y")))),A208&lt;&gt;in_ClientOrg,NOT(AND(in_ExclHarvard="Y",ISNUMBER(SEARCH("Harvard",A208))))),$AD208="Y",K208&lt;&gt;"",S208&gt;0),"Y","")</f>
        <v/>
      </c>
      <c r="V208" s="30" t="n">
        <v>0.219266469694687</v>
      </c>
      <c r="W208" t="inlineStr"/>
      <c r="X208" s="28">
        <f>IF(L208+M208=0,"",L208+M208)</f>
        <v/>
      </c>
      <c r="Y208" s="38">
        <f>IF(L208=0,"",M208/L208)</f>
        <v/>
      </c>
      <c r="Z208" t="inlineStr">
        <is>
          <t>Director &amp; Investment Officer</t>
        </is>
      </c>
      <c r="AA208" t="inlineStr">
        <is>
          <t>Investments</t>
        </is>
      </c>
      <c r="AB208" s="50" t="inlineStr"/>
      <c r="AC208" s="43">
        <f>HYPERLINK("https://projects.propublica.org/nonprofits/organizations/381211227/202423179349102547/full","view filing")</f>
        <v/>
      </c>
      <c r="AD208" s="50" t="inlineStr"/>
    </row>
    <row r="209">
      <c r="A209" t="inlineStr">
        <is>
          <t>Charles Stewart Mott Foundation</t>
        </is>
      </c>
      <c r="B209" s="50" t="inlineStr">
        <is>
          <t>MI</t>
        </is>
      </c>
      <c r="C209" s="52" t="n">
        <v>3.6</v>
      </c>
      <c r="D209" t="inlineStr">
        <is>
          <t>Foundation</t>
        </is>
      </c>
      <c r="E209" s="50" t="n">
        <v>2023</v>
      </c>
      <c r="F209" s="50" t="inlineStr">
        <is>
          <t>2024-11-12</t>
        </is>
      </c>
      <c r="G209" s="50" t="inlineStr">
        <is>
          <t>2023-12-31</t>
        </is>
      </c>
      <c r="H209" t="inlineStr">
        <is>
          <t>Jay C Flaherty</t>
        </is>
      </c>
      <c r="I209" t="inlineStr">
        <is>
          <t>VICE PRESIDENT &amp; CIO</t>
        </is>
      </c>
      <c r="J209" t="inlineStr">
        <is>
          <t>CIO</t>
        </is>
      </c>
      <c r="K209" t="inlineStr">
        <is>
          <t>CIO - Top Investment Executive</t>
        </is>
      </c>
      <c r="L209" s="28" t="n">
        <v>0</v>
      </c>
      <c r="M209" s="28" t="n">
        <v>0</v>
      </c>
      <c r="N209" s="28" t="n">
        <v>0</v>
      </c>
      <c r="O209" s="28" t="n">
        <v>0</v>
      </c>
      <c r="P209" s="28" t="n">
        <v>505193</v>
      </c>
      <c r="Q209" s="28" t="n">
        <v>2084222</v>
      </c>
      <c r="R209" s="28" t="n">
        <v>0</v>
      </c>
      <c r="S209" s="28">
        <f>Q209-R209</f>
        <v/>
      </c>
      <c r="T209" s="28">
        <f>IF(S209="","",S209*(1+in_GrowthRate)^(YEARFRAC(DATE(2023,12,31),in_AgeToDate)*IF(in_AgeToDate&lt;DATE(2023,12,31),-1,1)+1))</f>
        <v/>
      </c>
      <c r="U209" s="50">
        <f>IF(AND(AND(OR(in_Mode="All Funds",AND(C209&gt;=in_BandFloor,C209&lt;=in_BandCeiling,OR(in_Geography="National",COUNTIFS(lst_GeoPreset,in_Geography,lst_GeoState,B209)&gt;0,AND(in_Geography="Custom",ISNUMBER(SEARCH(B209,SUBSTITUTE(in_CustomStates," ",""))))),OR(AND(D209="Endowment",Inputs!$B$14="Y"),AND(D209="Foundation",Inputs!$B$15="Y"),AND(D209="Healthcare",Inputs!$B$16="Y"),AND(D209="Pension",Inputs!$B$17="Y"),AND(D209="OCIO",Inputs!$B$18="Y"),AND(D209="Other",Inputs!$B$19="Y")))),A209&lt;&gt;in_ClientOrg,NOT(AND(in_ExclHarvard="Y",ISNUMBER(SEARCH("Harvard",A209))))),$AD209="Y",K209&lt;&gt;"",S209&gt;0),"Y","")</f>
        <v/>
      </c>
      <c r="V209" s="30" t="n">
        <v>1</v>
      </c>
      <c r="W209" t="inlineStr"/>
      <c r="X209" s="28">
        <f>IF(L209+M209=0,"",L209+M209)</f>
        <v/>
      </c>
      <c r="Y209" s="38">
        <f>IF(L209=0,"",M209/L209)</f>
        <v/>
      </c>
      <c r="Z209" t="inlineStr">
        <is>
          <t>CIO - Top Investment Executive</t>
        </is>
      </c>
      <c r="AA209" t="inlineStr">
        <is>
          <t>Leadership</t>
        </is>
      </c>
      <c r="AB209" s="50" t="inlineStr">
        <is>
          <t>Y</t>
        </is>
      </c>
      <c r="AC209" s="43">
        <f>HYPERLINK("https://projects.propublica.org/nonprofits/organizations/381211227/202423179349102547/full","view filing")</f>
        <v/>
      </c>
      <c r="AD209" s="50" t="inlineStr"/>
    </row>
    <row r="210">
      <c r="A210" t="inlineStr">
        <is>
          <t>Charles Stewart Mott Foundation</t>
        </is>
      </c>
      <c r="B210" s="50" t="inlineStr">
        <is>
          <t>MI</t>
        </is>
      </c>
      <c r="C210" s="52" t="n">
        <v>3.6</v>
      </c>
      <c r="D210" t="inlineStr">
        <is>
          <t>Foundation</t>
        </is>
      </c>
      <c r="E210" s="50" t="n">
        <v>2023</v>
      </c>
      <c r="F210" s="50" t="inlineStr">
        <is>
          <t>2024-11-12</t>
        </is>
      </c>
      <c r="G210" s="50" t="inlineStr">
        <is>
          <t>2023-12-31</t>
        </is>
      </c>
      <c r="H210" t="inlineStr">
        <is>
          <t>Ken Austin</t>
        </is>
      </c>
      <c r="I210" t="inlineStr">
        <is>
          <t>INVESTMENT MANAGER</t>
        </is>
      </c>
      <c r="J210" t="inlineStr">
        <is>
          <t>Investment Manager</t>
        </is>
      </c>
      <c r="K210" t="inlineStr">
        <is>
          <t>Sr Investment Professional</t>
        </is>
      </c>
      <c r="L210" s="28" t="n">
        <v>0</v>
      </c>
      <c r="M210" s="28" t="n">
        <v>0</v>
      </c>
      <c r="N210" s="28" t="n">
        <v>0</v>
      </c>
      <c r="O210" s="28" t="n">
        <v>0</v>
      </c>
      <c r="P210" s="28" t="n">
        <v>0</v>
      </c>
      <c r="Q210" s="28" t="n">
        <v>563669</v>
      </c>
      <c r="R210" s="28" t="n">
        <v>0</v>
      </c>
      <c r="S210" s="28">
        <f>Q210-R210</f>
        <v/>
      </c>
      <c r="T210" s="28">
        <f>IF(S210="","",S210*(1+in_GrowthRate)^(YEARFRAC(DATE(2023,12,31),in_AgeToDate)*IF(in_AgeToDate&lt;DATE(2023,12,31),-1,1)+1))</f>
        <v/>
      </c>
      <c r="U210" s="50">
        <f>IF(AND(AND(OR(in_Mode="All Funds",AND(C210&gt;=in_BandFloor,C210&lt;=in_BandCeiling,OR(in_Geography="National",COUNTIFS(lst_GeoPreset,in_Geography,lst_GeoState,B210)&gt;0,AND(in_Geography="Custom",ISNUMBER(SEARCH(B210,SUBSTITUTE(in_CustomStates," ",""))))),OR(AND(D210="Endowment",Inputs!$B$14="Y"),AND(D210="Foundation",Inputs!$B$15="Y"),AND(D210="Healthcare",Inputs!$B$16="Y"),AND(D210="Pension",Inputs!$B$17="Y"),AND(D210="OCIO",Inputs!$B$18="Y"),AND(D210="Other",Inputs!$B$19="Y")))),A210&lt;&gt;in_ClientOrg,NOT(AND(in_ExclHarvard="Y",ISNUMBER(SEARCH("Harvard",A210))))),$AD210="Y",K210&lt;&gt;"",S210&gt;0),"Y","")</f>
        <v/>
      </c>
      <c r="V210" s="30" t="n">
        <v>0.2704457586571872</v>
      </c>
      <c r="W210" t="inlineStr"/>
      <c r="X210" s="28">
        <f>IF(L210+M210=0,"",L210+M210)</f>
        <v/>
      </c>
      <c r="Y210" s="38">
        <f>IF(L210=0,"",M210/L210)</f>
        <v/>
      </c>
      <c r="Z210" t="inlineStr">
        <is>
          <t>Director &amp; Investment Officer</t>
        </is>
      </c>
      <c r="AA210" t="inlineStr">
        <is>
          <t>Investments</t>
        </is>
      </c>
      <c r="AB210" s="50" t="inlineStr"/>
      <c r="AC210" s="43">
        <f>HYPERLINK("https://projects.propublica.org/nonprofits/organizations/381211227/202423179349102547/full","view filing")</f>
        <v/>
      </c>
      <c r="AD210" s="50" t="inlineStr"/>
    </row>
    <row r="211">
      <c r="A211" t="inlineStr">
        <is>
          <t>Charles Stewart Mott Foundation</t>
        </is>
      </c>
      <c r="B211" s="50" t="inlineStr">
        <is>
          <t>MI</t>
        </is>
      </c>
      <c r="C211" s="52" t="n">
        <v>3.6</v>
      </c>
      <c r="D211" t="inlineStr">
        <is>
          <t>Foundation</t>
        </is>
      </c>
      <c r="E211" s="50" t="n">
        <v>2023</v>
      </c>
      <c r="F211" s="50" t="inlineStr">
        <is>
          <t>2024-11-12</t>
        </is>
      </c>
      <c r="G211" s="50" t="inlineStr">
        <is>
          <t>2023-12-31</t>
        </is>
      </c>
      <c r="H211" t="inlineStr">
        <is>
          <t>Stephen Vessells</t>
        </is>
      </c>
      <c r="I211" t="inlineStr">
        <is>
          <t>INVESTMENT MANAGER</t>
        </is>
      </c>
      <c r="J211" t="inlineStr">
        <is>
          <t>Investment Manager</t>
        </is>
      </c>
      <c r="K211" t="inlineStr">
        <is>
          <t>Sr Investment Professional</t>
        </is>
      </c>
      <c r="L211" s="28" t="n">
        <v>0</v>
      </c>
      <c r="M211" s="28" t="n">
        <v>0</v>
      </c>
      <c r="N211" s="28" t="n">
        <v>0</v>
      </c>
      <c r="O211" s="28" t="n">
        <v>0</v>
      </c>
      <c r="P211" s="28" t="n">
        <v>0</v>
      </c>
      <c r="Q211" s="28" t="n">
        <v>587635</v>
      </c>
      <c r="R211" s="28" t="n">
        <v>0</v>
      </c>
      <c r="S211" s="28">
        <f>Q211-R211</f>
        <v/>
      </c>
      <c r="T211" s="28">
        <f>IF(S211="","",S211*(1+in_GrowthRate)^(YEARFRAC(DATE(2023,12,31),in_AgeToDate)*IF(in_AgeToDate&lt;DATE(2023,12,31),-1,1)+1))</f>
        <v/>
      </c>
      <c r="U211" s="50">
        <f>IF(AND(AND(OR(in_Mode="All Funds",AND(C211&gt;=in_BandFloor,C211&lt;=in_BandCeiling,OR(in_Geography="National",COUNTIFS(lst_GeoPreset,in_Geography,lst_GeoState,B211)&gt;0,AND(in_Geography="Custom",ISNUMBER(SEARCH(B211,SUBSTITUTE(in_CustomStates," ",""))))),OR(AND(D211="Endowment",Inputs!$B$14="Y"),AND(D211="Foundation",Inputs!$B$15="Y"),AND(D211="Healthcare",Inputs!$B$16="Y"),AND(D211="Pension",Inputs!$B$17="Y"),AND(D211="OCIO",Inputs!$B$18="Y"),AND(D211="Other",Inputs!$B$19="Y")))),A211&lt;&gt;in_ClientOrg,NOT(AND(in_ExclHarvard="Y",ISNUMBER(SEARCH("Harvard",A211))))),$AD211="Y",K211&lt;&gt;"",S211&gt;0),"Y","")</f>
        <v/>
      </c>
      <c r="V211" s="30" t="n">
        <v>0.281944533739688</v>
      </c>
      <c r="W211" t="inlineStr"/>
      <c r="X211" s="28">
        <f>IF(L211+M211=0,"",L211+M211)</f>
        <v/>
      </c>
      <c r="Y211" s="38">
        <f>IF(L211=0,"",M211/L211)</f>
        <v/>
      </c>
      <c r="Z211" t="inlineStr">
        <is>
          <t>Director &amp; Investment Officer</t>
        </is>
      </c>
      <c r="AA211" t="inlineStr">
        <is>
          <t>Investments</t>
        </is>
      </c>
      <c r="AB211" s="50" t="inlineStr"/>
      <c r="AC211" s="43">
        <f>HYPERLINK("https://projects.propublica.org/nonprofits/organizations/381211227/202423179349102547/full","view filing")</f>
        <v/>
      </c>
      <c r="AD211" s="50" t="inlineStr"/>
    </row>
    <row r="212">
      <c r="A212" t="inlineStr">
        <is>
          <t>Charles Stewart Mott Foundation</t>
        </is>
      </c>
      <c r="B212" s="50" t="inlineStr">
        <is>
          <t>MI</t>
        </is>
      </c>
      <c r="C212" s="52" t="n">
        <v>3.6</v>
      </c>
      <c r="D212" t="inlineStr">
        <is>
          <t>Foundation</t>
        </is>
      </c>
      <c r="E212" s="50" t="n">
        <v>2022</v>
      </c>
      <c r="F212" s="50" t="inlineStr">
        <is>
          <t>2023-11-13</t>
        </is>
      </c>
      <c r="G212" s="50" t="inlineStr">
        <is>
          <t>2022-12-31</t>
        </is>
      </c>
      <c r="H212" t="inlineStr">
        <is>
          <t>Cheryl Garneau</t>
        </is>
      </c>
      <c r="I212" t="inlineStr">
        <is>
          <t>INVESTMENT MANAGER</t>
        </is>
      </c>
      <c r="J212" t="inlineStr">
        <is>
          <t>Investment Manager</t>
        </is>
      </c>
      <c r="K212" t="inlineStr">
        <is>
          <t>Sr Investment Professional</t>
        </is>
      </c>
      <c r="L212" s="28" t="n">
        <v>0</v>
      </c>
      <c r="M212" s="28" t="n">
        <v>0</v>
      </c>
      <c r="N212" s="28" t="n">
        <v>0</v>
      </c>
      <c r="O212" s="28" t="n">
        <v>0</v>
      </c>
      <c r="P212" s="28" t="n">
        <v>0</v>
      </c>
      <c r="Q212" s="28" t="n">
        <v>576618</v>
      </c>
      <c r="R212" s="28" t="n">
        <v>0</v>
      </c>
      <c r="S212" s="28">
        <f>Q212-R212</f>
        <v/>
      </c>
      <c r="T212" s="28">
        <f>IF(S212="","",S212*(1+in_GrowthRate)^(YEARFRAC(DATE(2022,12,31),in_AgeToDate)*IF(in_AgeToDate&lt;DATE(2022,12,31),-1,1)+1))</f>
        <v/>
      </c>
      <c r="U212" s="50">
        <f>IF(AND(AND(OR(in_Mode="All Funds",AND(C212&gt;=in_BandFloor,C212&lt;=in_BandCeiling,OR(in_Geography="National",COUNTIFS(lst_GeoPreset,in_Geography,lst_GeoState,B212)&gt;0,AND(in_Geography="Custom",ISNUMBER(SEARCH(B212,SUBSTITUTE(in_CustomStates," ",""))))),OR(AND(D212="Endowment",Inputs!$B$14="Y"),AND(D212="Foundation",Inputs!$B$15="Y"),AND(D212="Healthcare",Inputs!$B$16="Y"),AND(D212="Pension",Inputs!$B$17="Y"),AND(D212="OCIO",Inputs!$B$18="Y"),AND(D212="Other",Inputs!$B$19="Y")))),A212&lt;&gt;in_ClientOrg,NOT(AND(in_ExclHarvard="Y",ISNUMBER(SEARCH("Harvard",A212))))),$AD212="Y",K212&lt;&gt;"",S212&gt;0),"Y","")</f>
        <v/>
      </c>
      <c r="V212" s="30" t="n">
        <v>0.2757784543688429</v>
      </c>
      <c r="W212" t="inlineStr"/>
      <c r="X212" s="28">
        <f>IF(L212+M212=0,"",L212+M212)</f>
        <v/>
      </c>
      <c r="Y212" s="38">
        <f>IF(L212=0,"",M212/L212)</f>
        <v/>
      </c>
      <c r="Z212" t="inlineStr">
        <is>
          <t>Director &amp; Investment Officer</t>
        </is>
      </c>
      <c r="AA212" t="inlineStr">
        <is>
          <t>Investments</t>
        </is>
      </c>
      <c r="AB212" s="50" t="inlineStr"/>
      <c r="AC212" s="43">
        <f>HYPERLINK("https://projects.propublica.org/nonprofits/organizations/381211227/202323179349101022/full","view filing")</f>
        <v/>
      </c>
      <c r="AD212" s="50" t="inlineStr"/>
    </row>
    <row r="213">
      <c r="A213" t="inlineStr">
        <is>
          <t>Charles Stewart Mott Foundation</t>
        </is>
      </c>
      <c r="B213" s="50" t="inlineStr">
        <is>
          <t>MI</t>
        </is>
      </c>
      <c r="C213" s="52" t="n">
        <v>3.6</v>
      </c>
      <c r="D213" t="inlineStr">
        <is>
          <t>Foundation</t>
        </is>
      </c>
      <c r="E213" s="50" t="n">
        <v>2022</v>
      </c>
      <c r="F213" s="50" t="inlineStr">
        <is>
          <t>2023-11-13</t>
        </is>
      </c>
      <c r="G213" s="50" t="inlineStr">
        <is>
          <t>2022-12-31</t>
        </is>
      </c>
      <c r="H213" t="inlineStr">
        <is>
          <t>Jay C Flaherty</t>
        </is>
      </c>
      <c r="I213" t="inlineStr">
        <is>
          <t>VICE PRESIDENT &amp; CIO</t>
        </is>
      </c>
      <c r="J213" t="inlineStr">
        <is>
          <t>CIO</t>
        </is>
      </c>
      <c r="K213" t="inlineStr">
        <is>
          <t>CIO - Top Investment Executive</t>
        </is>
      </c>
      <c r="L213" s="28" t="n">
        <v>0</v>
      </c>
      <c r="M213" s="28" t="n">
        <v>0</v>
      </c>
      <c r="N213" s="28" t="n">
        <v>0</v>
      </c>
      <c r="O213" s="28" t="n">
        <v>0</v>
      </c>
      <c r="P213" s="28" t="n">
        <v>505316</v>
      </c>
      <c r="Q213" s="28" t="n">
        <v>2090874</v>
      </c>
      <c r="R213" s="28" t="n">
        <v>0</v>
      </c>
      <c r="S213" s="28">
        <f>Q213-R213</f>
        <v/>
      </c>
      <c r="T213" s="28">
        <f>IF(S213="","",S213*(1+in_GrowthRate)^(YEARFRAC(DATE(2022,12,31),in_AgeToDate)*IF(in_AgeToDate&lt;DATE(2022,12,31),-1,1)+1))</f>
        <v/>
      </c>
      <c r="U213" s="50">
        <f>IF(AND(AND(OR(in_Mode="All Funds",AND(C213&gt;=in_BandFloor,C213&lt;=in_BandCeiling,OR(in_Geography="National",COUNTIFS(lst_GeoPreset,in_Geography,lst_GeoState,B213)&gt;0,AND(in_Geography="Custom",ISNUMBER(SEARCH(B213,SUBSTITUTE(in_CustomStates," ",""))))),OR(AND(D213="Endowment",Inputs!$B$14="Y"),AND(D213="Foundation",Inputs!$B$15="Y"),AND(D213="Healthcare",Inputs!$B$16="Y"),AND(D213="Pension",Inputs!$B$17="Y"),AND(D213="OCIO",Inputs!$B$18="Y"),AND(D213="Other",Inputs!$B$19="Y")))),A213&lt;&gt;in_ClientOrg,NOT(AND(in_ExclHarvard="Y",ISNUMBER(SEARCH("Harvard",A213))))),$AD213="Y",K213&lt;&gt;"",S213&gt;0),"Y","")</f>
        <v/>
      </c>
      <c r="V213" s="30" t="n">
        <v>1</v>
      </c>
      <c r="W213" t="inlineStr"/>
      <c r="X213" s="28">
        <f>IF(L213+M213=0,"",L213+M213)</f>
        <v/>
      </c>
      <c r="Y213" s="38">
        <f>IF(L213=0,"",M213/L213)</f>
        <v/>
      </c>
      <c r="Z213" t="inlineStr">
        <is>
          <t>CIO - Top Investment Executive</t>
        </is>
      </c>
      <c r="AA213" t="inlineStr">
        <is>
          <t>Leadership</t>
        </is>
      </c>
      <c r="AB213" s="50" t="inlineStr">
        <is>
          <t>Y</t>
        </is>
      </c>
      <c r="AC213" s="43">
        <f>HYPERLINK("https://projects.propublica.org/nonprofits/organizations/381211227/202323179349101022/full","view filing")</f>
        <v/>
      </c>
      <c r="AD213" s="50" t="inlineStr"/>
    </row>
    <row r="214">
      <c r="A214" t="inlineStr">
        <is>
          <t>Charles Stewart Mott Foundation</t>
        </is>
      </c>
      <c r="B214" s="50" t="inlineStr">
        <is>
          <t>MI</t>
        </is>
      </c>
      <c r="C214" s="52" t="n">
        <v>3.6</v>
      </c>
      <c r="D214" t="inlineStr">
        <is>
          <t>Foundation</t>
        </is>
      </c>
      <c r="E214" s="50" t="n">
        <v>2022</v>
      </c>
      <c r="F214" s="50" t="inlineStr">
        <is>
          <t>2023-11-13</t>
        </is>
      </c>
      <c r="G214" s="50" t="inlineStr">
        <is>
          <t>2022-12-31</t>
        </is>
      </c>
      <c r="H214" t="inlineStr">
        <is>
          <t>Ken Austin</t>
        </is>
      </c>
      <c r="I214" t="inlineStr">
        <is>
          <t>INVESTMENT MANAGER</t>
        </is>
      </c>
      <c r="J214" t="inlineStr">
        <is>
          <t>Investment Manager</t>
        </is>
      </c>
      <c r="K214" t="inlineStr">
        <is>
          <t>Sr Investment Professional</t>
        </is>
      </c>
      <c r="L214" s="28" t="n">
        <v>0</v>
      </c>
      <c r="M214" s="28" t="n">
        <v>0</v>
      </c>
      <c r="N214" s="28" t="n">
        <v>0</v>
      </c>
      <c r="O214" s="28" t="n">
        <v>0</v>
      </c>
      <c r="P214" s="28" t="n">
        <v>0</v>
      </c>
      <c r="Q214" s="28" t="n">
        <v>577398</v>
      </c>
      <c r="R214" s="28" t="n">
        <v>0</v>
      </c>
      <c r="S214" s="28">
        <f>Q214-R214</f>
        <v/>
      </c>
      <c r="T214" s="28">
        <f>IF(S214="","",S214*(1+in_GrowthRate)^(YEARFRAC(DATE(2022,12,31),in_AgeToDate)*IF(in_AgeToDate&lt;DATE(2022,12,31),-1,1)+1))</f>
        <v/>
      </c>
      <c r="U214" s="50">
        <f>IF(AND(AND(OR(in_Mode="All Funds",AND(C214&gt;=in_BandFloor,C214&lt;=in_BandCeiling,OR(in_Geography="National",COUNTIFS(lst_GeoPreset,in_Geography,lst_GeoState,B214)&gt;0,AND(in_Geography="Custom",ISNUMBER(SEARCH(B214,SUBSTITUTE(in_CustomStates," ",""))))),OR(AND(D214="Endowment",Inputs!$B$14="Y"),AND(D214="Foundation",Inputs!$B$15="Y"),AND(D214="Healthcare",Inputs!$B$16="Y"),AND(D214="Pension",Inputs!$B$17="Y"),AND(D214="OCIO",Inputs!$B$18="Y"),AND(D214="Other",Inputs!$B$19="Y")))),A214&lt;&gt;in_ClientOrg,NOT(AND(in_ExclHarvard="Y",ISNUMBER(SEARCH("Harvard",A214))))),$AD214="Y",K214&lt;&gt;"",S214&gt;0),"Y","")</f>
        <v/>
      </c>
      <c r="V214" s="30" t="n">
        <v>0.2761515041078516</v>
      </c>
      <c r="W214" t="inlineStr"/>
      <c r="X214" s="28">
        <f>IF(L214+M214=0,"",L214+M214)</f>
        <v/>
      </c>
      <c r="Y214" s="38">
        <f>IF(L214=0,"",M214/L214)</f>
        <v/>
      </c>
      <c r="Z214" t="inlineStr">
        <is>
          <t>Director &amp; Investment Officer</t>
        </is>
      </c>
      <c r="AA214" t="inlineStr">
        <is>
          <t>Investments</t>
        </is>
      </c>
      <c r="AB214" s="50" t="inlineStr"/>
      <c r="AC214" s="43">
        <f>HYPERLINK("https://projects.propublica.org/nonprofits/organizations/381211227/202323179349101022/full","view filing")</f>
        <v/>
      </c>
      <c r="AD214" s="50" t="inlineStr"/>
    </row>
    <row r="215">
      <c r="A215" t="inlineStr">
        <is>
          <t>Charles Stewart Mott Foundation</t>
        </is>
      </c>
      <c r="B215" s="50" t="inlineStr">
        <is>
          <t>MI</t>
        </is>
      </c>
      <c r="C215" s="52" t="n">
        <v>3.6</v>
      </c>
      <c r="D215" t="inlineStr">
        <is>
          <t>Foundation</t>
        </is>
      </c>
      <c r="E215" s="50" t="n">
        <v>2022</v>
      </c>
      <c r="F215" s="50" t="inlineStr">
        <is>
          <t>2023-11-13</t>
        </is>
      </c>
      <c r="G215" s="50" t="inlineStr">
        <is>
          <t>2022-12-31</t>
        </is>
      </c>
      <c r="H215" t="inlineStr">
        <is>
          <t>Stephen Vessells</t>
        </is>
      </c>
      <c r="I215" t="inlineStr">
        <is>
          <t>INVESTMENT MANAGER</t>
        </is>
      </c>
      <c r="J215" t="inlineStr">
        <is>
          <t>Investment Manager</t>
        </is>
      </c>
      <c r="K215" t="inlineStr">
        <is>
          <t>Sr Investment Professional</t>
        </is>
      </c>
      <c r="L215" s="28" t="n">
        <v>0</v>
      </c>
      <c r="M215" s="28" t="n">
        <v>0</v>
      </c>
      <c r="N215" s="28" t="n">
        <v>0</v>
      </c>
      <c r="O215" s="28" t="n">
        <v>0</v>
      </c>
      <c r="P215" s="28" t="n">
        <v>0</v>
      </c>
      <c r="Q215" s="28" t="n">
        <v>584950</v>
      </c>
      <c r="R215" s="28" t="n">
        <v>0</v>
      </c>
      <c r="S215" s="28">
        <f>Q215-R215</f>
        <v/>
      </c>
      <c r="T215" s="28">
        <f>IF(S215="","",S215*(1+in_GrowthRate)^(YEARFRAC(DATE(2022,12,31),in_AgeToDate)*IF(in_AgeToDate&lt;DATE(2022,12,31),-1,1)+1))</f>
        <v/>
      </c>
      <c r="U215" s="50">
        <f>IF(AND(AND(OR(in_Mode="All Funds",AND(C215&gt;=in_BandFloor,C215&lt;=in_BandCeiling,OR(in_Geography="National",COUNTIFS(lst_GeoPreset,in_Geography,lst_GeoState,B215)&gt;0,AND(in_Geography="Custom",ISNUMBER(SEARCH(B215,SUBSTITUTE(in_CustomStates," ",""))))),OR(AND(D215="Endowment",Inputs!$B$14="Y"),AND(D215="Foundation",Inputs!$B$15="Y"),AND(D215="Healthcare",Inputs!$B$16="Y"),AND(D215="Pension",Inputs!$B$17="Y"),AND(D215="OCIO",Inputs!$B$18="Y"),AND(D215="Other",Inputs!$B$19="Y")))),A215&lt;&gt;in_ClientOrg,NOT(AND(in_ExclHarvard="Y",ISNUMBER(SEARCH("Harvard",A215))))),$AD215="Y",K215&lt;&gt;"",S215&gt;0),"Y","")</f>
        <v/>
      </c>
      <c r="V215" s="30" t="n">
        <v>0.2797633908116893</v>
      </c>
      <c r="W215" t="inlineStr"/>
      <c r="X215" s="28">
        <f>IF(L215+M215=0,"",L215+M215)</f>
        <v/>
      </c>
      <c r="Y215" s="38">
        <f>IF(L215=0,"",M215/L215)</f>
        <v/>
      </c>
      <c r="Z215" t="inlineStr">
        <is>
          <t>Director &amp; Investment Officer</t>
        </is>
      </c>
      <c r="AA215" t="inlineStr">
        <is>
          <t>Investments</t>
        </is>
      </c>
      <c r="AB215" s="50" t="inlineStr"/>
      <c r="AC215" s="43">
        <f>HYPERLINK("https://projects.propublica.org/nonprofits/organizations/381211227/202323179349101022/full","view filing")</f>
        <v/>
      </c>
      <c r="AD215" s="50" t="inlineStr"/>
    </row>
    <row r="216">
      <c r="A216" t="inlineStr">
        <is>
          <t>Childrens Hospital Corporation</t>
        </is>
      </c>
      <c r="B216" s="50" t="inlineStr">
        <is>
          <t>MA</t>
        </is>
      </c>
      <c r="C216" s="52" t="n">
        <v>2.12</v>
      </c>
      <c r="D216" t="inlineStr">
        <is>
          <t>Healthcare</t>
        </is>
      </c>
      <c r="E216" s="50" t="n">
        <v>2025</v>
      </c>
      <c r="F216" s="50" t="inlineStr">
        <is>
          <t>2026-08-15</t>
        </is>
      </c>
      <c r="G216" s="50" t="inlineStr">
        <is>
          <t>2025-09-30</t>
        </is>
      </c>
      <c r="H216" t="inlineStr">
        <is>
          <t>Martin Kelly</t>
        </is>
      </c>
      <c r="I216" t="inlineStr">
        <is>
          <t>Director of Investments</t>
        </is>
      </c>
      <c r="J216" t="inlineStr">
        <is>
          <t>Director of Investments</t>
        </is>
      </c>
      <c r="K216" t="inlineStr">
        <is>
          <t>Sr Investment Professional</t>
        </is>
      </c>
      <c r="L216" s="28" t="n">
        <v>517634</v>
      </c>
      <c r="M216" s="28" t="n">
        <v>286000</v>
      </c>
      <c r="N216" s="28" t="n">
        <v>3925</v>
      </c>
      <c r="O216" s="28" t="n">
        <v>31050</v>
      </c>
      <c r="P216" s="28" t="n">
        <v>15709</v>
      </c>
      <c r="Q216" s="28" t="n">
        <v>854318</v>
      </c>
      <c r="R216" s="28" t="n">
        <v>0</v>
      </c>
      <c r="S216" s="28">
        <f>Q216-R216</f>
        <v/>
      </c>
      <c r="T216" s="28">
        <f>IF(S216="","",S216*(1+in_GrowthRate)^(YEARFRAC(DATE(2025,9,30),in_AgeToDate)*IF(in_AgeToDate&lt;DATE(2025,9,30),-1,1)+1))</f>
        <v/>
      </c>
      <c r="U216" s="50">
        <f>IF(AND(AND(OR(in_Mode="All Funds",AND(C216&gt;=in_BandFloor,C216&lt;=in_BandCeiling,OR(in_Geography="National",COUNTIFS(lst_GeoPreset,in_Geography,lst_GeoState,B216)&gt;0,AND(in_Geography="Custom",ISNUMBER(SEARCH(B216,SUBSTITUTE(in_CustomStates," ",""))))),OR(AND(D216="Endowment",Inputs!$B$14="Y"),AND(D216="Foundation",Inputs!$B$15="Y"),AND(D216="Healthcare",Inputs!$B$16="Y"),AND(D216="Pension",Inputs!$B$17="Y"),AND(D216="OCIO",Inputs!$B$18="Y"),AND(D216="Other",Inputs!$B$19="Y")))),A216&lt;&gt;in_ClientOrg,NOT(AND(in_ExclHarvard="Y",ISNUMBER(SEARCH("Harvard",A216))))),$AD216="Y",K216&lt;&gt;"",S216&gt;0),"Y","")</f>
        <v/>
      </c>
      <c r="V216" s="30" t="n">
        <v>0.4356533693964928</v>
      </c>
      <c r="W216" t="inlineStr"/>
      <c r="X216" s="28">
        <f>IF(L216+M216=0,"",L216+M216)</f>
        <v/>
      </c>
      <c r="Y216" s="38">
        <f>IF(L216=0,"",M216/L216)</f>
        <v/>
      </c>
      <c r="Z216" t="inlineStr">
        <is>
          <t>Director &amp; Investment Officer</t>
        </is>
      </c>
      <c r="AA216" t="inlineStr">
        <is>
          <t>Investments</t>
        </is>
      </c>
      <c r="AB216" s="50" t="inlineStr"/>
      <c r="AC216" s="43">
        <f>HYPERLINK("https://projects.propublica.org/nonprofits/organizations/42774441/202632279349300908/full","view filing")</f>
        <v/>
      </c>
      <c r="AD216" s="50" t="inlineStr">
        <is>
          <t>Y</t>
        </is>
      </c>
    </row>
    <row r="217">
      <c r="A217" t="inlineStr">
        <is>
          <t>Childrens Hospital Corporation</t>
        </is>
      </c>
      <c r="B217" s="50" t="inlineStr">
        <is>
          <t>MA</t>
        </is>
      </c>
      <c r="C217" s="52" t="n">
        <v>2.12</v>
      </c>
      <c r="D217" t="inlineStr">
        <is>
          <t>Healthcare</t>
        </is>
      </c>
      <c r="E217" s="50" t="n">
        <v>2025</v>
      </c>
      <c r="F217" s="50" t="inlineStr">
        <is>
          <t>2026-08-15</t>
        </is>
      </c>
      <c r="G217" s="50" t="inlineStr">
        <is>
          <t>2025-09-30</t>
        </is>
      </c>
      <c r="H217" t="inlineStr">
        <is>
          <t>Nirav Desai</t>
        </is>
      </c>
      <c r="I217" t="inlineStr">
        <is>
          <t>Director of Investments</t>
        </is>
      </c>
      <c r="J217" t="inlineStr">
        <is>
          <t>Director of Investments</t>
        </is>
      </c>
      <c r="K217" t="inlineStr">
        <is>
          <t>Sr Investment Professional</t>
        </is>
      </c>
      <c r="L217" s="28" t="n">
        <v>506738</v>
      </c>
      <c r="M217" s="28" t="n">
        <v>286000</v>
      </c>
      <c r="N217" s="28" t="n">
        <v>1489</v>
      </c>
      <c r="O217" s="28" t="n">
        <v>24150</v>
      </c>
      <c r="P217" s="28" t="n">
        <v>23169</v>
      </c>
      <c r="Q217" s="28" t="n">
        <v>841546</v>
      </c>
      <c r="R217" s="28" t="n">
        <v>0</v>
      </c>
      <c r="S217" s="28">
        <f>Q217-R217</f>
        <v/>
      </c>
      <c r="T217" s="28">
        <f>IF(S217="","",S217*(1+in_GrowthRate)^(YEARFRAC(DATE(2025,9,30),in_AgeToDate)*IF(in_AgeToDate&lt;DATE(2025,9,30),-1,1)+1))</f>
        <v/>
      </c>
      <c r="U217" s="50">
        <f>IF(AND(AND(OR(in_Mode="All Funds",AND(C217&gt;=in_BandFloor,C217&lt;=in_BandCeiling,OR(in_Geography="National",COUNTIFS(lst_GeoPreset,in_Geography,lst_GeoState,B217)&gt;0,AND(in_Geography="Custom",ISNUMBER(SEARCH(B217,SUBSTITUTE(in_CustomStates," ",""))))),OR(AND(D217="Endowment",Inputs!$B$14="Y"),AND(D217="Foundation",Inputs!$B$15="Y"),AND(D217="Healthcare",Inputs!$B$16="Y"),AND(D217="Pension",Inputs!$B$17="Y"),AND(D217="OCIO",Inputs!$B$18="Y"),AND(D217="Other",Inputs!$B$19="Y")))),A217&lt;&gt;in_ClientOrg,NOT(AND(in_ExclHarvard="Y",ISNUMBER(SEARCH("Harvard",A217))))),$AD217="Y",K217&lt;&gt;"",S217&gt;0),"Y","")</f>
        <v/>
      </c>
      <c r="V217" s="30" t="n">
        <v>0.4291403791119243</v>
      </c>
      <c r="W217" t="inlineStr"/>
      <c r="X217" s="28">
        <f>IF(L217+M217=0,"",L217+M217)</f>
        <v/>
      </c>
      <c r="Y217" s="38">
        <f>IF(L217=0,"",M217/L217)</f>
        <v/>
      </c>
      <c r="Z217" t="inlineStr">
        <is>
          <t>Director &amp; Investment Officer</t>
        </is>
      </c>
      <c r="AA217" t="inlineStr">
        <is>
          <t>Investments</t>
        </is>
      </c>
      <c r="AB217" s="50" t="inlineStr"/>
      <c r="AC217" s="43">
        <f>HYPERLINK("https://projects.propublica.org/nonprofits/organizations/42774441/202632279349300908/full","view filing")</f>
        <v/>
      </c>
      <c r="AD217" s="50" t="inlineStr">
        <is>
          <t>Y</t>
        </is>
      </c>
    </row>
    <row r="218">
      <c r="A218" t="inlineStr">
        <is>
          <t>Childrens Hospital Corporation</t>
        </is>
      </c>
      <c r="B218" s="50" t="inlineStr">
        <is>
          <t>MA</t>
        </is>
      </c>
      <c r="C218" s="52" t="n">
        <v>2.12</v>
      </c>
      <c r="D218" t="inlineStr">
        <is>
          <t>Healthcare</t>
        </is>
      </c>
      <c r="E218" s="50" t="n">
        <v>2025</v>
      </c>
      <c r="F218" s="50" t="inlineStr">
        <is>
          <t>2026-08-15</t>
        </is>
      </c>
      <c r="G218" s="50" t="inlineStr">
        <is>
          <t>2025-09-30</t>
        </is>
      </c>
      <c r="H218" t="inlineStr">
        <is>
          <t>Philip Rotner</t>
        </is>
      </c>
      <c r="I218" t="inlineStr">
        <is>
          <t>Chief Investment Officer</t>
        </is>
      </c>
      <c r="J218" t="inlineStr">
        <is>
          <t>CIO</t>
        </is>
      </c>
      <c r="K218" t="inlineStr">
        <is>
          <t>CIO - Top Investment Executive</t>
        </is>
      </c>
      <c r="L218" s="28" t="n">
        <v>1060465</v>
      </c>
      <c r="M218" s="28" t="n">
        <v>580250</v>
      </c>
      <c r="N218" s="28" t="n">
        <v>241963</v>
      </c>
      <c r="O218" s="28" t="n">
        <v>34500</v>
      </c>
      <c r="P218" s="28" t="n">
        <v>43826</v>
      </c>
      <c r="Q218" s="28" t="n">
        <v>1961004</v>
      </c>
      <c r="R218" s="28" t="n">
        <v>0</v>
      </c>
      <c r="S218" s="28">
        <f>Q218-R218</f>
        <v/>
      </c>
      <c r="T218" s="28">
        <f>IF(S218="","",S218*(1+in_GrowthRate)^(YEARFRAC(DATE(2025,9,30),in_AgeToDate)*IF(in_AgeToDate&lt;DATE(2025,9,30),-1,1)+1))</f>
        <v/>
      </c>
      <c r="U218" s="50">
        <f>IF(AND(AND(OR(in_Mode="All Funds",AND(C218&gt;=in_BandFloor,C218&lt;=in_BandCeiling,OR(in_Geography="National",COUNTIFS(lst_GeoPreset,in_Geography,lst_GeoState,B218)&gt;0,AND(in_Geography="Custom",ISNUMBER(SEARCH(B218,SUBSTITUTE(in_CustomStates," ",""))))),OR(AND(D218="Endowment",Inputs!$B$14="Y"),AND(D218="Foundation",Inputs!$B$15="Y"),AND(D218="Healthcare",Inputs!$B$16="Y"),AND(D218="Pension",Inputs!$B$17="Y"),AND(D218="OCIO",Inputs!$B$18="Y"),AND(D218="Other",Inputs!$B$19="Y")))),A218&lt;&gt;in_ClientOrg,NOT(AND(in_ExclHarvard="Y",ISNUMBER(SEARCH("Harvard",A218))))),$AD218="Y",K218&lt;&gt;"",S218&gt;0),"Y","")</f>
        <v/>
      </c>
      <c r="V218" s="30" t="n">
        <v>1</v>
      </c>
      <c r="W218" t="inlineStr"/>
      <c r="X218" s="28">
        <f>IF(L218+M218=0,"",L218+M218)</f>
        <v/>
      </c>
      <c r="Y218" s="38">
        <f>IF(L218=0,"",M218/L218)</f>
        <v/>
      </c>
      <c r="Z218" t="inlineStr">
        <is>
          <t>CIO - Top Investment Executive</t>
        </is>
      </c>
      <c r="AA218" t="inlineStr">
        <is>
          <t>Leadership</t>
        </is>
      </c>
      <c r="AB218" s="50" t="inlineStr">
        <is>
          <t>Y</t>
        </is>
      </c>
      <c r="AC218" s="43">
        <f>HYPERLINK("https://projects.propublica.org/nonprofits/organizations/42774441/202632279349300908/full","view filing")</f>
        <v/>
      </c>
      <c r="AD218" s="50" t="inlineStr">
        <is>
          <t>Y</t>
        </is>
      </c>
    </row>
    <row r="219">
      <c r="A219" t="inlineStr">
        <is>
          <t>Childrens Hospital Corporation</t>
        </is>
      </c>
      <c r="B219" s="50" t="inlineStr">
        <is>
          <t>MA</t>
        </is>
      </c>
      <c r="C219" s="52" t="n">
        <v>2.12</v>
      </c>
      <c r="D219" t="inlineStr">
        <is>
          <t>Healthcare</t>
        </is>
      </c>
      <c r="E219" s="50" t="n">
        <v>2024</v>
      </c>
      <c r="F219" s="50" t="inlineStr">
        <is>
          <t>2025-08-13</t>
        </is>
      </c>
      <c r="G219" s="50" t="inlineStr">
        <is>
          <t>2024-09-30</t>
        </is>
      </c>
      <c r="H219" t="inlineStr">
        <is>
          <t>Martin Kelly</t>
        </is>
      </c>
      <c r="I219" t="inlineStr">
        <is>
          <t>Director, Investments</t>
        </is>
      </c>
      <c r="J219" t="inlineStr">
        <is>
          <t>Director of Investments</t>
        </is>
      </c>
      <c r="K219" t="inlineStr">
        <is>
          <t>Sr Investment Professional</t>
        </is>
      </c>
      <c r="L219" s="28" t="n">
        <v>495767</v>
      </c>
      <c r="M219" s="28" t="n">
        <v>363939</v>
      </c>
      <c r="N219" s="28" t="n">
        <v>3550</v>
      </c>
      <c r="O219" s="28" t="n">
        <v>26400</v>
      </c>
      <c r="P219" s="28" t="n">
        <v>22359</v>
      </c>
      <c r="Q219" s="28" t="n">
        <v>912015</v>
      </c>
      <c r="R219" s="28" t="n">
        <v>0</v>
      </c>
      <c r="S219" s="28">
        <f>Q219-R219</f>
        <v/>
      </c>
      <c r="T219" s="28">
        <f>IF(S219="","",S219*(1+in_GrowthRate)^(YEARFRAC(DATE(2024,9,30),in_AgeToDate)*IF(in_AgeToDate&lt;DATE(2024,9,30),-1,1)+1))</f>
        <v/>
      </c>
      <c r="U219" s="50">
        <f>IF(AND(AND(OR(in_Mode="All Funds",AND(C219&gt;=in_BandFloor,C219&lt;=in_BandCeiling,OR(in_Geography="National",COUNTIFS(lst_GeoPreset,in_Geography,lst_GeoState,B219)&gt;0,AND(in_Geography="Custom",ISNUMBER(SEARCH(B219,SUBSTITUTE(in_CustomStates," ",""))))),OR(AND(D219="Endowment",Inputs!$B$14="Y"),AND(D219="Foundation",Inputs!$B$15="Y"),AND(D219="Healthcare",Inputs!$B$16="Y"),AND(D219="Pension",Inputs!$B$17="Y"),AND(D219="OCIO",Inputs!$B$18="Y"),AND(D219="Other",Inputs!$B$19="Y")))),A219&lt;&gt;in_ClientOrg,NOT(AND(in_ExclHarvard="Y",ISNUMBER(SEARCH("Harvard",A219))))),$AD219="Y",K219&lt;&gt;"",S219&gt;0),"Y","")</f>
        <v/>
      </c>
      <c r="V219" s="30" t="n">
        <v>0.446103773183441</v>
      </c>
      <c r="W219" t="inlineStr"/>
      <c r="X219" s="28">
        <f>IF(L219+M219=0,"",L219+M219)</f>
        <v/>
      </c>
      <c r="Y219" s="38">
        <f>IF(L219=0,"",M219/L219)</f>
        <v/>
      </c>
      <c r="Z219" t="inlineStr">
        <is>
          <t>Director &amp; Investment Officer</t>
        </is>
      </c>
      <c r="AA219" t="inlineStr">
        <is>
          <t>Investments</t>
        </is>
      </c>
      <c r="AB219" s="50" t="inlineStr"/>
      <c r="AC219" s="43">
        <f>HYPERLINK("https://projects.propublica.org/nonprofits/organizations/42774441/202532259349302368/full","view filing")</f>
        <v/>
      </c>
      <c r="AD219" s="50" t="inlineStr"/>
    </row>
    <row r="220">
      <c r="A220" t="inlineStr">
        <is>
          <t>Childrens Hospital Corporation</t>
        </is>
      </c>
      <c r="B220" s="50" t="inlineStr">
        <is>
          <t>MA</t>
        </is>
      </c>
      <c r="C220" s="52" t="n">
        <v>2.12</v>
      </c>
      <c r="D220" t="inlineStr">
        <is>
          <t>Healthcare</t>
        </is>
      </c>
      <c r="E220" s="50" t="n">
        <v>2024</v>
      </c>
      <c r="F220" s="50" t="inlineStr">
        <is>
          <t>2025-08-13</t>
        </is>
      </c>
      <c r="G220" s="50" t="inlineStr">
        <is>
          <t>2024-09-30</t>
        </is>
      </c>
      <c r="H220" t="inlineStr">
        <is>
          <t>Nirav Desai</t>
        </is>
      </c>
      <c r="I220" t="inlineStr">
        <is>
          <t>Director, Investments</t>
        </is>
      </c>
      <c r="J220" t="inlineStr">
        <is>
          <t>Director of Investments</t>
        </is>
      </c>
      <c r="K220" t="inlineStr">
        <is>
          <t>Sr Investment Professional</t>
        </is>
      </c>
      <c r="L220" s="28" t="n">
        <v>461157</v>
      </c>
      <c r="M220" s="28" t="n">
        <v>340707</v>
      </c>
      <c r="N220" s="28" t="n">
        <v>1282</v>
      </c>
      <c r="O220" s="28" t="n">
        <v>23100</v>
      </c>
      <c r="P220" s="28" t="n">
        <v>22803</v>
      </c>
      <c r="Q220" s="28" t="n">
        <v>849049</v>
      </c>
      <c r="R220" s="28" t="n">
        <v>0</v>
      </c>
      <c r="S220" s="28">
        <f>Q220-R220</f>
        <v/>
      </c>
      <c r="T220" s="28">
        <f>IF(S220="","",S220*(1+in_GrowthRate)^(YEARFRAC(DATE(2024,9,30),in_AgeToDate)*IF(in_AgeToDate&lt;DATE(2024,9,30),-1,1)+1))</f>
        <v/>
      </c>
      <c r="U220" s="50">
        <f>IF(AND(AND(OR(in_Mode="All Funds",AND(C220&gt;=in_BandFloor,C220&lt;=in_BandCeiling,OR(in_Geography="National",COUNTIFS(lst_GeoPreset,in_Geography,lst_GeoState,B220)&gt;0,AND(in_Geography="Custom",ISNUMBER(SEARCH(B220,SUBSTITUTE(in_CustomStates," ",""))))),OR(AND(D220="Endowment",Inputs!$B$14="Y"),AND(D220="Foundation",Inputs!$B$15="Y"),AND(D220="Healthcare",Inputs!$B$16="Y"),AND(D220="Pension",Inputs!$B$17="Y"),AND(D220="OCIO",Inputs!$B$18="Y"),AND(D220="Other",Inputs!$B$19="Y")))),A220&lt;&gt;in_ClientOrg,NOT(AND(in_ExclHarvard="Y",ISNUMBER(SEARCH("Harvard",A220))))),$AD220="Y",K220&lt;&gt;"",S220&gt;0),"Y","")</f>
        <v/>
      </c>
      <c r="V220" s="30" t="n">
        <v>0.4153045317430387</v>
      </c>
      <c r="W220" t="inlineStr"/>
      <c r="X220" s="28">
        <f>IF(L220+M220=0,"",L220+M220)</f>
        <v/>
      </c>
      <c r="Y220" s="38">
        <f>IF(L220=0,"",M220/L220)</f>
        <v/>
      </c>
      <c r="Z220" t="inlineStr">
        <is>
          <t>Director &amp; Investment Officer</t>
        </is>
      </c>
      <c r="AA220" t="inlineStr">
        <is>
          <t>Investments</t>
        </is>
      </c>
      <c r="AB220" s="50" t="inlineStr"/>
      <c r="AC220" s="43">
        <f>HYPERLINK("https://projects.propublica.org/nonprofits/organizations/42774441/202532259349302368/full","view filing")</f>
        <v/>
      </c>
      <c r="AD220" s="50" t="inlineStr"/>
    </row>
    <row r="221">
      <c r="A221" t="inlineStr">
        <is>
          <t>Childrens Hospital Corporation</t>
        </is>
      </c>
      <c r="B221" s="50" t="inlineStr">
        <is>
          <t>MA</t>
        </is>
      </c>
      <c r="C221" s="52" t="n">
        <v>2.12</v>
      </c>
      <c r="D221" t="inlineStr">
        <is>
          <t>Healthcare</t>
        </is>
      </c>
      <c r="E221" s="50" t="n">
        <v>2024</v>
      </c>
      <c r="F221" s="50" t="inlineStr">
        <is>
          <t>2025-08-13</t>
        </is>
      </c>
      <c r="G221" s="50" t="inlineStr">
        <is>
          <t>2024-09-30</t>
        </is>
      </c>
      <c r="H221" t="inlineStr">
        <is>
          <t>Philip Rotner</t>
        </is>
      </c>
      <c r="I221" t="inlineStr">
        <is>
          <t>Chief Investment Officer</t>
        </is>
      </c>
      <c r="J221" t="inlineStr">
        <is>
          <t>CIO</t>
        </is>
      </c>
      <c r="K221" t="inlineStr">
        <is>
          <t>CIO - Top Investment Executive</t>
        </is>
      </c>
      <c r="L221" s="28" t="n">
        <v>867348</v>
      </c>
      <c r="M221" s="28" t="n">
        <v>876800</v>
      </c>
      <c r="N221" s="28" t="n">
        <v>232506</v>
      </c>
      <c r="O221" s="28" t="n">
        <v>29700</v>
      </c>
      <c r="P221" s="28" t="n">
        <v>38047</v>
      </c>
      <c r="Q221" s="28" t="n">
        <v>2044401</v>
      </c>
      <c r="R221" s="28" t="n">
        <v>0</v>
      </c>
      <c r="S221" s="28">
        <f>Q221-R221</f>
        <v/>
      </c>
      <c r="T221" s="28">
        <f>IF(S221="","",S221*(1+in_GrowthRate)^(YEARFRAC(DATE(2024,9,30),in_AgeToDate)*IF(in_AgeToDate&lt;DATE(2024,9,30),-1,1)+1))</f>
        <v/>
      </c>
      <c r="U221" s="50">
        <f>IF(AND(AND(OR(in_Mode="All Funds",AND(C221&gt;=in_BandFloor,C221&lt;=in_BandCeiling,OR(in_Geography="National",COUNTIFS(lst_GeoPreset,in_Geography,lst_GeoState,B221)&gt;0,AND(in_Geography="Custom",ISNUMBER(SEARCH(B221,SUBSTITUTE(in_CustomStates," ",""))))),OR(AND(D221="Endowment",Inputs!$B$14="Y"),AND(D221="Foundation",Inputs!$B$15="Y"),AND(D221="Healthcare",Inputs!$B$16="Y"),AND(D221="Pension",Inputs!$B$17="Y"),AND(D221="OCIO",Inputs!$B$18="Y"),AND(D221="Other",Inputs!$B$19="Y")))),A221&lt;&gt;in_ClientOrg,NOT(AND(in_ExclHarvard="Y",ISNUMBER(SEARCH("Harvard",A221))))),$AD221="Y",K221&lt;&gt;"",S221&gt;0),"Y","")</f>
        <v/>
      </c>
      <c r="V221" s="30" t="n">
        <v>1</v>
      </c>
      <c r="W221" t="inlineStr"/>
      <c r="X221" s="28">
        <f>IF(L221+M221=0,"",L221+M221)</f>
        <v/>
      </c>
      <c r="Y221" s="38">
        <f>IF(L221=0,"",M221/L221)</f>
        <v/>
      </c>
      <c r="Z221" t="inlineStr">
        <is>
          <t>CIO - Top Investment Executive</t>
        </is>
      </c>
      <c r="AA221" t="inlineStr">
        <is>
          <t>Leadership</t>
        </is>
      </c>
      <c r="AB221" s="50" t="inlineStr">
        <is>
          <t>Y</t>
        </is>
      </c>
      <c r="AC221" s="43">
        <f>HYPERLINK("https://projects.propublica.org/nonprofits/organizations/42774441/202532259349302368/full","view filing")</f>
        <v/>
      </c>
      <c r="AD221" s="50" t="inlineStr"/>
    </row>
    <row r="222">
      <c r="A222" t="inlineStr">
        <is>
          <t>Childrens Hospital Corporation</t>
        </is>
      </c>
      <c r="B222" s="50" t="inlineStr">
        <is>
          <t>MA</t>
        </is>
      </c>
      <c r="C222" s="52" t="n">
        <v>2.12</v>
      </c>
      <c r="D222" t="inlineStr">
        <is>
          <t>Healthcare</t>
        </is>
      </c>
      <c r="E222" s="50" t="n">
        <v>2023</v>
      </c>
      <c r="F222" s="50" t="inlineStr">
        <is>
          <t>2024-08-15</t>
        </is>
      </c>
      <c r="G222" s="50" t="inlineStr">
        <is>
          <t>2023-09-30</t>
        </is>
      </c>
      <c r="H222" t="inlineStr">
        <is>
          <t>Alison Svizzero</t>
        </is>
      </c>
      <c r="I222" t="inlineStr">
        <is>
          <t>Director, Investments</t>
        </is>
      </c>
      <c r="J222" t="inlineStr">
        <is>
          <t>Director of Investments</t>
        </is>
      </c>
      <c r="K222" t="inlineStr">
        <is>
          <t>Sr Investment Professional</t>
        </is>
      </c>
      <c r="L222" s="28" t="n">
        <v>456781</v>
      </c>
      <c r="M222" s="28" t="n">
        <v>400503</v>
      </c>
      <c r="N222" s="28" t="n">
        <v>661</v>
      </c>
      <c r="O222" s="28" t="n">
        <v>21350</v>
      </c>
      <c r="P222" s="28" t="n">
        <v>2068</v>
      </c>
      <c r="Q222" s="28" t="n">
        <v>881363</v>
      </c>
      <c r="R222" s="28" t="n">
        <v>0</v>
      </c>
      <c r="S222" s="28">
        <f>Q222-R222</f>
        <v/>
      </c>
      <c r="T222" s="28">
        <f>IF(S222="","",S222*(1+in_GrowthRate)^(YEARFRAC(DATE(2023,9,30),in_AgeToDate)*IF(in_AgeToDate&lt;DATE(2023,9,30),-1,1)+1))</f>
        <v/>
      </c>
      <c r="U222" s="50">
        <f>IF(AND(AND(OR(in_Mode="All Funds",AND(C222&gt;=in_BandFloor,C222&lt;=in_BandCeiling,OR(in_Geography="National",COUNTIFS(lst_GeoPreset,in_Geography,lst_GeoState,B222)&gt;0,AND(in_Geography="Custom",ISNUMBER(SEARCH(B222,SUBSTITUTE(in_CustomStates," ",""))))),OR(AND(D222="Endowment",Inputs!$B$14="Y"),AND(D222="Foundation",Inputs!$B$15="Y"),AND(D222="Healthcare",Inputs!$B$16="Y"),AND(D222="Pension",Inputs!$B$17="Y"),AND(D222="OCIO",Inputs!$B$18="Y"),AND(D222="Other",Inputs!$B$19="Y")))),A222&lt;&gt;in_ClientOrg,NOT(AND(in_ExclHarvard="Y",ISNUMBER(SEARCH("Harvard",A222))))),$AD222="Y",K222&lt;&gt;"",S222&gt;0),"Y","")</f>
        <v/>
      </c>
      <c r="V222" s="30" t="n">
        <v>0.455237726298391</v>
      </c>
      <c r="W222" t="inlineStr"/>
      <c r="X222" s="28">
        <f>IF(L222+M222=0,"",L222+M222)</f>
        <v/>
      </c>
      <c r="Y222" s="38">
        <f>IF(L222=0,"",M222/L222)</f>
        <v/>
      </c>
      <c r="Z222" t="inlineStr">
        <is>
          <t>Director &amp; Investment Officer</t>
        </is>
      </c>
      <c r="AA222" t="inlineStr">
        <is>
          <t>Investments</t>
        </is>
      </c>
      <c r="AB222" s="50" t="inlineStr"/>
      <c r="AC222" s="43">
        <f>HYPERLINK("https://projects.propublica.org/nonprofits/organizations/42774441/202422289349303527/full","view filing")</f>
        <v/>
      </c>
      <c r="AD222" s="50" t="inlineStr"/>
    </row>
    <row r="223">
      <c r="A223" t="inlineStr">
        <is>
          <t>Childrens Hospital Corporation</t>
        </is>
      </c>
      <c r="B223" s="50" t="inlineStr">
        <is>
          <t>MA</t>
        </is>
      </c>
      <c r="C223" s="52" t="n">
        <v>2.12</v>
      </c>
      <c r="D223" t="inlineStr">
        <is>
          <t>Healthcare</t>
        </is>
      </c>
      <c r="E223" s="50" t="n">
        <v>2023</v>
      </c>
      <c r="F223" s="50" t="inlineStr">
        <is>
          <t>2024-08-15</t>
        </is>
      </c>
      <c r="G223" s="50" t="inlineStr">
        <is>
          <t>2023-09-30</t>
        </is>
      </c>
      <c r="H223" t="inlineStr">
        <is>
          <t>Martin Kelly</t>
        </is>
      </c>
      <c r="I223" t="inlineStr">
        <is>
          <t>Director, Investments</t>
        </is>
      </c>
      <c r="J223" t="inlineStr">
        <is>
          <t>Director of Investments</t>
        </is>
      </c>
      <c r="K223" t="inlineStr">
        <is>
          <t>Sr Investment Professional</t>
        </is>
      </c>
      <c r="L223" s="28" t="n">
        <v>476080</v>
      </c>
      <c r="M223" s="28" t="n">
        <v>423003</v>
      </c>
      <c r="N223" s="28" t="n">
        <v>2358</v>
      </c>
      <c r="O223" s="28" t="n">
        <v>24400</v>
      </c>
      <c r="P223" s="28" t="n">
        <v>20083</v>
      </c>
      <c r="Q223" s="28" t="n">
        <v>945924</v>
      </c>
      <c r="R223" s="28" t="n">
        <v>0</v>
      </c>
      <c r="S223" s="28">
        <f>Q223-R223</f>
        <v/>
      </c>
      <c r="T223" s="28">
        <f>IF(S223="","",S223*(1+in_GrowthRate)^(YEARFRAC(DATE(2023,9,30),in_AgeToDate)*IF(in_AgeToDate&lt;DATE(2023,9,30),-1,1)+1))</f>
        <v/>
      </c>
      <c r="U223" s="50">
        <f>IF(AND(AND(OR(in_Mode="All Funds",AND(C223&gt;=in_BandFloor,C223&lt;=in_BandCeiling,OR(in_Geography="National",COUNTIFS(lst_GeoPreset,in_Geography,lst_GeoState,B223)&gt;0,AND(in_Geography="Custom",ISNUMBER(SEARCH(B223,SUBSTITUTE(in_CustomStates," ",""))))),OR(AND(D223="Endowment",Inputs!$B$14="Y"),AND(D223="Foundation",Inputs!$B$15="Y"),AND(D223="Healthcare",Inputs!$B$16="Y"),AND(D223="Pension",Inputs!$B$17="Y"),AND(D223="OCIO",Inputs!$B$18="Y"),AND(D223="Other",Inputs!$B$19="Y")))),A223&lt;&gt;in_ClientOrg,NOT(AND(in_ExclHarvard="Y",ISNUMBER(SEARCH("Harvard",A223))))),$AD223="Y",K223&lt;&gt;"",S223&gt;0),"Y","")</f>
        <v/>
      </c>
      <c r="V223" s="30" t="n">
        <v>0.4885844890369567</v>
      </c>
      <c r="W223" t="inlineStr"/>
      <c r="X223" s="28">
        <f>IF(L223+M223=0,"",L223+M223)</f>
        <v/>
      </c>
      <c r="Y223" s="38">
        <f>IF(L223=0,"",M223/L223)</f>
        <v/>
      </c>
      <c r="Z223" t="inlineStr">
        <is>
          <t>Director &amp; Investment Officer</t>
        </is>
      </c>
      <c r="AA223" t="inlineStr">
        <is>
          <t>Investments</t>
        </is>
      </c>
      <c r="AB223" s="50" t="inlineStr"/>
      <c r="AC223" s="43">
        <f>HYPERLINK("https://projects.propublica.org/nonprofits/organizations/42774441/202422289349303527/full","view filing")</f>
        <v/>
      </c>
      <c r="AD223" s="50" t="inlineStr"/>
    </row>
    <row r="224">
      <c r="A224" t="inlineStr">
        <is>
          <t>Childrens Hospital Corporation</t>
        </is>
      </c>
      <c r="B224" s="50" t="inlineStr">
        <is>
          <t>MA</t>
        </is>
      </c>
      <c r="C224" s="52" t="n">
        <v>2.12</v>
      </c>
      <c r="D224" t="inlineStr">
        <is>
          <t>Healthcare</t>
        </is>
      </c>
      <c r="E224" s="50" t="n">
        <v>2023</v>
      </c>
      <c r="F224" s="50" t="inlineStr">
        <is>
          <t>2024-08-15</t>
        </is>
      </c>
      <c r="G224" s="50" t="inlineStr">
        <is>
          <t>2023-09-30</t>
        </is>
      </c>
      <c r="H224" t="inlineStr">
        <is>
          <t>Nirav Desai</t>
        </is>
      </c>
      <c r="I224" t="inlineStr">
        <is>
          <t>Director, Investments</t>
        </is>
      </c>
      <c r="J224" t="inlineStr">
        <is>
          <t>Director of Investments</t>
        </is>
      </c>
      <c r="K224" t="inlineStr">
        <is>
          <t>Sr Investment Professional</t>
        </is>
      </c>
      <c r="L224" s="28" t="n">
        <v>435210</v>
      </c>
      <c r="M224" s="28" t="n">
        <v>396002</v>
      </c>
      <c r="N224" s="28" t="n">
        <v>1265</v>
      </c>
      <c r="O224" s="28" t="n">
        <v>21350</v>
      </c>
      <c r="P224" s="28" t="n">
        <v>19823</v>
      </c>
      <c r="Q224" s="28" t="n">
        <v>873650</v>
      </c>
      <c r="R224" s="28" t="n">
        <v>0</v>
      </c>
      <c r="S224" s="28">
        <f>Q224-R224</f>
        <v/>
      </c>
      <c r="T224" s="28">
        <f>IF(S224="","",S224*(1+in_GrowthRate)^(YEARFRAC(DATE(2023,9,30),in_AgeToDate)*IF(in_AgeToDate&lt;DATE(2023,9,30),-1,1)+1))</f>
        <v/>
      </c>
      <c r="U224" s="50">
        <f>IF(AND(AND(OR(in_Mode="All Funds",AND(C224&gt;=in_BandFloor,C224&lt;=in_BandCeiling,OR(in_Geography="National",COUNTIFS(lst_GeoPreset,in_Geography,lst_GeoState,B224)&gt;0,AND(in_Geography="Custom",ISNUMBER(SEARCH(B224,SUBSTITUTE(in_CustomStates," ",""))))),OR(AND(D224="Endowment",Inputs!$B$14="Y"),AND(D224="Foundation",Inputs!$B$15="Y"),AND(D224="Healthcare",Inputs!$B$16="Y"),AND(D224="Pension",Inputs!$B$17="Y"),AND(D224="OCIO",Inputs!$B$18="Y"),AND(D224="Other",Inputs!$B$19="Y")))),A224&lt;&gt;in_ClientOrg,NOT(AND(in_ExclHarvard="Y",ISNUMBER(SEARCH("Harvard",A224))))),$AD224="Y",K224&lt;&gt;"",S224&gt;0),"Y","")</f>
        <v/>
      </c>
      <c r="V224" s="30" t="n">
        <v>0.4512538415846698</v>
      </c>
      <c r="W224" t="inlineStr"/>
      <c r="X224" s="28">
        <f>IF(L224+M224=0,"",L224+M224)</f>
        <v/>
      </c>
      <c r="Y224" s="38">
        <f>IF(L224=0,"",M224/L224)</f>
        <v/>
      </c>
      <c r="Z224" t="inlineStr">
        <is>
          <t>Director &amp; Investment Officer</t>
        </is>
      </c>
      <c r="AA224" t="inlineStr">
        <is>
          <t>Investments</t>
        </is>
      </c>
      <c r="AB224" s="50" t="inlineStr"/>
      <c r="AC224" s="43">
        <f>HYPERLINK("https://projects.propublica.org/nonprofits/organizations/42774441/202422289349303527/full","view filing")</f>
        <v/>
      </c>
      <c r="AD224" s="50" t="inlineStr"/>
    </row>
    <row r="225">
      <c r="A225" t="inlineStr">
        <is>
          <t>Childrens Hospital Corporation</t>
        </is>
      </c>
      <c r="B225" s="50" t="inlineStr">
        <is>
          <t>MA</t>
        </is>
      </c>
      <c r="C225" s="52" t="n">
        <v>2.12</v>
      </c>
      <c r="D225" t="inlineStr">
        <is>
          <t>Healthcare</t>
        </is>
      </c>
      <c r="E225" s="50" t="n">
        <v>2023</v>
      </c>
      <c r="F225" s="50" t="inlineStr">
        <is>
          <t>2024-08-15</t>
        </is>
      </c>
      <c r="G225" s="50" t="inlineStr">
        <is>
          <t>2023-09-30</t>
        </is>
      </c>
      <c r="H225" t="inlineStr">
        <is>
          <t>Philip Rotner</t>
        </is>
      </c>
      <c r="I225" t="inlineStr">
        <is>
          <t>Chief Investment Officer</t>
        </is>
      </c>
      <c r="J225" t="inlineStr">
        <is>
          <t>CIO</t>
        </is>
      </c>
      <c r="K225" t="inlineStr">
        <is>
          <t>CIO - Top Investment Executive</t>
        </is>
      </c>
      <c r="L225" s="28" t="n">
        <v>839174</v>
      </c>
      <c r="M225" s="28" t="n">
        <v>835000</v>
      </c>
      <c r="N225" s="28" t="n">
        <v>197922</v>
      </c>
      <c r="O225" s="28" t="n">
        <v>27450</v>
      </c>
      <c r="P225" s="28" t="n">
        <v>36504</v>
      </c>
      <c r="Q225" s="28" t="n">
        <v>1936050</v>
      </c>
      <c r="R225" s="28" t="n">
        <v>0</v>
      </c>
      <c r="S225" s="28">
        <f>Q225-R225</f>
        <v/>
      </c>
      <c r="T225" s="28">
        <f>IF(S225="","",S225*(1+in_GrowthRate)^(YEARFRAC(DATE(2023,9,30),in_AgeToDate)*IF(in_AgeToDate&lt;DATE(2023,9,30),-1,1)+1))</f>
        <v/>
      </c>
      <c r="U225" s="50">
        <f>IF(AND(AND(OR(in_Mode="All Funds",AND(C225&gt;=in_BandFloor,C225&lt;=in_BandCeiling,OR(in_Geography="National",COUNTIFS(lst_GeoPreset,in_Geography,lst_GeoState,B225)&gt;0,AND(in_Geography="Custom",ISNUMBER(SEARCH(B225,SUBSTITUTE(in_CustomStates," ",""))))),OR(AND(D225="Endowment",Inputs!$B$14="Y"),AND(D225="Foundation",Inputs!$B$15="Y"),AND(D225="Healthcare",Inputs!$B$16="Y"),AND(D225="Pension",Inputs!$B$17="Y"),AND(D225="OCIO",Inputs!$B$18="Y"),AND(D225="Other",Inputs!$B$19="Y")))),A225&lt;&gt;in_ClientOrg,NOT(AND(in_ExclHarvard="Y",ISNUMBER(SEARCH("Harvard",A225))))),$AD225="Y",K225&lt;&gt;"",S225&gt;0),"Y","")</f>
        <v/>
      </c>
      <c r="V225" s="30" t="n">
        <v>1</v>
      </c>
      <c r="W225" t="inlineStr"/>
      <c r="X225" s="28">
        <f>IF(L225+M225=0,"",L225+M225)</f>
        <v/>
      </c>
      <c r="Y225" s="38">
        <f>IF(L225=0,"",M225/L225)</f>
        <v/>
      </c>
      <c r="Z225" t="inlineStr">
        <is>
          <t>CIO - Top Investment Executive</t>
        </is>
      </c>
      <c r="AA225" t="inlineStr">
        <is>
          <t>Leadership</t>
        </is>
      </c>
      <c r="AB225" s="50" t="inlineStr">
        <is>
          <t>Y</t>
        </is>
      </c>
      <c r="AC225" s="43">
        <f>HYPERLINK("https://projects.propublica.org/nonprofits/organizations/42774441/202422289349303527/full","view filing")</f>
        <v/>
      </c>
      <c r="AD225" s="50" t="inlineStr"/>
    </row>
    <row r="226">
      <c r="A226" t="inlineStr">
        <is>
          <t>Childrens Hospital Corporation</t>
        </is>
      </c>
      <c r="B226" s="50" t="inlineStr">
        <is>
          <t>MA</t>
        </is>
      </c>
      <c r="C226" s="52" t="n">
        <v>2.12</v>
      </c>
      <c r="D226" t="inlineStr">
        <is>
          <t>Healthcare</t>
        </is>
      </c>
      <c r="E226" s="50" t="n">
        <v>2022</v>
      </c>
      <c r="F226" s="50" t="inlineStr">
        <is>
          <t>2023-08-14</t>
        </is>
      </c>
      <c r="G226" s="50" t="inlineStr">
        <is>
          <t>2022-09-30</t>
        </is>
      </c>
      <c r="H226" t="inlineStr">
        <is>
          <t>Alison Svizzero</t>
        </is>
      </c>
      <c r="I226" t="inlineStr">
        <is>
          <t>Director, Investments</t>
        </is>
      </c>
      <c r="J226" t="inlineStr">
        <is>
          <t>Director of Investments</t>
        </is>
      </c>
      <c r="K226" t="inlineStr">
        <is>
          <t>Sr Investment Professional</t>
        </is>
      </c>
      <c r="L226" s="28" t="n">
        <v>421152</v>
      </c>
      <c r="M226" s="28" t="n">
        <v>401703</v>
      </c>
      <c r="N226" s="28" t="n">
        <v>617</v>
      </c>
      <c r="O226" s="28" t="n">
        <v>20300</v>
      </c>
      <c r="P226" s="28" t="n">
        <v>1430</v>
      </c>
      <c r="Q226" s="28" t="n">
        <v>845202</v>
      </c>
      <c r="R226" s="28" t="n">
        <v>0</v>
      </c>
      <c r="S226" s="28">
        <f>Q226-R226</f>
        <v/>
      </c>
      <c r="T226" s="28">
        <f>IF(S226="","",S226*(1+in_GrowthRate)^(YEARFRAC(DATE(2022,9,30),in_AgeToDate)*IF(in_AgeToDate&lt;DATE(2022,9,30),-1,1)+1))</f>
        <v/>
      </c>
      <c r="U226" s="50">
        <f>IF(AND(AND(OR(in_Mode="All Funds",AND(C226&gt;=in_BandFloor,C226&lt;=in_BandCeiling,OR(in_Geography="National",COUNTIFS(lst_GeoPreset,in_Geography,lst_GeoState,B226)&gt;0,AND(in_Geography="Custom",ISNUMBER(SEARCH(B226,SUBSTITUTE(in_CustomStates," ",""))))),OR(AND(D226="Endowment",Inputs!$B$14="Y"),AND(D226="Foundation",Inputs!$B$15="Y"),AND(D226="Healthcare",Inputs!$B$16="Y"),AND(D226="Pension",Inputs!$B$17="Y"),AND(D226="OCIO",Inputs!$B$18="Y"),AND(D226="Other",Inputs!$B$19="Y")))),A226&lt;&gt;in_ClientOrg,NOT(AND(in_ExclHarvard="Y",ISNUMBER(SEARCH("Harvard",A226))))),$AD226="Y",K226&lt;&gt;"",S226&gt;0),"Y","")</f>
        <v/>
      </c>
      <c r="V226" s="30" t="n">
        <v>0.4912628424358954</v>
      </c>
      <c r="W226" t="inlineStr"/>
      <c r="X226" s="28">
        <f>IF(L226+M226=0,"",L226+M226)</f>
        <v/>
      </c>
      <c r="Y226" s="38">
        <f>IF(L226=0,"",M226/L226)</f>
        <v/>
      </c>
      <c r="Z226" t="inlineStr">
        <is>
          <t>Director &amp; Investment Officer</t>
        </is>
      </c>
      <c r="AA226" t="inlineStr">
        <is>
          <t>Investments</t>
        </is>
      </c>
      <c r="AB226" s="50" t="inlineStr"/>
      <c r="AC226" s="43">
        <f>HYPERLINK("https://projects.propublica.org/nonprofits/organizations/42774441/202302269349301075/full","view filing")</f>
        <v/>
      </c>
      <c r="AD226" s="50" t="inlineStr"/>
    </row>
    <row r="227">
      <c r="A227" t="inlineStr">
        <is>
          <t>Childrens Hospital Corporation</t>
        </is>
      </c>
      <c r="B227" s="50" t="inlineStr">
        <is>
          <t>MA</t>
        </is>
      </c>
      <c r="C227" s="52" t="n">
        <v>2.12</v>
      </c>
      <c r="D227" t="inlineStr">
        <is>
          <t>Healthcare</t>
        </is>
      </c>
      <c r="E227" s="50" t="n">
        <v>2022</v>
      </c>
      <c r="F227" s="50" t="inlineStr">
        <is>
          <t>2023-08-14</t>
        </is>
      </c>
      <c r="G227" s="50" t="inlineStr">
        <is>
          <t>2022-09-30</t>
        </is>
      </c>
      <c r="H227" t="inlineStr">
        <is>
          <t>Martin Kelly</t>
        </is>
      </c>
      <c r="I227" t="inlineStr">
        <is>
          <t>Director, Investments</t>
        </is>
      </c>
      <c r="J227" t="inlineStr">
        <is>
          <t>Director of Investments</t>
        </is>
      </c>
      <c r="K227" t="inlineStr">
        <is>
          <t>Sr Investment Professional</t>
        </is>
      </c>
      <c r="L227" s="28" t="n">
        <v>431943</v>
      </c>
      <c r="M227" s="28" t="n">
        <v>424204</v>
      </c>
      <c r="N227" s="28" t="n">
        <v>2173</v>
      </c>
      <c r="O227" s="28" t="n">
        <v>23200</v>
      </c>
      <c r="P227" s="28" t="n">
        <v>19474</v>
      </c>
      <c r="Q227" s="28" t="n">
        <v>900994</v>
      </c>
      <c r="R227" s="28" t="n">
        <v>0</v>
      </c>
      <c r="S227" s="28">
        <f>Q227-R227</f>
        <v/>
      </c>
      <c r="T227" s="28">
        <f>IF(S227="","",S227*(1+in_GrowthRate)^(YEARFRAC(DATE(2022,9,30),in_AgeToDate)*IF(in_AgeToDate&lt;DATE(2022,9,30),-1,1)+1))</f>
        <v/>
      </c>
      <c r="U227" s="50">
        <f>IF(AND(AND(OR(in_Mode="All Funds",AND(C227&gt;=in_BandFloor,C227&lt;=in_BandCeiling,OR(in_Geography="National",COUNTIFS(lst_GeoPreset,in_Geography,lst_GeoState,B227)&gt;0,AND(in_Geography="Custom",ISNUMBER(SEARCH(B227,SUBSTITUTE(in_CustomStates," ",""))))),OR(AND(D227="Endowment",Inputs!$B$14="Y"),AND(D227="Foundation",Inputs!$B$15="Y"),AND(D227="Healthcare",Inputs!$B$16="Y"),AND(D227="Pension",Inputs!$B$17="Y"),AND(D227="OCIO",Inputs!$B$18="Y"),AND(D227="Other",Inputs!$B$19="Y")))),A227&lt;&gt;in_ClientOrg,NOT(AND(in_ExclHarvard="Y",ISNUMBER(SEARCH("Harvard",A227))))),$AD227="Y",K227&lt;&gt;"",S227&gt;0),"Y","")</f>
        <v/>
      </c>
      <c r="V227" s="30" t="n">
        <v>0.5236912282006989</v>
      </c>
      <c r="W227" t="inlineStr"/>
      <c r="X227" s="28">
        <f>IF(L227+M227=0,"",L227+M227)</f>
        <v/>
      </c>
      <c r="Y227" s="38">
        <f>IF(L227=0,"",M227/L227)</f>
        <v/>
      </c>
      <c r="Z227" t="inlineStr">
        <is>
          <t>Director &amp; Investment Officer</t>
        </is>
      </c>
      <c r="AA227" t="inlineStr">
        <is>
          <t>Investments</t>
        </is>
      </c>
      <c r="AB227" s="50" t="inlineStr"/>
      <c r="AC227" s="43">
        <f>HYPERLINK("https://projects.propublica.org/nonprofits/organizations/42774441/202302269349301075/full","view filing")</f>
        <v/>
      </c>
      <c r="AD227" s="50" t="inlineStr"/>
    </row>
    <row r="228">
      <c r="A228" t="inlineStr">
        <is>
          <t>Childrens Hospital Corporation</t>
        </is>
      </c>
      <c r="B228" s="50" t="inlineStr">
        <is>
          <t>MA</t>
        </is>
      </c>
      <c r="C228" s="52" t="n">
        <v>2.12</v>
      </c>
      <c r="D228" t="inlineStr">
        <is>
          <t>Healthcare</t>
        </is>
      </c>
      <c r="E228" s="50" t="n">
        <v>2022</v>
      </c>
      <c r="F228" s="50" t="inlineStr">
        <is>
          <t>2023-08-14</t>
        </is>
      </c>
      <c r="G228" s="50" t="inlineStr">
        <is>
          <t>2022-09-30</t>
        </is>
      </c>
      <c r="H228" t="inlineStr">
        <is>
          <t>Nirav Desai</t>
        </is>
      </c>
      <c r="I228" t="inlineStr">
        <is>
          <t>Director, Investments</t>
        </is>
      </c>
      <c r="J228" t="inlineStr">
        <is>
          <t>Director of Investments</t>
        </is>
      </c>
      <c r="K228" t="inlineStr">
        <is>
          <t>Sr Investment Professional</t>
        </is>
      </c>
      <c r="L228" s="28" t="n">
        <v>408521</v>
      </c>
      <c r="M228" s="28" t="n">
        <v>397203</v>
      </c>
      <c r="N228" s="28" t="n">
        <v>1166</v>
      </c>
      <c r="O228" s="28" t="n">
        <v>20300</v>
      </c>
      <c r="P228" s="28" t="n">
        <v>18054</v>
      </c>
      <c r="Q228" s="28" t="n">
        <v>845244</v>
      </c>
      <c r="R228" s="28" t="n">
        <v>0</v>
      </c>
      <c r="S228" s="28">
        <f>Q228-R228</f>
        <v/>
      </c>
      <c r="T228" s="28">
        <f>IF(S228="","",S228*(1+in_GrowthRate)^(YEARFRAC(DATE(2022,9,30),in_AgeToDate)*IF(in_AgeToDate&lt;DATE(2022,9,30),-1,1)+1))</f>
        <v/>
      </c>
      <c r="U228" s="50">
        <f>IF(AND(AND(OR(in_Mode="All Funds",AND(C228&gt;=in_BandFloor,C228&lt;=in_BandCeiling,OR(in_Geography="National",COUNTIFS(lst_GeoPreset,in_Geography,lst_GeoState,B228)&gt;0,AND(in_Geography="Custom",ISNUMBER(SEARCH(B228,SUBSTITUTE(in_CustomStates," ",""))))),OR(AND(D228="Endowment",Inputs!$B$14="Y"),AND(D228="Foundation",Inputs!$B$15="Y"),AND(D228="Healthcare",Inputs!$B$16="Y"),AND(D228="Pension",Inputs!$B$17="Y"),AND(D228="OCIO",Inputs!$B$18="Y"),AND(D228="Other",Inputs!$B$19="Y")))),A228&lt;&gt;in_ClientOrg,NOT(AND(in_ExclHarvard="Y",ISNUMBER(SEARCH("Harvard",A228))))),$AD228="Y",K228&lt;&gt;"",S228&gt;0),"Y","")</f>
        <v/>
      </c>
      <c r="V228" s="30" t="n">
        <v>0.4912872543982219</v>
      </c>
      <c r="W228" t="inlineStr"/>
      <c r="X228" s="28">
        <f>IF(L228+M228=0,"",L228+M228)</f>
        <v/>
      </c>
      <c r="Y228" s="38">
        <f>IF(L228=0,"",M228/L228)</f>
        <v/>
      </c>
      <c r="Z228" t="inlineStr">
        <is>
          <t>Director &amp; Investment Officer</t>
        </is>
      </c>
      <c r="AA228" t="inlineStr">
        <is>
          <t>Investments</t>
        </is>
      </c>
      <c r="AB228" s="50" t="inlineStr"/>
      <c r="AC228" s="43">
        <f>HYPERLINK("https://projects.propublica.org/nonprofits/organizations/42774441/202302269349301075/full","view filing")</f>
        <v/>
      </c>
      <c r="AD228" s="50" t="inlineStr"/>
    </row>
    <row r="229">
      <c r="A229" t="inlineStr">
        <is>
          <t>Childrens Hospital Corporation</t>
        </is>
      </c>
      <c r="B229" s="50" t="inlineStr">
        <is>
          <t>MA</t>
        </is>
      </c>
      <c r="C229" s="52" t="n">
        <v>2.12</v>
      </c>
      <c r="D229" t="inlineStr">
        <is>
          <t>Healthcare</t>
        </is>
      </c>
      <c r="E229" s="50" t="n">
        <v>2022</v>
      </c>
      <c r="F229" s="50" t="inlineStr">
        <is>
          <t>2023-08-14</t>
        </is>
      </c>
      <c r="G229" s="50" t="inlineStr">
        <is>
          <t>2022-09-30</t>
        </is>
      </c>
      <c r="H229" t="inlineStr">
        <is>
          <t>Philip Rotner</t>
        </is>
      </c>
      <c r="I229" t="inlineStr">
        <is>
          <t>Chief Investment Officer</t>
        </is>
      </c>
      <c r="J229" t="inlineStr">
        <is>
          <t>CIO</t>
        </is>
      </c>
      <c r="K229" t="inlineStr">
        <is>
          <t>CIO - Top Investment Executive</t>
        </is>
      </c>
      <c r="L229" s="28" t="n">
        <v>745985</v>
      </c>
      <c r="M229" s="28" t="n">
        <v>725000</v>
      </c>
      <c r="N229" s="28" t="n">
        <v>189076</v>
      </c>
      <c r="O229" s="28" t="n">
        <v>23200</v>
      </c>
      <c r="P229" s="28" t="n">
        <v>37207</v>
      </c>
      <c r="Q229" s="28" t="n">
        <v>1720468</v>
      </c>
      <c r="R229" s="28" t="n">
        <v>0</v>
      </c>
      <c r="S229" s="28">
        <f>Q229-R229</f>
        <v/>
      </c>
      <c r="T229" s="28">
        <f>IF(S229="","",S229*(1+in_GrowthRate)^(YEARFRAC(DATE(2022,9,30),in_AgeToDate)*IF(in_AgeToDate&lt;DATE(2022,9,30),-1,1)+1))</f>
        <v/>
      </c>
      <c r="U229" s="50">
        <f>IF(AND(AND(OR(in_Mode="All Funds",AND(C229&gt;=in_BandFloor,C229&lt;=in_BandCeiling,OR(in_Geography="National",COUNTIFS(lst_GeoPreset,in_Geography,lst_GeoState,B229)&gt;0,AND(in_Geography="Custom",ISNUMBER(SEARCH(B229,SUBSTITUTE(in_CustomStates," ",""))))),OR(AND(D229="Endowment",Inputs!$B$14="Y"),AND(D229="Foundation",Inputs!$B$15="Y"),AND(D229="Healthcare",Inputs!$B$16="Y"),AND(D229="Pension",Inputs!$B$17="Y"),AND(D229="OCIO",Inputs!$B$18="Y"),AND(D229="Other",Inputs!$B$19="Y")))),A229&lt;&gt;in_ClientOrg,NOT(AND(in_ExclHarvard="Y",ISNUMBER(SEARCH("Harvard",A229))))),$AD229="Y",K229&lt;&gt;"",S229&gt;0),"Y","")</f>
        <v/>
      </c>
      <c r="V229" s="30" t="n">
        <v>1</v>
      </c>
      <c r="W229" t="inlineStr"/>
      <c r="X229" s="28">
        <f>IF(L229+M229=0,"",L229+M229)</f>
        <v/>
      </c>
      <c r="Y229" s="38">
        <f>IF(L229=0,"",M229/L229)</f>
        <v/>
      </c>
      <c r="Z229" t="inlineStr">
        <is>
          <t>CIO - Top Investment Executive</t>
        </is>
      </c>
      <c r="AA229" t="inlineStr">
        <is>
          <t>Leadership</t>
        </is>
      </c>
      <c r="AB229" s="50" t="inlineStr">
        <is>
          <t>Y</t>
        </is>
      </c>
      <c r="AC229" s="43">
        <f>HYPERLINK("https://projects.propublica.org/nonprofits/organizations/42774441/202302269349301075/full","view filing")</f>
        <v/>
      </c>
      <c r="AD229" s="50" t="inlineStr"/>
    </row>
    <row r="230">
      <c r="A230" t="inlineStr">
        <is>
          <t>Christus Health</t>
        </is>
      </c>
      <c r="B230" s="50" t="inlineStr">
        <is>
          <t>TX</t>
        </is>
      </c>
      <c r="C230" s="52" t="n">
        <v>1.43</v>
      </c>
      <c r="D230" t="inlineStr">
        <is>
          <t>Healthcare</t>
        </is>
      </c>
      <c r="E230" s="50" t="n">
        <v>2025</v>
      </c>
      <c r="F230" s="50" t="inlineStr">
        <is>
          <t>2026-05-06</t>
        </is>
      </c>
      <c r="G230" s="50" t="inlineStr">
        <is>
          <t>2025-06-30</t>
        </is>
      </c>
      <c r="H230" t="inlineStr">
        <is>
          <t>Jon Manis</t>
        </is>
      </c>
      <c r="I230" t="inlineStr">
        <is>
          <t>SVP/CHIEF INVESTMENT OFFICER</t>
        </is>
      </c>
      <c r="J230" t="inlineStr">
        <is>
          <t>CIO</t>
        </is>
      </c>
      <c r="K230" t="inlineStr">
        <is>
          <t>CIO - Top Investment Executive</t>
        </is>
      </c>
      <c r="L230" s="28" t="n">
        <v>757779</v>
      </c>
      <c r="M230" s="28" t="n">
        <v>1357681</v>
      </c>
      <c r="N230" s="28" t="n">
        <v>280411</v>
      </c>
      <c r="O230" s="28" t="n">
        <v>13801</v>
      </c>
      <c r="P230" s="28" t="n">
        <v>16840</v>
      </c>
      <c r="Q230" s="28" t="n">
        <v>2426512</v>
      </c>
      <c r="R230" s="28" t="n">
        <v>0</v>
      </c>
      <c r="S230" s="28">
        <f>Q230-R230</f>
        <v/>
      </c>
      <c r="T230" s="28">
        <f>IF(S230="","",S230*(1+in_GrowthRate)^(YEARFRAC(DATE(2025,6,30),in_AgeToDate)*IF(in_AgeToDate&lt;DATE(2025,6,30),-1,1)+1))</f>
        <v/>
      </c>
      <c r="U230" s="50">
        <f>IF(AND(AND(OR(in_Mode="All Funds",AND(C230&gt;=in_BandFloor,C230&lt;=in_BandCeiling,OR(in_Geography="National",COUNTIFS(lst_GeoPreset,in_Geography,lst_GeoState,B230)&gt;0,AND(in_Geography="Custom",ISNUMBER(SEARCH(B230,SUBSTITUTE(in_CustomStates," ",""))))),OR(AND(D230="Endowment",Inputs!$B$14="Y"),AND(D230="Foundation",Inputs!$B$15="Y"),AND(D230="Healthcare",Inputs!$B$16="Y"),AND(D230="Pension",Inputs!$B$17="Y"),AND(D230="OCIO",Inputs!$B$18="Y"),AND(D230="Other",Inputs!$B$19="Y")))),A230&lt;&gt;in_ClientOrg,NOT(AND(in_ExclHarvard="Y",ISNUMBER(SEARCH("Harvard",A230))))),$AD230="Y",K230&lt;&gt;"",S230&gt;0),"Y","")</f>
        <v/>
      </c>
      <c r="V230" s="30" t="n">
        <v>1</v>
      </c>
      <c r="W230" t="inlineStr"/>
      <c r="X230" s="28">
        <f>IF(L230+M230=0,"",L230+M230)</f>
        <v/>
      </c>
      <c r="Y230" s="38">
        <f>IF(L230=0,"",M230/L230)</f>
        <v/>
      </c>
      <c r="Z230" t="inlineStr">
        <is>
          <t>CIO - Top Investment Executive</t>
        </is>
      </c>
      <c r="AA230" t="inlineStr">
        <is>
          <t>Leadership</t>
        </is>
      </c>
      <c r="AB230" s="50" t="inlineStr">
        <is>
          <t>Y</t>
        </is>
      </c>
      <c r="AC230" s="43">
        <f>HYPERLINK("https://projects.propublica.org/nonprofits/organizations/760590551/202641269349303049/full","view filing")</f>
        <v/>
      </c>
      <c r="AD230" s="50" t="inlineStr">
        <is>
          <t>Y</t>
        </is>
      </c>
    </row>
    <row r="231">
      <c r="A231" t="inlineStr">
        <is>
          <t>Christus Health</t>
        </is>
      </c>
      <c r="B231" s="50" t="inlineStr">
        <is>
          <t>TX</t>
        </is>
      </c>
      <c r="C231" s="52" t="n">
        <v>1.43</v>
      </c>
      <c r="D231" t="inlineStr">
        <is>
          <t>Healthcare</t>
        </is>
      </c>
      <c r="E231" s="50" t="n">
        <v>2024</v>
      </c>
      <c r="F231" s="50" t="inlineStr">
        <is>
          <t>2025-05-13</t>
        </is>
      </c>
      <c r="G231" s="50" t="inlineStr">
        <is>
          <t>2024-06-30</t>
        </is>
      </c>
      <c r="H231" t="inlineStr">
        <is>
          <t>Jon Manis</t>
        </is>
      </c>
      <c r="I231" t="inlineStr">
        <is>
          <t>SVP CIO</t>
        </is>
      </c>
      <c r="J231" t="inlineStr">
        <is>
          <t>CIO</t>
        </is>
      </c>
      <c r="K231" t="inlineStr">
        <is>
          <t>CIO - Top Investment Executive</t>
        </is>
      </c>
      <c r="L231" s="28" t="n">
        <v>730470</v>
      </c>
      <c r="M231" s="28" t="n">
        <v>1009800</v>
      </c>
      <c r="N231" s="28" t="n">
        <v>606951</v>
      </c>
      <c r="O231" s="28" t="n">
        <v>43201</v>
      </c>
      <c r="P231" s="28" t="n">
        <v>155490</v>
      </c>
      <c r="Q231" s="28" t="n">
        <v>2545912</v>
      </c>
      <c r="R231" s="28" t="n">
        <v>606951</v>
      </c>
      <c r="S231" s="28">
        <f>Q231-R231</f>
        <v/>
      </c>
      <c r="T231" s="28">
        <f>IF(S231="","",S231*(1+in_GrowthRate)^(YEARFRAC(DATE(2024,6,30),in_AgeToDate)*IF(in_AgeToDate&lt;DATE(2024,6,30),-1,1)+1))</f>
        <v/>
      </c>
      <c r="U231" s="50">
        <f>IF(AND(AND(OR(in_Mode="All Funds",AND(C231&gt;=in_BandFloor,C231&lt;=in_BandCeiling,OR(in_Geography="National",COUNTIFS(lst_GeoPreset,in_Geography,lst_GeoState,B231)&gt;0,AND(in_Geography="Custom",ISNUMBER(SEARCH(B231,SUBSTITUTE(in_CustomStates," ",""))))),OR(AND(D231="Endowment",Inputs!$B$14="Y"),AND(D231="Foundation",Inputs!$B$15="Y"),AND(D231="Healthcare",Inputs!$B$16="Y"),AND(D231="Pension",Inputs!$B$17="Y"),AND(D231="OCIO",Inputs!$B$18="Y"),AND(D231="Other",Inputs!$B$19="Y")))),A231&lt;&gt;in_ClientOrg,NOT(AND(in_ExclHarvard="Y",ISNUMBER(SEARCH("Harvard",A231))))),$AD231="Y",K231&lt;&gt;"",S231&gt;0),"Y","")</f>
        <v/>
      </c>
      <c r="V231" s="30" t="n">
        <v>1</v>
      </c>
      <c r="W231" t="inlineStr"/>
      <c r="X231" s="28">
        <f>IF(L231+M231=0,"",L231+M231)</f>
        <v/>
      </c>
      <c r="Y231" s="38">
        <f>IF(L231=0,"",M231/L231)</f>
        <v/>
      </c>
      <c r="Z231" t="inlineStr">
        <is>
          <t>CIO - Top Investment Executive</t>
        </is>
      </c>
      <c r="AA231" t="inlineStr">
        <is>
          <t>Leadership</t>
        </is>
      </c>
      <c r="AB231" s="50" t="inlineStr">
        <is>
          <t>Y</t>
        </is>
      </c>
      <c r="AC231" s="43">
        <f>HYPERLINK("https://projects.propublica.org/nonprofits/organizations/760590551/202531339349308263/full","view filing")</f>
        <v/>
      </c>
      <c r="AD231" s="50" t="inlineStr"/>
    </row>
    <row r="232">
      <c r="A232" t="inlineStr">
        <is>
          <t>Christus Health</t>
        </is>
      </c>
      <c r="B232" s="50" t="inlineStr">
        <is>
          <t>TX</t>
        </is>
      </c>
      <c r="C232" s="52" t="n">
        <v>1.43</v>
      </c>
      <c r="D232" t="inlineStr">
        <is>
          <t>Healthcare</t>
        </is>
      </c>
      <c r="E232" s="50" t="n">
        <v>2023</v>
      </c>
      <c r="F232" s="50" t="inlineStr">
        <is>
          <t>2024-05-15</t>
        </is>
      </c>
      <c r="G232" s="50" t="inlineStr">
        <is>
          <t>2023-06-30</t>
        </is>
      </c>
      <c r="H232" t="inlineStr">
        <is>
          <t>Jon Manis</t>
        </is>
      </c>
      <c r="I232" t="inlineStr">
        <is>
          <t>SVP CIO</t>
        </is>
      </c>
      <c r="J232" t="inlineStr">
        <is>
          <t>CIO</t>
        </is>
      </c>
      <c r="K232" t="inlineStr">
        <is>
          <t>CIO - Top Investment Executive</t>
        </is>
      </c>
      <c r="L232" s="28" t="n">
        <v>642856</v>
      </c>
      <c r="M232" s="28" t="n">
        <v>820325</v>
      </c>
      <c r="N232" s="28" t="n">
        <v>126647</v>
      </c>
      <c r="O232" s="28" t="n">
        <v>248153</v>
      </c>
      <c r="P232" s="28" t="n">
        <v>13718</v>
      </c>
      <c r="Q232" s="28" t="n">
        <v>1851699</v>
      </c>
      <c r="R232" s="28" t="n">
        <v>0</v>
      </c>
      <c r="S232" s="28">
        <f>Q232-R232</f>
        <v/>
      </c>
      <c r="T232" s="28">
        <f>IF(S232="","",S232*(1+in_GrowthRate)^(YEARFRAC(DATE(2023,6,30),in_AgeToDate)*IF(in_AgeToDate&lt;DATE(2023,6,30),-1,1)+1))</f>
        <v/>
      </c>
      <c r="U232" s="50">
        <f>IF(AND(AND(OR(in_Mode="All Funds",AND(C232&gt;=in_BandFloor,C232&lt;=in_BandCeiling,OR(in_Geography="National",COUNTIFS(lst_GeoPreset,in_Geography,lst_GeoState,B232)&gt;0,AND(in_Geography="Custom",ISNUMBER(SEARCH(B232,SUBSTITUTE(in_CustomStates," ",""))))),OR(AND(D232="Endowment",Inputs!$B$14="Y"),AND(D232="Foundation",Inputs!$B$15="Y"),AND(D232="Healthcare",Inputs!$B$16="Y"),AND(D232="Pension",Inputs!$B$17="Y"),AND(D232="OCIO",Inputs!$B$18="Y"),AND(D232="Other",Inputs!$B$19="Y")))),A232&lt;&gt;in_ClientOrg,NOT(AND(in_ExclHarvard="Y",ISNUMBER(SEARCH("Harvard",A232))))),$AD232="Y",K232&lt;&gt;"",S232&gt;0),"Y","")</f>
        <v/>
      </c>
      <c r="V232" s="30" t="n">
        <v>1</v>
      </c>
      <c r="W232" t="inlineStr"/>
      <c r="X232" s="28">
        <f>IF(L232+M232=0,"",L232+M232)</f>
        <v/>
      </c>
      <c r="Y232" s="38">
        <f>IF(L232=0,"",M232/L232)</f>
        <v/>
      </c>
      <c r="Z232" t="inlineStr">
        <is>
          <t>CIO - Top Investment Executive</t>
        </is>
      </c>
      <c r="AA232" t="inlineStr">
        <is>
          <t>Leadership</t>
        </is>
      </c>
      <c r="AB232" s="50" t="inlineStr">
        <is>
          <t>Y</t>
        </is>
      </c>
      <c r="AC232" s="43">
        <f>HYPERLINK("https://projects.propublica.org/nonprofits/organizations/760590551/202421369349307347/full","view filing")</f>
        <v/>
      </c>
      <c r="AD232" s="50" t="inlineStr"/>
    </row>
    <row r="233">
      <c r="A233" t="inlineStr">
        <is>
          <t>Christus Health</t>
        </is>
      </c>
      <c r="B233" s="50" t="inlineStr">
        <is>
          <t>TX</t>
        </is>
      </c>
      <c r="C233" s="52" t="n">
        <v>1.43</v>
      </c>
      <c r="D233" t="inlineStr">
        <is>
          <t>Healthcare</t>
        </is>
      </c>
      <c r="E233" s="50" t="n">
        <v>2022</v>
      </c>
      <c r="F233" s="50" t="inlineStr">
        <is>
          <t>2023-05-05</t>
        </is>
      </c>
      <c r="G233" s="50" t="inlineStr">
        <is>
          <t>2022-06-30</t>
        </is>
      </c>
      <c r="H233" t="inlineStr">
        <is>
          <t>Jon Manis</t>
        </is>
      </c>
      <c r="I233" t="inlineStr">
        <is>
          <t>SVP CIO</t>
        </is>
      </c>
      <c r="J233" t="inlineStr">
        <is>
          <t>CIO</t>
        </is>
      </c>
      <c r="K233" t="inlineStr">
        <is>
          <t>CIO - Top Investment Executive</t>
        </is>
      </c>
      <c r="L233" s="28" t="n">
        <v>623282</v>
      </c>
      <c r="M233" s="28" t="n">
        <v>797838</v>
      </c>
      <c r="N233" s="28" t="n">
        <v>0</v>
      </c>
      <c r="O233" s="28" t="n">
        <v>257918</v>
      </c>
      <c r="P233" s="28" t="n">
        <v>13356</v>
      </c>
      <c r="Q233" s="28" t="n">
        <v>1692394</v>
      </c>
      <c r="R233" s="28" t="n">
        <v>0</v>
      </c>
      <c r="S233" s="28">
        <f>Q233-R233</f>
        <v/>
      </c>
      <c r="T233" s="28">
        <f>IF(S233="","",S233*(1+in_GrowthRate)^(YEARFRAC(DATE(2022,6,30),in_AgeToDate)*IF(in_AgeToDate&lt;DATE(2022,6,30),-1,1)+1))</f>
        <v/>
      </c>
      <c r="U233" s="50">
        <f>IF(AND(AND(OR(in_Mode="All Funds",AND(C233&gt;=in_BandFloor,C233&lt;=in_BandCeiling,OR(in_Geography="National",COUNTIFS(lst_GeoPreset,in_Geography,lst_GeoState,B233)&gt;0,AND(in_Geography="Custom",ISNUMBER(SEARCH(B233,SUBSTITUTE(in_CustomStates," ",""))))),OR(AND(D233="Endowment",Inputs!$B$14="Y"),AND(D233="Foundation",Inputs!$B$15="Y"),AND(D233="Healthcare",Inputs!$B$16="Y"),AND(D233="Pension",Inputs!$B$17="Y"),AND(D233="OCIO",Inputs!$B$18="Y"),AND(D233="Other",Inputs!$B$19="Y")))),A233&lt;&gt;in_ClientOrg,NOT(AND(in_ExclHarvard="Y",ISNUMBER(SEARCH("Harvard",A233))))),$AD233="Y",K233&lt;&gt;"",S233&gt;0),"Y","")</f>
        <v/>
      </c>
      <c r="V233" s="30" t="n">
        <v>1</v>
      </c>
      <c r="W233" t="inlineStr"/>
      <c r="X233" s="28">
        <f>IF(L233+M233=0,"",L233+M233)</f>
        <v/>
      </c>
      <c r="Y233" s="38">
        <f>IF(L233=0,"",M233/L233)</f>
        <v/>
      </c>
      <c r="Z233" t="inlineStr">
        <is>
          <t>CIO - Top Investment Executive</t>
        </is>
      </c>
      <c r="AA233" t="inlineStr">
        <is>
          <t>Leadership</t>
        </is>
      </c>
      <c r="AB233" s="50" t="inlineStr">
        <is>
          <t>Y</t>
        </is>
      </c>
      <c r="AC233" s="43">
        <f>HYPERLINK("https://projects.propublica.org/nonprofits/organizations/760590551/202331259349301543/full","view filing")</f>
        <v/>
      </c>
      <c r="AD233" s="50" t="inlineStr"/>
    </row>
    <row r="234">
      <c r="A234" t="inlineStr">
        <is>
          <t>Claremont Mckenna College</t>
        </is>
      </c>
      <c r="B234" s="50" t="inlineStr">
        <is>
          <t>CA</t>
        </is>
      </c>
      <c r="C234" s="52" t="n">
        <v>1.35</v>
      </c>
      <c r="D234" t="inlineStr">
        <is>
          <t>Endowment</t>
        </is>
      </c>
      <c r="E234" s="50" t="n">
        <v>2025</v>
      </c>
      <c r="F234" s="50" t="inlineStr">
        <is>
          <t>2026-05-11</t>
        </is>
      </c>
      <c r="G234" s="50" t="inlineStr">
        <is>
          <t>2025-06-30</t>
        </is>
      </c>
      <c r="H234" t="inlineStr">
        <is>
          <t>James Floyd</t>
        </is>
      </c>
      <c r="I234" t="inlineStr">
        <is>
          <t>VP and Chief Investment Officer</t>
        </is>
      </c>
      <c r="J234" t="inlineStr">
        <is>
          <t>CIO</t>
        </is>
      </c>
      <c r="K234" t="inlineStr">
        <is>
          <t>CIO - Top Investment Executive</t>
        </is>
      </c>
      <c r="L234" s="28" t="n">
        <v>640625</v>
      </c>
      <c r="M234" s="28" t="n">
        <v>625000</v>
      </c>
      <c r="N234" s="28" t="n">
        <v>1200</v>
      </c>
      <c r="O234" s="28" t="n">
        <v>61028</v>
      </c>
      <c r="P234" s="28" t="n">
        <v>65342</v>
      </c>
      <c r="Q234" s="28" t="n">
        <v>1393195</v>
      </c>
      <c r="R234" s="28" t="n">
        <v>0</v>
      </c>
      <c r="S234" s="28">
        <f>Q234-R234</f>
        <v/>
      </c>
      <c r="T234" s="28">
        <f>IF(S234="","",S234*(1+in_GrowthRate)^(YEARFRAC(DATE(2025,6,30),in_AgeToDate)*IF(in_AgeToDate&lt;DATE(2025,6,30),-1,1)+1))</f>
        <v/>
      </c>
      <c r="U234" s="50">
        <f>IF(AND(AND(OR(in_Mode="All Funds",AND(C234&gt;=in_BandFloor,C234&lt;=in_BandCeiling,OR(in_Geography="National",COUNTIFS(lst_GeoPreset,in_Geography,lst_GeoState,B234)&gt;0,AND(in_Geography="Custom",ISNUMBER(SEARCH(B234,SUBSTITUTE(in_CustomStates," ",""))))),OR(AND(D234="Endowment",Inputs!$B$14="Y"),AND(D234="Foundation",Inputs!$B$15="Y"),AND(D234="Healthcare",Inputs!$B$16="Y"),AND(D234="Pension",Inputs!$B$17="Y"),AND(D234="OCIO",Inputs!$B$18="Y"),AND(D234="Other",Inputs!$B$19="Y")))),A234&lt;&gt;in_ClientOrg,NOT(AND(in_ExclHarvard="Y",ISNUMBER(SEARCH("Harvard",A234))))),$AD234="Y",K234&lt;&gt;"",S234&gt;0),"Y","")</f>
        <v/>
      </c>
      <c r="V234" s="30" t="n">
        <v>1</v>
      </c>
      <c r="W234" t="inlineStr"/>
      <c r="X234" s="28">
        <f>IF(L234+M234=0,"",L234+M234)</f>
        <v/>
      </c>
      <c r="Y234" s="38">
        <f>IF(L234=0,"",M234/L234)</f>
        <v/>
      </c>
      <c r="Z234" t="inlineStr">
        <is>
          <t>CIO - Top Investment Executive</t>
        </is>
      </c>
      <c r="AA234" t="inlineStr">
        <is>
          <t>Leadership</t>
        </is>
      </c>
      <c r="AB234" s="50" t="inlineStr">
        <is>
          <t>Y</t>
        </is>
      </c>
      <c r="AC234" s="43">
        <f>HYPERLINK("https://projects.propublica.org/nonprofits/organizations/951664101/202621319349302297/full","view filing")</f>
        <v/>
      </c>
      <c r="AD234" s="50" t="inlineStr">
        <is>
          <t>Y</t>
        </is>
      </c>
    </row>
    <row r="235">
      <c r="A235" t="inlineStr">
        <is>
          <t>Claremont Mckenna College</t>
        </is>
      </c>
      <c r="B235" s="50" t="inlineStr">
        <is>
          <t>CA</t>
        </is>
      </c>
      <c r="C235" s="52" t="n">
        <v>1.35</v>
      </c>
      <c r="D235" t="inlineStr">
        <is>
          <t>Endowment</t>
        </is>
      </c>
      <c r="E235" s="50" t="n">
        <v>2024</v>
      </c>
      <c r="F235" s="50" t="inlineStr">
        <is>
          <t>2025-05-09</t>
        </is>
      </c>
      <c r="G235" s="50" t="inlineStr">
        <is>
          <t>2024-06-30</t>
        </is>
      </c>
      <c r="H235" t="inlineStr">
        <is>
          <t>James Floyd</t>
        </is>
      </c>
      <c r="I235" t="inlineStr">
        <is>
          <t>VP and Chief Investment Officer</t>
        </is>
      </c>
      <c r="J235" t="inlineStr">
        <is>
          <t>CIO</t>
        </is>
      </c>
      <c r="K235" t="inlineStr">
        <is>
          <t>CIO - Top Investment Executive</t>
        </is>
      </c>
      <c r="L235" s="28" t="n">
        <v>612500</v>
      </c>
      <c r="M235" s="28" t="n">
        <v>274615</v>
      </c>
      <c r="N235" s="28" t="n">
        <v>1200</v>
      </c>
      <c r="O235" s="28" t="n">
        <v>58896</v>
      </c>
      <c r="P235" s="28" t="n">
        <v>47096</v>
      </c>
      <c r="Q235" s="28" t="n">
        <v>994307</v>
      </c>
      <c r="R235" s="28" t="n">
        <v>0</v>
      </c>
      <c r="S235" s="28">
        <f>Q235-R235</f>
        <v/>
      </c>
      <c r="T235" s="28">
        <f>IF(S235="","",S235*(1+in_GrowthRate)^(YEARFRAC(DATE(2024,6,30),in_AgeToDate)*IF(in_AgeToDate&lt;DATE(2024,6,30),-1,1)+1))</f>
        <v/>
      </c>
      <c r="U235" s="50">
        <f>IF(AND(AND(OR(in_Mode="All Funds",AND(C235&gt;=in_BandFloor,C235&lt;=in_BandCeiling,OR(in_Geography="National",COUNTIFS(lst_GeoPreset,in_Geography,lst_GeoState,B235)&gt;0,AND(in_Geography="Custom",ISNUMBER(SEARCH(B235,SUBSTITUTE(in_CustomStates," ",""))))),OR(AND(D235="Endowment",Inputs!$B$14="Y"),AND(D235="Foundation",Inputs!$B$15="Y"),AND(D235="Healthcare",Inputs!$B$16="Y"),AND(D235="Pension",Inputs!$B$17="Y"),AND(D235="OCIO",Inputs!$B$18="Y"),AND(D235="Other",Inputs!$B$19="Y")))),A235&lt;&gt;in_ClientOrg,NOT(AND(in_ExclHarvard="Y",ISNUMBER(SEARCH("Harvard",A235))))),$AD235="Y",K235&lt;&gt;"",S235&gt;0),"Y","")</f>
        <v/>
      </c>
      <c r="V235" s="30" t="n">
        <v>1</v>
      </c>
      <c r="W235" t="inlineStr"/>
      <c r="X235" s="28">
        <f>IF(L235+M235=0,"",L235+M235)</f>
        <v/>
      </c>
      <c r="Y235" s="38">
        <f>IF(L235=0,"",M235/L235)</f>
        <v/>
      </c>
      <c r="Z235" t="inlineStr">
        <is>
          <t>CIO - Top Investment Executive</t>
        </is>
      </c>
      <c r="AA235" t="inlineStr">
        <is>
          <t>Leadership</t>
        </is>
      </c>
      <c r="AB235" s="50" t="inlineStr">
        <is>
          <t>Y</t>
        </is>
      </c>
      <c r="AC235" s="43">
        <f>HYPERLINK("https://projects.propublica.org/nonprofits/organizations/951664101/202511299349304366/full","view filing")</f>
        <v/>
      </c>
      <c r="AD235" s="50" t="inlineStr"/>
    </row>
    <row r="236">
      <c r="A236" t="inlineStr">
        <is>
          <t>Claremont Mckenna College</t>
        </is>
      </c>
      <c r="B236" s="50" t="inlineStr">
        <is>
          <t>CA</t>
        </is>
      </c>
      <c r="C236" s="52" t="n">
        <v>1.35</v>
      </c>
      <c r="D236" t="inlineStr">
        <is>
          <t>Endowment</t>
        </is>
      </c>
      <c r="E236" s="50" t="n">
        <v>2023</v>
      </c>
      <c r="F236" s="50" t="inlineStr">
        <is>
          <t>2024-05-15</t>
        </is>
      </c>
      <c r="G236" s="50" t="inlineStr">
        <is>
          <t>2023-06-30</t>
        </is>
      </c>
      <c r="H236" t="inlineStr">
        <is>
          <t>James Floyd</t>
        </is>
      </c>
      <c r="I236" t="inlineStr">
        <is>
          <t>VP and Chief Investment Officer</t>
        </is>
      </c>
      <c r="J236" t="inlineStr">
        <is>
          <t>CIO</t>
        </is>
      </c>
      <c r="K236" t="inlineStr">
        <is>
          <t>CIO - Top Investment Executive</t>
        </is>
      </c>
      <c r="L236" s="28" t="n">
        <v>600000</v>
      </c>
      <c r="M236" s="28" t="n">
        <v>153500</v>
      </c>
      <c r="N236" s="28" t="n">
        <v>250</v>
      </c>
      <c r="O236" s="28" t="n">
        <v>54160</v>
      </c>
      <c r="P236" s="28" t="n">
        <v>30448</v>
      </c>
      <c r="Q236" s="28" t="n">
        <v>838358</v>
      </c>
      <c r="R236" s="28" t="n">
        <v>0</v>
      </c>
      <c r="S236" s="28">
        <f>Q236-R236</f>
        <v/>
      </c>
      <c r="T236" s="28">
        <f>IF(S236="","",S236*(1+in_GrowthRate)^(YEARFRAC(DATE(2023,6,30),in_AgeToDate)*IF(in_AgeToDate&lt;DATE(2023,6,30),-1,1)+1))</f>
        <v/>
      </c>
      <c r="U236" s="50">
        <f>IF(AND(AND(OR(in_Mode="All Funds",AND(C236&gt;=in_BandFloor,C236&lt;=in_BandCeiling,OR(in_Geography="National",COUNTIFS(lst_GeoPreset,in_Geography,lst_GeoState,B236)&gt;0,AND(in_Geography="Custom",ISNUMBER(SEARCH(B236,SUBSTITUTE(in_CustomStates," ",""))))),OR(AND(D236="Endowment",Inputs!$B$14="Y"),AND(D236="Foundation",Inputs!$B$15="Y"),AND(D236="Healthcare",Inputs!$B$16="Y"),AND(D236="Pension",Inputs!$B$17="Y"),AND(D236="OCIO",Inputs!$B$18="Y"),AND(D236="Other",Inputs!$B$19="Y")))),A236&lt;&gt;in_ClientOrg,NOT(AND(in_ExclHarvard="Y",ISNUMBER(SEARCH("Harvard",A236))))),$AD236="Y",K236&lt;&gt;"",S236&gt;0),"Y","")</f>
        <v/>
      </c>
      <c r="V236" s="30" t="n">
        <v>1</v>
      </c>
      <c r="W236" t="inlineStr"/>
      <c r="X236" s="28">
        <f>IF(L236+M236=0,"",L236+M236)</f>
        <v/>
      </c>
      <c r="Y236" s="38">
        <f>IF(L236=0,"",M236/L236)</f>
        <v/>
      </c>
      <c r="Z236" t="inlineStr">
        <is>
          <t>CIO - Top Investment Executive</t>
        </is>
      </c>
      <c r="AA236" t="inlineStr">
        <is>
          <t>Leadership</t>
        </is>
      </c>
      <c r="AB236" s="50" t="inlineStr">
        <is>
          <t>Y</t>
        </is>
      </c>
      <c r="AC236" s="43">
        <f>HYPERLINK("https://projects.propublica.org/nonprofits/organizations/951664101/202411369349309626/full","view filing")</f>
        <v/>
      </c>
      <c r="AD236" s="50" t="inlineStr"/>
    </row>
    <row r="237">
      <c r="A237" t="inlineStr">
        <is>
          <t>Claremont Mckenna College</t>
        </is>
      </c>
      <c r="B237" s="50" t="inlineStr">
        <is>
          <t>CA</t>
        </is>
      </c>
      <c r="C237" s="52" t="n">
        <v>1.35</v>
      </c>
      <c r="D237" t="inlineStr">
        <is>
          <t>Endowment</t>
        </is>
      </c>
      <c r="E237" s="50" t="n">
        <v>2023</v>
      </c>
      <c r="F237" s="50" t="inlineStr">
        <is>
          <t>2024-05-15</t>
        </is>
      </c>
      <c r="G237" s="50" t="inlineStr">
        <is>
          <t>2023-06-30</t>
        </is>
      </c>
      <c r="H237" t="inlineStr">
        <is>
          <t>Michael Denny</t>
        </is>
      </c>
      <c r="I237" t="inlineStr">
        <is>
          <t>VP and Deputy CIO</t>
        </is>
      </c>
      <c r="J237" t="inlineStr">
        <is>
          <t>Deputy CIO</t>
        </is>
      </c>
      <c r="K237" t="inlineStr">
        <is>
          <t>Sr Investment Professional</t>
        </is>
      </c>
      <c r="L237" s="28" t="n">
        <v>307500</v>
      </c>
      <c r="M237" s="28" t="n">
        <v>75000</v>
      </c>
      <c r="N237" s="28" t="n">
        <v>0</v>
      </c>
      <c r="O237" s="28" t="n">
        <v>54160</v>
      </c>
      <c r="P237" s="28" t="n">
        <v>18146</v>
      </c>
      <c r="Q237" s="28" t="n">
        <v>454806</v>
      </c>
      <c r="R237" s="28" t="n">
        <v>0</v>
      </c>
      <c r="S237" s="28">
        <f>Q237-R237</f>
        <v/>
      </c>
      <c r="T237" s="28">
        <f>IF(S237="","",S237*(1+in_GrowthRate)^(YEARFRAC(DATE(2023,6,30),in_AgeToDate)*IF(in_AgeToDate&lt;DATE(2023,6,30),-1,1)+1))</f>
        <v/>
      </c>
      <c r="U237" s="50">
        <f>IF(AND(AND(OR(in_Mode="All Funds",AND(C237&gt;=in_BandFloor,C237&lt;=in_BandCeiling,OR(in_Geography="National",COUNTIFS(lst_GeoPreset,in_Geography,lst_GeoState,B237)&gt;0,AND(in_Geography="Custom",ISNUMBER(SEARCH(B237,SUBSTITUTE(in_CustomStates," ",""))))),OR(AND(D237="Endowment",Inputs!$B$14="Y"),AND(D237="Foundation",Inputs!$B$15="Y"),AND(D237="Healthcare",Inputs!$B$16="Y"),AND(D237="Pension",Inputs!$B$17="Y"),AND(D237="OCIO",Inputs!$B$18="Y"),AND(D237="Other",Inputs!$B$19="Y")))),A237&lt;&gt;in_ClientOrg,NOT(AND(in_ExclHarvard="Y",ISNUMBER(SEARCH("Harvard",A237))))),$AD237="Y",K237&lt;&gt;"",S237&gt;0),"Y","")</f>
        <v/>
      </c>
      <c r="V237" s="30" t="n">
        <v>0.5424961651227758</v>
      </c>
      <c r="W237" t="inlineStr"/>
      <c r="X237" s="28">
        <f>IF(L237+M237=0,"",L237+M237)</f>
        <v/>
      </c>
      <c r="Y237" s="38">
        <f>IF(L237=0,"",M237/L237)</f>
        <v/>
      </c>
      <c r="Z237" t="inlineStr">
        <is>
          <t>Deputy CIO</t>
        </is>
      </c>
      <c r="AA237" t="inlineStr">
        <is>
          <t>Leadership</t>
        </is>
      </c>
      <c r="AB237" s="50" t="inlineStr"/>
      <c r="AC237" s="43">
        <f>HYPERLINK("https://projects.propublica.org/nonprofits/organizations/951664101/202411369349309626/full","view filing")</f>
        <v/>
      </c>
      <c r="AD237" s="50" t="inlineStr"/>
    </row>
    <row r="238">
      <c r="A238" t="inlineStr">
        <is>
          <t>Claremont Mckenna College</t>
        </is>
      </c>
      <c r="B238" s="50" t="inlineStr">
        <is>
          <t>CA</t>
        </is>
      </c>
      <c r="C238" s="52" t="n">
        <v>1.35</v>
      </c>
      <c r="D238" t="inlineStr">
        <is>
          <t>Endowment</t>
        </is>
      </c>
      <c r="E238" s="50" t="n">
        <v>2022</v>
      </c>
      <c r="F238" s="50" t="inlineStr">
        <is>
          <t>2023-05-12</t>
        </is>
      </c>
      <c r="G238" s="50" t="inlineStr">
        <is>
          <t>2022-06-30</t>
        </is>
      </c>
      <c r="H238" t="inlineStr">
        <is>
          <t>James Floyd</t>
        </is>
      </c>
      <c r="I238" t="inlineStr">
        <is>
          <t>VP and Chief Investment Officer</t>
        </is>
      </c>
      <c r="J238" t="inlineStr">
        <is>
          <t>CIO</t>
        </is>
      </c>
      <c r="K238" t="inlineStr">
        <is>
          <t>CIO - Top Investment Executive</t>
        </is>
      </c>
      <c r="L238" s="28" t="n">
        <v>528228</v>
      </c>
      <c r="M238" s="28" t="n">
        <v>150000</v>
      </c>
      <c r="N238" s="28" t="n">
        <v>250</v>
      </c>
      <c r="O238" s="28" t="n">
        <v>51444</v>
      </c>
      <c r="P238" s="28" t="n">
        <v>27168</v>
      </c>
      <c r="Q238" s="28" t="n">
        <v>757090</v>
      </c>
      <c r="R238" s="28" t="n">
        <v>0</v>
      </c>
      <c r="S238" s="28">
        <f>Q238-R238</f>
        <v/>
      </c>
      <c r="T238" s="28">
        <f>IF(S238="","",S238*(1+in_GrowthRate)^(YEARFRAC(DATE(2022,6,30),in_AgeToDate)*IF(in_AgeToDate&lt;DATE(2022,6,30),-1,1)+1))</f>
        <v/>
      </c>
      <c r="U238" s="50">
        <f>IF(AND(AND(OR(in_Mode="All Funds",AND(C238&gt;=in_BandFloor,C238&lt;=in_BandCeiling,OR(in_Geography="National",COUNTIFS(lst_GeoPreset,in_Geography,lst_GeoState,B238)&gt;0,AND(in_Geography="Custom",ISNUMBER(SEARCH(B238,SUBSTITUTE(in_CustomStates," ",""))))),OR(AND(D238="Endowment",Inputs!$B$14="Y"),AND(D238="Foundation",Inputs!$B$15="Y"),AND(D238="Healthcare",Inputs!$B$16="Y"),AND(D238="Pension",Inputs!$B$17="Y"),AND(D238="OCIO",Inputs!$B$18="Y"),AND(D238="Other",Inputs!$B$19="Y")))),A238&lt;&gt;in_ClientOrg,NOT(AND(in_ExclHarvard="Y",ISNUMBER(SEARCH("Harvard",A238))))),$AD238="Y",K238&lt;&gt;"",S238&gt;0),"Y","")</f>
        <v/>
      </c>
      <c r="V238" s="30" t="n">
        <v>1</v>
      </c>
      <c r="W238" t="inlineStr"/>
      <c r="X238" s="28">
        <f>IF(L238+M238=0,"",L238+M238)</f>
        <v/>
      </c>
      <c r="Y238" s="38">
        <f>IF(L238=0,"",M238/L238)</f>
        <v/>
      </c>
      <c r="Z238" t="inlineStr">
        <is>
          <t>CIO - Top Investment Executive</t>
        </is>
      </c>
      <c r="AA238" t="inlineStr">
        <is>
          <t>Leadership</t>
        </is>
      </c>
      <c r="AB238" s="50" t="inlineStr">
        <is>
          <t>Y</t>
        </is>
      </c>
      <c r="AC238" s="43">
        <f>HYPERLINK("https://projects.propublica.org/nonprofits/organizations/951664101/202331329349308418/full","view filing")</f>
        <v/>
      </c>
      <c r="AD238" s="50" t="inlineStr"/>
    </row>
    <row r="239">
      <c r="A239" t="inlineStr">
        <is>
          <t>Claremont Mckenna College</t>
        </is>
      </c>
      <c r="B239" s="50" t="inlineStr">
        <is>
          <t>CA</t>
        </is>
      </c>
      <c r="C239" s="52" t="n">
        <v>1.35</v>
      </c>
      <c r="D239" t="inlineStr">
        <is>
          <t>Endowment</t>
        </is>
      </c>
      <c r="E239" s="50" t="n">
        <v>2022</v>
      </c>
      <c r="F239" s="50" t="inlineStr">
        <is>
          <t>2023-05-12</t>
        </is>
      </c>
      <c r="G239" s="50" t="inlineStr">
        <is>
          <t>2022-06-30</t>
        </is>
      </c>
      <c r="H239" t="inlineStr">
        <is>
          <t>Michael Denny</t>
        </is>
      </c>
      <c r="I239" t="inlineStr">
        <is>
          <t>VP and Deputy CIO</t>
        </is>
      </c>
      <c r="J239" t="inlineStr">
        <is>
          <t>Deputy CIO</t>
        </is>
      </c>
      <c r="K239" t="inlineStr">
        <is>
          <t>Sr Investment Professional</t>
        </is>
      </c>
      <c r="L239" s="28" t="n">
        <v>275000</v>
      </c>
      <c r="M239" s="28" t="n">
        <v>30000</v>
      </c>
      <c r="N239" s="28" t="n">
        <v>0</v>
      </c>
      <c r="O239" s="28" t="n">
        <v>31944</v>
      </c>
      <c r="P239" s="28" t="n">
        <v>16249</v>
      </c>
      <c r="Q239" s="28" t="n">
        <v>353193</v>
      </c>
      <c r="R239" s="28" t="n">
        <v>0</v>
      </c>
      <c r="S239" s="28">
        <f>Q239-R239</f>
        <v/>
      </c>
      <c r="T239" s="28">
        <f>IF(S239="","",S239*(1+in_GrowthRate)^(YEARFRAC(DATE(2022,6,30),in_AgeToDate)*IF(in_AgeToDate&lt;DATE(2022,6,30),-1,1)+1))</f>
        <v/>
      </c>
      <c r="U239" s="50">
        <f>IF(AND(AND(OR(in_Mode="All Funds",AND(C239&gt;=in_BandFloor,C239&lt;=in_BandCeiling,OR(in_Geography="National",COUNTIFS(lst_GeoPreset,in_Geography,lst_GeoState,B239)&gt;0,AND(in_Geography="Custom",ISNUMBER(SEARCH(B239,SUBSTITUTE(in_CustomStates," ",""))))),OR(AND(D239="Endowment",Inputs!$B$14="Y"),AND(D239="Foundation",Inputs!$B$15="Y"),AND(D239="Healthcare",Inputs!$B$16="Y"),AND(D239="Pension",Inputs!$B$17="Y"),AND(D239="OCIO",Inputs!$B$18="Y"),AND(D239="Other",Inputs!$B$19="Y")))),A239&lt;&gt;in_ClientOrg,NOT(AND(in_ExclHarvard="Y",ISNUMBER(SEARCH("Harvard",A239))))),$AD239="Y",K239&lt;&gt;"",S239&gt;0),"Y","")</f>
        <v/>
      </c>
      <c r="V239" s="30" t="n">
        <v>0.4665138887054379</v>
      </c>
      <c r="W239" t="inlineStr"/>
      <c r="X239" s="28">
        <f>IF(L239+M239=0,"",L239+M239)</f>
        <v/>
      </c>
      <c r="Y239" s="38">
        <f>IF(L239=0,"",M239/L239)</f>
        <v/>
      </c>
      <c r="Z239" t="inlineStr">
        <is>
          <t>Deputy CIO</t>
        </is>
      </c>
      <c r="AA239" t="inlineStr">
        <is>
          <t>Leadership</t>
        </is>
      </c>
      <c r="AB239" s="50" t="inlineStr"/>
      <c r="AC239" s="43">
        <f>HYPERLINK("https://projects.propublica.org/nonprofits/organizations/951664101/202331329349308418/full","view filing")</f>
        <v/>
      </c>
      <c r="AD239" s="50" t="inlineStr"/>
    </row>
    <row r="240">
      <c r="A240" t="inlineStr">
        <is>
          <t>Clemson University Foundation</t>
        </is>
      </c>
      <c r="B240" s="50" t="inlineStr">
        <is>
          <t>SC</t>
        </is>
      </c>
      <c r="C240" s="52" t="n">
        <v>1.24</v>
      </c>
      <c r="D240" t="inlineStr">
        <is>
          <t>Endowment</t>
        </is>
      </c>
      <c r="E240" s="50" t="n">
        <v>2025</v>
      </c>
      <c r="F240" s="50" t="inlineStr">
        <is>
          <t>2026-05-12</t>
        </is>
      </c>
      <c r="G240" s="50" t="inlineStr">
        <is>
          <t>2025-06-30</t>
        </is>
      </c>
      <c r="H240" t="inlineStr">
        <is>
          <t>John C Alexander</t>
        </is>
      </c>
      <c r="I240" t="inlineStr">
        <is>
          <t>CIO</t>
        </is>
      </c>
      <c r="J240" t="inlineStr">
        <is>
          <t>CIO</t>
        </is>
      </c>
      <c r="K240" t="inlineStr">
        <is>
          <t>CIO - Top Investment Executive</t>
        </is>
      </c>
      <c r="L240" s="28" t="n">
        <v>137500</v>
      </c>
      <c r="M240" s="28" t="n">
        <v>61812</v>
      </c>
      <c r="N240" s="28" t="n">
        <v>0</v>
      </c>
      <c r="O240" s="28" t="n">
        <v>0</v>
      </c>
      <c r="P240" s="28" t="n">
        <v>0</v>
      </c>
      <c r="Q240" s="28" t="n">
        <v>199312</v>
      </c>
      <c r="R240" s="28" t="n">
        <v>0</v>
      </c>
      <c r="S240" s="28">
        <f>Q240-R240</f>
        <v/>
      </c>
      <c r="T240" s="28">
        <f>IF(S240="","",S240*(1+in_GrowthRate)^(YEARFRAC(DATE(2025,6,30),in_AgeToDate)*IF(in_AgeToDate&lt;DATE(2025,6,30),-1,1)+1))</f>
        <v/>
      </c>
      <c r="U240" s="50">
        <f>IF(AND(AND(OR(in_Mode="All Funds",AND(C240&gt;=in_BandFloor,C240&lt;=in_BandCeiling,OR(in_Geography="National",COUNTIFS(lst_GeoPreset,in_Geography,lst_GeoState,B240)&gt;0,AND(in_Geography="Custom",ISNUMBER(SEARCH(B240,SUBSTITUTE(in_CustomStates," ",""))))),OR(AND(D240="Endowment",Inputs!$B$14="Y"),AND(D240="Foundation",Inputs!$B$15="Y"),AND(D240="Healthcare",Inputs!$B$16="Y"),AND(D240="Pension",Inputs!$B$17="Y"),AND(D240="OCIO",Inputs!$B$18="Y"),AND(D240="Other",Inputs!$B$19="Y")))),A240&lt;&gt;in_ClientOrg,NOT(AND(in_ExclHarvard="Y",ISNUMBER(SEARCH("Harvard",A240))))),$AD240="Y",K240&lt;&gt;"",S240&gt;0),"Y","")</f>
        <v/>
      </c>
      <c r="V240" s="30" t="n">
        <v>1</v>
      </c>
      <c r="W240" t="inlineStr"/>
      <c r="X240" s="28">
        <f>IF(L240+M240=0,"",L240+M240)</f>
        <v/>
      </c>
      <c r="Y240" s="38">
        <f>IF(L240=0,"",M240/L240)</f>
        <v/>
      </c>
      <c r="Z240" t="inlineStr">
        <is>
          <t>CIO - Top Investment Executive</t>
        </is>
      </c>
      <c r="AA240" t="inlineStr">
        <is>
          <t>Leadership</t>
        </is>
      </c>
      <c r="AB240" s="50" t="inlineStr">
        <is>
          <t>Y</t>
        </is>
      </c>
      <c r="AC240" s="43">
        <f>HYPERLINK("https://projects.propublica.org/nonprofits/organizations/570426335/202631329349304403/full","view filing")</f>
        <v/>
      </c>
      <c r="AD240" s="50" t="inlineStr">
        <is>
          <t>Y</t>
        </is>
      </c>
    </row>
    <row r="241">
      <c r="A241" t="inlineStr">
        <is>
          <t>Clemson University Foundation</t>
        </is>
      </c>
      <c r="B241" s="50" t="inlineStr">
        <is>
          <t>SC</t>
        </is>
      </c>
      <c r="C241" s="52" t="n">
        <v>1.24</v>
      </c>
      <c r="D241" t="inlineStr">
        <is>
          <t>Endowment</t>
        </is>
      </c>
      <c r="E241" s="50" t="n">
        <v>2024</v>
      </c>
      <c r="F241" s="50" t="inlineStr">
        <is>
          <t>2025-05-12</t>
        </is>
      </c>
      <c r="G241" s="50" t="inlineStr">
        <is>
          <t>2024-06-30</t>
        </is>
      </c>
      <c r="H241" t="inlineStr">
        <is>
          <t>John C Alexander</t>
        </is>
      </c>
      <c r="I241" t="inlineStr">
        <is>
          <t>CIO</t>
        </is>
      </c>
      <c r="J241" t="inlineStr">
        <is>
          <t>CIO</t>
        </is>
      </c>
      <c r="K241" t="inlineStr">
        <is>
          <t>CIO - Top Investment Executive</t>
        </is>
      </c>
      <c r="L241" s="28" t="n">
        <v>125000</v>
      </c>
      <c r="M241" s="28" t="n">
        <v>58484</v>
      </c>
      <c r="N241" s="28" t="n">
        <v>0</v>
      </c>
      <c r="O241" s="28" t="n">
        <v>0</v>
      </c>
      <c r="P241" s="28" t="n">
        <v>0</v>
      </c>
      <c r="Q241" s="28" t="n">
        <v>183484</v>
      </c>
      <c r="R241" s="28" t="n">
        <v>0</v>
      </c>
      <c r="S241" s="28">
        <f>Q241-R241</f>
        <v/>
      </c>
      <c r="T241" s="28">
        <f>IF(S241="","",S241*(1+in_GrowthRate)^(YEARFRAC(DATE(2024,6,30),in_AgeToDate)*IF(in_AgeToDate&lt;DATE(2024,6,30),-1,1)+1))</f>
        <v/>
      </c>
      <c r="U241" s="50">
        <f>IF(AND(AND(OR(in_Mode="All Funds",AND(C241&gt;=in_BandFloor,C241&lt;=in_BandCeiling,OR(in_Geography="National",COUNTIFS(lst_GeoPreset,in_Geography,lst_GeoState,B241)&gt;0,AND(in_Geography="Custom",ISNUMBER(SEARCH(B241,SUBSTITUTE(in_CustomStates," ",""))))),OR(AND(D241="Endowment",Inputs!$B$14="Y"),AND(D241="Foundation",Inputs!$B$15="Y"),AND(D241="Healthcare",Inputs!$B$16="Y"),AND(D241="Pension",Inputs!$B$17="Y"),AND(D241="OCIO",Inputs!$B$18="Y"),AND(D241="Other",Inputs!$B$19="Y")))),A241&lt;&gt;in_ClientOrg,NOT(AND(in_ExclHarvard="Y",ISNUMBER(SEARCH("Harvard",A241))))),$AD241="Y",K241&lt;&gt;"",S241&gt;0),"Y","")</f>
        <v/>
      </c>
      <c r="V241" s="30" t="n">
        <v>1</v>
      </c>
      <c r="W241" t="inlineStr"/>
      <c r="X241" s="28">
        <f>IF(L241+M241=0,"",L241+M241)</f>
        <v/>
      </c>
      <c r="Y241" s="38">
        <f>IF(L241=0,"",M241/L241)</f>
        <v/>
      </c>
      <c r="Z241" t="inlineStr">
        <is>
          <t>CIO - Top Investment Executive</t>
        </is>
      </c>
      <c r="AA241" t="inlineStr">
        <is>
          <t>Leadership</t>
        </is>
      </c>
      <c r="AB241" s="50" t="inlineStr">
        <is>
          <t>Y</t>
        </is>
      </c>
      <c r="AC241" s="43">
        <f>HYPERLINK("https://projects.propublica.org/nonprofits/organizations/570426335/202521329349306557/full","view filing")</f>
        <v/>
      </c>
      <c r="AD241" s="50" t="inlineStr"/>
    </row>
    <row r="242">
      <c r="A242" t="inlineStr">
        <is>
          <t>Clemson University Foundation</t>
        </is>
      </c>
      <c r="B242" s="50" t="inlineStr">
        <is>
          <t>SC</t>
        </is>
      </c>
      <c r="C242" s="52" t="n">
        <v>1.24</v>
      </c>
      <c r="D242" t="inlineStr">
        <is>
          <t>Endowment</t>
        </is>
      </c>
      <c r="E242" s="50" t="n">
        <v>2023</v>
      </c>
      <c r="F242" s="50" t="inlineStr">
        <is>
          <t>2024-05-13</t>
        </is>
      </c>
      <c r="G242" s="50" t="inlineStr">
        <is>
          <t>2023-06-30</t>
        </is>
      </c>
      <c r="H242" t="inlineStr">
        <is>
          <t>John C Alexander</t>
        </is>
      </c>
      <c r="I242" t="inlineStr">
        <is>
          <t>CIO</t>
        </is>
      </c>
      <c r="J242" t="inlineStr">
        <is>
          <t>CIO</t>
        </is>
      </c>
      <c r="K242" t="inlineStr">
        <is>
          <t>CIO - Top Investment Executive</t>
        </is>
      </c>
      <c r="L242" s="28" t="n">
        <v>125000</v>
      </c>
      <c r="M242" s="28" t="n">
        <v>59428</v>
      </c>
      <c r="N242" s="28" t="n">
        <v>0</v>
      </c>
      <c r="O242" s="28" t="n">
        <v>0</v>
      </c>
      <c r="P242" s="28" t="n">
        <v>0</v>
      </c>
      <c r="Q242" s="28" t="n">
        <v>184428</v>
      </c>
      <c r="R242" s="28" t="n">
        <v>0</v>
      </c>
      <c r="S242" s="28">
        <f>Q242-R242</f>
        <v/>
      </c>
      <c r="T242" s="28">
        <f>IF(S242="","",S242*(1+in_GrowthRate)^(YEARFRAC(DATE(2023,6,30),in_AgeToDate)*IF(in_AgeToDate&lt;DATE(2023,6,30),-1,1)+1))</f>
        <v/>
      </c>
      <c r="U242" s="50">
        <f>IF(AND(AND(OR(in_Mode="All Funds",AND(C242&gt;=in_BandFloor,C242&lt;=in_BandCeiling,OR(in_Geography="National",COUNTIFS(lst_GeoPreset,in_Geography,lst_GeoState,B242)&gt;0,AND(in_Geography="Custom",ISNUMBER(SEARCH(B242,SUBSTITUTE(in_CustomStates," ",""))))),OR(AND(D242="Endowment",Inputs!$B$14="Y"),AND(D242="Foundation",Inputs!$B$15="Y"),AND(D242="Healthcare",Inputs!$B$16="Y"),AND(D242="Pension",Inputs!$B$17="Y"),AND(D242="OCIO",Inputs!$B$18="Y"),AND(D242="Other",Inputs!$B$19="Y")))),A242&lt;&gt;in_ClientOrg,NOT(AND(in_ExclHarvard="Y",ISNUMBER(SEARCH("Harvard",A242))))),$AD242="Y",K242&lt;&gt;"",S242&gt;0),"Y","")</f>
        <v/>
      </c>
      <c r="V242" s="30" t="n">
        <v>1</v>
      </c>
      <c r="W242" t="inlineStr"/>
      <c r="X242" s="28">
        <f>IF(L242+M242=0,"",L242+M242)</f>
        <v/>
      </c>
      <c r="Y242" s="38">
        <f>IF(L242=0,"",M242/L242)</f>
        <v/>
      </c>
      <c r="Z242" t="inlineStr">
        <is>
          <t>CIO - Top Investment Executive</t>
        </is>
      </c>
      <c r="AA242" t="inlineStr">
        <is>
          <t>Leadership</t>
        </is>
      </c>
      <c r="AB242" s="50" t="inlineStr">
        <is>
          <t>Y</t>
        </is>
      </c>
      <c r="AC242" s="43">
        <f>HYPERLINK("https://projects.propublica.org/nonprofits/organizations/570426335/202411349349306406/full","view filing")</f>
        <v/>
      </c>
      <c r="AD242" s="50" t="inlineStr"/>
    </row>
    <row r="243">
      <c r="A243" t="inlineStr">
        <is>
          <t>Clemson University Foundation</t>
        </is>
      </c>
      <c r="B243" s="50" t="inlineStr">
        <is>
          <t>SC</t>
        </is>
      </c>
      <c r="C243" s="52" t="n">
        <v>1.24</v>
      </c>
      <c r="D243" t="inlineStr">
        <is>
          <t>Endowment</t>
        </is>
      </c>
      <c r="E243" s="50" t="n">
        <v>2022</v>
      </c>
      <c r="F243" s="50" t="inlineStr">
        <is>
          <t>2023-05-12</t>
        </is>
      </c>
      <c r="G243" s="50" t="inlineStr">
        <is>
          <t>2022-06-30</t>
        </is>
      </c>
      <c r="H243" t="inlineStr">
        <is>
          <t>John C Alexander</t>
        </is>
      </c>
      <c r="I243" t="inlineStr">
        <is>
          <t>CIO</t>
        </is>
      </c>
      <c r="J243" t="inlineStr">
        <is>
          <t>CIO</t>
        </is>
      </c>
      <c r="K243" t="inlineStr">
        <is>
          <t>CIO - Top Investment Executive</t>
        </is>
      </c>
      <c r="L243" s="28" t="n">
        <v>91667</v>
      </c>
      <c r="M243" s="28" t="n">
        <v>36142</v>
      </c>
      <c r="N243" s="28" t="n">
        <v>0</v>
      </c>
      <c r="O243" s="28" t="n">
        <v>0</v>
      </c>
      <c r="P243" s="28" t="n">
        <v>0</v>
      </c>
      <c r="Q243" s="28" t="n">
        <v>127809</v>
      </c>
      <c r="R243" s="28" t="n">
        <v>0</v>
      </c>
      <c r="S243" s="28">
        <f>Q243-R243</f>
        <v/>
      </c>
      <c r="T243" s="28">
        <f>IF(S243="","",S243*(1+in_GrowthRate)^(YEARFRAC(DATE(2022,6,30),in_AgeToDate)*IF(in_AgeToDate&lt;DATE(2022,6,30),-1,1)+1))</f>
        <v/>
      </c>
      <c r="U243" s="50">
        <f>IF(AND(AND(OR(in_Mode="All Funds",AND(C243&gt;=in_BandFloor,C243&lt;=in_BandCeiling,OR(in_Geography="National",COUNTIFS(lst_GeoPreset,in_Geography,lst_GeoState,B243)&gt;0,AND(in_Geography="Custom",ISNUMBER(SEARCH(B243,SUBSTITUTE(in_CustomStates," ",""))))),OR(AND(D243="Endowment",Inputs!$B$14="Y"),AND(D243="Foundation",Inputs!$B$15="Y"),AND(D243="Healthcare",Inputs!$B$16="Y"),AND(D243="Pension",Inputs!$B$17="Y"),AND(D243="OCIO",Inputs!$B$18="Y"),AND(D243="Other",Inputs!$B$19="Y")))),A243&lt;&gt;in_ClientOrg,NOT(AND(in_ExclHarvard="Y",ISNUMBER(SEARCH("Harvard",A243))))),$AD243="Y",K243&lt;&gt;"",S243&gt;0),"Y","")</f>
        <v/>
      </c>
      <c r="V243" s="30" t="n">
        <v>1</v>
      </c>
      <c r="W243" t="inlineStr"/>
      <c r="X243" s="28">
        <f>IF(L243+M243=0,"",L243+M243)</f>
        <v/>
      </c>
      <c r="Y243" s="38">
        <f>IF(L243=0,"",M243/L243)</f>
        <v/>
      </c>
      <c r="Z243" t="inlineStr">
        <is>
          <t>CIO - Top Investment Executive</t>
        </is>
      </c>
      <c r="AA243" t="inlineStr">
        <is>
          <t>Leadership</t>
        </is>
      </c>
      <c r="AB243" s="50" t="inlineStr">
        <is>
          <t>Y</t>
        </is>
      </c>
      <c r="AC243" s="43">
        <f>HYPERLINK("https://projects.propublica.org/nonprofits/organizations/570426335/202321329349302317/full","view filing")</f>
        <v/>
      </c>
      <c r="AD243" s="50" t="inlineStr"/>
    </row>
    <row r="244">
      <c r="A244" t="inlineStr">
        <is>
          <t>Cleveland Clinic Foundation</t>
        </is>
      </c>
      <c r="B244" s="50" t="inlineStr">
        <is>
          <t>OH</t>
        </is>
      </c>
      <c r="C244" s="52" t="n">
        <v>14.26</v>
      </c>
      <c r="D244" t="inlineStr">
        <is>
          <t>Healthcare</t>
        </is>
      </c>
      <c r="E244" s="50" t="n">
        <v>2024</v>
      </c>
      <c r="F244" s="50" t="inlineStr">
        <is>
          <t>2025-11-13</t>
        </is>
      </c>
      <c r="G244" s="50" t="inlineStr">
        <is>
          <t>2024-12-31</t>
        </is>
      </c>
      <c r="H244" t="inlineStr">
        <is>
          <t>Strein Stefan</t>
        </is>
      </c>
      <c r="I244" t="inlineStr">
        <is>
          <t>VP, CHIEF INVESTMENT OFFICER</t>
        </is>
      </c>
      <c r="J244" t="inlineStr">
        <is>
          <t>CIO</t>
        </is>
      </c>
      <c r="K244" t="inlineStr">
        <is>
          <t>CIO - Top Investment Executive</t>
        </is>
      </c>
      <c r="L244" s="28" t="n">
        <v>1974165</v>
      </c>
      <c r="M244" s="28" t="n">
        <v>0</v>
      </c>
      <c r="N244" s="28" t="n">
        <v>199693</v>
      </c>
      <c r="O244" s="28" t="n">
        <v>34500</v>
      </c>
      <c r="P244" s="28" t="n">
        <v>21112</v>
      </c>
      <c r="Q244" s="28" t="n">
        <v>2229470</v>
      </c>
      <c r="R244" s="28" t="n">
        <v>0</v>
      </c>
      <c r="S244" s="28">
        <f>Q244-R244</f>
        <v/>
      </c>
      <c r="T244" s="28">
        <f>IF(S244="","",S244*(1+in_GrowthRate)^(YEARFRAC(DATE(2024,12,31),in_AgeToDate)*IF(in_AgeToDate&lt;DATE(2024,12,31),-1,1)+1))</f>
        <v/>
      </c>
      <c r="U244" s="50">
        <f>IF(AND(AND(OR(in_Mode="All Funds",AND(C244&gt;=in_BandFloor,C244&lt;=in_BandCeiling,OR(in_Geography="National",COUNTIFS(lst_GeoPreset,in_Geography,lst_GeoState,B244)&gt;0,AND(in_Geography="Custom",ISNUMBER(SEARCH(B244,SUBSTITUTE(in_CustomStates," ",""))))),OR(AND(D244="Endowment",Inputs!$B$14="Y"),AND(D244="Foundation",Inputs!$B$15="Y"),AND(D244="Healthcare",Inputs!$B$16="Y"),AND(D244="Pension",Inputs!$B$17="Y"),AND(D244="OCIO",Inputs!$B$18="Y"),AND(D244="Other",Inputs!$B$19="Y")))),A244&lt;&gt;in_ClientOrg,NOT(AND(in_ExclHarvard="Y",ISNUMBER(SEARCH("Harvard",A244))))),$AD244="Y",K244&lt;&gt;"",S244&gt;0),"Y","")</f>
        <v/>
      </c>
      <c r="V244" s="30" t="n">
        <v>1</v>
      </c>
      <c r="W244" t="inlineStr"/>
      <c r="X244" s="28">
        <f>IF(L244+M244=0,"",L244+M244)</f>
        <v/>
      </c>
      <c r="Y244" s="38">
        <f>IF(L244=0,"",M244/L244)</f>
        <v/>
      </c>
      <c r="Z244" t="inlineStr">
        <is>
          <t>CIO - Top Investment Executive</t>
        </is>
      </c>
      <c r="AA244" t="inlineStr">
        <is>
          <t>Leadership</t>
        </is>
      </c>
      <c r="AB244" s="50" t="inlineStr">
        <is>
          <t>Y</t>
        </is>
      </c>
      <c r="AC244" s="43">
        <f>HYPERLINK("https://projects.propublica.org/nonprofits/organizations/912153073/202523179349308727/full","view filing")</f>
        <v/>
      </c>
      <c r="AD244" s="50" t="inlineStr">
        <is>
          <t>Y</t>
        </is>
      </c>
    </row>
    <row r="245">
      <c r="A245" t="inlineStr">
        <is>
          <t>Cleveland Clinic Foundation</t>
        </is>
      </c>
      <c r="B245" s="50" t="inlineStr">
        <is>
          <t>OH</t>
        </is>
      </c>
      <c r="C245" s="52" t="n">
        <v>14.26</v>
      </c>
      <c r="D245" t="inlineStr">
        <is>
          <t>Healthcare</t>
        </is>
      </c>
      <c r="E245" s="50" t="n">
        <v>2023</v>
      </c>
      <c r="F245" s="50" t="inlineStr">
        <is>
          <t>2024-11-14</t>
        </is>
      </c>
      <c r="G245" s="50" t="inlineStr">
        <is>
          <t>2023-12-31</t>
        </is>
      </c>
      <c r="H245" t="inlineStr">
        <is>
          <t>Strein Stefan</t>
        </is>
      </c>
      <c r="I245" t="inlineStr">
        <is>
          <t>CHIEF INVESTMENT OFFICER</t>
        </is>
      </c>
      <c r="J245" t="inlineStr">
        <is>
          <t>CIO</t>
        </is>
      </c>
      <c r="K245" t="inlineStr">
        <is>
          <t>CIO - Top Investment Executive</t>
        </is>
      </c>
      <c r="L245" s="28" t="n">
        <v>1925842</v>
      </c>
      <c r="M245" s="28" t="n">
        <v>0</v>
      </c>
      <c r="N245" s="28" t="n">
        <v>237634</v>
      </c>
      <c r="O245" s="28" t="n">
        <v>33000</v>
      </c>
      <c r="P245" s="28" t="n">
        <v>20501</v>
      </c>
      <c r="Q245" s="28" t="n">
        <v>2216977</v>
      </c>
      <c r="R245" s="28" t="n">
        <v>0</v>
      </c>
      <c r="S245" s="28">
        <f>Q245-R245</f>
        <v/>
      </c>
      <c r="T245" s="28">
        <f>IF(S245="","",S245*(1+in_GrowthRate)^(YEARFRAC(DATE(2023,12,31),in_AgeToDate)*IF(in_AgeToDate&lt;DATE(2023,12,31),-1,1)+1))</f>
        <v/>
      </c>
      <c r="U245" s="50">
        <f>IF(AND(AND(OR(in_Mode="All Funds",AND(C245&gt;=in_BandFloor,C245&lt;=in_BandCeiling,OR(in_Geography="National",COUNTIFS(lst_GeoPreset,in_Geography,lst_GeoState,B245)&gt;0,AND(in_Geography="Custom",ISNUMBER(SEARCH(B245,SUBSTITUTE(in_CustomStates," ",""))))),OR(AND(D245="Endowment",Inputs!$B$14="Y"),AND(D245="Foundation",Inputs!$B$15="Y"),AND(D245="Healthcare",Inputs!$B$16="Y"),AND(D245="Pension",Inputs!$B$17="Y"),AND(D245="OCIO",Inputs!$B$18="Y"),AND(D245="Other",Inputs!$B$19="Y")))),A245&lt;&gt;in_ClientOrg,NOT(AND(in_ExclHarvard="Y",ISNUMBER(SEARCH("Harvard",A245))))),$AD245="Y",K245&lt;&gt;"",S245&gt;0),"Y","")</f>
        <v/>
      </c>
      <c r="V245" s="30" t="n">
        <v>1</v>
      </c>
      <c r="W245" t="inlineStr"/>
      <c r="X245" s="28">
        <f>IF(L245+M245=0,"",L245+M245)</f>
        <v/>
      </c>
      <c r="Y245" s="38">
        <f>IF(L245=0,"",M245/L245)</f>
        <v/>
      </c>
      <c r="Z245" t="inlineStr">
        <is>
          <t>CIO - Top Investment Executive</t>
        </is>
      </c>
      <c r="AA245" t="inlineStr">
        <is>
          <t>Leadership</t>
        </is>
      </c>
      <c r="AB245" s="50" t="inlineStr">
        <is>
          <t>Y</t>
        </is>
      </c>
      <c r="AC245" s="43">
        <f>HYPERLINK("https://projects.propublica.org/nonprofits/organizations/912153073/202433199349303353/full","view filing")</f>
        <v/>
      </c>
      <c r="AD245" s="50" t="inlineStr"/>
    </row>
    <row r="246">
      <c r="A246" t="inlineStr">
        <is>
          <t>Cleveland Clinic Foundation</t>
        </is>
      </c>
      <c r="B246" s="50" t="inlineStr">
        <is>
          <t>OH</t>
        </is>
      </c>
      <c r="C246" s="52" t="n">
        <v>14.26</v>
      </c>
      <c r="D246" t="inlineStr">
        <is>
          <t>Healthcare</t>
        </is>
      </c>
      <c r="E246" s="50" t="n">
        <v>2023</v>
      </c>
      <c r="F246" s="50" t="inlineStr">
        <is>
          <t>2024-11-14</t>
        </is>
      </c>
      <c r="G246" s="50" t="inlineStr">
        <is>
          <t>2023-12-31</t>
        </is>
      </c>
      <c r="H246" t="inlineStr">
        <is>
          <t>Vidmar Erick</t>
        </is>
      </c>
      <c r="I246" t="inlineStr">
        <is>
          <t>SR. DIR OF OPERATIONS - CC NV</t>
        </is>
      </c>
      <c r="J246" t="inlineStr">
        <is>
          <t>Head of Inv Ops (Inv Entity)</t>
        </is>
      </c>
      <c r="K246" t="inlineStr">
        <is>
          <t>COO (Investment Office)</t>
        </is>
      </c>
      <c r="L246" s="28" t="n">
        <v>222964</v>
      </c>
      <c r="M246" s="28" t="n">
        <v>0</v>
      </c>
      <c r="N246" s="28" t="n">
        <v>6041</v>
      </c>
      <c r="O246" s="28" t="n">
        <v>8824</v>
      </c>
      <c r="P246" s="28" t="n">
        <v>17679</v>
      </c>
      <c r="Q246" s="28" t="n">
        <v>255508</v>
      </c>
      <c r="R246" s="28" t="n">
        <v>0</v>
      </c>
      <c r="S246" s="28">
        <f>Q246-R246</f>
        <v/>
      </c>
      <c r="T246" s="28">
        <f>IF(S246="","",S246*(1+in_GrowthRate)^(YEARFRAC(DATE(2023,12,31),in_AgeToDate)*IF(in_AgeToDate&lt;DATE(2023,12,31),-1,1)+1))</f>
        <v/>
      </c>
      <c r="U246" s="50">
        <f>IF(AND(AND(OR(in_Mode="All Funds",AND(C246&gt;=in_BandFloor,C246&lt;=in_BandCeiling,OR(in_Geography="National",COUNTIFS(lst_GeoPreset,in_Geography,lst_GeoState,B246)&gt;0,AND(in_Geography="Custom",ISNUMBER(SEARCH(B246,SUBSTITUTE(in_CustomStates," ",""))))),OR(AND(D246="Endowment",Inputs!$B$14="Y"),AND(D246="Foundation",Inputs!$B$15="Y"),AND(D246="Healthcare",Inputs!$B$16="Y"),AND(D246="Pension",Inputs!$B$17="Y"),AND(D246="OCIO",Inputs!$B$18="Y"),AND(D246="Other",Inputs!$B$19="Y")))),A246&lt;&gt;in_ClientOrg,NOT(AND(in_ExclHarvard="Y",ISNUMBER(SEARCH("Harvard",A246))))),$AD246="Y",K246&lt;&gt;"",S246&gt;0),"Y","")</f>
        <v/>
      </c>
      <c r="V246" s="30" t="n">
        <v>0.1152506318288372</v>
      </c>
      <c r="W246" t="inlineStr"/>
      <c r="X246" s="28">
        <f>IF(L246+M246=0,"",L246+M246)</f>
        <v/>
      </c>
      <c r="Y246" s="38">
        <f>IF(L246=0,"",M246/L246)</f>
        <v/>
      </c>
      <c r="Z246" t="inlineStr">
        <is>
          <t>COO (Investment Office)</t>
        </is>
      </c>
      <c r="AA246" t="inlineStr">
        <is>
          <t>Operations &amp; Control</t>
        </is>
      </c>
      <c r="AB246" s="50" t="inlineStr"/>
      <c r="AC246" s="43">
        <f>HYPERLINK("https://projects.propublica.org/nonprofits/organizations/912153073/202433199349303353/full","view filing")</f>
        <v/>
      </c>
      <c r="AD246" s="50" t="inlineStr"/>
    </row>
    <row r="247">
      <c r="A247" t="inlineStr">
        <is>
          <t>Cleveland Clinic Foundation</t>
        </is>
      </c>
      <c r="B247" s="50" t="inlineStr">
        <is>
          <t>OH</t>
        </is>
      </c>
      <c r="C247" s="52" t="n">
        <v>14.26</v>
      </c>
      <c r="D247" t="inlineStr">
        <is>
          <t>Healthcare</t>
        </is>
      </c>
      <c r="E247" s="50" t="n">
        <v>2022</v>
      </c>
      <c r="F247" s="50" t="inlineStr">
        <is>
          <t>2023-11-13</t>
        </is>
      </c>
      <c r="G247" s="50" t="inlineStr">
        <is>
          <t>2022-12-31</t>
        </is>
      </c>
      <c r="H247" t="inlineStr">
        <is>
          <t>Strein Stefan</t>
        </is>
      </c>
      <c r="I247" t="inlineStr">
        <is>
          <t>CHIEF INVESTMENT OFFICER - CCF</t>
        </is>
      </c>
      <c r="J247" t="inlineStr">
        <is>
          <t>CIO</t>
        </is>
      </c>
      <c r="K247" t="inlineStr">
        <is>
          <t>CIO - Top Investment Executive</t>
        </is>
      </c>
      <c r="L247" s="28" t="n">
        <v>1982706</v>
      </c>
      <c r="M247" s="28" t="n">
        <v>0</v>
      </c>
      <c r="N247" s="28" t="n">
        <v>28038</v>
      </c>
      <c r="O247" s="28" t="n">
        <v>30500</v>
      </c>
      <c r="P247" s="28" t="n">
        <v>18764</v>
      </c>
      <c r="Q247" s="28" t="n">
        <v>2060008</v>
      </c>
      <c r="R247" s="28" t="n">
        <v>0</v>
      </c>
      <c r="S247" s="28">
        <f>Q247-R247</f>
        <v/>
      </c>
      <c r="T247" s="28">
        <f>IF(S247="","",S247*(1+in_GrowthRate)^(YEARFRAC(DATE(2022,12,31),in_AgeToDate)*IF(in_AgeToDate&lt;DATE(2022,12,31),-1,1)+1))</f>
        <v/>
      </c>
      <c r="U247" s="50">
        <f>IF(AND(AND(OR(in_Mode="All Funds",AND(C247&gt;=in_BandFloor,C247&lt;=in_BandCeiling,OR(in_Geography="National",COUNTIFS(lst_GeoPreset,in_Geography,lst_GeoState,B247)&gt;0,AND(in_Geography="Custom",ISNUMBER(SEARCH(B247,SUBSTITUTE(in_CustomStates," ",""))))),OR(AND(D247="Endowment",Inputs!$B$14="Y"),AND(D247="Foundation",Inputs!$B$15="Y"),AND(D247="Healthcare",Inputs!$B$16="Y"),AND(D247="Pension",Inputs!$B$17="Y"),AND(D247="OCIO",Inputs!$B$18="Y"),AND(D247="Other",Inputs!$B$19="Y")))),A247&lt;&gt;in_ClientOrg,NOT(AND(in_ExclHarvard="Y",ISNUMBER(SEARCH("Harvard",A247))))),$AD247="Y",K247&lt;&gt;"",S247&gt;0),"Y","")</f>
        <v/>
      </c>
      <c r="V247" s="30" t="n">
        <v>1</v>
      </c>
      <c r="W247" t="inlineStr"/>
      <c r="X247" s="28">
        <f>IF(L247+M247=0,"",L247+M247)</f>
        <v/>
      </c>
      <c r="Y247" s="38">
        <f>IF(L247=0,"",M247/L247)</f>
        <v/>
      </c>
      <c r="Z247" t="inlineStr">
        <is>
          <t>CIO - Top Investment Executive</t>
        </is>
      </c>
      <c r="AA247" t="inlineStr">
        <is>
          <t>Leadership</t>
        </is>
      </c>
      <c r="AB247" s="50" t="inlineStr">
        <is>
          <t>Y</t>
        </is>
      </c>
      <c r="AC247" s="43">
        <f>HYPERLINK("https://projects.propublica.org/nonprofits/organizations/912153073/202313179349305291/full","view filing")</f>
        <v/>
      </c>
      <c r="AD247" s="50" t="inlineStr"/>
    </row>
    <row r="248">
      <c r="A248" t="inlineStr">
        <is>
          <t>Colgate University Treasurers Office</t>
        </is>
      </c>
      <c r="B248" s="50" t="inlineStr">
        <is>
          <t>NY</t>
        </is>
      </c>
      <c r="C248" s="52" t="n">
        <v>1.6</v>
      </c>
      <c r="D248" t="inlineStr">
        <is>
          <t>Endowment</t>
        </is>
      </c>
      <c r="E248" s="50" t="n">
        <v>2025</v>
      </c>
      <c r="F248" s="50" t="inlineStr">
        <is>
          <t>2026-05-13</t>
        </is>
      </c>
      <c r="G248" s="50" t="inlineStr">
        <is>
          <t>2025-06-30</t>
        </is>
      </c>
      <c r="H248" t="inlineStr">
        <is>
          <t>Joseph S Hope</t>
        </is>
      </c>
      <c r="I248" t="inlineStr">
        <is>
          <t>SR. VP-FIN, CIO, TREASURER</t>
        </is>
      </c>
      <c r="J248" t="inlineStr">
        <is>
          <t>CIO</t>
        </is>
      </c>
      <c r="K248" t="inlineStr">
        <is>
          <t>CIO - Top Investment Executive</t>
        </is>
      </c>
      <c r="L248" s="28" t="n">
        <v>604721</v>
      </c>
      <c r="M248" s="28" t="n">
        <v>297200</v>
      </c>
      <c r="N248" s="28" t="n">
        <v>2490</v>
      </c>
      <c r="O248" s="28" t="n">
        <v>42539</v>
      </c>
      <c r="P248" s="28" t="n">
        <v>8552</v>
      </c>
      <c r="Q248" s="28" t="n">
        <v>955502</v>
      </c>
      <c r="R248" s="28" t="n">
        <v>0</v>
      </c>
      <c r="S248" s="28">
        <f>Q248-R248</f>
        <v/>
      </c>
      <c r="T248" s="28">
        <f>IF(S248="","",S248*(1+in_GrowthRate)^(YEARFRAC(DATE(2025,6,30),in_AgeToDate)*IF(in_AgeToDate&lt;DATE(2025,6,30),-1,1)+1))</f>
        <v/>
      </c>
      <c r="U248" s="50">
        <f>IF(AND(AND(OR(in_Mode="All Funds",AND(C248&gt;=in_BandFloor,C248&lt;=in_BandCeiling,OR(in_Geography="National",COUNTIFS(lst_GeoPreset,in_Geography,lst_GeoState,B248)&gt;0,AND(in_Geography="Custom",ISNUMBER(SEARCH(B248,SUBSTITUTE(in_CustomStates," ",""))))),OR(AND(D248="Endowment",Inputs!$B$14="Y"),AND(D248="Foundation",Inputs!$B$15="Y"),AND(D248="Healthcare",Inputs!$B$16="Y"),AND(D248="Pension",Inputs!$B$17="Y"),AND(D248="OCIO",Inputs!$B$18="Y"),AND(D248="Other",Inputs!$B$19="Y")))),A248&lt;&gt;in_ClientOrg,NOT(AND(in_ExclHarvard="Y",ISNUMBER(SEARCH("Harvard",A248))))),$AD248="Y",K248&lt;&gt;"",S248&gt;0),"Y","")</f>
        <v/>
      </c>
      <c r="V248" s="30" t="n">
        <v>1</v>
      </c>
      <c r="W248" t="inlineStr"/>
      <c r="X248" s="28">
        <f>IF(L248+M248=0,"",L248+M248)</f>
        <v/>
      </c>
      <c r="Y248" s="38">
        <f>IF(L248=0,"",M248/L248)</f>
        <v/>
      </c>
      <c r="Z248" t="inlineStr">
        <is>
          <t>CIO - Top Investment Executive</t>
        </is>
      </c>
      <c r="AA248" t="inlineStr">
        <is>
          <t>Leadership</t>
        </is>
      </c>
      <c r="AB248" s="50" t="inlineStr">
        <is>
          <t>Y</t>
        </is>
      </c>
      <c r="AC248" s="43">
        <f>HYPERLINK("https://projects.propublica.org/nonprofits/organizations/150532078/202611339349300711/full","view filing")</f>
        <v/>
      </c>
      <c r="AD248" s="50" t="inlineStr">
        <is>
          <t>Y</t>
        </is>
      </c>
    </row>
    <row r="249">
      <c r="A249" t="inlineStr">
        <is>
          <t>Colgate University Treasurers Office</t>
        </is>
      </c>
      <c r="B249" s="50" t="inlineStr">
        <is>
          <t>NY</t>
        </is>
      </c>
      <c r="C249" s="52" t="n">
        <v>1.6</v>
      </c>
      <c r="D249" t="inlineStr">
        <is>
          <t>Endowment</t>
        </is>
      </c>
      <c r="E249" s="50" t="n">
        <v>2024</v>
      </c>
      <c r="F249" s="50" t="inlineStr">
        <is>
          <t>2025-05-13</t>
        </is>
      </c>
      <c r="G249" s="50" t="inlineStr">
        <is>
          <t>2024-06-30</t>
        </is>
      </c>
      <c r="H249" t="inlineStr">
        <is>
          <t>Joseph S Hope</t>
        </is>
      </c>
      <c r="I249" t="inlineStr">
        <is>
          <t>SR. VP-FIN, CIO, TREASURER</t>
        </is>
      </c>
      <c r="J249" t="inlineStr">
        <is>
          <t>CIO</t>
        </is>
      </c>
      <c r="K249" t="inlineStr">
        <is>
          <t>CIO - Top Investment Executive</t>
        </is>
      </c>
      <c r="L249" s="28" t="n">
        <v>592273</v>
      </c>
      <c r="M249" s="28" t="n">
        <v>240000</v>
      </c>
      <c r="N249" s="28" t="n">
        <v>52302</v>
      </c>
      <c r="O249" s="28" t="n">
        <v>40726</v>
      </c>
      <c r="P249" s="28" t="n">
        <v>8327</v>
      </c>
      <c r="Q249" s="28" t="n">
        <v>933628</v>
      </c>
      <c r="R249" s="28" t="n">
        <v>0</v>
      </c>
      <c r="S249" s="28">
        <f>Q249-R249</f>
        <v/>
      </c>
      <c r="T249" s="28">
        <f>IF(S249="","",S249*(1+in_GrowthRate)^(YEARFRAC(DATE(2024,6,30),in_AgeToDate)*IF(in_AgeToDate&lt;DATE(2024,6,30),-1,1)+1))</f>
        <v/>
      </c>
      <c r="U249" s="50">
        <f>IF(AND(AND(OR(in_Mode="All Funds",AND(C249&gt;=in_BandFloor,C249&lt;=in_BandCeiling,OR(in_Geography="National",COUNTIFS(lst_GeoPreset,in_Geography,lst_GeoState,B249)&gt;0,AND(in_Geography="Custom",ISNUMBER(SEARCH(B249,SUBSTITUTE(in_CustomStates," ",""))))),OR(AND(D249="Endowment",Inputs!$B$14="Y"),AND(D249="Foundation",Inputs!$B$15="Y"),AND(D249="Healthcare",Inputs!$B$16="Y"),AND(D249="Pension",Inputs!$B$17="Y"),AND(D249="OCIO",Inputs!$B$18="Y"),AND(D249="Other",Inputs!$B$19="Y")))),A249&lt;&gt;in_ClientOrg,NOT(AND(in_ExclHarvard="Y",ISNUMBER(SEARCH("Harvard",A249))))),$AD249="Y",K249&lt;&gt;"",S249&gt;0),"Y","")</f>
        <v/>
      </c>
      <c r="V249" s="30" t="n">
        <v>1</v>
      </c>
      <c r="W249" t="inlineStr"/>
      <c r="X249" s="28">
        <f>IF(L249+M249=0,"",L249+M249)</f>
        <v/>
      </c>
      <c r="Y249" s="38">
        <f>IF(L249=0,"",M249/L249)</f>
        <v/>
      </c>
      <c r="Z249" t="inlineStr">
        <is>
          <t>CIO - Top Investment Executive</t>
        </is>
      </c>
      <c r="AA249" t="inlineStr">
        <is>
          <t>Leadership</t>
        </is>
      </c>
      <c r="AB249" s="50" t="inlineStr">
        <is>
          <t>Y</t>
        </is>
      </c>
      <c r="AC249" s="43">
        <f>HYPERLINK("https://projects.propublica.org/nonprofits/organizations/150532078/202531339349308718/full","view filing")</f>
        <v/>
      </c>
      <c r="AD249" s="50" t="inlineStr"/>
    </row>
    <row r="250">
      <c r="A250" t="inlineStr">
        <is>
          <t>Colgate University Treasurers Office</t>
        </is>
      </c>
      <c r="B250" s="50" t="inlineStr">
        <is>
          <t>NY</t>
        </is>
      </c>
      <c r="C250" s="52" t="n">
        <v>1.6</v>
      </c>
      <c r="D250" t="inlineStr">
        <is>
          <t>Endowment</t>
        </is>
      </c>
      <c r="E250" s="50" t="n">
        <v>2023</v>
      </c>
      <c r="F250" s="50" t="inlineStr">
        <is>
          <t>2024-05-15</t>
        </is>
      </c>
      <c r="G250" s="50" t="inlineStr">
        <is>
          <t>2023-06-30</t>
        </is>
      </c>
      <c r="H250" t="inlineStr">
        <is>
          <t>Joseph S Hope</t>
        </is>
      </c>
      <c r="I250" t="inlineStr">
        <is>
          <t>SR. VP-FIN/ADM, CIO, TREASURER</t>
        </is>
      </c>
      <c r="J250" t="inlineStr">
        <is>
          <t>CIO</t>
        </is>
      </c>
      <c r="K250" t="inlineStr">
        <is>
          <t>CIO - Top Investment Executive</t>
        </is>
      </c>
      <c r="L250" s="28" t="n">
        <v>556668</v>
      </c>
      <c r="M250" s="28" t="n">
        <v>250000</v>
      </c>
      <c r="N250" s="28" t="n">
        <v>2302</v>
      </c>
      <c r="O250" s="28" t="n">
        <v>37676</v>
      </c>
      <c r="P250" s="28" t="n">
        <v>8190</v>
      </c>
      <c r="Q250" s="28" t="n">
        <v>854836</v>
      </c>
      <c r="R250" s="28" t="n">
        <v>0</v>
      </c>
      <c r="S250" s="28">
        <f>Q250-R250</f>
        <v/>
      </c>
      <c r="T250" s="28">
        <f>IF(S250="","",S250*(1+in_GrowthRate)^(YEARFRAC(DATE(2023,6,30),in_AgeToDate)*IF(in_AgeToDate&lt;DATE(2023,6,30),-1,1)+1))</f>
        <v/>
      </c>
      <c r="U250" s="50">
        <f>IF(AND(AND(OR(in_Mode="All Funds",AND(C250&gt;=in_BandFloor,C250&lt;=in_BandCeiling,OR(in_Geography="National",COUNTIFS(lst_GeoPreset,in_Geography,lst_GeoState,B250)&gt;0,AND(in_Geography="Custom",ISNUMBER(SEARCH(B250,SUBSTITUTE(in_CustomStates," ",""))))),OR(AND(D250="Endowment",Inputs!$B$14="Y"),AND(D250="Foundation",Inputs!$B$15="Y"),AND(D250="Healthcare",Inputs!$B$16="Y"),AND(D250="Pension",Inputs!$B$17="Y"),AND(D250="OCIO",Inputs!$B$18="Y"),AND(D250="Other",Inputs!$B$19="Y")))),A250&lt;&gt;in_ClientOrg,NOT(AND(in_ExclHarvard="Y",ISNUMBER(SEARCH("Harvard",A250))))),$AD250="Y",K250&lt;&gt;"",S250&gt;0),"Y","")</f>
        <v/>
      </c>
      <c r="V250" s="30" t="n">
        <v>1</v>
      </c>
      <c r="W250" t="inlineStr"/>
      <c r="X250" s="28">
        <f>IF(L250+M250=0,"",L250+M250)</f>
        <v/>
      </c>
      <c r="Y250" s="38">
        <f>IF(L250=0,"",M250/L250)</f>
        <v/>
      </c>
      <c r="Z250" t="inlineStr">
        <is>
          <t>CIO - Top Investment Executive</t>
        </is>
      </c>
      <c r="AA250" t="inlineStr">
        <is>
          <t>Leadership</t>
        </is>
      </c>
      <c r="AB250" s="50" t="inlineStr">
        <is>
          <t>Y</t>
        </is>
      </c>
      <c r="AC250" s="43">
        <f>HYPERLINK("https://projects.propublica.org/nonprofits/organizations/150532078/202431369349302128/full","view filing")</f>
        <v/>
      </c>
      <c r="AD250" s="50" t="inlineStr"/>
    </row>
    <row r="251">
      <c r="A251" t="inlineStr">
        <is>
          <t>Colgate University Treasurers Office</t>
        </is>
      </c>
      <c r="B251" s="50" t="inlineStr">
        <is>
          <t>NY</t>
        </is>
      </c>
      <c r="C251" s="52" t="n">
        <v>1.6</v>
      </c>
      <c r="D251" t="inlineStr">
        <is>
          <t>Endowment</t>
        </is>
      </c>
      <c r="E251" s="50" t="n">
        <v>2022</v>
      </c>
      <c r="F251" s="50" t="inlineStr">
        <is>
          <t>2023-05-12</t>
        </is>
      </c>
      <c r="G251" s="50" t="inlineStr">
        <is>
          <t>2022-06-30</t>
        </is>
      </c>
      <c r="H251" t="inlineStr">
        <is>
          <t>Brendt Simpson</t>
        </is>
      </c>
      <c r="I251" t="inlineStr">
        <is>
          <t>INVESTMENT DIRECTOR</t>
        </is>
      </c>
      <c r="J251" t="inlineStr">
        <is>
          <t>Director of Investments</t>
        </is>
      </c>
      <c r="K251" t="inlineStr">
        <is>
          <t>Sr Investment Professional</t>
        </is>
      </c>
      <c r="L251" s="28" t="n">
        <v>181727</v>
      </c>
      <c r="M251" s="28" t="n">
        <v>84194</v>
      </c>
      <c r="N251" s="28" t="n">
        <v>1002</v>
      </c>
      <c r="O251" s="28" t="n">
        <v>21540</v>
      </c>
      <c r="P251" s="28" t="n">
        <v>15981</v>
      </c>
      <c r="Q251" s="28" t="n">
        <v>304444</v>
      </c>
      <c r="R251" s="28" t="n">
        <v>0</v>
      </c>
      <c r="S251" s="28">
        <f>Q251-R251</f>
        <v/>
      </c>
      <c r="T251" s="28">
        <f>IF(S251="","",S251*(1+in_GrowthRate)^(YEARFRAC(DATE(2022,6,30),in_AgeToDate)*IF(in_AgeToDate&lt;DATE(2022,6,30),-1,1)+1))</f>
        <v/>
      </c>
      <c r="U251" s="50">
        <f>IF(AND(AND(OR(in_Mode="All Funds",AND(C251&gt;=in_BandFloor,C251&lt;=in_BandCeiling,OR(in_Geography="National",COUNTIFS(lst_GeoPreset,in_Geography,lst_GeoState,B251)&gt;0,AND(in_Geography="Custom",ISNUMBER(SEARCH(B251,SUBSTITUTE(in_CustomStates," ",""))))),OR(AND(D251="Endowment",Inputs!$B$14="Y"),AND(D251="Foundation",Inputs!$B$15="Y"),AND(D251="Healthcare",Inputs!$B$16="Y"),AND(D251="Pension",Inputs!$B$17="Y"),AND(D251="OCIO",Inputs!$B$18="Y"),AND(D251="Other",Inputs!$B$19="Y")))),A251&lt;&gt;in_ClientOrg,NOT(AND(in_ExclHarvard="Y",ISNUMBER(SEARCH("Harvard",A251))))),$AD251="Y",K251&lt;&gt;"",S251&gt;0),"Y","")</f>
        <v/>
      </c>
      <c r="V251" s="30" t="n">
        <v>0.4256564984326808</v>
      </c>
      <c r="W251" t="inlineStr"/>
      <c r="X251" s="28">
        <f>IF(L251+M251=0,"",L251+M251)</f>
        <v/>
      </c>
      <c r="Y251" s="38">
        <f>IF(L251=0,"",M251/L251)</f>
        <v/>
      </c>
      <c r="Z251" t="inlineStr">
        <is>
          <t>Director &amp; Investment Officer</t>
        </is>
      </c>
      <c r="AA251" t="inlineStr">
        <is>
          <t>Investments</t>
        </is>
      </c>
      <c r="AB251" s="50" t="inlineStr"/>
      <c r="AC251" s="43">
        <f>HYPERLINK("https://projects.propublica.org/nonprofits/organizations/150532078/202311329349302786/full","view filing")</f>
        <v/>
      </c>
      <c r="AD251" s="50" t="inlineStr"/>
    </row>
    <row r="252">
      <c r="A252" t="inlineStr">
        <is>
          <t>Colgate University Treasurers Office</t>
        </is>
      </c>
      <c r="B252" s="50" t="inlineStr">
        <is>
          <t>NY</t>
        </is>
      </c>
      <c r="C252" s="52" t="n">
        <v>1.6</v>
      </c>
      <c r="D252" t="inlineStr">
        <is>
          <t>Endowment</t>
        </is>
      </c>
      <c r="E252" s="50" t="n">
        <v>2022</v>
      </c>
      <c r="F252" s="50" t="inlineStr">
        <is>
          <t>2023-05-12</t>
        </is>
      </c>
      <c r="G252" s="50" t="inlineStr">
        <is>
          <t>2022-06-30</t>
        </is>
      </c>
      <c r="H252" t="inlineStr">
        <is>
          <t>Joseph S Hope</t>
        </is>
      </c>
      <c r="I252" t="inlineStr">
        <is>
          <t>SR. VP-FIN/ADM, CIO, TREASURER</t>
        </is>
      </c>
      <c r="J252" t="inlineStr">
        <is>
          <t>CIO</t>
        </is>
      </c>
      <c r="K252" t="inlineStr">
        <is>
          <t>CIO - Top Investment Executive</t>
        </is>
      </c>
      <c r="L252" s="28" t="n">
        <v>457422</v>
      </c>
      <c r="M252" s="28" t="n">
        <v>212000</v>
      </c>
      <c r="N252" s="28" t="n">
        <v>2252</v>
      </c>
      <c r="O252" s="28" t="n">
        <v>35720</v>
      </c>
      <c r="P252" s="28" t="n">
        <v>7840</v>
      </c>
      <c r="Q252" s="28" t="n">
        <v>715234</v>
      </c>
      <c r="R252" s="28" t="n">
        <v>0</v>
      </c>
      <c r="S252" s="28">
        <f>Q252-R252</f>
        <v/>
      </c>
      <c r="T252" s="28">
        <f>IF(S252="","",S252*(1+in_GrowthRate)^(YEARFRAC(DATE(2022,6,30),in_AgeToDate)*IF(in_AgeToDate&lt;DATE(2022,6,30),-1,1)+1))</f>
        <v/>
      </c>
      <c r="U252" s="50">
        <f>IF(AND(AND(OR(in_Mode="All Funds",AND(C252&gt;=in_BandFloor,C252&lt;=in_BandCeiling,OR(in_Geography="National",COUNTIFS(lst_GeoPreset,in_Geography,lst_GeoState,B252)&gt;0,AND(in_Geography="Custom",ISNUMBER(SEARCH(B252,SUBSTITUTE(in_CustomStates," ",""))))),OR(AND(D252="Endowment",Inputs!$B$14="Y"),AND(D252="Foundation",Inputs!$B$15="Y"),AND(D252="Healthcare",Inputs!$B$16="Y"),AND(D252="Pension",Inputs!$B$17="Y"),AND(D252="OCIO",Inputs!$B$18="Y"),AND(D252="Other",Inputs!$B$19="Y")))),A252&lt;&gt;in_ClientOrg,NOT(AND(in_ExclHarvard="Y",ISNUMBER(SEARCH("Harvard",A252))))),$AD252="Y",K252&lt;&gt;"",S252&gt;0),"Y","")</f>
        <v/>
      </c>
      <c r="V252" s="30" t="n">
        <v>1</v>
      </c>
      <c r="W252" t="inlineStr"/>
      <c r="X252" s="28">
        <f>IF(L252+M252=0,"",L252+M252)</f>
        <v/>
      </c>
      <c r="Y252" s="38">
        <f>IF(L252=0,"",M252/L252)</f>
        <v/>
      </c>
      <c r="Z252" t="inlineStr">
        <is>
          <t>CIO - Top Investment Executive</t>
        </is>
      </c>
      <c r="AA252" t="inlineStr">
        <is>
          <t>Leadership</t>
        </is>
      </c>
      <c r="AB252" s="50" t="inlineStr">
        <is>
          <t>Y</t>
        </is>
      </c>
      <c r="AC252" s="43">
        <f>HYPERLINK("https://projects.propublica.org/nonprofits/organizations/150532078/202311329349302786/full","view filing")</f>
        <v/>
      </c>
      <c r="AD252" s="50" t="inlineStr"/>
    </row>
    <row r="253">
      <c r="A253" t="inlineStr">
        <is>
          <t>College Of The Ozarks</t>
        </is>
      </c>
      <c r="B253" s="50" t="inlineStr">
        <is>
          <t>MO</t>
        </is>
      </c>
      <c r="C253" s="52" t="n">
        <v>0.7</v>
      </c>
      <c r="D253" t="inlineStr">
        <is>
          <t>Endowment</t>
        </is>
      </c>
      <c r="E253" s="50" t="n">
        <v>2025</v>
      </c>
      <c r="F253" s="50" t="inlineStr">
        <is>
          <t>2026-04-10</t>
        </is>
      </c>
      <c r="G253" s="50" t="inlineStr">
        <is>
          <t>2025-05-31</t>
        </is>
      </c>
      <c r="H253" t="inlineStr">
        <is>
          <t>Jeffrey Schneider</t>
        </is>
      </c>
      <c r="I253" t="inlineStr">
        <is>
          <t>CIO</t>
        </is>
      </c>
      <c r="J253" t="inlineStr">
        <is>
          <t>CIO</t>
        </is>
      </c>
      <c r="K253" t="inlineStr">
        <is>
          <t>CIO - Top Investment Executive</t>
        </is>
      </c>
      <c r="L253" s="28" t="n">
        <v>166172</v>
      </c>
      <c r="M253" s="28" t="n">
        <v>0</v>
      </c>
      <c r="N253" s="28" t="n">
        <v>0</v>
      </c>
      <c r="O253" s="28" t="n">
        <v>17010</v>
      </c>
      <c r="P253" s="28" t="n">
        <v>14705</v>
      </c>
      <c r="Q253" s="28" t="n">
        <v>197887</v>
      </c>
      <c r="R253" s="28" t="n">
        <v>0</v>
      </c>
      <c r="S253" s="28">
        <f>Q253-R253</f>
        <v/>
      </c>
      <c r="T253" s="28">
        <f>IF(S253="","",S253*(1+in_GrowthRate)^(YEARFRAC(DATE(2025,5,31),in_AgeToDate)*IF(in_AgeToDate&lt;DATE(2025,5,31),-1,1)+1))</f>
        <v/>
      </c>
      <c r="U253" s="50">
        <f>IF(AND(AND(OR(in_Mode="All Funds",AND(C253&gt;=in_BandFloor,C253&lt;=in_BandCeiling,OR(in_Geography="National",COUNTIFS(lst_GeoPreset,in_Geography,lst_GeoState,B253)&gt;0,AND(in_Geography="Custom",ISNUMBER(SEARCH(B253,SUBSTITUTE(in_CustomStates," ",""))))),OR(AND(D253="Endowment",Inputs!$B$14="Y"),AND(D253="Foundation",Inputs!$B$15="Y"),AND(D253="Healthcare",Inputs!$B$16="Y"),AND(D253="Pension",Inputs!$B$17="Y"),AND(D253="OCIO",Inputs!$B$18="Y"),AND(D253="Other",Inputs!$B$19="Y")))),A253&lt;&gt;in_ClientOrg,NOT(AND(in_ExclHarvard="Y",ISNUMBER(SEARCH("Harvard",A253))))),$AD253="Y",K253&lt;&gt;"",S253&gt;0),"Y","")</f>
        <v/>
      </c>
      <c r="V253" s="30" t="n">
        <v>1</v>
      </c>
      <c r="W253" t="inlineStr"/>
      <c r="X253" s="28">
        <f>IF(L253+M253=0,"",L253+M253)</f>
        <v/>
      </c>
      <c r="Y253" s="38">
        <f>IF(L253=0,"",M253/L253)</f>
        <v/>
      </c>
      <c r="Z253" t="inlineStr">
        <is>
          <t>CIO - Top Investment Executive</t>
        </is>
      </c>
      <c r="AA253" t="inlineStr">
        <is>
          <t>Leadership</t>
        </is>
      </c>
      <c r="AB253" s="50" t="inlineStr">
        <is>
          <t>Y</t>
        </is>
      </c>
      <c r="AC253" s="43">
        <f>HYPERLINK("https://projects.propublica.org/nonprofits/organizations/440556862/202621009349301402/full","view filing")</f>
        <v/>
      </c>
      <c r="AD253" s="50" t="inlineStr">
        <is>
          <t>Y</t>
        </is>
      </c>
    </row>
    <row r="254">
      <c r="A254" t="inlineStr">
        <is>
          <t>Communities Foundation Of Texas</t>
        </is>
      </c>
      <c r="B254" s="50" t="inlineStr">
        <is>
          <t>TX</t>
        </is>
      </c>
      <c r="C254" s="52" t="n">
        <v>1.1</v>
      </c>
      <c r="D254" t="inlineStr">
        <is>
          <t>Foundation</t>
        </is>
      </c>
      <c r="E254" s="50" t="n">
        <v>2025</v>
      </c>
      <c r="F254" s="50" t="inlineStr">
        <is>
          <t>2026-04-21</t>
        </is>
      </c>
      <c r="G254" s="50" t="inlineStr">
        <is>
          <t>2025-06-30</t>
        </is>
      </c>
      <c r="H254" t="inlineStr">
        <is>
          <t>Gary Samberson</t>
        </is>
      </c>
      <c r="I254" t="inlineStr">
        <is>
          <t>CHIEF INVESTMENT OFFICER</t>
        </is>
      </c>
      <c r="J254" t="inlineStr">
        <is>
          <t>CIO</t>
        </is>
      </c>
      <c r="K254" t="inlineStr">
        <is>
          <t>CIO - Top Investment Executive</t>
        </is>
      </c>
      <c r="L254" s="28" t="n">
        <v>254372</v>
      </c>
      <c r="M254" s="28" t="n">
        <v>7900</v>
      </c>
      <c r="N254" s="28" t="n">
        <v>1291</v>
      </c>
      <c r="O254" s="28" t="n">
        <v>21971</v>
      </c>
      <c r="P254" s="28" t="n">
        <v>16525</v>
      </c>
      <c r="Q254" s="28" t="n">
        <v>302059</v>
      </c>
      <c r="R254" s="28" t="n">
        <v>0</v>
      </c>
      <c r="S254" s="28">
        <f>Q254-R254</f>
        <v/>
      </c>
      <c r="T254" s="28">
        <f>IF(S254="","",S254*(1+in_GrowthRate)^(YEARFRAC(DATE(2025,6,30),in_AgeToDate)*IF(in_AgeToDate&lt;DATE(2025,6,30),-1,1)+1))</f>
        <v/>
      </c>
      <c r="U254" s="50">
        <f>IF(AND(AND(OR(in_Mode="All Funds",AND(C254&gt;=in_BandFloor,C254&lt;=in_BandCeiling,OR(in_Geography="National",COUNTIFS(lst_GeoPreset,in_Geography,lst_GeoState,B254)&gt;0,AND(in_Geography="Custom",ISNUMBER(SEARCH(B254,SUBSTITUTE(in_CustomStates," ",""))))),OR(AND(D254="Endowment",Inputs!$B$14="Y"),AND(D254="Foundation",Inputs!$B$15="Y"),AND(D254="Healthcare",Inputs!$B$16="Y"),AND(D254="Pension",Inputs!$B$17="Y"),AND(D254="OCIO",Inputs!$B$18="Y"),AND(D254="Other",Inputs!$B$19="Y")))),A254&lt;&gt;in_ClientOrg,NOT(AND(in_ExclHarvard="Y",ISNUMBER(SEARCH("Harvard",A254))))),$AD254="Y",K254&lt;&gt;"",S254&gt;0),"Y","")</f>
        <v/>
      </c>
      <c r="V254" s="30" t="n">
        <v>1</v>
      </c>
      <c r="W254" t="inlineStr"/>
      <c r="X254" s="28">
        <f>IF(L254+M254=0,"",L254+M254)</f>
        <v/>
      </c>
      <c r="Y254" s="38">
        <f>IF(L254=0,"",M254/L254)</f>
        <v/>
      </c>
      <c r="Z254" t="inlineStr">
        <is>
          <t>CIO - Top Investment Executive</t>
        </is>
      </c>
      <c r="AA254" t="inlineStr">
        <is>
          <t>Leadership</t>
        </is>
      </c>
      <c r="AB254" s="50" t="inlineStr">
        <is>
          <t>Y</t>
        </is>
      </c>
      <c r="AC254" s="43">
        <f>HYPERLINK("https://projects.propublica.org/nonprofits/organizations/750964565/202621119349301972/full","view filing")</f>
        <v/>
      </c>
      <c r="AD254" s="50" t="inlineStr">
        <is>
          <t>Y</t>
        </is>
      </c>
    </row>
    <row r="255">
      <c r="A255" t="inlineStr">
        <is>
          <t>Communities Foundation Of Texas</t>
        </is>
      </c>
      <c r="B255" s="50" t="inlineStr">
        <is>
          <t>TX</t>
        </is>
      </c>
      <c r="C255" s="52" t="n">
        <v>1.1</v>
      </c>
      <c r="D255" t="inlineStr">
        <is>
          <t>Foundation</t>
        </is>
      </c>
      <c r="E255" s="50" t="n">
        <v>2024</v>
      </c>
      <c r="F255" s="50" t="inlineStr">
        <is>
          <t>2025-03-25</t>
        </is>
      </c>
      <c r="G255" s="50" t="inlineStr">
        <is>
          <t>2024-06-30</t>
        </is>
      </c>
      <c r="H255" t="inlineStr">
        <is>
          <t>Gary Samberson</t>
        </is>
      </c>
      <c r="I255" t="inlineStr">
        <is>
          <t>CHIEF INVESTMENTS OFFICER</t>
        </is>
      </c>
      <c r="J255" t="inlineStr">
        <is>
          <t>CIO</t>
        </is>
      </c>
      <c r="K255" t="inlineStr">
        <is>
          <t>CIO - Top Investment Executive</t>
        </is>
      </c>
      <c r="L255" s="28" t="n">
        <v>245242</v>
      </c>
      <c r="M255" s="28" t="n">
        <v>2800</v>
      </c>
      <c r="N255" s="28" t="n">
        <v>1066</v>
      </c>
      <c r="O255" s="28" t="n">
        <v>20816</v>
      </c>
      <c r="P255" s="28" t="n">
        <v>15884</v>
      </c>
      <c r="Q255" s="28" t="n">
        <v>285808</v>
      </c>
      <c r="R255" s="28" t="n">
        <v>0</v>
      </c>
      <c r="S255" s="28">
        <f>Q255-R255</f>
        <v/>
      </c>
      <c r="T255" s="28">
        <f>IF(S255="","",S255*(1+in_GrowthRate)^(YEARFRAC(DATE(2024,6,30),in_AgeToDate)*IF(in_AgeToDate&lt;DATE(2024,6,30),-1,1)+1))</f>
        <v/>
      </c>
      <c r="U255" s="50">
        <f>IF(AND(AND(OR(in_Mode="All Funds",AND(C255&gt;=in_BandFloor,C255&lt;=in_BandCeiling,OR(in_Geography="National",COUNTIFS(lst_GeoPreset,in_Geography,lst_GeoState,B255)&gt;0,AND(in_Geography="Custom",ISNUMBER(SEARCH(B255,SUBSTITUTE(in_CustomStates," ",""))))),OR(AND(D255="Endowment",Inputs!$B$14="Y"),AND(D255="Foundation",Inputs!$B$15="Y"),AND(D255="Healthcare",Inputs!$B$16="Y"),AND(D255="Pension",Inputs!$B$17="Y"),AND(D255="OCIO",Inputs!$B$18="Y"),AND(D255="Other",Inputs!$B$19="Y")))),A255&lt;&gt;in_ClientOrg,NOT(AND(in_ExclHarvard="Y",ISNUMBER(SEARCH("Harvard",A255))))),$AD255="Y",K255&lt;&gt;"",S255&gt;0),"Y","")</f>
        <v/>
      </c>
      <c r="V255" s="30" t="n">
        <v>1</v>
      </c>
      <c r="W255" t="inlineStr"/>
      <c r="X255" s="28">
        <f>IF(L255+M255=0,"",L255+M255)</f>
        <v/>
      </c>
      <c r="Y255" s="38">
        <f>IF(L255=0,"",M255/L255)</f>
        <v/>
      </c>
      <c r="Z255" t="inlineStr">
        <is>
          <t>CIO - Top Investment Executive</t>
        </is>
      </c>
      <c r="AA255" t="inlineStr">
        <is>
          <t>Leadership</t>
        </is>
      </c>
      <c r="AB255" s="50" t="inlineStr">
        <is>
          <t>Y</t>
        </is>
      </c>
      <c r="AC255" s="43">
        <f>HYPERLINK("https://projects.propublica.org/nonprofits/organizations/750964565/202500849349300230/full","view filing")</f>
        <v/>
      </c>
      <c r="AD255" s="50" t="inlineStr"/>
    </row>
    <row r="256">
      <c r="A256" t="inlineStr">
        <is>
          <t>Communities Foundation Of Texas</t>
        </is>
      </c>
      <c r="B256" s="50" t="inlineStr">
        <is>
          <t>TX</t>
        </is>
      </c>
      <c r="C256" s="52" t="n">
        <v>1.1</v>
      </c>
      <c r="D256" t="inlineStr">
        <is>
          <t>Foundation</t>
        </is>
      </c>
      <c r="E256" s="50" t="n">
        <v>2023</v>
      </c>
      <c r="F256" s="50" t="inlineStr">
        <is>
          <t>2024-02-29</t>
        </is>
      </c>
      <c r="G256" s="50" t="inlineStr">
        <is>
          <t>2023-06-30</t>
        </is>
      </c>
      <c r="H256" t="inlineStr">
        <is>
          <t>Gary Samberson</t>
        </is>
      </c>
      <c r="I256" t="inlineStr">
        <is>
          <t>CHIEF INVESTMENT OFFICER</t>
        </is>
      </c>
      <c r="J256" t="inlineStr">
        <is>
          <t>CIO</t>
        </is>
      </c>
      <c r="K256" t="inlineStr">
        <is>
          <t>CIO - Top Investment Executive</t>
        </is>
      </c>
      <c r="L256" s="28" t="n">
        <v>236548</v>
      </c>
      <c r="M256" s="28" t="n">
        <v>2700</v>
      </c>
      <c r="N256" s="28" t="n">
        <v>1761</v>
      </c>
      <c r="O256" s="28" t="n">
        <v>10100</v>
      </c>
      <c r="P256" s="28" t="n">
        <v>15990</v>
      </c>
      <c r="Q256" s="28" t="n">
        <v>267099</v>
      </c>
      <c r="R256" s="28" t="n">
        <v>0</v>
      </c>
      <c r="S256" s="28">
        <f>Q256-R256</f>
        <v/>
      </c>
      <c r="T256" s="28">
        <f>IF(S256="","",S256*(1+in_GrowthRate)^(YEARFRAC(DATE(2023,6,30),in_AgeToDate)*IF(in_AgeToDate&lt;DATE(2023,6,30),-1,1)+1))</f>
        <v/>
      </c>
      <c r="U256" s="50">
        <f>IF(AND(AND(OR(in_Mode="All Funds",AND(C256&gt;=in_BandFloor,C256&lt;=in_BandCeiling,OR(in_Geography="National",COUNTIFS(lst_GeoPreset,in_Geography,lst_GeoState,B256)&gt;0,AND(in_Geography="Custom",ISNUMBER(SEARCH(B256,SUBSTITUTE(in_CustomStates," ",""))))),OR(AND(D256="Endowment",Inputs!$B$14="Y"),AND(D256="Foundation",Inputs!$B$15="Y"),AND(D256="Healthcare",Inputs!$B$16="Y"),AND(D256="Pension",Inputs!$B$17="Y"),AND(D256="OCIO",Inputs!$B$18="Y"),AND(D256="Other",Inputs!$B$19="Y")))),A256&lt;&gt;in_ClientOrg,NOT(AND(in_ExclHarvard="Y",ISNUMBER(SEARCH("Harvard",A256))))),$AD256="Y",K256&lt;&gt;"",S256&gt;0),"Y","")</f>
        <v/>
      </c>
      <c r="V256" s="30" t="n">
        <v>1</v>
      </c>
      <c r="W256" t="inlineStr"/>
      <c r="X256" s="28">
        <f>IF(L256+M256=0,"",L256+M256)</f>
        <v/>
      </c>
      <c r="Y256" s="38">
        <f>IF(L256=0,"",M256/L256)</f>
        <v/>
      </c>
      <c r="Z256" t="inlineStr">
        <is>
          <t>CIO - Top Investment Executive</t>
        </is>
      </c>
      <c r="AA256" t="inlineStr">
        <is>
          <t>Leadership</t>
        </is>
      </c>
      <c r="AB256" s="50" t="inlineStr">
        <is>
          <t>Y</t>
        </is>
      </c>
      <c r="AC256" s="43">
        <f>HYPERLINK("https://projects.propublica.org/nonprofits/organizations/750964565/202410609349301461/full","view filing")</f>
        <v/>
      </c>
      <c r="AD256" s="50" t="inlineStr"/>
    </row>
    <row r="257">
      <c r="A257" t="inlineStr">
        <is>
          <t>Communities Foundation Of Texas</t>
        </is>
      </c>
      <c r="B257" s="50" t="inlineStr">
        <is>
          <t>TX</t>
        </is>
      </c>
      <c r="C257" s="52" t="n">
        <v>1.1</v>
      </c>
      <c r="D257" t="inlineStr">
        <is>
          <t>Foundation</t>
        </is>
      </c>
      <c r="E257" s="50" t="n">
        <v>2022</v>
      </c>
      <c r="F257" s="50" t="inlineStr">
        <is>
          <t>2023-01-17</t>
        </is>
      </c>
      <c r="G257" s="50" t="inlineStr">
        <is>
          <t>2022-06-30</t>
        </is>
      </c>
      <c r="H257" t="inlineStr">
        <is>
          <t>Gary Samberson</t>
        </is>
      </c>
      <c r="I257" t="inlineStr">
        <is>
          <t>CHIEF INVESTMENT OFFICER</t>
        </is>
      </c>
      <c r="J257" t="inlineStr">
        <is>
          <t>CIO</t>
        </is>
      </c>
      <c r="K257" t="inlineStr">
        <is>
          <t>CIO - Top Investment Executive</t>
        </is>
      </c>
      <c r="L257" s="28" t="n">
        <v>0</v>
      </c>
      <c r="M257" s="28" t="n">
        <v>0</v>
      </c>
      <c r="N257" s="28" t="n">
        <v>0</v>
      </c>
      <c r="O257" s="28" t="n">
        <v>0</v>
      </c>
      <c r="P257" s="28" t="n">
        <v>0</v>
      </c>
      <c r="Q257" s="28" t="n">
        <v>67994</v>
      </c>
      <c r="R257" s="28" t="n">
        <v>0</v>
      </c>
      <c r="S257" s="28">
        <f>Q257-R257</f>
        <v/>
      </c>
      <c r="T257" s="28">
        <f>IF(S257="","",S257*(1+in_GrowthRate)^(YEARFRAC(DATE(2022,6,30),in_AgeToDate)*IF(in_AgeToDate&lt;DATE(2022,6,30),-1,1)+1))</f>
        <v/>
      </c>
      <c r="U257" s="50">
        <f>IF(AND(AND(OR(in_Mode="All Funds",AND(C257&gt;=in_BandFloor,C257&lt;=in_BandCeiling,OR(in_Geography="National",COUNTIFS(lst_GeoPreset,in_Geography,lst_GeoState,B257)&gt;0,AND(in_Geography="Custom",ISNUMBER(SEARCH(B257,SUBSTITUTE(in_CustomStates," ",""))))),OR(AND(D257="Endowment",Inputs!$B$14="Y"),AND(D257="Foundation",Inputs!$B$15="Y"),AND(D257="Healthcare",Inputs!$B$16="Y"),AND(D257="Pension",Inputs!$B$17="Y"),AND(D257="OCIO",Inputs!$B$18="Y"),AND(D257="Other",Inputs!$B$19="Y")))),A257&lt;&gt;in_ClientOrg,NOT(AND(in_ExclHarvard="Y",ISNUMBER(SEARCH("Harvard",A257))))),$AD257="Y",K257&lt;&gt;"",S257&gt;0),"Y","")</f>
        <v/>
      </c>
      <c r="V257" s="30" t="n">
        <v>1</v>
      </c>
      <c r="W257" t="inlineStr"/>
      <c r="X257" s="28">
        <f>IF(L257+M257=0,"",L257+M257)</f>
        <v/>
      </c>
      <c r="Y257" s="38">
        <f>IF(L257=0,"",M257/L257)</f>
        <v/>
      </c>
      <c r="Z257" t="inlineStr">
        <is>
          <t>CIO - Top Investment Executive</t>
        </is>
      </c>
      <c r="AA257" t="inlineStr">
        <is>
          <t>Leadership</t>
        </is>
      </c>
      <c r="AB257" s="50" t="inlineStr">
        <is>
          <t>Y</t>
        </is>
      </c>
      <c r="AC257" s="43">
        <f>HYPERLINK("https://projects.propublica.org/nonprofits/organizations/750964565/202330179349300633/full","view filing")</f>
        <v/>
      </c>
      <c r="AD257" s="50" t="inlineStr"/>
    </row>
    <row r="258">
      <c r="A258" t="inlineStr">
        <is>
          <t>Community Foundation For Greater New Haven</t>
        </is>
      </c>
      <c r="B258" s="50" t="inlineStr">
        <is>
          <t>CT</t>
        </is>
      </c>
      <c r="C258" s="52" t="n">
        <v>0.61</v>
      </c>
      <c r="D258" t="inlineStr">
        <is>
          <t>Foundation</t>
        </is>
      </c>
      <c r="E258" s="50" t="n">
        <v>2024</v>
      </c>
      <c r="F258" s="50" t="inlineStr">
        <is>
          <t>2025-11-17</t>
        </is>
      </c>
      <c r="G258" s="50" t="inlineStr">
        <is>
          <t>2024-12-31</t>
        </is>
      </c>
      <c r="H258" t="inlineStr">
        <is>
          <t>Andrew F Alden</t>
        </is>
      </c>
      <c r="I258" t="inlineStr">
        <is>
          <t>CHIEF INVESTMENT OFFICER</t>
        </is>
      </c>
      <c r="J258" t="inlineStr">
        <is>
          <t>CIO</t>
        </is>
      </c>
      <c r="K258" t="inlineStr">
        <is>
          <t>CIO - Top Investment Executive</t>
        </is>
      </c>
      <c r="L258" s="28" t="n">
        <v>398860</v>
      </c>
      <c r="M258" s="28" t="n">
        <v>0</v>
      </c>
      <c r="N258" s="28" t="n">
        <v>2146</v>
      </c>
      <c r="O258" s="28" t="n">
        <v>32080</v>
      </c>
      <c r="P258" s="28" t="n">
        <v>30532</v>
      </c>
      <c r="Q258" s="28" t="n">
        <v>463618</v>
      </c>
      <c r="R258" s="28" t="n">
        <v>0</v>
      </c>
      <c r="S258" s="28">
        <f>Q258-R258</f>
        <v/>
      </c>
      <c r="T258" s="28">
        <f>IF(S258="","",S258*(1+in_GrowthRate)^(YEARFRAC(DATE(2024,12,31),in_AgeToDate)*IF(in_AgeToDate&lt;DATE(2024,12,31),-1,1)+1))</f>
        <v/>
      </c>
      <c r="U258" s="50">
        <f>IF(AND(AND(OR(in_Mode="All Funds",AND(C258&gt;=in_BandFloor,C258&lt;=in_BandCeiling,OR(in_Geography="National",COUNTIFS(lst_GeoPreset,in_Geography,lst_GeoState,B258)&gt;0,AND(in_Geography="Custom",ISNUMBER(SEARCH(B258,SUBSTITUTE(in_CustomStates," ",""))))),OR(AND(D258="Endowment",Inputs!$B$14="Y"),AND(D258="Foundation",Inputs!$B$15="Y"),AND(D258="Healthcare",Inputs!$B$16="Y"),AND(D258="Pension",Inputs!$B$17="Y"),AND(D258="OCIO",Inputs!$B$18="Y"),AND(D258="Other",Inputs!$B$19="Y")))),A258&lt;&gt;in_ClientOrg,NOT(AND(in_ExclHarvard="Y",ISNUMBER(SEARCH("Harvard",A258))))),$AD258="Y",K258&lt;&gt;"",S258&gt;0),"Y","")</f>
        <v/>
      </c>
      <c r="V258" s="30" t="n">
        <v>1</v>
      </c>
      <c r="W258" t="inlineStr"/>
      <c r="X258" s="28">
        <f>IF(L258+M258=0,"",L258+M258)</f>
        <v/>
      </c>
      <c r="Y258" s="38">
        <f>IF(L258=0,"",M258/L258)</f>
        <v/>
      </c>
      <c r="Z258" t="inlineStr">
        <is>
          <t>CIO - Top Investment Executive</t>
        </is>
      </c>
      <c r="AA258" t="inlineStr">
        <is>
          <t>Leadership</t>
        </is>
      </c>
      <c r="AB258" s="50" t="inlineStr">
        <is>
          <t>Y</t>
        </is>
      </c>
      <c r="AC258" s="43">
        <f>HYPERLINK("https://projects.propublica.org/nonprofits/organizations/66032106/202543219349314969/full","view filing")</f>
        <v/>
      </c>
      <c r="AD258" s="50" t="inlineStr">
        <is>
          <t>Y</t>
        </is>
      </c>
    </row>
    <row r="259">
      <c r="A259" t="inlineStr">
        <is>
          <t>Community Foundation For Greater New Haven</t>
        </is>
      </c>
      <c r="B259" s="50" t="inlineStr">
        <is>
          <t>CT</t>
        </is>
      </c>
      <c r="C259" s="52" t="n">
        <v>0.61</v>
      </c>
      <c r="D259" t="inlineStr">
        <is>
          <t>Foundation</t>
        </is>
      </c>
      <c r="E259" s="50" t="n">
        <v>2024</v>
      </c>
      <c r="F259" s="50" t="inlineStr">
        <is>
          <t>2025-11-17</t>
        </is>
      </c>
      <c r="G259" s="50" t="inlineStr">
        <is>
          <t>2024-12-31</t>
        </is>
      </c>
      <c r="H259" t="inlineStr">
        <is>
          <t>Christopher Koler</t>
        </is>
      </c>
      <c r="I259" t="inlineStr">
        <is>
          <t>MANAGING DIRECTOR, INVESTMENTS</t>
        </is>
      </c>
      <c r="J259" t="inlineStr">
        <is>
          <t>Managing Director</t>
        </is>
      </c>
      <c r="K259" t="inlineStr">
        <is>
          <t>Sr Investment Professional</t>
        </is>
      </c>
      <c r="L259" s="28" t="n">
        <v>201796</v>
      </c>
      <c r="M259" s="28" t="n">
        <v>0</v>
      </c>
      <c r="N259" s="28" t="n">
        <v>95</v>
      </c>
      <c r="O259" s="28" t="n">
        <v>16151</v>
      </c>
      <c r="P259" s="28" t="n">
        <v>1509</v>
      </c>
      <c r="Q259" s="28" t="n">
        <v>219551</v>
      </c>
      <c r="R259" s="28" t="n">
        <v>0</v>
      </c>
      <c r="S259" s="28">
        <f>Q259-R259</f>
        <v/>
      </c>
      <c r="T259" s="28">
        <f>IF(S259="","",S259*(1+in_GrowthRate)^(YEARFRAC(DATE(2024,12,31),in_AgeToDate)*IF(in_AgeToDate&lt;DATE(2024,12,31),-1,1)+1))</f>
        <v/>
      </c>
      <c r="U259" s="50">
        <f>IF(AND(AND(OR(in_Mode="All Funds",AND(C259&gt;=in_BandFloor,C259&lt;=in_BandCeiling,OR(in_Geography="National",COUNTIFS(lst_GeoPreset,in_Geography,lst_GeoState,B259)&gt;0,AND(in_Geography="Custom",ISNUMBER(SEARCH(B259,SUBSTITUTE(in_CustomStates," ",""))))),OR(AND(D259="Endowment",Inputs!$B$14="Y"),AND(D259="Foundation",Inputs!$B$15="Y"),AND(D259="Healthcare",Inputs!$B$16="Y"),AND(D259="Pension",Inputs!$B$17="Y"),AND(D259="OCIO",Inputs!$B$18="Y"),AND(D259="Other",Inputs!$B$19="Y")))),A259&lt;&gt;in_ClientOrg,NOT(AND(in_ExclHarvard="Y",ISNUMBER(SEARCH("Harvard",A259))))),$AD259="Y",K259&lt;&gt;"",S259&gt;0),"Y","")</f>
        <v/>
      </c>
      <c r="V259" s="30" t="n">
        <v>0.4735601292443348</v>
      </c>
      <c r="W259" t="inlineStr"/>
      <c r="X259" s="28">
        <f>IF(L259+M259=0,"",L259+M259)</f>
        <v/>
      </c>
      <c r="Y259" s="38">
        <f>IF(L259=0,"",M259/L259)</f>
        <v/>
      </c>
      <c r="Z259" t="inlineStr">
        <is>
          <t>Managing Director</t>
        </is>
      </c>
      <c r="AA259" t="inlineStr">
        <is>
          <t>Investments</t>
        </is>
      </c>
      <c r="AB259" s="50" t="inlineStr"/>
      <c r="AC259" s="43">
        <f>HYPERLINK("https://projects.propublica.org/nonprofits/organizations/66032106/202543219349314969/full","view filing")</f>
        <v/>
      </c>
      <c r="AD259" s="50" t="inlineStr">
        <is>
          <t>Y</t>
        </is>
      </c>
    </row>
    <row r="260">
      <c r="A260" t="inlineStr">
        <is>
          <t>Community Foundation For Greater New Haven</t>
        </is>
      </c>
      <c r="B260" s="50" t="inlineStr">
        <is>
          <t>CT</t>
        </is>
      </c>
      <c r="C260" s="52" t="n">
        <v>0.61</v>
      </c>
      <c r="D260" t="inlineStr">
        <is>
          <t>Foundation</t>
        </is>
      </c>
      <c r="E260" s="50" t="n">
        <v>2023</v>
      </c>
      <c r="F260" s="50" t="inlineStr">
        <is>
          <t>2024-11-15</t>
        </is>
      </c>
      <c r="G260" s="50" t="inlineStr">
        <is>
          <t>2023-12-31</t>
        </is>
      </c>
      <c r="H260" t="inlineStr">
        <is>
          <t>Andrew F Alden</t>
        </is>
      </c>
      <c r="I260" t="inlineStr">
        <is>
          <t>CHIEF INVESTMENT OFFICER</t>
        </is>
      </c>
      <c r="J260" t="inlineStr">
        <is>
          <t>CIO</t>
        </is>
      </c>
      <c r="K260" t="inlineStr">
        <is>
          <t>CIO - Top Investment Executive</t>
        </is>
      </c>
      <c r="L260" s="28" t="n">
        <v>381237</v>
      </c>
      <c r="M260" s="28" t="n">
        <v>0</v>
      </c>
      <c r="N260" s="28" t="n">
        <v>0</v>
      </c>
      <c r="O260" s="28" t="n">
        <v>30499</v>
      </c>
      <c r="P260" s="28" t="n">
        <v>18828</v>
      </c>
      <c r="Q260" s="28" t="n">
        <v>430564</v>
      </c>
      <c r="R260" s="28" t="n">
        <v>0</v>
      </c>
      <c r="S260" s="28">
        <f>Q260-R260</f>
        <v/>
      </c>
      <c r="T260" s="28">
        <f>IF(S260="","",S260*(1+in_GrowthRate)^(YEARFRAC(DATE(2023,12,31),in_AgeToDate)*IF(in_AgeToDate&lt;DATE(2023,12,31),-1,1)+1))</f>
        <v/>
      </c>
      <c r="U260" s="50">
        <f>IF(AND(AND(OR(in_Mode="All Funds",AND(C260&gt;=in_BandFloor,C260&lt;=in_BandCeiling,OR(in_Geography="National",COUNTIFS(lst_GeoPreset,in_Geography,lst_GeoState,B260)&gt;0,AND(in_Geography="Custom",ISNUMBER(SEARCH(B260,SUBSTITUTE(in_CustomStates," ",""))))),OR(AND(D260="Endowment",Inputs!$B$14="Y"),AND(D260="Foundation",Inputs!$B$15="Y"),AND(D260="Healthcare",Inputs!$B$16="Y"),AND(D260="Pension",Inputs!$B$17="Y"),AND(D260="OCIO",Inputs!$B$18="Y"),AND(D260="Other",Inputs!$B$19="Y")))),A260&lt;&gt;in_ClientOrg,NOT(AND(in_ExclHarvard="Y",ISNUMBER(SEARCH("Harvard",A260))))),$AD260="Y",K260&lt;&gt;"",S260&gt;0),"Y","")</f>
        <v/>
      </c>
      <c r="V260" s="30" t="n">
        <v>1</v>
      </c>
      <c r="W260" t="inlineStr"/>
      <c r="X260" s="28">
        <f>IF(L260+M260=0,"",L260+M260)</f>
        <v/>
      </c>
      <c r="Y260" s="38">
        <f>IF(L260=0,"",M260/L260)</f>
        <v/>
      </c>
      <c r="Z260" t="inlineStr">
        <is>
          <t>CIO - Top Investment Executive</t>
        </is>
      </c>
      <c r="AA260" t="inlineStr">
        <is>
          <t>Leadership</t>
        </is>
      </c>
      <c r="AB260" s="50" t="inlineStr">
        <is>
          <t>Y</t>
        </is>
      </c>
      <c r="AC260" s="43">
        <f>HYPERLINK("https://projects.propublica.org/nonprofits/organizations/66032106/202403209349318265/full","view filing")</f>
        <v/>
      </c>
      <c r="AD260" s="50" t="inlineStr"/>
    </row>
    <row r="261">
      <c r="A261" t="inlineStr">
        <is>
          <t>Community Foundation For Greater New Haven</t>
        </is>
      </c>
      <c r="B261" s="50" t="inlineStr">
        <is>
          <t>CT</t>
        </is>
      </c>
      <c r="C261" s="52" t="n">
        <v>0.61</v>
      </c>
      <c r="D261" t="inlineStr">
        <is>
          <t>Foundation</t>
        </is>
      </c>
      <c r="E261" s="50" t="n">
        <v>2022</v>
      </c>
      <c r="F261" s="50" t="inlineStr">
        <is>
          <t>2023-11-15</t>
        </is>
      </c>
      <c r="G261" s="50" t="inlineStr">
        <is>
          <t>2022-12-31</t>
        </is>
      </c>
      <c r="H261" t="inlineStr">
        <is>
          <t>Andrew F Alden</t>
        </is>
      </c>
      <c r="I261" t="inlineStr">
        <is>
          <t>SR. VP FOR INVESTMENTS</t>
        </is>
      </c>
      <c r="J261" t="inlineStr">
        <is>
          <t>Director of Investments</t>
        </is>
      </c>
      <c r="K261" t="inlineStr">
        <is>
          <t>Sr Investment Professional</t>
        </is>
      </c>
      <c r="L261" s="28" t="n">
        <v>366693</v>
      </c>
      <c r="M261" s="28" t="n">
        <v>0</v>
      </c>
      <c r="N261" s="28" t="n">
        <v>0</v>
      </c>
      <c r="O261" s="28" t="n">
        <v>29335</v>
      </c>
      <c r="P261" s="28" t="n">
        <v>23596</v>
      </c>
      <c r="Q261" s="28" t="n">
        <v>419624</v>
      </c>
      <c r="R261" s="28" t="n">
        <v>0</v>
      </c>
      <c r="S261" s="28">
        <f>Q261-R261</f>
        <v/>
      </c>
      <c r="T261" s="28">
        <f>IF(S261="","",S261*(1+in_GrowthRate)^(YEARFRAC(DATE(2022,12,31),in_AgeToDate)*IF(in_AgeToDate&lt;DATE(2022,12,31),-1,1)+1))</f>
        <v/>
      </c>
      <c r="U261" s="50">
        <f>IF(AND(AND(OR(in_Mode="All Funds",AND(C261&gt;=in_BandFloor,C261&lt;=in_BandCeiling,OR(in_Geography="National",COUNTIFS(lst_GeoPreset,in_Geography,lst_GeoState,B261)&gt;0,AND(in_Geography="Custom",ISNUMBER(SEARCH(B261,SUBSTITUTE(in_CustomStates," ",""))))),OR(AND(D261="Endowment",Inputs!$B$14="Y"),AND(D261="Foundation",Inputs!$B$15="Y"),AND(D261="Healthcare",Inputs!$B$16="Y"),AND(D261="Pension",Inputs!$B$17="Y"),AND(D261="OCIO",Inputs!$B$18="Y"),AND(D261="Other",Inputs!$B$19="Y")))),A261&lt;&gt;in_ClientOrg,NOT(AND(in_ExclHarvard="Y",ISNUMBER(SEARCH("Harvard",A261))))),$AD261="Y",K261&lt;&gt;"",S261&gt;0),"Y","")</f>
        <v/>
      </c>
      <c r="V261" s="30" t="n"/>
      <c r="W261" t="inlineStr"/>
      <c r="X261" s="28">
        <f>IF(L261+M261=0,"",L261+M261)</f>
        <v/>
      </c>
      <c r="Y261" s="38">
        <f>IF(L261=0,"",M261/L261)</f>
        <v/>
      </c>
      <c r="Z261" t="inlineStr">
        <is>
          <t>Director &amp; Investment Officer</t>
        </is>
      </c>
      <c r="AA261" t="inlineStr">
        <is>
          <t>Investments</t>
        </is>
      </c>
      <c r="AB261" s="50" t="inlineStr"/>
      <c r="AC261" s="43">
        <f>HYPERLINK("https://projects.propublica.org/nonprofits/organizations/66032106/202333199349326213/full","view filing")</f>
        <v/>
      </c>
      <c r="AD261" s="50" t="inlineStr"/>
    </row>
    <row r="262">
      <c r="A262" t="inlineStr">
        <is>
          <t>Community Foundation Of North Texas</t>
        </is>
      </c>
      <c r="B262" s="50" t="inlineStr">
        <is>
          <t>TX</t>
        </is>
      </c>
      <c r="C262" s="52" t="n">
        <v>0.5</v>
      </c>
      <c r="D262" t="inlineStr">
        <is>
          <t>Foundation</t>
        </is>
      </c>
      <c r="E262" s="50" t="n">
        <v>2023</v>
      </c>
      <c r="F262" s="50" t="inlineStr">
        <is>
          <t>2024-11-14</t>
        </is>
      </c>
      <c r="G262" s="50" t="inlineStr">
        <is>
          <t>2023-12-31</t>
        </is>
      </c>
      <c r="H262" t="inlineStr">
        <is>
          <t>Stan Ninemire</t>
        </is>
      </c>
      <c r="I262" t="inlineStr">
        <is>
          <t>CHIEF INVESTMENT OFFICER</t>
        </is>
      </c>
      <c r="J262" t="inlineStr">
        <is>
          <t>CIO</t>
        </is>
      </c>
      <c r="K262" t="inlineStr">
        <is>
          <t>CIO - Top Investment Executive</t>
        </is>
      </c>
      <c r="L262" s="28" t="n">
        <v>0</v>
      </c>
      <c r="M262" s="28" t="n">
        <v>0</v>
      </c>
      <c r="N262" s="28" t="n">
        <v>0</v>
      </c>
      <c r="O262" s="28" t="n">
        <v>0</v>
      </c>
      <c r="P262" s="28" t="n">
        <v>0</v>
      </c>
      <c r="Q262" s="28" t="n">
        <v>127787</v>
      </c>
      <c r="R262" s="28" t="n">
        <v>0</v>
      </c>
      <c r="S262" s="28">
        <f>Q262-R262</f>
        <v/>
      </c>
      <c r="T262" s="28">
        <f>IF(S262="","",S262*(1+in_GrowthRate)^(YEARFRAC(DATE(2023,12,31),in_AgeToDate)*IF(in_AgeToDate&lt;DATE(2023,12,31),-1,1)+1))</f>
        <v/>
      </c>
      <c r="U262" s="50">
        <f>IF(AND(AND(OR(in_Mode="All Funds",AND(C262&gt;=in_BandFloor,C262&lt;=in_BandCeiling,OR(in_Geography="National",COUNTIFS(lst_GeoPreset,in_Geography,lst_GeoState,B262)&gt;0,AND(in_Geography="Custom",ISNUMBER(SEARCH(B262,SUBSTITUTE(in_CustomStates," ",""))))),OR(AND(D262="Endowment",Inputs!$B$14="Y"),AND(D262="Foundation",Inputs!$B$15="Y"),AND(D262="Healthcare",Inputs!$B$16="Y"),AND(D262="Pension",Inputs!$B$17="Y"),AND(D262="OCIO",Inputs!$B$18="Y"),AND(D262="Other",Inputs!$B$19="Y")))),A262&lt;&gt;in_ClientOrg,NOT(AND(in_ExclHarvard="Y",ISNUMBER(SEARCH("Harvard",A262))))),$AD262="Y",K262&lt;&gt;"",S262&gt;0),"Y","")</f>
        <v/>
      </c>
      <c r="V262" s="30" t="n">
        <v>1</v>
      </c>
      <c r="W262" t="inlineStr"/>
      <c r="X262" s="28">
        <f>IF(L262+M262=0,"",L262+M262)</f>
        <v/>
      </c>
      <c r="Y262" s="38">
        <f>IF(L262=0,"",M262/L262)</f>
        <v/>
      </c>
      <c r="Z262" t="inlineStr">
        <is>
          <t>CIO - Top Investment Executive</t>
        </is>
      </c>
      <c r="AA262" t="inlineStr">
        <is>
          <t>Leadership</t>
        </is>
      </c>
      <c r="AB262" s="50" t="inlineStr">
        <is>
          <t>Y</t>
        </is>
      </c>
      <c r="AC262" s="43">
        <f>HYPERLINK("https://projects.propublica.org/nonprofits/organizations/752267767/202423199349313632/full","view filing")</f>
        <v/>
      </c>
      <c r="AD262" s="50" t="inlineStr"/>
    </row>
    <row r="263">
      <c r="A263" t="inlineStr">
        <is>
          <t>Community Foundation Of North Texas</t>
        </is>
      </c>
      <c r="B263" s="50" t="inlineStr">
        <is>
          <t>TX</t>
        </is>
      </c>
      <c r="C263" s="52" t="n">
        <v>0.5</v>
      </c>
      <c r="D263" t="inlineStr">
        <is>
          <t>Foundation</t>
        </is>
      </c>
      <c r="E263" s="50" t="n">
        <v>2022</v>
      </c>
      <c r="F263" s="50" t="inlineStr">
        <is>
          <t>2023-11-14</t>
        </is>
      </c>
      <c r="G263" s="50" t="inlineStr">
        <is>
          <t>2022-12-31</t>
        </is>
      </c>
      <c r="H263" t="inlineStr">
        <is>
          <t>Stan Ninemire</t>
        </is>
      </c>
      <c r="I263" t="inlineStr">
        <is>
          <t>CHIEF INVESTMENT OFFICER</t>
        </is>
      </c>
      <c r="J263" t="inlineStr">
        <is>
          <t>CIO</t>
        </is>
      </c>
      <c r="K263" t="inlineStr">
        <is>
          <t>CIO - Top Investment Executive</t>
        </is>
      </c>
      <c r="L263" s="28" t="n">
        <v>0</v>
      </c>
      <c r="M263" s="28" t="n">
        <v>0</v>
      </c>
      <c r="N263" s="28" t="n">
        <v>0</v>
      </c>
      <c r="O263" s="28" t="n">
        <v>0</v>
      </c>
      <c r="P263" s="28" t="n">
        <v>0</v>
      </c>
      <c r="Q263" s="28" t="n">
        <v>122691</v>
      </c>
      <c r="R263" s="28" t="n">
        <v>0</v>
      </c>
      <c r="S263" s="28">
        <f>Q263-R263</f>
        <v/>
      </c>
      <c r="T263" s="28">
        <f>IF(S263="","",S263*(1+in_GrowthRate)^(YEARFRAC(DATE(2022,12,31),in_AgeToDate)*IF(in_AgeToDate&lt;DATE(2022,12,31),-1,1)+1))</f>
        <v/>
      </c>
      <c r="U263" s="50">
        <f>IF(AND(AND(OR(in_Mode="All Funds",AND(C263&gt;=in_BandFloor,C263&lt;=in_BandCeiling,OR(in_Geography="National",COUNTIFS(lst_GeoPreset,in_Geography,lst_GeoState,B263)&gt;0,AND(in_Geography="Custom",ISNUMBER(SEARCH(B263,SUBSTITUTE(in_CustomStates," ",""))))),OR(AND(D263="Endowment",Inputs!$B$14="Y"),AND(D263="Foundation",Inputs!$B$15="Y"),AND(D263="Healthcare",Inputs!$B$16="Y"),AND(D263="Pension",Inputs!$B$17="Y"),AND(D263="OCIO",Inputs!$B$18="Y"),AND(D263="Other",Inputs!$B$19="Y")))),A263&lt;&gt;in_ClientOrg,NOT(AND(in_ExclHarvard="Y",ISNUMBER(SEARCH("Harvard",A263))))),$AD263="Y",K263&lt;&gt;"",S263&gt;0),"Y","")</f>
        <v/>
      </c>
      <c r="V263" s="30" t="n">
        <v>1</v>
      </c>
      <c r="W263" t="inlineStr"/>
      <c r="X263" s="28">
        <f>IF(L263+M263=0,"",L263+M263)</f>
        <v/>
      </c>
      <c r="Y263" s="38">
        <f>IF(L263=0,"",M263/L263)</f>
        <v/>
      </c>
      <c r="Z263" t="inlineStr">
        <is>
          <t>CIO - Top Investment Executive</t>
        </is>
      </c>
      <c r="AA263" t="inlineStr">
        <is>
          <t>Leadership</t>
        </is>
      </c>
      <c r="AB263" s="50" t="inlineStr">
        <is>
          <t>Y</t>
        </is>
      </c>
      <c r="AC263" s="43">
        <f>HYPERLINK("https://projects.propublica.org/nonprofits/organizations/752267767/202343189349304699/full","view filing")</f>
        <v/>
      </c>
      <c r="AD263" s="50" t="inlineStr"/>
    </row>
    <row r="264">
      <c r="A264" t="inlineStr">
        <is>
          <t>Conference On Jewish Material Claims Against Germany</t>
        </is>
      </c>
      <c r="B264" s="50" t="inlineStr">
        <is>
          <t>NY</t>
        </is>
      </c>
      <c r="C264" s="52" t="n">
        <v>0.6899999999999999</v>
      </c>
      <c r="D264" t="inlineStr">
        <is>
          <t>Other</t>
        </is>
      </c>
      <c r="E264" s="50" t="n">
        <v>2023</v>
      </c>
      <c r="F264" s="50" t="inlineStr">
        <is>
          <t>2024-11-07</t>
        </is>
      </c>
      <c r="G264" s="50" t="inlineStr">
        <is>
          <t>2023-12-31</t>
        </is>
      </c>
      <c r="H264" t="inlineStr">
        <is>
          <t>Joseph Berger</t>
        </is>
      </c>
      <c r="I264" t="inlineStr">
        <is>
          <t>CHIEF INVESTMENT OFFICER</t>
        </is>
      </c>
      <c r="J264" t="inlineStr">
        <is>
          <t>CIO</t>
        </is>
      </c>
      <c r="K264" t="inlineStr">
        <is>
          <t>CIO - Top Investment Executive</t>
        </is>
      </c>
      <c r="L264" s="28" t="n">
        <v>274705</v>
      </c>
      <c r="M264" s="28" t="n">
        <v>0</v>
      </c>
      <c r="N264" s="28" t="n">
        <v>43872</v>
      </c>
      <c r="O264" s="28" t="n">
        <v>0</v>
      </c>
      <c r="P264" s="28" t="n">
        <v>32611</v>
      </c>
      <c r="Q264" s="28" t="n">
        <v>351188</v>
      </c>
      <c r="R264" s="28" t="n">
        <v>0</v>
      </c>
      <c r="S264" s="28">
        <f>Q264-R264</f>
        <v/>
      </c>
      <c r="T264" s="28">
        <f>IF(S264="","",S264*(1+in_GrowthRate)^(YEARFRAC(DATE(2023,12,31),in_AgeToDate)*IF(in_AgeToDate&lt;DATE(2023,12,31),-1,1)+1))</f>
        <v/>
      </c>
      <c r="U264" s="50">
        <f>IF(AND(AND(OR(in_Mode="All Funds",AND(C264&gt;=in_BandFloor,C264&lt;=in_BandCeiling,OR(in_Geography="National",COUNTIFS(lst_GeoPreset,in_Geography,lst_GeoState,B264)&gt;0,AND(in_Geography="Custom",ISNUMBER(SEARCH(B264,SUBSTITUTE(in_CustomStates," ",""))))),OR(AND(D264="Endowment",Inputs!$B$14="Y"),AND(D264="Foundation",Inputs!$B$15="Y"),AND(D264="Healthcare",Inputs!$B$16="Y"),AND(D264="Pension",Inputs!$B$17="Y"),AND(D264="OCIO",Inputs!$B$18="Y"),AND(D264="Other",Inputs!$B$19="Y")))),A264&lt;&gt;in_ClientOrg,NOT(AND(in_ExclHarvard="Y",ISNUMBER(SEARCH("Harvard",A264))))),$AD264="Y",K264&lt;&gt;"",S264&gt;0),"Y","")</f>
        <v/>
      </c>
      <c r="V264" s="30" t="n">
        <v>1</v>
      </c>
      <c r="W264" t="inlineStr"/>
      <c r="X264" s="28">
        <f>IF(L264+M264=0,"",L264+M264)</f>
        <v/>
      </c>
      <c r="Y264" s="38">
        <f>IF(L264=0,"",M264/L264)</f>
        <v/>
      </c>
      <c r="Z264" t="inlineStr">
        <is>
          <t>CIO - Top Investment Executive</t>
        </is>
      </c>
      <c r="AA264" t="inlineStr">
        <is>
          <t>Leadership</t>
        </is>
      </c>
      <c r="AB264" s="50" t="inlineStr">
        <is>
          <t>Y</t>
        </is>
      </c>
      <c r="AC264" s="43">
        <f>HYPERLINK("https://projects.propublica.org/nonprofits/organizations/131677841/202433129349302388/full","view filing")</f>
        <v/>
      </c>
      <c r="AD264" s="50" t="inlineStr"/>
    </row>
    <row r="265">
      <c r="A265" t="inlineStr">
        <is>
          <t>Conference On Jewish Material Claims Against Germany</t>
        </is>
      </c>
      <c r="B265" s="50" t="inlineStr">
        <is>
          <t>NY</t>
        </is>
      </c>
      <c r="C265" s="52" t="n">
        <v>0.6899999999999999</v>
      </c>
      <c r="D265" t="inlineStr">
        <is>
          <t>Other</t>
        </is>
      </c>
      <c r="E265" s="50" t="n">
        <v>2022</v>
      </c>
      <c r="F265" s="50" t="inlineStr">
        <is>
          <t>2023-11-08</t>
        </is>
      </c>
      <c r="G265" s="50" t="inlineStr">
        <is>
          <t>2022-12-31</t>
        </is>
      </c>
      <c r="H265" t="inlineStr">
        <is>
          <t>Joseph Berger</t>
        </is>
      </c>
      <c r="I265" t="inlineStr">
        <is>
          <t>CHIEF INVESTMENT OFFICER</t>
        </is>
      </c>
      <c r="J265" t="inlineStr">
        <is>
          <t>CIO</t>
        </is>
      </c>
      <c r="K265" t="inlineStr">
        <is>
          <t>CIO - Top Investment Executive</t>
        </is>
      </c>
      <c r="L265" s="28" t="n">
        <v>261941</v>
      </c>
      <c r="M265" s="28" t="n">
        <v>0</v>
      </c>
      <c r="N265" s="28" t="n">
        <v>43442</v>
      </c>
      <c r="O265" s="28" t="n">
        <v>0</v>
      </c>
      <c r="P265" s="28" t="n">
        <v>28658</v>
      </c>
      <c r="Q265" s="28" t="n">
        <v>334041</v>
      </c>
      <c r="R265" s="28" t="n">
        <v>0</v>
      </c>
      <c r="S265" s="28">
        <f>Q265-R265</f>
        <v/>
      </c>
      <c r="T265" s="28">
        <f>IF(S265="","",S265*(1+in_GrowthRate)^(YEARFRAC(DATE(2022,12,31),in_AgeToDate)*IF(in_AgeToDate&lt;DATE(2022,12,31),-1,1)+1))</f>
        <v/>
      </c>
      <c r="U265" s="50">
        <f>IF(AND(AND(OR(in_Mode="All Funds",AND(C265&gt;=in_BandFloor,C265&lt;=in_BandCeiling,OR(in_Geography="National",COUNTIFS(lst_GeoPreset,in_Geography,lst_GeoState,B265)&gt;0,AND(in_Geography="Custom",ISNUMBER(SEARCH(B265,SUBSTITUTE(in_CustomStates," ",""))))),OR(AND(D265="Endowment",Inputs!$B$14="Y"),AND(D265="Foundation",Inputs!$B$15="Y"),AND(D265="Healthcare",Inputs!$B$16="Y"),AND(D265="Pension",Inputs!$B$17="Y"),AND(D265="OCIO",Inputs!$B$18="Y"),AND(D265="Other",Inputs!$B$19="Y")))),A265&lt;&gt;in_ClientOrg,NOT(AND(in_ExclHarvard="Y",ISNUMBER(SEARCH("Harvard",A265))))),$AD265="Y",K265&lt;&gt;"",S265&gt;0),"Y","")</f>
        <v/>
      </c>
      <c r="V265" s="30" t="n">
        <v>1</v>
      </c>
      <c r="W265" t="inlineStr"/>
      <c r="X265" s="28">
        <f>IF(L265+M265=0,"",L265+M265)</f>
        <v/>
      </c>
      <c r="Y265" s="38">
        <f>IF(L265=0,"",M265/L265)</f>
        <v/>
      </c>
      <c r="Z265" t="inlineStr">
        <is>
          <t>CIO - Top Investment Executive</t>
        </is>
      </c>
      <c r="AA265" t="inlineStr">
        <is>
          <t>Leadership</t>
        </is>
      </c>
      <c r="AB265" s="50" t="inlineStr">
        <is>
          <t>Y</t>
        </is>
      </c>
      <c r="AC265" s="43">
        <f>HYPERLINK("https://projects.propublica.org/nonprofits/organizations/131677841/202333129349303763/full","view filing")</f>
        <v/>
      </c>
      <c r="AD265" s="50" t="inlineStr"/>
    </row>
    <row r="266">
      <c r="A266" t="inlineStr">
        <is>
          <t>Conrad N Hilton Foundation</t>
        </is>
      </c>
      <c r="B266" s="50" t="inlineStr">
        <is>
          <t>CA</t>
        </is>
      </c>
      <c r="C266" s="52" t="n">
        <v>6.78</v>
      </c>
      <c r="D266" t="inlineStr">
        <is>
          <t>Foundation</t>
        </is>
      </c>
      <c r="E266" s="50" t="n">
        <v>2024</v>
      </c>
      <c r="F266" s="50" t="inlineStr">
        <is>
          <t>2025-11-14</t>
        </is>
      </c>
      <c r="G266" s="50" t="inlineStr">
        <is>
          <t>2024-12-31</t>
        </is>
      </c>
      <c r="H266" t="inlineStr">
        <is>
          <t>James Kim</t>
        </is>
      </c>
      <c r="I266" t="inlineStr">
        <is>
          <t>DIRECTOR OF INVESTME</t>
        </is>
      </c>
      <c r="J266" t="inlineStr">
        <is>
          <t>Director of Investments</t>
        </is>
      </c>
      <c r="K266" t="inlineStr">
        <is>
          <t>Sr Investment Professional</t>
        </is>
      </c>
      <c r="L266" s="28" t="n">
        <v>0</v>
      </c>
      <c r="M266" s="28" t="n">
        <v>0</v>
      </c>
      <c r="N266" s="28" t="n">
        <v>0</v>
      </c>
      <c r="O266" s="28" t="n">
        <v>0</v>
      </c>
      <c r="P266" s="28" t="n">
        <v>0</v>
      </c>
      <c r="Q266" s="28" t="n">
        <v>726931</v>
      </c>
      <c r="R266" s="28" t="n">
        <v>0</v>
      </c>
      <c r="S266" s="28">
        <f>Q266-R266</f>
        <v/>
      </c>
      <c r="T266" s="28">
        <f>IF(S266="","",S266*(1+in_GrowthRate)^(YEARFRAC(DATE(2024,12,31),in_AgeToDate)*IF(in_AgeToDate&lt;DATE(2024,12,31),-1,1)+1))</f>
        <v/>
      </c>
      <c r="U266" s="50">
        <f>IF(AND(AND(OR(in_Mode="All Funds",AND(C266&gt;=in_BandFloor,C266&lt;=in_BandCeiling,OR(in_Geography="National",COUNTIFS(lst_GeoPreset,in_Geography,lst_GeoState,B266)&gt;0,AND(in_Geography="Custom",ISNUMBER(SEARCH(B266,SUBSTITUTE(in_CustomStates," ",""))))),OR(AND(D266="Endowment",Inputs!$B$14="Y"),AND(D266="Foundation",Inputs!$B$15="Y"),AND(D266="Healthcare",Inputs!$B$16="Y"),AND(D266="Pension",Inputs!$B$17="Y"),AND(D266="OCIO",Inputs!$B$18="Y"),AND(D266="Other",Inputs!$B$19="Y")))),A266&lt;&gt;in_ClientOrg,NOT(AND(in_ExclHarvard="Y",ISNUMBER(SEARCH("Harvard",A266))))),$AD266="Y",K266&lt;&gt;"",S266&gt;0),"Y","")</f>
        <v/>
      </c>
      <c r="V266" s="30" t="n">
        <v>0.544020038601399</v>
      </c>
      <c r="W266" t="inlineStr"/>
      <c r="X266" s="28">
        <f>IF(L266+M266=0,"",L266+M266)</f>
        <v/>
      </c>
      <c r="Y266" s="38">
        <f>IF(L266=0,"",M266/L266)</f>
        <v/>
      </c>
      <c r="Z266" t="inlineStr">
        <is>
          <t>Director &amp; Investment Officer</t>
        </is>
      </c>
      <c r="AA266" t="inlineStr">
        <is>
          <t>Investments</t>
        </is>
      </c>
      <c r="AB266" s="50" t="inlineStr"/>
      <c r="AC266" s="43">
        <f>HYPERLINK("https://projects.propublica.org/nonprofits/organizations/943100217/202533189349104213/full","view filing")</f>
        <v/>
      </c>
      <c r="AD266" s="50" t="inlineStr">
        <is>
          <t>Y</t>
        </is>
      </c>
    </row>
    <row r="267">
      <c r="A267" t="inlineStr">
        <is>
          <t>Conrad N Hilton Foundation</t>
        </is>
      </c>
      <c r="B267" s="50" t="inlineStr">
        <is>
          <t>CA</t>
        </is>
      </c>
      <c r="C267" s="52" t="n">
        <v>6.78</v>
      </c>
      <c r="D267" t="inlineStr">
        <is>
          <t>Foundation</t>
        </is>
      </c>
      <c r="E267" s="50" t="n">
        <v>2024</v>
      </c>
      <c r="F267" s="50" t="inlineStr">
        <is>
          <t>2025-11-14</t>
        </is>
      </c>
      <c r="G267" s="50" t="inlineStr">
        <is>
          <t>2024-12-31</t>
        </is>
      </c>
      <c r="H267" t="inlineStr">
        <is>
          <t>Jonathon Schroeder</t>
        </is>
      </c>
      <c r="I267" t="inlineStr">
        <is>
          <t>DIRECTOR OF INVESTME</t>
        </is>
      </c>
      <c r="J267" t="inlineStr">
        <is>
          <t>Director of Investments</t>
        </is>
      </c>
      <c r="K267" t="inlineStr">
        <is>
          <t>Sr Investment Professional</t>
        </is>
      </c>
      <c r="L267" s="28" t="n">
        <v>0</v>
      </c>
      <c r="M267" s="28" t="n">
        <v>0</v>
      </c>
      <c r="N267" s="28" t="n">
        <v>0</v>
      </c>
      <c r="O267" s="28" t="n">
        <v>0</v>
      </c>
      <c r="P267" s="28" t="n">
        <v>0</v>
      </c>
      <c r="Q267" s="28" t="n">
        <v>733727</v>
      </c>
      <c r="R267" s="28" t="n">
        <v>0</v>
      </c>
      <c r="S267" s="28">
        <f>Q267-R267</f>
        <v/>
      </c>
      <c r="T267" s="28">
        <f>IF(S267="","",S267*(1+in_GrowthRate)^(YEARFRAC(DATE(2024,12,31),in_AgeToDate)*IF(in_AgeToDate&lt;DATE(2024,12,31),-1,1)+1))</f>
        <v/>
      </c>
      <c r="U267" s="50">
        <f>IF(AND(AND(OR(in_Mode="All Funds",AND(C267&gt;=in_BandFloor,C267&lt;=in_BandCeiling,OR(in_Geography="National",COUNTIFS(lst_GeoPreset,in_Geography,lst_GeoState,B267)&gt;0,AND(in_Geography="Custom",ISNUMBER(SEARCH(B267,SUBSTITUTE(in_CustomStates," ",""))))),OR(AND(D267="Endowment",Inputs!$B$14="Y"),AND(D267="Foundation",Inputs!$B$15="Y"),AND(D267="Healthcare",Inputs!$B$16="Y"),AND(D267="Pension",Inputs!$B$17="Y"),AND(D267="OCIO",Inputs!$B$18="Y"),AND(D267="Other",Inputs!$B$19="Y")))),A267&lt;&gt;in_ClientOrg,NOT(AND(in_ExclHarvard="Y",ISNUMBER(SEARCH("Harvard",A267))))),$AD267="Y",K267&lt;&gt;"",S267&gt;0),"Y","")</f>
        <v/>
      </c>
      <c r="V267" s="30" t="n">
        <v>0.5491060236293248</v>
      </c>
      <c r="W267" t="inlineStr"/>
      <c r="X267" s="28">
        <f>IF(L267+M267=0,"",L267+M267)</f>
        <v/>
      </c>
      <c r="Y267" s="38">
        <f>IF(L267=0,"",M267/L267)</f>
        <v/>
      </c>
      <c r="Z267" t="inlineStr">
        <is>
          <t>Director &amp; Investment Officer</t>
        </is>
      </c>
      <c r="AA267" t="inlineStr">
        <is>
          <t>Investments</t>
        </is>
      </c>
      <c r="AB267" s="50" t="inlineStr"/>
      <c r="AC267" s="43">
        <f>HYPERLINK("https://projects.propublica.org/nonprofits/organizations/943100217/202533189349104213/full","view filing")</f>
        <v/>
      </c>
      <c r="AD267" s="50" t="inlineStr">
        <is>
          <t>Y</t>
        </is>
      </c>
    </row>
    <row r="268">
      <c r="A268" t="inlineStr">
        <is>
          <t>Conrad N Hilton Foundation</t>
        </is>
      </c>
      <c r="B268" s="50" t="inlineStr">
        <is>
          <t>CA</t>
        </is>
      </c>
      <c r="C268" s="52" t="n">
        <v>6.78</v>
      </c>
      <c r="D268" t="inlineStr">
        <is>
          <t>Foundation</t>
        </is>
      </c>
      <c r="E268" s="50" t="n">
        <v>2024</v>
      </c>
      <c r="F268" s="50" t="inlineStr">
        <is>
          <t>2025-11-14</t>
        </is>
      </c>
      <c r="G268" s="50" t="inlineStr">
        <is>
          <t>2024-12-31</t>
        </is>
      </c>
      <c r="H268" t="inlineStr">
        <is>
          <t>Kevin English</t>
        </is>
      </c>
      <c r="I268" t="inlineStr">
        <is>
          <t>DIRECTOR OF INVESTME</t>
        </is>
      </c>
      <c r="J268" t="inlineStr">
        <is>
          <t>Director of Investments</t>
        </is>
      </c>
      <c r="K268" t="inlineStr">
        <is>
          <t>Sr Investment Professional</t>
        </is>
      </c>
      <c r="L268" s="28" t="n">
        <v>0</v>
      </c>
      <c r="M268" s="28" t="n">
        <v>0</v>
      </c>
      <c r="N268" s="28" t="n">
        <v>0</v>
      </c>
      <c r="O268" s="28" t="n">
        <v>0</v>
      </c>
      <c r="P268" s="28" t="n">
        <v>0</v>
      </c>
      <c r="Q268" s="28" t="n">
        <v>634045</v>
      </c>
      <c r="R268" s="28" t="n">
        <v>0</v>
      </c>
      <c r="S268" s="28">
        <f>Q268-R268</f>
        <v/>
      </c>
      <c r="T268" s="28">
        <f>IF(S268="","",S268*(1+in_GrowthRate)^(YEARFRAC(DATE(2024,12,31),in_AgeToDate)*IF(in_AgeToDate&lt;DATE(2024,12,31),-1,1)+1))</f>
        <v/>
      </c>
      <c r="U268" s="50">
        <f>IF(AND(AND(OR(in_Mode="All Funds",AND(C268&gt;=in_BandFloor,C268&lt;=in_BandCeiling,OR(in_Geography="National",COUNTIFS(lst_GeoPreset,in_Geography,lst_GeoState,B268)&gt;0,AND(in_Geography="Custom",ISNUMBER(SEARCH(B268,SUBSTITUTE(in_CustomStates," ",""))))),OR(AND(D268="Endowment",Inputs!$B$14="Y"),AND(D268="Foundation",Inputs!$B$15="Y"),AND(D268="Healthcare",Inputs!$B$16="Y"),AND(D268="Pension",Inputs!$B$17="Y"),AND(D268="OCIO",Inputs!$B$18="Y"),AND(D268="Other",Inputs!$B$19="Y")))),A268&lt;&gt;in_ClientOrg,NOT(AND(in_ExclHarvard="Y",ISNUMBER(SEARCH("Harvard",A268))))),$AD268="Y",K268&lt;&gt;"",S268&gt;0),"Y","")</f>
        <v/>
      </c>
      <c r="V268" s="30" t="n">
        <v>0.4745060884389633</v>
      </c>
      <c r="W268" t="inlineStr"/>
      <c r="X268" s="28">
        <f>IF(L268+M268=0,"",L268+M268)</f>
        <v/>
      </c>
      <c r="Y268" s="38">
        <f>IF(L268=0,"",M268/L268)</f>
        <v/>
      </c>
      <c r="Z268" t="inlineStr">
        <is>
          <t>Director &amp; Investment Officer</t>
        </is>
      </c>
      <c r="AA268" t="inlineStr">
        <is>
          <t>Investments</t>
        </is>
      </c>
      <c r="AB268" s="50" t="inlineStr"/>
      <c r="AC268" s="43">
        <f>HYPERLINK("https://projects.propublica.org/nonprofits/organizations/943100217/202533189349104213/full","view filing")</f>
        <v/>
      </c>
      <c r="AD268" s="50" t="inlineStr">
        <is>
          <t>Y</t>
        </is>
      </c>
    </row>
    <row r="269">
      <c r="A269" t="inlineStr">
        <is>
          <t>Conrad N Hilton Foundation</t>
        </is>
      </c>
      <c r="B269" s="50" t="inlineStr">
        <is>
          <t>CA</t>
        </is>
      </c>
      <c r="C269" s="52" t="n">
        <v>6.78</v>
      </c>
      <c r="D269" t="inlineStr">
        <is>
          <t>Foundation</t>
        </is>
      </c>
      <c r="E269" s="50" t="n">
        <v>2024</v>
      </c>
      <c r="F269" s="50" t="inlineStr">
        <is>
          <t>2025-11-14</t>
        </is>
      </c>
      <c r="G269" s="50" t="inlineStr">
        <is>
          <t>2024-12-31</t>
        </is>
      </c>
      <c r="H269" t="inlineStr">
        <is>
          <t>Michael Buchman</t>
        </is>
      </c>
      <c r="I269" t="inlineStr">
        <is>
          <t>VP AND CIO</t>
        </is>
      </c>
      <c r="J269" t="inlineStr">
        <is>
          <t>CIO</t>
        </is>
      </c>
      <c r="K269" t="inlineStr">
        <is>
          <t>CIO - Top Investment Executive</t>
        </is>
      </c>
      <c r="L269" s="28" t="n">
        <v>0</v>
      </c>
      <c r="M269" s="28" t="n">
        <v>0</v>
      </c>
      <c r="N269" s="28" t="n">
        <v>0</v>
      </c>
      <c r="O269" s="28" t="n">
        <v>0</v>
      </c>
      <c r="P269" s="28" t="n">
        <v>67081</v>
      </c>
      <c r="Q269" s="28" t="n">
        <v>1336221</v>
      </c>
      <c r="R269" s="28" t="n">
        <v>0</v>
      </c>
      <c r="S269" s="28">
        <f>Q269-R269</f>
        <v/>
      </c>
      <c r="T269" s="28">
        <f>IF(S269="","",S269*(1+in_GrowthRate)^(YEARFRAC(DATE(2024,12,31),in_AgeToDate)*IF(in_AgeToDate&lt;DATE(2024,12,31),-1,1)+1))</f>
        <v/>
      </c>
      <c r="U269" s="50">
        <f>IF(AND(AND(OR(in_Mode="All Funds",AND(C269&gt;=in_BandFloor,C269&lt;=in_BandCeiling,OR(in_Geography="National",COUNTIFS(lst_GeoPreset,in_Geography,lst_GeoState,B269)&gt;0,AND(in_Geography="Custom",ISNUMBER(SEARCH(B269,SUBSTITUTE(in_CustomStates," ",""))))),OR(AND(D269="Endowment",Inputs!$B$14="Y"),AND(D269="Foundation",Inputs!$B$15="Y"),AND(D269="Healthcare",Inputs!$B$16="Y"),AND(D269="Pension",Inputs!$B$17="Y"),AND(D269="OCIO",Inputs!$B$18="Y"),AND(D269="Other",Inputs!$B$19="Y")))),A269&lt;&gt;in_ClientOrg,NOT(AND(in_ExclHarvard="Y",ISNUMBER(SEARCH("Harvard",A269))))),$AD269="Y",K269&lt;&gt;"",S269&gt;0),"Y","")</f>
        <v/>
      </c>
      <c r="V269" s="30" t="n">
        <v>1</v>
      </c>
      <c r="W269" t="inlineStr"/>
      <c r="X269" s="28">
        <f>IF(L269+M269=0,"",L269+M269)</f>
        <v/>
      </c>
      <c r="Y269" s="38">
        <f>IF(L269=0,"",M269/L269)</f>
        <v/>
      </c>
      <c r="Z269" t="inlineStr">
        <is>
          <t>CIO - Top Investment Executive</t>
        </is>
      </c>
      <c r="AA269" t="inlineStr">
        <is>
          <t>Leadership</t>
        </is>
      </c>
      <c r="AB269" s="50" t="inlineStr">
        <is>
          <t>Y</t>
        </is>
      </c>
      <c r="AC269" s="43">
        <f>HYPERLINK("https://projects.propublica.org/nonprofits/organizations/943100217/202533189349104213/full","view filing")</f>
        <v/>
      </c>
      <c r="AD269" s="50" t="inlineStr">
        <is>
          <t>Y</t>
        </is>
      </c>
    </row>
    <row r="270">
      <c r="A270" t="inlineStr">
        <is>
          <t>Conrad N Hilton Foundation</t>
        </is>
      </c>
      <c r="B270" s="50" t="inlineStr">
        <is>
          <t>CA</t>
        </is>
      </c>
      <c r="C270" s="52" t="n">
        <v>6.78</v>
      </c>
      <c r="D270" t="inlineStr">
        <is>
          <t>Foundation</t>
        </is>
      </c>
      <c r="E270" s="50" t="n">
        <v>2023</v>
      </c>
      <c r="F270" s="50" t="inlineStr">
        <is>
          <t>2024-11-15</t>
        </is>
      </c>
      <c r="G270" s="50" t="inlineStr">
        <is>
          <t>2023-12-31</t>
        </is>
      </c>
      <c r="H270" t="inlineStr">
        <is>
          <t>James Kim</t>
        </is>
      </c>
      <c r="I270" t="inlineStr">
        <is>
          <t>DIRECTOR OF INVESTME</t>
        </is>
      </c>
      <c r="J270" t="inlineStr">
        <is>
          <t>Director of Investments</t>
        </is>
      </c>
      <c r="K270" t="inlineStr">
        <is>
          <t>Sr Investment Professional</t>
        </is>
      </c>
      <c r="L270" s="28" t="n">
        <v>0</v>
      </c>
      <c r="M270" s="28" t="n">
        <v>0</v>
      </c>
      <c r="N270" s="28" t="n">
        <v>0</v>
      </c>
      <c r="O270" s="28" t="n">
        <v>0</v>
      </c>
      <c r="P270" s="28" t="n">
        <v>0</v>
      </c>
      <c r="Q270" s="28" t="n">
        <v>691985</v>
      </c>
      <c r="R270" s="28" t="n">
        <v>0</v>
      </c>
      <c r="S270" s="28">
        <f>Q270-R270</f>
        <v/>
      </c>
      <c r="T270" s="28">
        <f>IF(S270="","",S270*(1+in_GrowthRate)^(YEARFRAC(DATE(2023,12,31),in_AgeToDate)*IF(in_AgeToDate&lt;DATE(2023,12,31),-1,1)+1))</f>
        <v/>
      </c>
      <c r="U270" s="50">
        <f>IF(AND(AND(OR(in_Mode="All Funds",AND(C270&gt;=in_BandFloor,C270&lt;=in_BandCeiling,OR(in_Geography="National",COUNTIFS(lst_GeoPreset,in_Geography,lst_GeoState,B270)&gt;0,AND(in_Geography="Custom",ISNUMBER(SEARCH(B270,SUBSTITUTE(in_CustomStates," ",""))))),OR(AND(D270="Endowment",Inputs!$B$14="Y"),AND(D270="Foundation",Inputs!$B$15="Y"),AND(D270="Healthcare",Inputs!$B$16="Y"),AND(D270="Pension",Inputs!$B$17="Y"),AND(D270="OCIO",Inputs!$B$18="Y"),AND(D270="Other",Inputs!$B$19="Y")))),A270&lt;&gt;in_ClientOrg,NOT(AND(in_ExclHarvard="Y",ISNUMBER(SEARCH("Harvard",A270))))),$AD270="Y",K270&lt;&gt;"",S270&gt;0),"Y","")</f>
        <v/>
      </c>
      <c r="V270" s="30" t="n">
        <v>0.477324853505689</v>
      </c>
      <c r="W270" t="inlineStr"/>
      <c r="X270" s="28">
        <f>IF(L270+M270=0,"",L270+M270)</f>
        <v/>
      </c>
      <c r="Y270" s="38">
        <f>IF(L270=0,"",M270/L270)</f>
        <v/>
      </c>
      <c r="Z270" t="inlineStr">
        <is>
          <t>Director &amp; Investment Officer</t>
        </is>
      </c>
      <c r="AA270" t="inlineStr">
        <is>
          <t>Investments</t>
        </is>
      </c>
      <c r="AB270" s="50" t="inlineStr"/>
      <c r="AC270" s="43">
        <f>HYPERLINK("https://projects.propublica.org/nonprofits/organizations/943100217/202443209349101314/full","view filing")</f>
        <v/>
      </c>
      <c r="AD270" s="50" t="inlineStr"/>
    </row>
    <row r="271">
      <c r="A271" t="inlineStr">
        <is>
          <t>Conrad N Hilton Foundation</t>
        </is>
      </c>
      <c r="B271" s="50" t="inlineStr">
        <is>
          <t>CA</t>
        </is>
      </c>
      <c r="C271" s="52" t="n">
        <v>6.78</v>
      </c>
      <c r="D271" t="inlineStr">
        <is>
          <t>Foundation</t>
        </is>
      </c>
      <c r="E271" s="50" t="n">
        <v>2023</v>
      </c>
      <c r="F271" s="50" t="inlineStr">
        <is>
          <t>2024-11-15</t>
        </is>
      </c>
      <c r="G271" s="50" t="inlineStr">
        <is>
          <t>2023-12-31</t>
        </is>
      </c>
      <c r="H271" t="inlineStr">
        <is>
          <t>Jonathon Schroeder</t>
        </is>
      </c>
      <c r="I271" t="inlineStr">
        <is>
          <t>DIRECTOR OF INVESTME</t>
        </is>
      </c>
      <c r="J271" t="inlineStr">
        <is>
          <t>Director of Investments</t>
        </is>
      </c>
      <c r="K271" t="inlineStr">
        <is>
          <t>Sr Investment Professional</t>
        </is>
      </c>
      <c r="L271" s="28" t="n">
        <v>0</v>
      </c>
      <c r="M271" s="28" t="n">
        <v>0</v>
      </c>
      <c r="N271" s="28" t="n">
        <v>0</v>
      </c>
      <c r="O271" s="28" t="n">
        <v>0</v>
      </c>
      <c r="P271" s="28" t="n">
        <v>0</v>
      </c>
      <c r="Q271" s="28" t="n">
        <v>738293</v>
      </c>
      <c r="R271" s="28" t="n">
        <v>0</v>
      </c>
      <c r="S271" s="28">
        <f>Q271-R271</f>
        <v/>
      </c>
      <c r="T271" s="28">
        <f>IF(S271="","",S271*(1+in_GrowthRate)^(YEARFRAC(DATE(2023,12,31),in_AgeToDate)*IF(in_AgeToDate&lt;DATE(2023,12,31),-1,1)+1))</f>
        <v/>
      </c>
      <c r="U271" s="50">
        <f>IF(AND(AND(OR(in_Mode="All Funds",AND(C271&gt;=in_BandFloor,C271&lt;=in_BandCeiling,OR(in_Geography="National",COUNTIFS(lst_GeoPreset,in_Geography,lst_GeoState,B271)&gt;0,AND(in_Geography="Custom",ISNUMBER(SEARCH(B271,SUBSTITUTE(in_CustomStates," ",""))))),OR(AND(D271="Endowment",Inputs!$B$14="Y"),AND(D271="Foundation",Inputs!$B$15="Y"),AND(D271="Healthcare",Inputs!$B$16="Y"),AND(D271="Pension",Inputs!$B$17="Y"),AND(D271="OCIO",Inputs!$B$18="Y"),AND(D271="Other",Inputs!$B$19="Y")))),A271&lt;&gt;in_ClientOrg,NOT(AND(in_ExclHarvard="Y",ISNUMBER(SEARCH("Harvard",A271))))),$AD271="Y",K271&lt;&gt;"",S271&gt;0),"Y","")</f>
        <v/>
      </c>
      <c r="V271" s="30" t="n">
        <v>0.5092676836481653</v>
      </c>
      <c r="W271" t="inlineStr"/>
      <c r="X271" s="28">
        <f>IF(L271+M271=0,"",L271+M271)</f>
        <v/>
      </c>
      <c r="Y271" s="38">
        <f>IF(L271=0,"",M271/L271)</f>
        <v/>
      </c>
      <c r="Z271" t="inlineStr">
        <is>
          <t>Director &amp; Investment Officer</t>
        </is>
      </c>
      <c r="AA271" t="inlineStr">
        <is>
          <t>Investments</t>
        </is>
      </c>
      <c r="AB271" s="50" t="inlineStr"/>
      <c r="AC271" s="43">
        <f>HYPERLINK("https://projects.propublica.org/nonprofits/organizations/943100217/202443209349101314/full","view filing")</f>
        <v/>
      </c>
      <c r="AD271" s="50" t="inlineStr"/>
    </row>
    <row r="272">
      <c r="A272" t="inlineStr">
        <is>
          <t>Conrad N Hilton Foundation</t>
        </is>
      </c>
      <c r="B272" s="50" t="inlineStr">
        <is>
          <t>CA</t>
        </is>
      </c>
      <c r="C272" s="52" t="n">
        <v>6.78</v>
      </c>
      <c r="D272" t="inlineStr">
        <is>
          <t>Foundation</t>
        </is>
      </c>
      <c r="E272" s="50" t="n">
        <v>2023</v>
      </c>
      <c r="F272" s="50" t="inlineStr">
        <is>
          <t>2024-11-15</t>
        </is>
      </c>
      <c r="G272" s="50" t="inlineStr">
        <is>
          <t>2023-12-31</t>
        </is>
      </c>
      <c r="H272" t="inlineStr">
        <is>
          <t>Kevin English</t>
        </is>
      </c>
      <c r="I272" t="inlineStr">
        <is>
          <t>DIRECTOR OF INVESTME</t>
        </is>
      </c>
      <c r="J272" t="inlineStr">
        <is>
          <t>Director of Investments</t>
        </is>
      </c>
      <c r="K272" t="inlineStr">
        <is>
          <t>Sr Investment Professional</t>
        </is>
      </c>
      <c r="L272" s="28" t="n">
        <v>0</v>
      </c>
      <c r="M272" s="28" t="n">
        <v>0</v>
      </c>
      <c r="N272" s="28" t="n">
        <v>0</v>
      </c>
      <c r="O272" s="28" t="n">
        <v>0</v>
      </c>
      <c r="P272" s="28" t="n">
        <v>0</v>
      </c>
      <c r="Q272" s="28" t="n">
        <v>427775</v>
      </c>
      <c r="R272" s="28" t="n">
        <v>0</v>
      </c>
      <c r="S272" s="28">
        <f>Q272-R272</f>
        <v/>
      </c>
      <c r="T272" s="28">
        <f>IF(S272="","",S272*(1+in_GrowthRate)^(YEARFRAC(DATE(2023,12,31),in_AgeToDate)*IF(in_AgeToDate&lt;DATE(2023,12,31),-1,1)+1))</f>
        <v/>
      </c>
      <c r="U272" s="50">
        <f>IF(AND(AND(OR(in_Mode="All Funds",AND(C272&gt;=in_BandFloor,C272&lt;=in_BandCeiling,OR(in_Geography="National",COUNTIFS(lst_GeoPreset,in_Geography,lst_GeoState,B272)&gt;0,AND(in_Geography="Custom",ISNUMBER(SEARCH(B272,SUBSTITUTE(in_CustomStates," ",""))))),OR(AND(D272="Endowment",Inputs!$B$14="Y"),AND(D272="Foundation",Inputs!$B$15="Y"),AND(D272="Healthcare",Inputs!$B$16="Y"),AND(D272="Pension",Inputs!$B$17="Y"),AND(D272="OCIO",Inputs!$B$18="Y"),AND(D272="Other",Inputs!$B$19="Y")))),A272&lt;&gt;in_ClientOrg,NOT(AND(in_ExclHarvard="Y",ISNUMBER(SEARCH("Harvard",A272))))),$AD272="Y",K272&lt;&gt;"",S272&gt;0),"Y","")</f>
        <v/>
      </c>
      <c r="V272" s="30" t="n">
        <v>0.2950752389262717</v>
      </c>
      <c r="W272" t="inlineStr"/>
      <c r="X272" s="28">
        <f>IF(L272+M272=0,"",L272+M272)</f>
        <v/>
      </c>
      <c r="Y272" s="38">
        <f>IF(L272=0,"",M272/L272)</f>
        <v/>
      </c>
      <c r="Z272" t="inlineStr">
        <is>
          <t>Director &amp; Investment Officer</t>
        </is>
      </c>
      <c r="AA272" t="inlineStr">
        <is>
          <t>Investments</t>
        </is>
      </c>
      <c r="AB272" s="50" t="inlineStr"/>
      <c r="AC272" s="43">
        <f>HYPERLINK("https://projects.propublica.org/nonprofits/organizations/943100217/202443209349101314/full","view filing")</f>
        <v/>
      </c>
      <c r="AD272" s="50" t="inlineStr"/>
    </row>
    <row r="273">
      <c r="A273" t="inlineStr">
        <is>
          <t>Conrad N Hilton Foundation</t>
        </is>
      </c>
      <c r="B273" s="50" t="inlineStr">
        <is>
          <t>CA</t>
        </is>
      </c>
      <c r="C273" s="52" t="n">
        <v>6.78</v>
      </c>
      <c r="D273" t="inlineStr">
        <is>
          <t>Foundation</t>
        </is>
      </c>
      <c r="E273" s="50" t="n">
        <v>2023</v>
      </c>
      <c r="F273" s="50" t="inlineStr">
        <is>
          <t>2024-11-15</t>
        </is>
      </c>
      <c r="G273" s="50" t="inlineStr">
        <is>
          <t>2023-12-31</t>
        </is>
      </c>
      <c r="H273" t="inlineStr">
        <is>
          <t>Michael Buchman</t>
        </is>
      </c>
      <c r="I273" t="inlineStr">
        <is>
          <t>VP AND CIO</t>
        </is>
      </c>
      <c r="J273" t="inlineStr">
        <is>
          <t>CIO</t>
        </is>
      </c>
      <c r="K273" t="inlineStr">
        <is>
          <t>CIO - Top Investment Executive</t>
        </is>
      </c>
      <c r="L273" s="28" t="n">
        <v>0</v>
      </c>
      <c r="M273" s="28" t="n">
        <v>0</v>
      </c>
      <c r="N273" s="28" t="n">
        <v>0</v>
      </c>
      <c r="O273" s="28" t="n">
        <v>0</v>
      </c>
      <c r="P273" s="28" t="n">
        <v>59379</v>
      </c>
      <c r="Q273" s="28" t="n">
        <v>1449715</v>
      </c>
      <c r="R273" s="28" t="n">
        <v>0</v>
      </c>
      <c r="S273" s="28">
        <f>Q273-R273</f>
        <v/>
      </c>
      <c r="T273" s="28">
        <f>IF(S273="","",S273*(1+in_GrowthRate)^(YEARFRAC(DATE(2023,12,31),in_AgeToDate)*IF(in_AgeToDate&lt;DATE(2023,12,31),-1,1)+1))</f>
        <v/>
      </c>
      <c r="U273" s="50">
        <f>IF(AND(AND(OR(in_Mode="All Funds",AND(C273&gt;=in_BandFloor,C273&lt;=in_BandCeiling,OR(in_Geography="National",COUNTIFS(lst_GeoPreset,in_Geography,lst_GeoState,B273)&gt;0,AND(in_Geography="Custom",ISNUMBER(SEARCH(B273,SUBSTITUTE(in_CustomStates," ",""))))),OR(AND(D273="Endowment",Inputs!$B$14="Y"),AND(D273="Foundation",Inputs!$B$15="Y"),AND(D273="Healthcare",Inputs!$B$16="Y"),AND(D273="Pension",Inputs!$B$17="Y"),AND(D273="OCIO",Inputs!$B$18="Y"),AND(D273="Other",Inputs!$B$19="Y")))),A273&lt;&gt;in_ClientOrg,NOT(AND(in_ExclHarvard="Y",ISNUMBER(SEARCH("Harvard",A273))))),$AD273="Y",K273&lt;&gt;"",S273&gt;0),"Y","")</f>
        <v/>
      </c>
      <c r="V273" s="30" t="n">
        <v>1</v>
      </c>
      <c r="W273" t="inlineStr"/>
      <c r="X273" s="28">
        <f>IF(L273+M273=0,"",L273+M273)</f>
        <v/>
      </c>
      <c r="Y273" s="38">
        <f>IF(L273=0,"",M273/L273)</f>
        <v/>
      </c>
      <c r="Z273" t="inlineStr">
        <is>
          <t>CIO - Top Investment Executive</t>
        </is>
      </c>
      <c r="AA273" t="inlineStr">
        <is>
          <t>Leadership</t>
        </is>
      </c>
      <c r="AB273" s="50" t="inlineStr">
        <is>
          <t>Y</t>
        </is>
      </c>
      <c r="AC273" s="43">
        <f>HYPERLINK("https://projects.propublica.org/nonprofits/organizations/943100217/202443209349101314/full","view filing")</f>
        <v/>
      </c>
      <c r="AD273" s="50" t="inlineStr"/>
    </row>
    <row r="274">
      <c r="A274" t="inlineStr">
        <is>
          <t>Conrad N Hilton Foundation</t>
        </is>
      </c>
      <c r="B274" s="50" t="inlineStr">
        <is>
          <t>CA</t>
        </is>
      </c>
      <c r="C274" s="52" t="n">
        <v>6.78</v>
      </c>
      <c r="D274" t="inlineStr">
        <is>
          <t>Foundation</t>
        </is>
      </c>
      <c r="E274" s="50" t="n">
        <v>2022</v>
      </c>
      <c r="F274" s="50" t="inlineStr">
        <is>
          <t>2023-11-15</t>
        </is>
      </c>
      <c r="G274" s="50" t="inlineStr">
        <is>
          <t>2022-12-31</t>
        </is>
      </c>
      <c r="H274" t="inlineStr">
        <is>
          <t>Deron Brown End 0822</t>
        </is>
      </c>
      <c r="I274" t="inlineStr">
        <is>
          <t>DIRECTOR OF INVESTME</t>
        </is>
      </c>
      <c r="J274" t="inlineStr">
        <is>
          <t>Director of Investments</t>
        </is>
      </c>
      <c r="K274" t="inlineStr">
        <is>
          <t>Sr Investment Professional</t>
        </is>
      </c>
      <c r="L274" s="28" t="n">
        <v>0</v>
      </c>
      <c r="M274" s="28" t="n">
        <v>0</v>
      </c>
      <c r="N274" s="28" t="n">
        <v>0</v>
      </c>
      <c r="O274" s="28" t="n">
        <v>0</v>
      </c>
      <c r="P274" s="28" t="n">
        <v>0</v>
      </c>
      <c r="Q274" s="28" t="n">
        <v>434790</v>
      </c>
      <c r="R274" s="28" t="n">
        <v>0</v>
      </c>
      <c r="S274" s="28">
        <f>Q274-R274</f>
        <v/>
      </c>
      <c r="T274" s="28">
        <f>IF(S274="","",S274*(1+in_GrowthRate)^(YEARFRAC(DATE(2022,12,31),in_AgeToDate)*IF(in_AgeToDate&lt;DATE(2022,12,31),-1,1)+1))</f>
        <v/>
      </c>
      <c r="U274" s="50">
        <f>IF(AND(AND(OR(in_Mode="All Funds",AND(C274&gt;=in_BandFloor,C274&lt;=in_BandCeiling,OR(in_Geography="National",COUNTIFS(lst_GeoPreset,in_Geography,lst_GeoState,B274)&gt;0,AND(in_Geography="Custom",ISNUMBER(SEARCH(B274,SUBSTITUTE(in_CustomStates," ",""))))),OR(AND(D274="Endowment",Inputs!$B$14="Y"),AND(D274="Foundation",Inputs!$B$15="Y"),AND(D274="Healthcare",Inputs!$B$16="Y"),AND(D274="Pension",Inputs!$B$17="Y"),AND(D274="OCIO",Inputs!$B$18="Y"),AND(D274="Other",Inputs!$B$19="Y")))),A274&lt;&gt;in_ClientOrg,NOT(AND(in_ExclHarvard="Y",ISNUMBER(SEARCH("Harvard",A274))))),$AD274="Y",K274&lt;&gt;"",S274&gt;0),"Y","")</f>
        <v/>
      </c>
      <c r="V274" s="30" t="n">
        <v>0.2131854402959168</v>
      </c>
      <c r="W274" t="inlineStr"/>
      <c r="X274" s="28">
        <f>IF(L274+M274=0,"",L274+M274)</f>
        <v/>
      </c>
      <c r="Y274" s="38">
        <f>IF(L274=0,"",M274/L274)</f>
        <v/>
      </c>
      <c r="Z274" t="inlineStr">
        <is>
          <t>Director &amp; Investment Officer</t>
        </is>
      </c>
      <c r="AA274" t="inlineStr">
        <is>
          <t>Investments</t>
        </is>
      </c>
      <c r="AB274" s="50" t="inlineStr"/>
      <c r="AC274" s="43">
        <f>HYPERLINK("https://projects.propublica.org/nonprofits/organizations/943100217/202343199349103139/full","view filing")</f>
        <v/>
      </c>
      <c r="AD274" s="50" t="inlineStr"/>
    </row>
    <row r="275">
      <c r="A275" t="inlineStr">
        <is>
          <t>Conrad N Hilton Foundation</t>
        </is>
      </c>
      <c r="B275" s="50" t="inlineStr">
        <is>
          <t>CA</t>
        </is>
      </c>
      <c r="C275" s="52" t="n">
        <v>6.78</v>
      </c>
      <c r="D275" t="inlineStr">
        <is>
          <t>Foundation</t>
        </is>
      </c>
      <c r="E275" s="50" t="n">
        <v>2022</v>
      </c>
      <c r="F275" s="50" t="inlineStr">
        <is>
          <t>2023-11-15</t>
        </is>
      </c>
      <c r="G275" s="50" t="inlineStr">
        <is>
          <t>2022-12-31</t>
        </is>
      </c>
      <c r="H275" t="inlineStr">
        <is>
          <t>James Kim</t>
        </is>
      </c>
      <c r="I275" t="inlineStr">
        <is>
          <t>DIRECTOR OF INVESTME</t>
        </is>
      </c>
      <c r="J275" t="inlineStr">
        <is>
          <t>Director of Investments</t>
        </is>
      </c>
      <c r="K275" t="inlineStr">
        <is>
          <t>Sr Investment Professional</t>
        </is>
      </c>
      <c r="L275" s="28" t="n">
        <v>0</v>
      </c>
      <c r="M275" s="28" t="n">
        <v>0</v>
      </c>
      <c r="N275" s="28" t="n">
        <v>0</v>
      </c>
      <c r="O275" s="28" t="n">
        <v>0</v>
      </c>
      <c r="P275" s="28" t="n">
        <v>0</v>
      </c>
      <c r="Q275" s="28" t="n">
        <v>945663</v>
      </c>
      <c r="R275" s="28" t="n">
        <v>0</v>
      </c>
      <c r="S275" s="28">
        <f>Q275-R275</f>
        <v/>
      </c>
      <c r="T275" s="28">
        <f>IF(S275="","",S275*(1+in_GrowthRate)^(YEARFRAC(DATE(2022,12,31),in_AgeToDate)*IF(in_AgeToDate&lt;DATE(2022,12,31),-1,1)+1))</f>
        <v/>
      </c>
      <c r="U275" s="50">
        <f>IF(AND(AND(OR(in_Mode="All Funds",AND(C275&gt;=in_BandFloor,C275&lt;=in_BandCeiling,OR(in_Geography="National",COUNTIFS(lst_GeoPreset,in_Geography,lst_GeoState,B275)&gt;0,AND(in_Geography="Custom",ISNUMBER(SEARCH(B275,SUBSTITUTE(in_CustomStates," ",""))))),OR(AND(D275="Endowment",Inputs!$B$14="Y"),AND(D275="Foundation",Inputs!$B$15="Y"),AND(D275="Healthcare",Inputs!$B$16="Y"),AND(D275="Pension",Inputs!$B$17="Y"),AND(D275="OCIO",Inputs!$B$18="Y"),AND(D275="Other",Inputs!$B$19="Y")))),A275&lt;&gt;in_ClientOrg,NOT(AND(in_ExclHarvard="Y",ISNUMBER(SEARCH("Harvard",A275))))),$AD275="Y",K275&lt;&gt;"",S275&gt;0),"Y","")</f>
        <v/>
      </c>
      <c r="V275" s="30" t="n">
        <v>0.4636757584731884</v>
      </c>
      <c r="W275" t="inlineStr"/>
      <c r="X275" s="28">
        <f>IF(L275+M275=0,"",L275+M275)</f>
        <v/>
      </c>
      <c r="Y275" s="38">
        <f>IF(L275=0,"",M275/L275)</f>
        <v/>
      </c>
      <c r="Z275" t="inlineStr">
        <is>
          <t>Director &amp; Investment Officer</t>
        </is>
      </c>
      <c r="AA275" t="inlineStr">
        <is>
          <t>Investments</t>
        </is>
      </c>
      <c r="AB275" s="50" t="inlineStr"/>
      <c r="AC275" s="43">
        <f>HYPERLINK("https://projects.propublica.org/nonprofits/organizations/943100217/202343199349103139/full","view filing")</f>
        <v/>
      </c>
      <c r="AD275" s="50" t="inlineStr"/>
    </row>
    <row r="276">
      <c r="A276" t="inlineStr">
        <is>
          <t>Conrad N Hilton Foundation</t>
        </is>
      </c>
      <c r="B276" s="50" t="inlineStr">
        <is>
          <t>CA</t>
        </is>
      </c>
      <c r="C276" s="52" t="n">
        <v>6.78</v>
      </c>
      <c r="D276" t="inlineStr">
        <is>
          <t>Foundation</t>
        </is>
      </c>
      <c r="E276" s="50" t="n">
        <v>2022</v>
      </c>
      <c r="F276" s="50" t="inlineStr">
        <is>
          <t>2023-11-15</t>
        </is>
      </c>
      <c r="G276" s="50" t="inlineStr">
        <is>
          <t>2022-12-31</t>
        </is>
      </c>
      <c r="H276" t="inlineStr">
        <is>
          <t>Jonathon Schroeder</t>
        </is>
      </c>
      <c r="I276" t="inlineStr">
        <is>
          <t>DIRECTOR OF INVESTME</t>
        </is>
      </c>
      <c r="J276" t="inlineStr">
        <is>
          <t>Director of Investments</t>
        </is>
      </c>
      <c r="K276" t="inlineStr">
        <is>
          <t>Sr Investment Professional</t>
        </is>
      </c>
      <c r="L276" s="28" t="n">
        <v>0</v>
      </c>
      <c r="M276" s="28" t="n">
        <v>0</v>
      </c>
      <c r="N276" s="28" t="n">
        <v>0</v>
      </c>
      <c r="O276" s="28" t="n">
        <v>0</v>
      </c>
      <c r="P276" s="28" t="n">
        <v>0</v>
      </c>
      <c r="Q276" s="28" t="n">
        <v>997072</v>
      </c>
      <c r="R276" s="28" t="n">
        <v>0</v>
      </c>
      <c r="S276" s="28">
        <f>Q276-R276</f>
        <v/>
      </c>
      <c r="T276" s="28">
        <f>IF(S276="","",S276*(1+in_GrowthRate)^(YEARFRAC(DATE(2022,12,31),in_AgeToDate)*IF(in_AgeToDate&lt;DATE(2022,12,31),-1,1)+1))</f>
        <v/>
      </c>
      <c r="U276" s="50">
        <f>IF(AND(AND(OR(in_Mode="All Funds",AND(C276&gt;=in_BandFloor,C276&lt;=in_BandCeiling,OR(in_Geography="National",COUNTIFS(lst_GeoPreset,in_Geography,lst_GeoState,B276)&gt;0,AND(in_Geography="Custom",ISNUMBER(SEARCH(B276,SUBSTITUTE(in_CustomStates," ",""))))),OR(AND(D276="Endowment",Inputs!$B$14="Y"),AND(D276="Foundation",Inputs!$B$15="Y"),AND(D276="Healthcare",Inputs!$B$16="Y"),AND(D276="Pension",Inputs!$B$17="Y"),AND(D276="OCIO",Inputs!$B$18="Y"),AND(D276="Other",Inputs!$B$19="Y")))),A276&lt;&gt;in_ClientOrg,NOT(AND(in_ExclHarvard="Y",ISNUMBER(SEARCH("Harvard",A276))))),$AD276="Y",K276&lt;&gt;"",S276&gt;0),"Y","")</f>
        <v/>
      </c>
      <c r="V276" s="30" t="n">
        <v>0.4888825256485438</v>
      </c>
      <c r="W276" t="inlineStr"/>
      <c r="X276" s="28">
        <f>IF(L276+M276=0,"",L276+M276)</f>
        <v/>
      </c>
      <c r="Y276" s="38">
        <f>IF(L276=0,"",M276/L276)</f>
        <v/>
      </c>
      <c r="Z276" t="inlineStr">
        <is>
          <t>Director &amp; Investment Officer</t>
        </is>
      </c>
      <c r="AA276" t="inlineStr">
        <is>
          <t>Investments</t>
        </is>
      </c>
      <c r="AB276" s="50" t="inlineStr"/>
      <c r="AC276" s="43">
        <f>HYPERLINK("https://projects.propublica.org/nonprofits/organizations/943100217/202343199349103139/full","view filing")</f>
        <v/>
      </c>
      <c r="AD276" s="50" t="inlineStr"/>
    </row>
    <row r="277">
      <c r="A277" t="inlineStr">
        <is>
          <t>Conrad N Hilton Foundation</t>
        </is>
      </c>
      <c r="B277" s="50" t="inlineStr">
        <is>
          <t>CA</t>
        </is>
      </c>
      <c r="C277" s="52" t="n">
        <v>6.78</v>
      </c>
      <c r="D277" t="inlineStr">
        <is>
          <t>Foundation</t>
        </is>
      </c>
      <c r="E277" s="50" t="n">
        <v>2022</v>
      </c>
      <c r="F277" s="50" t="inlineStr">
        <is>
          <t>2023-11-15</t>
        </is>
      </c>
      <c r="G277" s="50" t="inlineStr">
        <is>
          <t>2022-12-31</t>
        </is>
      </c>
      <c r="H277" t="inlineStr">
        <is>
          <t>Michael Buchman</t>
        </is>
      </c>
      <c r="I277" t="inlineStr">
        <is>
          <t>VP AND CIO</t>
        </is>
      </c>
      <c r="J277" t="inlineStr">
        <is>
          <t>CIO</t>
        </is>
      </c>
      <c r="K277" t="inlineStr">
        <is>
          <t>CIO - Top Investment Executive</t>
        </is>
      </c>
      <c r="L277" s="28" t="n">
        <v>0</v>
      </c>
      <c r="M277" s="28" t="n">
        <v>0</v>
      </c>
      <c r="N277" s="28" t="n">
        <v>0</v>
      </c>
      <c r="O277" s="28" t="n">
        <v>0</v>
      </c>
      <c r="P277" s="28" t="n">
        <v>55975</v>
      </c>
      <c r="Q277" s="28" t="n">
        <v>2039492</v>
      </c>
      <c r="R277" s="28" t="n">
        <v>0</v>
      </c>
      <c r="S277" s="28">
        <f>Q277-R277</f>
        <v/>
      </c>
      <c r="T277" s="28">
        <f>IF(S277="","",S277*(1+in_GrowthRate)^(YEARFRAC(DATE(2022,12,31),in_AgeToDate)*IF(in_AgeToDate&lt;DATE(2022,12,31),-1,1)+1))</f>
        <v/>
      </c>
      <c r="U277" s="50">
        <f>IF(AND(AND(OR(in_Mode="All Funds",AND(C277&gt;=in_BandFloor,C277&lt;=in_BandCeiling,OR(in_Geography="National",COUNTIFS(lst_GeoPreset,in_Geography,lst_GeoState,B277)&gt;0,AND(in_Geography="Custom",ISNUMBER(SEARCH(B277,SUBSTITUTE(in_CustomStates," ",""))))),OR(AND(D277="Endowment",Inputs!$B$14="Y"),AND(D277="Foundation",Inputs!$B$15="Y"),AND(D277="Healthcare",Inputs!$B$16="Y"),AND(D277="Pension",Inputs!$B$17="Y"),AND(D277="OCIO",Inputs!$B$18="Y"),AND(D277="Other",Inputs!$B$19="Y")))),A277&lt;&gt;in_ClientOrg,NOT(AND(in_ExclHarvard="Y",ISNUMBER(SEARCH("Harvard",A277))))),$AD277="Y",K277&lt;&gt;"",S277&gt;0),"Y","")</f>
        <v/>
      </c>
      <c r="V277" s="30" t="n">
        <v>1</v>
      </c>
      <c r="W277" t="inlineStr"/>
      <c r="X277" s="28">
        <f>IF(L277+M277=0,"",L277+M277)</f>
        <v/>
      </c>
      <c r="Y277" s="38">
        <f>IF(L277=0,"",M277/L277)</f>
        <v/>
      </c>
      <c r="Z277" t="inlineStr">
        <is>
          <t>CIO - Top Investment Executive</t>
        </is>
      </c>
      <c r="AA277" t="inlineStr">
        <is>
          <t>Leadership</t>
        </is>
      </c>
      <c r="AB277" s="50" t="inlineStr">
        <is>
          <t>Y</t>
        </is>
      </c>
      <c r="AC277" s="43">
        <f>HYPERLINK("https://projects.propublica.org/nonprofits/organizations/943100217/202343199349103139/full","view filing")</f>
        <v/>
      </c>
      <c r="AD277" s="50" t="inlineStr"/>
    </row>
    <row r="278">
      <c r="A278" t="inlineStr">
        <is>
          <t>Conrad N Hilton Foundation</t>
        </is>
      </c>
      <c r="B278" s="50" t="inlineStr">
        <is>
          <t>CA</t>
        </is>
      </c>
      <c r="C278" s="52" t="n">
        <v>6.78</v>
      </c>
      <c r="D278" t="inlineStr">
        <is>
          <t>Foundation</t>
        </is>
      </c>
      <c r="E278" s="50" t="n">
        <v>2022</v>
      </c>
      <c r="F278" s="50" t="inlineStr">
        <is>
          <t>2023-11-15</t>
        </is>
      </c>
      <c r="G278" s="50" t="inlineStr">
        <is>
          <t>2022-12-31</t>
        </is>
      </c>
      <c r="H278" t="inlineStr">
        <is>
          <t>Zane Hamilton End 0522</t>
        </is>
      </c>
      <c r="I278" t="inlineStr">
        <is>
          <t>DIRECTOR OF INVESTME</t>
        </is>
      </c>
      <c r="J278" t="inlineStr">
        <is>
          <t>Director of Investments</t>
        </is>
      </c>
      <c r="K278" t="inlineStr">
        <is>
          <t>Sr Investment Professional</t>
        </is>
      </c>
      <c r="L278" s="28" t="n">
        <v>0</v>
      </c>
      <c r="M278" s="28" t="n">
        <v>0</v>
      </c>
      <c r="N278" s="28" t="n">
        <v>0</v>
      </c>
      <c r="O278" s="28" t="n">
        <v>0</v>
      </c>
      <c r="P278" s="28" t="n">
        <v>0</v>
      </c>
      <c r="Q278" s="28" t="n">
        <v>501659</v>
      </c>
      <c r="R278" s="28" t="n">
        <v>0</v>
      </c>
      <c r="S278" s="28">
        <f>Q278-R278</f>
        <v/>
      </c>
      <c r="T278" s="28">
        <f>IF(S278="","",S278*(1+in_GrowthRate)^(YEARFRAC(DATE(2022,12,31),in_AgeToDate)*IF(in_AgeToDate&lt;DATE(2022,12,31),-1,1)+1))</f>
        <v/>
      </c>
      <c r="U278" s="50">
        <f>IF(AND(AND(OR(in_Mode="All Funds",AND(C278&gt;=in_BandFloor,C278&lt;=in_BandCeiling,OR(in_Geography="National",COUNTIFS(lst_GeoPreset,in_Geography,lst_GeoState,B278)&gt;0,AND(in_Geography="Custom",ISNUMBER(SEARCH(B278,SUBSTITUTE(in_CustomStates," ",""))))),OR(AND(D278="Endowment",Inputs!$B$14="Y"),AND(D278="Foundation",Inputs!$B$15="Y"),AND(D278="Healthcare",Inputs!$B$16="Y"),AND(D278="Pension",Inputs!$B$17="Y"),AND(D278="OCIO",Inputs!$B$18="Y"),AND(D278="Other",Inputs!$B$19="Y")))),A278&lt;&gt;in_ClientOrg,NOT(AND(in_ExclHarvard="Y",ISNUMBER(SEARCH("Harvard",A278))))),$AD278="Y",K278&lt;&gt;"",S278&gt;0),"Y","")</f>
        <v/>
      </c>
      <c r="V278" s="30" t="n">
        <v>0.2459725264918911</v>
      </c>
      <c r="W278" t="inlineStr"/>
      <c r="X278" s="28">
        <f>IF(L278+M278=0,"",L278+M278)</f>
        <v/>
      </c>
      <c r="Y278" s="38">
        <f>IF(L278=0,"",M278/L278)</f>
        <v/>
      </c>
      <c r="Z278" t="inlineStr">
        <is>
          <t>Director &amp; Investment Officer</t>
        </is>
      </c>
      <c r="AA278" t="inlineStr">
        <is>
          <t>Investments</t>
        </is>
      </c>
      <c r="AB278" s="50" t="inlineStr"/>
      <c r="AC278" s="43">
        <f>HYPERLINK("https://projects.propublica.org/nonprofits/organizations/943100217/202343199349103139/full","view filing")</f>
        <v/>
      </c>
      <c r="AD278" s="50" t="inlineStr"/>
    </row>
    <row r="279">
      <c r="A279" t="inlineStr">
        <is>
          <t>Cornell University</t>
        </is>
      </c>
      <c r="B279" s="50" t="inlineStr">
        <is>
          <t>NY</t>
        </is>
      </c>
      <c r="C279" s="52" t="n">
        <v>11.75</v>
      </c>
      <c r="D279" t="inlineStr">
        <is>
          <t>Endowment</t>
        </is>
      </c>
      <c r="E279" s="50" t="n">
        <v>2025</v>
      </c>
      <c r="F279" s="50" t="inlineStr">
        <is>
          <t>2026-05-12</t>
        </is>
      </c>
      <c r="G279" s="50" t="inlineStr">
        <is>
          <t>2025-06-30</t>
        </is>
      </c>
      <c r="H279" t="inlineStr">
        <is>
          <t>Kenneth Miranda</t>
        </is>
      </c>
      <c r="I279" t="inlineStr">
        <is>
          <t>CHIEF INVESTMENT OFFICER</t>
        </is>
      </c>
      <c r="J279" t="inlineStr">
        <is>
          <t>CIO</t>
        </is>
      </c>
      <c r="K279" t="inlineStr">
        <is>
          <t>CIO - Top Investment Executive</t>
        </is>
      </c>
      <c r="L279" s="28" t="n">
        <v>1022564</v>
      </c>
      <c r="M279" s="28" t="n">
        <v>1122395</v>
      </c>
      <c r="N279" s="28" t="n">
        <v>75830</v>
      </c>
      <c r="O279" s="28" t="n">
        <v>0</v>
      </c>
      <c r="P279" s="28" t="n">
        <v>1533</v>
      </c>
      <c r="Q279" s="28" t="n">
        <v>2222322</v>
      </c>
      <c r="R279" s="28" t="n">
        <v>0</v>
      </c>
      <c r="S279" s="28">
        <f>Q279-R279</f>
        <v/>
      </c>
      <c r="T279" s="28">
        <f>IF(S279="","",S279*(1+in_GrowthRate)^(YEARFRAC(DATE(2025,6,30),in_AgeToDate)*IF(in_AgeToDate&lt;DATE(2025,6,30),-1,1)+1))</f>
        <v/>
      </c>
      <c r="U279" s="50">
        <f>IF(AND(AND(OR(in_Mode="All Funds",AND(C279&gt;=in_BandFloor,C279&lt;=in_BandCeiling,OR(in_Geography="National",COUNTIFS(lst_GeoPreset,in_Geography,lst_GeoState,B279)&gt;0,AND(in_Geography="Custom",ISNUMBER(SEARCH(B279,SUBSTITUTE(in_CustomStates," ",""))))),OR(AND(D279="Endowment",Inputs!$B$14="Y"),AND(D279="Foundation",Inputs!$B$15="Y"),AND(D279="Healthcare",Inputs!$B$16="Y"),AND(D279="Pension",Inputs!$B$17="Y"),AND(D279="OCIO",Inputs!$B$18="Y"),AND(D279="Other",Inputs!$B$19="Y")))),A279&lt;&gt;in_ClientOrg,NOT(AND(in_ExclHarvard="Y",ISNUMBER(SEARCH("Harvard",A279))))),$AD279="Y",K279&lt;&gt;"",S279&gt;0),"Y","")</f>
        <v/>
      </c>
      <c r="V279" s="30" t="n">
        <v>1</v>
      </c>
      <c r="W279" t="inlineStr"/>
      <c r="X279" s="28">
        <f>IF(L279+M279=0,"",L279+M279)</f>
        <v/>
      </c>
      <c r="Y279" s="38">
        <f>IF(L279=0,"",M279/L279)</f>
        <v/>
      </c>
      <c r="Z279" t="inlineStr">
        <is>
          <t>CIO - Top Investment Executive</t>
        </is>
      </c>
      <c r="AA279" t="inlineStr">
        <is>
          <t>Leadership</t>
        </is>
      </c>
      <c r="AB279" s="50" t="inlineStr">
        <is>
          <t>Y</t>
        </is>
      </c>
      <c r="AC279" s="43">
        <f>HYPERLINK("https://projects.propublica.org/nonprofits/organizations/150532082/202631329349305043/full","view filing")</f>
        <v/>
      </c>
      <c r="AD279" s="50" t="inlineStr">
        <is>
          <t>Y</t>
        </is>
      </c>
    </row>
    <row r="280">
      <c r="A280" t="inlineStr">
        <is>
          <t>Cornell University</t>
        </is>
      </c>
      <c r="B280" s="50" t="inlineStr">
        <is>
          <t>NY</t>
        </is>
      </c>
      <c r="C280" s="52" t="n">
        <v>11.75</v>
      </c>
      <c r="D280" t="inlineStr">
        <is>
          <t>Endowment</t>
        </is>
      </c>
      <c r="E280" s="50" t="n">
        <v>2024</v>
      </c>
      <c r="F280" s="50" t="inlineStr">
        <is>
          <t>2025-05-13</t>
        </is>
      </c>
      <c r="G280" s="50" t="inlineStr">
        <is>
          <t>2024-06-30</t>
        </is>
      </c>
      <c r="H280" t="inlineStr">
        <is>
          <t>Kenneth Miranda</t>
        </is>
      </c>
      <c r="I280" t="inlineStr">
        <is>
          <t>CHIEF INVESMENT OFFICER</t>
        </is>
      </c>
      <c r="J280" t="inlineStr">
        <is>
          <t>CIO</t>
        </is>
      </c>
      <c r="K280" t="inlineStr">
        <is>
          <t>CIO - Top Investment Executive</t>
        </is>
      </c>
      <c r="L280" s="28" t="n">
        <v>976717</v>
      </c>
      <c r="M280" s="28" t="n">
        <v>1754096</v>
      </c>
      <c r="N280" s="28" t="n">
        <v>72677</v>
      </c>
      <c r="O280" s="28" t="n">
        <v>33000</v>
      </c>
      <c r="P280" s="28" t="n">
        <v>1533</v>
      </c>
      <c r="Q280" s="28" t="n">
        <v>2838023</v>
      </c>
      <c r="R280" s="28" t="n">
        <v>0</v>
      </c>
      <c r="S280" s="28">
        <f>Q280-R280</f>
        <v/>
      </c>
      <c r="T280" s="28">
        <f>IF(S280="","",S280*(1+in_GrowthRate)^(YEARFRAC(DATE(2024,6,30),in_AgeToDate)*IF(in_AgeToDate&lt;DATE(2024,6,30),-1,1)+1))</f>
        <v/>
      </c>
      <c r="U280" s="50">
        <f>IF(AND(AND(OR(in_Mode="All Funds",AND(C280&gt;=in_BandFloor,C280&lt;=in_BandCeiling,OR(in_Geography="National",COUNTIFS(lst_GeoPreset,in_Geography,lst_GeoState,B280)&gt;0,AND(in_Geography="Custom",ISNUMBER(SEARCH(B280,SUBSTITUTE(in_CustomStates," ",""))))),OR(AND(D280="Endowment",Inputs!$B$14="Y"),AND(D280="Foundation",Inputs!$B$15="Y"),AND(D280="Healthcare",Inputs!$B$16="Y"),AND(D280="Pension",Inputs!$B$17="Y"),AND(D280="OCIO",Inputs!$B$18="Y"),AND(D280="Other",Inputs!$B$19="Y")))),A280&lt;&gt;in_ClientOrg,NOT(AND(in_ExclHarvard="Y",ISNUMBER(SEARCH("Harvard",A280))))),$AD280="Y",K280&lt;&gt;"",S280&gt;0),"Y","")</f>
        <v/>
      </c>
      <c r="V280" s="30" t="n">
        <v>1</v>
      </c>
      <c r="W280" t="inlineStr"/>
      <c r="X280" s="28">
        <f>IF(L280+M280=0,"",L280+M280)</f>
        <v/>
      </c>
      <c r="Y280" s="38">
        <f>IF(L280=0,"",M280/L280)</f>
        <v/>
      </c>
      <c r="Z280" t="inlineStr">
        <is>
          <t>CIO - Top Investment Executive</t>
        </is>
      </c>
      <c r="AA280" t="inlineStr">
        <is>
          <t>Leadership</t>
        </is>
      </c>
      <c r="AB280" s="50" t="inlineStr">
        <is>
          <t>Y</t>
        </is>
      </c>
      <c r="AC280" s="43">
        <f>HYPERLINK("https://projects.propublica.org/nonprofits/organizations/150532082/202511339349300031/full","view filing")</f>
        <v/>
      </c>
      <c r="AD280" s="50" t="inlineStr"/>
    </row>
    <row r="281">
      <c r="A281" t="inlineStr">
        <is>
          <t>Cornell University</t>
        </is>
      </c>
      <c r="B281" s="50" t="inlineStr">
        <is>
          <t>NY</t>
        </is>
      </c>
      <c r="C281" s="52" t="n">
        <v>11.75</v>
      </c>
      <c r="D281" t="inlineStr">
        <is>
          <t>Endowment</t>
        </is>
      </c>
      <c r="E281" s="50" t="n">
        <v>2023</v>
      </c>
      <c r="F281" s="50" t="inlineStr">
        <is>
          <t>2024-05-10</t>
        </is>
      </c>
      <c r="G281" s="50" t="inlineStr">
        <is>
          <t>2023-06-30</t>
        </is>
      </c>
      <c r="H281" t="inlineStr">
        <is>
          <t>Kenneth Miranda</t>
        </is>
      </c>
      <c r="I281" t="inlineStr">
        <is>
          <t>CHIEF INVESMENT OFFICER</t>
        </is>
      </c>
      <c r="J281" t="inlineStr">
        <is>
          <t>CIO</t>
        </is>
      </c>
      <c r="K281" t="inlineStr">
        <is>
          <t>CIO - Top Investment Executive</t>
        </is>
      </c>
      <c r="L281" s="28" t="n">
        <v>882484</v>
      </c>
      <c r="M281" s="28" t="n">
        <v>1668978</v>
      </c>
      <c r="N281" s="28" t="n">
        <v>120252</v>
      </c>
      <c r="O281" s="28" t="n">
        <v>30500</v>
      </c>
      <c r="P281" s="28" t="n">
        <v>557</v>
      </c>
      <c r="Q281" s="28" t="n">
        <v>2702771</v>
      </c>
      <c r="R281" s="28" t="n">
        <v>0</v>
      </c>
      <c r="S281" s="28">
        <f>Q281-R281</f>
        <v/>
      </c>
      <c r="T281" s="28">
        <f>IF(S281="","",S281*(1+in_GrowthRate)^(YEARFRAC(DATE(2023,6,30),in_AgeToDate)*IF(in_AgeToDate&lt;DATE(2023,6,30),-1,1)+1))</f>
        <v/>
      </c>
      <c r="U281" s="50">
        <f>IF(AND(AND(OR(in_Mode="All Funds",AND(C281&gt;=in_BandFloor,C281&lt;=in_BandCeiling,OR(in_Geography="National",COUNTIFS(lst_GeoPreset,in_Geography,lst_GeoState,B281)&gt;0,AND(in_Geography="Custom",ISNUMBER(SEARCH(B281,SUBSTITUTE(in_CustomStates," ",""))))),OR(AND(D281="Endowment",Inputs!$B$14="Y"),AND(D281="Foundation",Inputs!$B$15="Y"),AND(D281="Healthcare",Inputs!$B$16="Y"),AND(D281="Pension",Inputs!$B$17="Y"),AND(D281="OCIO",Inputs!$B$18="Y"),AND(D281="Other",Inputs!$B$19="Y")))),A281&lt;&gt;in_ClientOrg,NOT(AND(in_ExclHarvard="Y",ISNUMBER(SEARCH("Harvard",A281))))),$AD281="Y",K281&lt;&gt;"",S281&gt;0),"Y","")</f>
        <v/>
      </c>
      <c r="V281" s="30" t="n">
        <v>1</v>
      </c>
      <c r="W281" t="inlineStr"/>
      <c r="X281" s="28">
        <f>IF(L281+M281=0,"",L281+M281)</f>
        <v/>
      </c>
      <c r="Y281" s="38">
        <f>IF(L281=0,"",M281/L281)</f>
        <v/>
      </c>
      <c r="Z281" t="inlineStr">
        <is>
          <t>CIO - Top Investment Executive</t>
        </is>
      </c>
      <c r="AA281" t="inlineStr">
        <is>
          <t>Leadership</t>
        </is>
      </c>
      <c r="AB281" s="50" t="inlineStr">
        <is>
          <t>Y</t>
        </is>
      </c>
      <c r="AC281" s="43">
        <f>HYPERLINK("https://projects.propublica.org/nonprofits/organizations/150532082/202401319349304360/full","view filing")</f>
        <v/>
      </c>
      <c r="AD281" s="50" t="inlineStr"/>
    </row>
    <row r="282">
      <c r="A282" t="inlineStr">
        <is>
          <t>Cornell University</t>
        </is>
      </c>
      <c r="B282" s="50" t="inlineStr">
        <is>
          <t>NY</t>
        </is>
      </c>
      <c r="C282" s="52" t="n">
        <v>11.75</v>
      </c>
      <c r="D282" t="inlineStr">
        <is>
          <t>Endowment</t>
        </is>
      </c>
      <c r="E282" s="50" t="n">
        <v>2022</v>
      </c>
      <c r="F282" s="50" t="inlineStr">
        <is>
          <t>2023-05-09</t>
        </is>
      </c>
      <c r="G282" s="50" t="inlineStr">
        <is>
          <t>2022-06-30</t>
        </is>
      </c>
      <c r="H282" t="inlineStr">
        <is>
          <t>Kenneth Miranda</t>
        </is>
      </c>
      <c r="I282" t="inlineStr">
        <is>
          <t>CHIEF INVESMENT OFFICER</t>
        </is>
      </c>
      <c r="J282" t="inlineStr">
        <is>
          <t>CIO</t>
        </is>
      </c>
      <c r="K282" t="inlineStr">
        <is>
          <t>CIO - Top Investment Executive</t>
        </is>
      </c>
      <c r="L282" s="28" t="n">
        <v>818138</v>
      </c>
      <c r="M282" s="28" t="n">
        <v>1420251</v>
      </c>
      <c r="N282" s="28" t="n">
        <v>154228</v>
      </c>
      <c r="O282" s="28" t="n">
        <v>29000</v>
      </c>
      <c r="P282" s="28" t="n">
        <v>548</v>
      </c>
      <c r="Q282" s="28" t="n">
        <v>2422165</v>
      </c>
      <c r="R282" s="28" t="n">
        <v>0</v>
      </c>
      <c r="S282" s="28">
        <f>Q282-R282</f>
        <v/>
      </c>
      <c r="T282" s="28">
        <f>IF(S282="","",S282*(1+in_GrowthRate)^(YEARFRAC(DATE(2022,6,30),in_AgeToDate)*IF(in_AgeToDate&lt;DATE(2022,6,30),-1,1)+1))</f>
        <v/>
      </c>
      <c r="U282" s="50">
        <f>IF(AND(AND(OR(in_Mode="All Funds",AND(C282&gt;=in_BandFloor,C282&lt;=in_BandCeiling,OR(in_Geography="National",COUNTIFS(lst_GeoPreset,in_Geography,lst_GeoState,B282)&gt;0,AND(in_Geography="Custom",ISNUMBER(SEARCH(B282,SUBSTITUTE(in_CustomStates," ",""))))),OR(AND(D282="Endowment",Inputs!$B$14="Y"),AND(D282="Foundation",Inputs!$B$15="Y"),AND(D282="Healthcare",Inputs!$B$16="Y"),AND(D282="Pension",Inputs!$B$17="Y"),AND(D282="OCIO",Inputs!$B$18="Y"),AND(D282="Other",Inputs!$B$19="Y")))),A282&lt;&gt;in_ClientOrg,NOT(AND(in_ExclHarvard="Y",ISNUMBER(SEARCH("Harvard",A282))))),$AD282="Y",K282&lt;&gt;"",S282&gt;0),"Y","")</f>
        <v/>
      </c>
      <c r="V282" s="30" t="n">
        <v>1</v>
      </c>
      <c r="W282" t="inlineStr"/>
      <c r="X282" s="28">
        <f>IF(L282+M282=0,"",L282+M282)</f>
        <v/>
      </c>
      <c r="Y282" s="38">
        <f>IF(L282=0,"",M282/L282)</f>
        <v/>
      </c>
      <c r="Z282" t="inlineStr">
        <is>
          <t>CIO - Top Investment Executive</t>
        </is>
      </c>
      <c r="AA282" t="inlineStr">
        <is>
          <t>Leadership</t>
        </is>
      </c>
      <c r="AB282" s="50" t="inlineStr">
        <is>
          <t>Y</t>
        </is>
      </c>
      <c r="AC282" s="43">
        <f>HYPERLINK("https://projects.propublica.org/nonprofits/organizations/150532082/202311299349304021/full","view filing")</f>
        <v/>
      </c>
      <c r="AD282" s="50" t="inlineStr"/>
    </row>
    <row r="283">
      <c r="A283" t="inlineStr">
        <is>
          <t>Corporation Of Haverford College</t>
        </is>
      </c>
      <c r="B283" s="50" t="inlineStr">
        <is>
          <t>PA</t>
        </is>
      </c>
      <c r="C283" s="52" t="n">
        <v>0.76</v>
      </c>
      <c r="D283" t="inlineStr">
        <is>
          <t>Endowment</t>
        </is>
      </c>
      <c r="E283" s="50" t="n">
        <v>2022</v>
      </c>
      <c r="F283" s="50" t="inlineStr">
        <is>
          <t>2023-05-11</t>
        </is>
      </c>
      <c r="G283" s="50" t="inlineStr">
        <is>
          <t>2022-06-30</t>
        </is>
      </c>
      <c r="H283" t="inlineStr">
        <is>
          <t>Michael H Casel</t>
        </is>
      </c>
      <c r="I283" t="inlineStr">
        <is>
          <t>CHIEF INVEST OFFICER, ASST TREASURER</t>
        </is>
      </c>
      <c r="J283" t="inlineStr">
        <is>
          <t>CIO</t>
        </is>
      </c>
      <c r="K283" t="inlineStr">
        <is>
          <t>CIO - Top Investment Executive</t>
        </is>
      </c>
      <c r="L283" s="28" t="n">
        <v>306468</v>
      </c>
      <c r="M283" s="28" t="n">
        <v>0</v>
      </c>
      <c r="N283" s="28" t="n">
        <v>0</v>
      </c>
      <c r="O283" s="28" t="n">
        <v>28936</v>
      </c>
      <c r="P283" s="28" t="n">
        <v>34536</v>
      </c>
      <c r="Q283" s="28" t="n">
        <v>369940</v>
      </c>
      <c r="R283" s="28" t="n">
        <v>0</v>
      </c>
      <c r="S283" s="28">
        <f>Q283-R283</f>
        <v/>
      </c>
      <c r="T283" s="28">
        <f>IF(S283="","",S283*(1+in_GrowthRate)^(YEARFRAC(DATE(2022,6,30),in_AgeToDate)*IF(in_AgeToDate&lt;DATE(2022,6,30),-1,1)+1))</f>
        <v/>
      </c>
      <c r="U283" s="50">
        <f>IF(AND(AND(OR(in_Mode="All Funds",AND(C283&gt;=in_BandFloor,C283&lt;=in_BandCeiling,OR(in_Geography="National",COUNTIFS(lst_GeoPreset,in_Geography,lst_GeoState,B283)&gt;0,AND(in_Geography="Custom",ISNUMBER(SEARCH(B283,SUBSTITUTE(in_CustomStates," ",""))))),OR(AND(D283="Endowment",Inputs!$B$14="Y"),AND(D283="Foundation",Inputs!$B$15="Y"),AND(D283="Healthcare",Inputs!$B$16="Y"),AND(D283="Pension",Inputs!$B$17="Y"),AND(D283="OCIO",Inputs!$B$18="Y"),AND(D283="Other",Inputs!$B$19="Y")))),A283&lt;&gt;in_ClientOrg,NOT(AND(in_ExclHarvard="Y",ISNUMBER(SEARCH("Harvard",A283))))),$AD283="Y",K283&lt;&gt;"",S283&gt;0),"Y","")</f>
        <v/>
      </c>
      <c r="V283" s="30" t="n">
        <v>1</v>
      </c>
      <c r="W283" t="inlineStr"/>
      <c r="X283" s="28">
        <f>IF(L283+M283=0,"",L283+M283)</f>
        <v/>
      </c>
      <c r="Y283" s="38">
        <f>IF(L283=0,"",M283/L283)</f>
        <v/>
      </c>
      <c r="Z283" t="inlineStr">
        <is>
          <t>CIO - Top Investment Executive</t>
        </is>
      </c>
      <c r="AA283" t="inlineStr">
        <is>
          <t>Leadership</t>
        </is>
      </c>
      <c r="AB283" s="50" t="inlineStr">
        <is>
          <t>Y</t>
        </is>
      </c>
      <c r="AC283" s="43">
        <f>HYPERLINK("https://projects.propublica.org/nonprofits/organizations/236002304/202301319349305265/full","view filing")</f>
        <v/>
      </c>
      <c r="AD283" s="50" t="inlineStr"/>
    </row>
    <row r="284">
      <c r="A284" t="inlineStr">
        <is>
          <t>Council On Foreign Relations Inc</t>
        </is>
      </c>
      <c r="B284" s="50" t="inlineStr">
        <is>
          <t>NY</t>
        </is>
      </c>
      <c r="C284" s="52" t="n">
        <v>0.73</v>
      </c>
      <c r="D284" t="inlineStr">
        <is>
          <t>Other</t>
        </is>
      </c>
      <c r="E284" s="50" t="n">
        <v>2025</v>
      </c>
      <c r="F284" s="50" t="inlineStr">
        <is>
          <t>2026-03-16</t>
        </is>
      </c>
      <c r="G284" s="50" t="inlineStr">
        <is>
          <t>2025-06-30</t>
        </is>
      </c>
      <c r="H284" t="inlineStr">
        <is>
          <t>Giovanna M Ban</t>
        </is>
      </c>
      <c r="I284" t="inlineStr">
        <is>
          <t>CHIEF INVESTMENT OFFICER</t>
        </is>
      </c>
      <c r="J284" t="inlineStr">
        <is>
          <t>CIO</t>
        </is>
      </c>
      <c r="K284" t="inlineStr">
        <is>
          <t>CIO - Top Investment Executive</t>
        </is>
      </c>
      <c r="L284" s="28" t="n">
        <v>484221</v>
      </c>
      <c r="M284" s="28" t="n">
        <v>103500</v>
      </c>
      <c r="N284" s="28" t="n">
        <v>374</v>
      </c>
      <c r="O284" s="28" t="n">
        <v>27000</v>
      </c>
      <c r="P284" s="28" t="n">
        <v>45694</v>
      </c>
      <c r="Q284" s="28" t="n">
        <v>660789</v>
      </c>
      <c r="R284" s="28" t="n">
        <v>0</v>
      </c>
      <c r="S284" s="28">
        <f>Q284-R284</f>
        <v/>
      </c>
      <c r="T284" s="28">
        <f>IF(S284="","",S284*(1+in_GrowthRate)^(YEARFRAC(DATE(2025,6,30),in_AgeToDate)*IF(in_AgeToDate&lt;DATE(2025,6,30),-1,1)+1))</f>
        <v/>
      </c>
      <c r="U284" s="50">
        <f>IF(AND(AND(OR(in_Mode="All Funds",AND(C284&gt;=in_BandFloor,C284&lt;=in_BandCeiling,OR(in_Geography="National",COUNTIFS(lst_GeoPreset,in_Geography,lst_GeoState,B284)&gt;0,AND(in_Geography="Custom",ISNUMBER(SEARCH(B284,SUBSTITUTE(in_CustomStates," ",""))))),OR(AND(D284="Endowment",Inputs!$B$14="Y"),AND(D284="Foundation",Inputs!$B$15="Y"),AND(D284="Healthcare",Inputs!$B$16="Y"),AND(D284="Pension",Inputs!$B$17="Y"),AND(D284="OCIO",Inputs!$B$18="Y"),AND(D284="Other",Inputs!$B$19="Y")))),A284&lt;&gt;in_ClientOrg,NOT(AND(in_ExclHarvard="Y",ISNUMBER(SEARCH("Harvard",A284))))),$AD284="Y",K284&lt;&gt;"",S284&gt;0),"Y","")</f>
        <v/>
      </c>
      <c r="V284" s="30" t="n">
        <v>1</v>
      </c>
      <c r="W284" t="inlineStr"/>
      <c r="X284" s="28">
        <f>IF(L284+M284=0,"",L284+M284)</f>
        <v/>
      </c>
      <c r="Y284" s="38">
        <f>IF(L284=0,"",M284/L284)</f>
        <v/>
      </c>
      <c r="Z284" t="inlineStr">
        <is>
          <t>CIO - Top Investment Executive</t>
        </is>
      </c>
      <c r="AA284" t="inlineStr">
        <is>
          <t>Leadership</t>
        </is>
      </c>
      <c r="AB284" s="50" t="inlineStr">
        <is>
          <t>Y</t>
        </is>
      </c>
      <c r="AC284" s="43">
        <f>HYPERLINK("https://projects.propublica.org/nonprofits/organizations/131628168/202630759349300968/full","view filing")</f>
        <v/>
      </c>
      <c r="AD284" s="50" t="inlineStr">
        <is>
          <t>Y</t>
        </is>
      </c>
    </row>
    <row r="285">
      <c r="A285" t="inlineStr">
        <is>
          <t>Council On Foreign Relations Inc</t>
        </is>
      </c>
      <c r="B285" s="50" t="inlineStr">
        <is>
          <t>NY</t>
        </is>
      </c>
      <c r="C285" s="52" t="n">
        <v>0.73</v>
      </c>
      <c r="D285" t="inlineStr">
        <is>
          <t>Other</t>
        </is>
      </c>
      <c r="E285" s="50" t="n">
        <v>2024</v>
      </c>
      <c r="F285" s="50" t="inlineStr">
        <is>
          <t>2025-03-11</t>
        </is>
      </c>
      <c r="G285" s="50" t="inlineStr">
        <is>
          <t>2024-06-30</t>
        </is>
      </c>
      <c r="H285" t="inlineStr">
        <is>
          <t>Giovanna M Ban</t>
        </is>
      </c>
      <c r="I285" t="inlineStr">
        <is>
          <t>CHIEF INVESTMENT OFFICER</t>
        </is>
      </c>
      <c r="J285" t="inlineStr">
        <is>
          <t>CIO</t>
        </is>
      </c>
      <c r="K285" t="inlineStr">
        <is>
          <t>CIO - Top Investment Executive</t>
        </is>
      </c>
      <c r="L285" s="28" t="n">
        <v>464273</v>
      </c>
      <c r="M285" s="28" t="n">
        <v>100000</v>
      </c>
      <c r="N285" s="28" t="n">
        <v>381</v>
      </c>
      <c r="O285" s="28" t="n">
        <v>25400</v>
      </c>
      <c r="P285" s="28" t="n">
        <v>42007</v>
      </c>
      <c r="Q285" s="28" t="n">
        <v>632061</v>
      </c>
      <c r="R285" s="28" t="n">
        <v>0</v>
      </c>
      <c r="S285" s="28">
        <f>Q285-R285</f>
        <v/>
      </c>
      <c r="T285" s="28">
        <f>IF(S285="","",S285*(1+in_GrowthRate)^(YEARFRAC(DATE(2024,6,30),in_AgeToDate)*IF(in_AgeToDate&lt;DATE(2024,6,30),-1,1)+1))</f>
        <v/>
      </c>
      <c r="U285" s="50">
        <f>IF(AND(AND(OR(in_Mode="All Funds",AND(C285&gt;=in_BandFloor,C285&lt;=in_BandCeiling,OR(in_Geography="National",COUNTIFS(lst_GeoPreset,in_Geography,lst_GeoState,B285)&gt;0,AND(in_Geography="Custom",ISNUMBER(SEARCH(B285,SUBSTITUTE(in_CustomStates," ",""))))),OR(AND(D285="Endowment",Inputs!$B$14="Y"),AND(D285="Foundation",Inputs!$B$15="Y"),AND(D285="Healthcare",Inputs!$B$16="Y"),AND(D285="Pension",Inputs!$B$17="Y"),AND(D285="OCIO",Inputs!$B$18="Y"),AND(D285="Other",Inputs!$B$19="Y")))),A285&lt;&gt;in_ClientOrg,NOT(AND(in_ExclHarvard="Y",ISNUMBER(SEARCH("Harvard",A285))))),$AD285="Y",K285&lt;&gt;"",S285&gt;0),"Y","")</f>
        <v/>
      </c>
      <c r="V285" s="30" t="n">
        <v>1</v>
      </c>
      <c r="W285" t="inlineStr"/>
      <c r="X285" s="28">
        <f>IF(L285+M285=0,"",L285+M285)</f>
        <v/>
      </c>
      <c r="Y285" s="38">
        <f>IF(L285=0,"",M285/L285)</f>
        <v/>
      </c>
      <c r="Z285" t="inlineStr">
        <is>
          <t>CIO - Top Investment Executive</t>
        </is>
      </c>
      <c r="AA285" t="inlineStr">
        <is>
          <t>Leadership</t>
        </is>
      </c>
      <c r="AB285" s="50" t="inlineStr">
        <is>
          <t>Y</t>
        </is>
      </c>
      <c r="AC285" s="43">
        <f>HYPERLINK("https://projects.propublica.org/nonprofits/organizations/131628168/202510709349301901/full","view filing")</f>
        <v/>
      </c>
      <c r="AD285" s="50" t="inlineStr"/>
    </row>
    <row r="286">
      <c r="A286" t="inlineStr">
        <is>
          <t>Council On Foreign Relations Inc</t>
        </is>
      </c>
      <c r="B286" s="50" t="inlineStr">
        <is>
          <t>NY</t>
        </is>
      </c>
      <c r="C286" s="52" t="n">
        <v>0.73</v>
      </c>
      <c r="D286" t="inlineStr">
        <is>
          <t>Other</t>
        </is>
      </c>
      <c r="E286" s="50" t="n">
        <v>2023</v>
      </c>
      <c r="F286" s="50" t="inlineStr">
        <is>
          <t>2024-01-16</t>
        </is>
      </c>
      <c r="G286" s="50" t="inlineStr">
        <is>
          <t>2023-06-30</t>
        </is>
      </c>
      <c r="H286" t="inlineStr">
        <is>
          <t>Giovanna M Ban</t>
        </is>
      </c>
      <c r="I286" t="inlineStr">
        <is>
          <t>CHIEF INVESTMENT OFFICER</t>
        </is>
      </c>
      <c r="J286" t="inlineStr">
        <is>
          <t>CIO</t>
        </is>
      </c>
      <c r="K286" t="inlineStr">
        <is>
          <t>CIO - Top Investment Executive</t>
        </is>
      </c>
      <c r="L286" s="28" t="n">
        <v>442174</v>
      </c>
      <c r="M286" s="28" t="n">
        <v>82000</v>
      </c>
      <c r="N286" s="28" t="n">
        <v>360</v>
      </c>
      <c r="O286" s="28" t="n">
        <v>23805</v>
      </c>
      <c r="P286" s="28" t="n">
        <v>39773</v>
      </c>
      <c r="Q286" s="28" t="n">
        <v>588112</v>
      </c>
      <c r="R286" s="28" t="n">
        <v>0</v>
      </c>
      <c r="S286" s="28">
        <f>Q286-R286</f>
        <v/>
      </c>
      <c r="T286" s="28">
        <f>IF(S286="","",S286*(1+in_GrowthRate)^(YEARFRAC(DATE(2023,6,30),in_AgeToDate)*IF(in_AgeToDate&lt;DATE(2023,6,30),-1,1)+1))</f>
        <v/>
      </c>
      <c r="U286" s="50">
        <f>IF(AND(AND(OR(in_Mode="All Funds",AND(C286&gt;=in_BandFloor,C286&lt;=in_BandCeiling,OR(in_Geography="National",COUNTIFS(lst_GeoPreset,in_Geography,lst_GeoState,B286)&gt;0,AND(in_Geography="Custom",ISNUMBER(SEARCH(B286,SUBSTITUTE(in_CustomStates," ",""))))),OR(AND(D286="Endowment",Inputs!$B$14="Y"),AND(D286="Foundation",Inputs!$B$15="Y"),AND(D286="Healthcare",Inputs!$B$16="Y"),AND(D286="Pension",Inputs!$B$17="Y"),AND(D286="OCIO",Inputs!$B$18="Y"),AND(D286="Other",Inputs!$B$19="Y")))),A286&lt;&gt;in_ClientOrg,NOT(AND(in_ExclHarvard="Y",ISNUMBER(SEARCH("Harvard",A286))))),$AD286="Y",K286&lt;&gt;"",S286&gt;0),"Y","")</f>
        <v/>
      </c>
      <c r="V286" s="30" t="n">
        <v>1</v>
      </c>
      <c r="W286" t="inlineStr"/>
      <c r="X286" s="28">
        <f>IF(L286+M286=0,"",L286+M286)</f>
        <v/>
      </c>
      <c r="Y286" s="38">
        <f>IF(L286=0,"",M286/L286)</f>
        <v/>
      </c>
      <c r="Z286" t="inlineStr">
        <is>
          <t>CIO - Top Investment Executive</t>
        </is>
      </c>
      <c r="AA286" t="inlineStr">
        <is>
          <t>Leadership</t>
        </is>
      </c>
      <c r="AB286" s="50" t="inlineStr">
        <is>
          <t>Y</t>
        </is>
      </c>
      <c r="AC286" s="43">
        <f>HYPERLINK("https://projects.propublica.org/nonprofits/organizations/131628168/202430169349300598/full","view filing")</f>
        <v/>
      </c>
      <c r="AD286" s="50" t="inlineStr"/>
    </row>
    <row r="287">
      <c r="A287" t="inlineStr">
        <is>
          <t>Council On Foreign Relations Inc</t>
        </is>
      </c>
      <c r="B287" s="50" t="inlineStr">
        <is>
          <t>NY</t>
        </is>
      </c>
      <c r="C287" s="52" t="n">
        <v>0.73</v>
      </c>
      <c r="D287" t="inlineStr">
        <is>
          <t>Other</t>
        </is>
      </c>
      <c r="E287" s="50" t="n">
        <v>2023</v>
      </c>
      <c r="F287" s="50" t="inlineStr">
        <is>
          <t>2024-01-16</t>
        </is>
      </c>
      <c r="G287" s="50" t="inlineStr">
        <is>
          <t>2023-06-30</t>
        </is>
      </c>
      <c r="H287" t="inlineStr">
        <is>
          <t>Raquel L Chmielewski</t>
        </is>
      </c>
      <c r="I287" t="inlineStr">
        <is>
          <t>DIRECTOR, INVESTMENTS</t>
        </is>
      </c>
      <c r="J287" t="inlineStr">
        <is>
          <t>Director of Investments</t>
        </is>
      </c>
      <c r="K287" t="inlineStr">
        <is>
          <t>Sr Investment Professional</t>
        </is>
      </c>
      <c r="L287" s="28" t="n">
        <v>267602</v>
      </c>
      <c r="M287" s="28" t="n">
        <v>41500</v>
      </c>
      <c r="N287" s="28" t="n">
        <v>240</v>
      </c>
      <c r="O287" s="28" t="n">
        <v>21964</v>
      </c>
      <c r="P287" s="28" t="n">
        <v>6950</v>
      </c>
      <c r="Q287" s="28" t="n">
        <v>338256</v>
      </c>
      <c r="R287" s="28" t="n">
        <v>0</v>
      </c>
      <c r="S287" s="28">
        <f>Q287-R287</f>
        <v/>
      </c>
      <c r="T287" s="28">
        <f>IF(S287="","",S287*(1+in_GrowthRate)^(YEARFRAC(DATE(2023,6,30),in_AgeToDate)*IF(in_AgeToDate&lt;DATE(2023,6,30),-1,1)+1))</f>
        <v/>
      </c>
      <c r="U287" s="50">
        <f>IF(AND(AND(OR(in_Mode="All Funds",AND(C287&gt;=in_BandFloor,C287&lt;=in_BandCeiling,OR(in_Geography="National",COUNTIFS(lst_GeoPreset,in_Geography,lst_GeoState,B287)&gt;0,AND(in_Geography="Custom",ISNUMBER(SEARCH(B287,SUBSTITUTE(in_CustomStates," ",""))))),OR(AND(D287="Endowment",Inputs!$B$14="Y"),AND(D287="Foundation",Inputs!$B$15="Y"),AND(D287="Healthcare",Inputs!$B$16="Y"),AND(D287="Pension",Inputs!$B$17="Y"),AND(D287="OCIO",Inputs!$B$18="Y"),AND(D287="Other",Inputs!$B$19="Y")))),A287&lt;&gt;in_ClientOrg,NOT(AND(in_ExclHarvard="Y",ISNUMBER(SEARCH("Harvard",A287))))),$AD287="Y",K287&lt;&gt;"",S287&gt;0),"Y","")</f>
        <v/>
      </c>
      <c r="V287" s="30" t="n">
        <v>0.5751557526457546</v>
      </c>
      <c r="W287" t="inlineStr"/>
      <c r="X287" s="28">
        <f>IF(L287+M287=0,"",L287+M287)</f>
        <v/>
      </c>
      <c r="Y287" s="38">
        <f>IF(L287=0,"",M287/L287)</f>
        <v/>
      </c>
      <c r="Z287" t="inlineStr">
        <is>
          <t>Director &amp; Investment Officer</t>
        </is>
      </c>
      <c r="AA287" t="inlineStr">
        <is>
          <t>Investments</t>
        </is>
      </c>
      <c r="AB287" s="50" t="inlineStr"/>
      <c r="AC287" s="43">
        <f>HYPERLINK("https://projects.propublica.org/nonprofits/organizations/131628168/202430169349300598/full","view filing")</f>
        <v/>
      </c>
      <c r="AD287" s="50" t="inlineStr"/>
    </row>
    <row r="288">
      <c r="A288" t="inlineStr">
        <is>
          <t>Council On Foreign Relations Inc</t>
        </is>
      </c>
      <c r="B288" s="50" t="inlineStr">
        <is>
          <t>NY</t>
        </is>
      </c>
      <c r="C288" s="52" t="n">
        <v>0.73</v>
      </c>
      <c r="D288" t="inlineStr">
        <is>
          <t>Other</t>
        </is>
      </c>
      <c r="E288" s="50" t="n">
        <v>2022</v>
      </c>
      <c r="F288" s="50" t="inlineStr">
        <is>
          <t>2023-01-23</t>
        </is>
      </c>
      <c r="G288" s="50" t="inlineStr">
        <is>
          <t>2022-06-30</t>
        </is>
      </c>
      <c r="H288" t="inlineStr">
        <is>
          <t>Giovanna Ban</t>
        </is>
      </c>
      <c r="I288" t="inlineStr">
        <is>
          <t>CHIEF INVESTMENT OFFICER</t>
        </is>
      </c>
      <c r="J288" t="inlineStr">
        <is>
          <t>CIO</t>
        </is>
      </c>
      <c r="K288" t="inlineStr">
        <is>
          <t>CIO - Top Investment Executive</t>
        </is>
      </c>
      <c r="L288" s="28" t="n">
        <v>426319</v>
      </c>
      <c r="M288" s="28" t="n">
        <v>85000</v>
      </c>
      <c r="N288" s="28" t="n">
        <v>0</v>
      </c>
      <c r="O288" s="28" t="n">
        <v>23000</v>
      </c>
      <c r="P288" s="28" t="n">
        <v>40101</v>
      </c>
      <c r="Q288" s="28" t="n">
        <v>574420</v>
      </c>
      <c r="R288" s="28" t="n">
        <v>0</v>
      </c>
      <c r="S288" s="28">
        <f>Q288-R288</f>
        <v/>
      </c>
      <c r="T288" s="28">
        <f>IF(S288="","",S288*(1+in_GrowthRate)^(YEARFRAC(DATE(2022,6,30),in_AgeToDate)*IF(in_AgeToDate&lt;DATE(2022,6,30),-1,1)+1))</f>
        <v/>
      </c>
      <c r="U288" s="50">
        <f>IF(AND(AND(OR(in_Mode="All Funds",AND(C288&gt;=in_BandFloor,C288&lt;=in_BandCeiling,OR(in_Geography="National",COUNTIFS(lst_GeoPreset,in_Geography,lst_GeoState,B288)&gt;0,AND(in_Geography="Custom",ISNUMBER(SEARCH(B288,SUBSTITUTE(in_CustomStates," ",""))))),OR(AND(D288="Endowment",Inputs!$B$14="Y"),AND(D288="Foundation",Inputs!$B$15="Y"),AND(D288="Healthcare",Inputs!$B$16="Y"),AND(D288="Pension",Inputs!$B$17="Y"),AND(D288="OCIO",Inputs!$B$18="Y"),AND(D288="Other",Inputs!$B$19="Y")))),A288&lt;&gt;in_ClientOrg,NOT(AND(in_ExclHarvard="Y",ISNUMBER(SEARCH("Harvard",A288))))),$AD288="Y",K288&lt;&gt;"",S288&gt;0),"Y","")</f>
        <v/>
      </c>
      <c r="V288" s="30" t="n">
        <v>1</v>
      </c>
      <c r="W288" t="inlineStr"/>
      <c r="X288" s="28">
        <f>IF(L288+M288=0,"",L288+M288)</f>
        <v/>
      </c>
      <c r="Y288" s="38">
        <f>IF(L288=0,"",M288/L288)</f>
        <v/>
      </c>
      <c r="Z288" t="inlineStr">
        <is>
          <t>CIO - Top Investment Executive</t>
        </is>
      </c>
      <c r="AA288" t="inlineStr">
        <is>
          <t>Leadership</t>
        </is>
      </c>
      <c r="AB288" s="50" t="inlineStr">
        <is>
          <t>Y</t>
        </is>
      </c>
      <c r="AC288" s="43">
        <f>HYPERLINK("https://projects.propublica.org/nonprofits/organizations/131628168/202320239349301607/full","view filing")</f>
        <v/>
      </c>
      <c r="AD288" s="50" t="inlineStr"/>
    </row>
    <row r="289">
      <c r="A289" t="inlineStr">
        <is>
          <t>Council On Foreign Relations Inc</t>
        </is>
      </c>
      <c r="B289" s="50" t="inlineStr">
        <is>
          <t>NY</t>
        </is>
      </c>
      <c r="C289" s="52" t="n">
        <v>0.73</v>
      </c>
      <c r="D289" t="inlineStr">
        <is>
          <t>Other</t>
        </is>
      </c>
      <c r="E289" s="50" t="n">
        <v>2022</v>
      </c>
      <c r="F289" s="50" t="inlineStr">
        <is>
          <t>2023-01-23</t>
        </is>
      </c>
      <c r="G289" s="50" t="inlineStr">
        <is>
          <t>2022-06-30</t>
        </is>
      </c>
      <c r="H289" t="inlineStr">
        <is>
          <t>Raquel L Chmielewski</t>
        </is>
      </c>
      <c r="I289" t="inlineStr">
        <is>
          <t>DIRECTOR, INVESTMENTS</t>
        </is>
      </c>
      <c r="J289" t="inlineStr">
        <is>
          <t>Director of Investments</t>
        </is>
      </c>
      <c r="K289" t="inlineStr">
        <is>
          <t>Sr Investment Professional</t>
        </is>
      </c>
      <c r="L289" s="28" t="n">
        <v>257598</v>
      </c>
      <c r="M289" s="28" t="n">
        <v>47000</v>
      </c>
      <c r="N289" s="28" t="n">
        <v>0</v>
      </c>
      <c r="O289" s="28" t="n">
        <v>21166</v>
      </c>
      <c r="P289" s="28" t="n">
        <v>7952</v>
      </c>
      <c r="Q289" s="28" t="n">
        <v>333716</v>
      </c>
      <c r="R289" s="28" t="n">
        <v>0</v>
      </c>
      <c r="S289" s="28">
        <f>Q289-R289</f>
        <v/>
      </c>
      <c r="T289" s="28">
        <f>IF(S289="","",S289*(1+in_GrowthRate)^(YEARFRAC(DATE(2022,6,30),in_AgeToDate)*IF(in_AgeToDate&lt;DATE(2022,6,30),-1,1)+1))</f>
        <v/>
      </c>
      <c r="U289" s="50">
        <f>IF(AND(AND(OR(in_Mode="All Funds",AND(C289&gt;=in_BandFloor,C289&lt;=in_BandCeiling,OR(in_Geography="National",COUNTIFS(lst_GeoPreset,in_Geography,lst_GeoState,B289)&gt;0,AND(in_Geography="Custom",ISNUMBER(SEARCH(B289,SUBSTITUTE(in_CustomStates," ",""))))),OR(AND(D289="Endowment",Inputs!$B$14="Y"),AND(D289="Foundation",Inputs!$B$15="Y"),AND(D289="Healthcare",Inputs!$B$16="Y"),AND(D289="Pension",Inputs!$B$17="Y"),AND(D289="OCIO",Inputs!$B$18="Y"),AND(D289="Other",Inputs!$B$19="Y")))),A289&lt;&gt;in_ClientOrg,NOT(AND(in_ExclHarvard="Y",ISNUMBER(SEARCH("Harvard",A289))))),$AD289="Y",K289&lt;&gt;"",S289&gt;0),"Y","")</f>
        <v/>
      </c>
      <c r="V289" s="30" t="n">
        <v>0.5809616656801644</v>
      </c>
      <c r="W289" t="inlineStr"/>
      <c r="X289" s="28">
        <f>IF(L289+M289=0,"",L289+M289)</f>
        <v/>
      </c>
      <c r="Y289" s="38">
        <f>IF(L289=0,"",M289/L289)</f>
        <v/>
      </c>
      <c r="Z289" t="inlineStr">
        <is>
          <t>Director &amp; Investment Officer</t>
        </is>
      </c>
      <c r="AA289" t="inlineStr">
        <is>
          <t>Investments</t>
        </is>
      </c>
      <c r="AB289" s="50" t="inlineStr"/>
      <c r="AC289" s="43">
        <f>HYPERLINK("https://projects.propublica.org/nonprofits/organizations/131628168/202320239349301607/full","view filing")</f>
        <v/>
      </c>
      <c r="AD289" s="50" t="inlineStr"/>
    </row>
    <row r="290">
      <c r="A290" t="inlineStr">
        <is>
          <t>Cyrus Tang Foundation</t>
        </is>
      </c>
      <c r="B290" s="50" t="inlineStr">
        <is>
          <t>NV</t>
        </is>
      </c>
      <c r="C290" s="52" t="n">
        <v>0.76</v>
      </c>
      <c r="D290" t="inlineStr">
        <is>
          <t>Foundation</t>
        </is>
      </c>
      <c r="E290" s="50" t="n">
        <v>2025</v>
      </c>
      <c r="F290" s="50" t="inlineStr">
        <is>
          <t>2026-08-14</t>
        </is>
      </c>
      <c r="G290" s="50" t="inlineStr">
        <is>
          <t>2025-12-31</t>
        </is>
      </c>
      <c r="H290" t="inlineStr">
        <is>
          <t>Weijie Xu</t>
        </is>
      </c>
      <c r="I290" t="inlineStr">
        <is>
          <t>Investment Director</t>
        </is>
      </c>
      <c r="J290" t="inlineStr">
        <is>
          <t>Director of Investments</t>
        </is>
      </c>
      <c r="K290" t="inlineStr">
        <is>
          <t>Sr Investment Professional</t>
        </is>
      </c>
      <c r="L290" s="28" t="n">
        <v>0</v>
      </c>
      <c r="M290" s="28" t="n">
        <v>0</v>
      </c>
      <c r="N290" s="28" t="n">
        <v>0</v>
      </c>
      <c r="O290" s="28" t="n">
        <v>0</v>
      </c>
      <c r="P290" s="28" t="n">
        <v>0</v>
      </c>
      <c r="Q290" s="28" t="n">
        <v>151300</v>
      </c>
      <c r="R290" s="28" t="n">
        <v>0</v>
      </c>
      <c r="S290" s="28">
        <f>Q290-R290</f>
        <v/>
      </c>
      <c r="T290" s="28">
        <f>IF(S290="","",S290*(1+in_GrowthRate)^(YEARFRAC(DATE(2025,12,31),in_AgeToDate)*IF(in_AgeToDate&lt;DATE(2025,12,31),-1,1)+1))</f>
        <v/>
      </c>
      <c r="U290" s="50">
        <f>IF(AND(AND(OR(in_Mode="All Funds",AND(C290&gt;=in_BandFloor,C290&lt;=in_BandCeiling,OR(in_Geography="National",COUNTIFS(lst_GeoPreset,in_Geography,lst_GeoState,B290)&gt;0,AND(in_Geography="Custom",ISNUMBER(SEARCH(B290,SUBSTITUTE(in_CustomStates," ",""))))),OR(AND(D290="Endowment",Inputs!$B$14="Y"),AND(D290="Foundation",Inputs!$B$15="Y"),AND(D290="Healthcare",Inputs!$B$16="Y"),AND(D290="Pension",Inputs!$B$17="Y"),AND(D290="OCIO",Inputs!$B$18="Y"),AND(D290="Other",Inputs!$B$19="Y")))),A290&lt;&gt;in_ClientOrg,NOT(AND(in_ExclHarvard="Y",ISNUMBER(SEARCH("Harvard",A290))))),$AD290="Y",K290&lt;&gt;"",S290&gt;0),"Y","")</f>
        <v/>
      </c>
      <c r="V290" s="30" t="n"/>
      <c r="W290" t="inlineStr"/>
      <c r="X290" s="28">
        <f>IF(L290+M290=0,"",L290+M290)</f>
        <v/>
      </c>
      <c r="Y290" s="38">
        <f>IF(L290=0,"",M290/L290)</f>
        <v/>
      </c>
      <c r="Z290" t="inlineStr">
        <is>
          <t>Director &amp; Investment Officer</t>
        </is>
      </c>
      <c r="AA290" t="inlineStr">
        <is>
          <t>Investments</t>
        </is>
      </c>
      <c r="AB290" s="50" t="inlineStr"/>
      <c r="AC290" s="43">
        <f>HYPERLINK("https://projects.propublica.org/nonprofits/organizations/880361180/202632269349100728/full","view filing")</f>
        <v/>
      </c>
      <c r="AD290" s="50" t="inlineStr">
        <is>
          <t>Y</t>
        </is>
      </c>
    </row>
    <row r="291">
      <c r="A291" t="inlineStr">
        <is>
          <t>Cyrus Tang Foundation</t>
        </is>
      </c>
      <c r="B291" s="50" t="inlineStr">
        <is>
          <t>NV</t>
        </is>
      </c>
      <c r="C291" s="52" t="n">
        <v>0.76</v>
      </c>
      <c r="D291" t="inlineStr">
        <is>
          <t>Foundation</t>
        </is>
      </c>
      <c r="E291" s="50" t="n">
        <v>2024</v>
      </c>
      <c r="F291" s="50" t="inlineStr">
        <is>
          <t>2025-11-05</t>
        </is>
      </c>
      <c r="G291" s="50" t="inlineStr">
        <is>
          <t>2024-12-31</t>
        </is>
      </c>
      <c r="H291" t="inlineStr">
        <is>
          <t>Weijie Xu</t>
        </is>
      </c>
      <c r="I291" t="inlineStr">
        <is>
          <t>Investment Director</t>
        </is>
      </c>
      <c r="J291" t="inlineStr">
        <is>
          <t>Director of Investments</t>
        </is>
      </c>
      <c r="K291" t="inlineStr">
        <is>
          <t>Sr Investment Professional</t>
        </is>
      </c>
      <c r="L291" s="28" t="n">
        <v>0</v>
      </c>
      <c r="M291" s="28" t="n">
        <v>0</v>
      </c>
      <c r="N291" s="28" t="n">
        <v>0</v>
      </c>
      <c r="O291" s="28" t="n">
        <v>0</v>
      </c>
      <c r="P291" s="28" t="n">
        <v>0</v>
      </c>
      <c r="Q291" s="28" t="n">
        <v>129000</v>
      </c>
      <c r="R291" s="28" t="n">
        <v>0</v>
      </c>
      <c r="S291" s="28">
        <f>Q291-R291</f>
        <v/>
      </c>
      <c r="T291" s="28">
        <f>IF(S291="","",S291*(1+in_GrowthRate)^(YEARFRAC(DATE(2024,12,31),in_AgeToDate)*IF(in_AgeToDate&lt;DATE(2024,12,31),-1,1)+1))</f>
        <v/>
      </c>
      <c r="U291" s="50">
        <f>IF(AND(AND(OR(in_Mode="All Funds",AND(C291&gt;=in_BandFloor,C291&lt;=in_BandCeiling,OR(in_Geography="National",COUNTIFS(lst_GeoPreset,in_Geography,lst_GeoState,B291)&gt;0,AND(in_Geography="Custom",ISNUMBER(SEARCH(B291,SUBSTITUTE(in_CustomStates," ",""))))),OR(AND(D291="Endowment",Inputs!$B$14="Y"),AND(D291="Foundation",Inputs!$B$15="Y"),AND(D291="Healthcare",Inputs!$B$16="Y"),AND(D291="Pension",Inputs!$B$17="Y"),AND(D291="OCIO",Inputs!$B$18="Y"),AND(D291="Other",Inputs!$B$19="Y")))),A291&lt;&gt;in_ClientOrg,NOT(AND(in_ExclHarvard="Y",ISNUMBER(SEARCH("Harvard",A291))))),$AD291="Y",K291&lt;&gt;"",S291&gt;0),"Y","")</f>
        <v/>
      </c>
      <c r="V291" s="30" t="n"/>
      <c r="W291" t="inlineStr"/>
      <c r="X291" s="28">
        <f>IF(L291+M291=0,"",L291+M291)</f>
        <v/>
      </c>
      <c r="Y291" s="38">
        <f>IF(L291=0,"",M291/L291)</f>
        <v/>
      </c>
      <c r="Z291" t="inlineStr">
        <is>
          <t>Director &amp; Investment Officer</t>
        </is>
      </c>
      <c r="AA291" t="inlineStr">
        <is>
          <t>Investments</t>
        </is>
      </c>
      <c r="AB291" s="50" t="inlineStr"/>
      <c r="AC291" s="43">
        <f>HYPERLINK("https://projects.propublica.org/nonprofits/organizations/880361180/202533099349102363/full","view filing")</f>
        <v/>
      </c>
      <c r="AD291" s="50" t="inlineStr"/>
    </row>
    <row r="292">
      <c r="A292" t="inlineStr">
        <is>
          <t>Cyrus Tang Foundation</t>
        </is>
      </c>
      <c r="B292" s="50" t="inlineStr">
        <is>
          <t>NV</t>
        </is>
      </c>
      <c r="C292" s="52" t="n">
        <v>0.76</v>
      </c>
      <c r="D292" t="inlineStr">
        <is>
          <t>Foundation</t>
        </is>
      </c>
      <c r="E292" s="50" t="n">
        <v>2023</v>
      </c>
      <c r="F292" s="50" t="inlineStr">
        <is>
          <t>2024-11-12</t>
        </is>
      </c>
      <c r="G292" s="50" t="inlineStr">
        <is>
          <t>2023-12-31</t>
        </is>
      </c>
      <c r="H292" t="inlineStr">
        <is>
          <t>Weijie Xu</t>
        </is>
      </c>
      <c r="I292" t="inlineStr">
        <is>
          <t>Investment Director</t>
        </is>
      </c>
      <c r="J292" t="inlineStr">
        <is>
          <t>Director of Investments</t>
        </is>
      </c>
      <c r="K292" t="inlineStr">
        <is>
          <t>Sr Investment Professional</t>
        </is>
      </c>
      <c r="L292" s="28" t="n">
        <v>0</v>
      </c>
      <c r="M292" s="28" t="n">
        <v>0</v>
      </c>
      <c r="N292" s="28" t="n">
        <v>0</v>
      </c>
      <c r="O292" s="28" t="n">
        <v>0</v>
      </c>
      <c r="P292" s="28" t="n">
        <v>0</v>
      </c>
      <c r="Q292" s="28" t="n">
        <v>129000</v>
      </c>
      <c r="R292" s="28" t="n">
        <v>0</v>
      </c>
      <c r="S292" s="28">
        <f>Q292-R292</f>
        <v/>
      </c>
      <c r="T292" s="28">
        <f>IF(S292="","",S292*(1+in_GrowthRate)^(YEARFRAC(DATE(2023,12,31),in_AgeToDate)*IF(in_AgeToDate&lt;DATE(2023,12,31),-1,1)+1))</f>
        <v/>
      </c>
      <c r="U292" s="50">
        <f>IF(AND(AND(OR(in_Mode="All Funds",AND(C292&gt;=in_BandFloor,C292&lt;=in_BandCeiling,OR(in_Geography="National",COUNTIFS(lst_GeoPreset,in_Geography,lst_GeoState,B292)&gt;0,AND(in_Geography="Custom",ISNUMBER(SEARCH(B292,SUBSTITUTE(in_CustomStates," ",""))))),OR(AND(D292="Endowment",Inputs!$B$14="Y"),AND(D292="Foundation",Inputs!$B$15="Y"),AND(D292="Healthcare",Inputs!$B$16="Y"),AND(D292="Pension",Inputs!$B$17="Y"),AND(D292="OCIO",Inputs!$B$18="Y"),AND(D292="Other",Inputs!$B$19="Y")))),A292&lt;&gt;in_ClientOrg,NOT(AND(in_ExclHarvard="Y",ISNUMBER(SEARCH("Harvard",A292))))),$AD292="Y",K292&lt;&gt;"",S292&gt;0),"Y","")</f>
        <v/>
      </c>
      <c r="V292" s="30" t="n"/>
      <c r="W292" t="inlineStr"/>
      <c r="X292" s="28">
        <f>IF(L292+M292=0,"",L292+M292)</f>
        <v/>
      </c>
      <c r="Y292" s="38">
        <f>IF(L292=0,"",M292/L292)</f>
        <v/>
      </c>
      <c r="Z292" t="inlineStr">
        <is>
          <t>Director &amp; Investment Officer</t>
        </is>
      </c>
      <c r="AA292" t="inlineStr">
        <is>
          <t>Investments</t>
        </is>
      </c>
      <c r="AB292" s="50" t="inlineStr"/>
      <c r="AC292" s="43">
        <f>HYPERLINK("https://projects.propublica.org/nonprofits/organizations/880361180/202423179349102792/full","view filing")</f>
        <v/>
      </c>
      <c r="AD292" s="50" t="inlineStr"/>
    </row>
    <row r="293">
      <c r="A293" t="inlineStr">
        <is>
          <t>Cystic Fibrosis Foundation</t>
        </is>
      </c>
      <c r="B293" s="50" t="inlineStr">
        <is>
          <t>MD</t>
        </is>
      </c>
      <c r="C293" s="52" t="n">
        <v>4.78</v>
      </c>
      <c r="D293" t="inlineStr">
        <is>
          <t>Foundation</t>
        </is>
      </c>
      <c r="E293" s="50" t="n">
        <v>2024</v>
      </c>
      <c r="F293" s="50" t="inlineStr">
        <is>
          <t>2025-11-14</t>
        </is>
      </c>
      <c r="G293" s="50" t="inlineStr">
        <is>
          <t>2024-12-31</t>
        </is>
      </c>
      <c r="H293" t="inlineStr">
        <is>
          <t>Andrew Lewis</t>
        </is>
      </c>
      <c r="I293" t="inlineStr">
        <is>
          <t>MANAGING DIRECTOR, INVESTMENTS</t>
        </is>
      </c>
      <c r="J293" t="inlineStr">
        <is>
          <t>Managing Director</t>
        </is>
      </c>
      <c r="K293" t="inlineStr">
        <is>
          <t>Sr Investment Professional</t>
        </is>
      </c>
      <c r="L293" s="28" t="n">
        <v>469402</v>
      </c>
      <c r="M293" s="28" t="n">
        <v>891950</v>
      </c>
      <c r="N293" s="28" t="n">
        <v>2102</v>
      </c>
      <c r="O293" s="28" t="n">
        <v>20856</v>
      </c>
      <c r="P293" s="28" t="n">
        <v>17404</v>
      </c>
      <c r="Q293" s="28" t="n">
        <v>1401714</v>
      </c>
      <c r="R293" s="28" t="n">
        <v>0</v>
      </c>
      <c r="S293" s="28">
        <f>Q293-R293</f>
        <v/>
      </c>
      <c r="T293" s="28">
        <f>IF(S293="","",S293*(1+in_GrowthRate)^(YEARFRAC(DATE(2024,12,31),in_AgeToDate)*IF(in_AgeToDate&lt;DATE(2024,12,31),-1,1)+1))</f>
        <v/>
      </c>
      <c r="U293" s="50">
        <f>IF(AND(AND(OR(in_Mode="All Funds",AND(C293&gt;=in_BandFloor,C293&lt;=in_BandCeiling,OR(in_Geography="National",COUNTIFS(lst_GeoPreset,in_Geography,lst_GeoState,B293)&gt;0,AND(in_Geography="Custom",ISNUMBER(SEARCH(B293,SUBSTITUTE(in_CustomStates," ",""))))),OR(AND(D293="Endowment",Inputs!$B$14="Y"),AND(D293="Foundation",Inputs!$B$15="Y"),AND(D293="Healthcare",Inputs!$B$16="Y"),AND(D293="Pension",Inputs!$B$17="Y"),AND(D293="OCIO",Inputs!$B$18="Y"),AND(D293="Other",Inputs!$B$19="Y")))),A293&lt;&gt;in_ClientOrg,NOT(AND(in_ExclHarvard="Y",ISNUMBER(SEARCH("Harvard",A293))))),$AD293="Y",K293&lt;&gt;"",S293&gt;0),"Y","")</f>
        <v/>
      </c>
      <c r="V293" s="30" t="n">
        <v>0.7215559137188972</v>
      </c>
      <c r="W293" t="inlineStr"/>
      <c r="X293" s="28">
        <f>IF(L293+M293=0,"",L293+M293)</f>
        <v/>
      </c>
      <c r="Y293" s="38">
        <f>IF(L293=0,"",M293/L293)</f>
        <v/>
      </c>
      <c r="Z293" t="inlineStr">
        <is>
          <t>Managing Director</t>
        </is>
      </c>
      <c r="AA293" t="inlineStr">
        <is>
          <t>Investments</t>
        </is>
      </c>
      <c r="AB293" s="50" t="inlineStr"/>
      <c r="AC293" s="43">
        <f>HYPERLINK("https://projects.propublica.org/nonprofits/organizations/131930701/202533189349311948/full","view filing")</f>
        <v/>
      </c>
      <c r="AD293" s="50" t="inlineStr">
        <is>
          <t>Y</t>
        </is>
      </c>
    </row>
    <row r="294">
      <c r="A294" t="inlineStr">
        <is>
          <t>Cystic Fibrosis Foundation</t>
        </is>
      </c>
      <c r="B294" s="50" t="inlineStr">
        <is>
          <t>MD</t>
        </is>
      </c>
      <c r="C294" s="52" t="n">
        <v>4.78</v>
      </c>
      <c r="D294" t="inlineStr">
        <is>
          <t>Foundation</t>
        </is>
      </c>
      <c r="E294" s="50" t="n">
        <v>2024</v>
      </c>
      <c r="F294" s="50" t="inlineStr">
        <is>
          <t>2025-11-14</t>
        </is>
      </c>
      <c r="G294" s="50" t="inlineStr">
        <is>
          <t>2024-12-31</t>
        </is>
      </c>
      <c r="H294" t="inlineStr">
        <is>
          <t>Earl A Lee</t>
        </is>
      </c>
      <c r="I294" t="inlineStr">
        <is>
          <t>MANAGING DIRECTOR, INVESTMENTS</t>
        </is>
      </c>
      <c r="J294" t="inlineStr">
        <is>
          <t>Managing Director</t>
        </is>
      </c>
      <c r="K294" t="inlineStr">
        <is>
          <t>Sr Investment Professional</t>
        </is>
      </c>
      <c r="L294" s="28" t="n">
        <v>665920</v>
      </c>
      <c r="M294" s="28" t="n">
        <v>558525</v>
      </c>
      <c r="N294" s="28" t="n">
        <v>1824</v>
      </c>
      <c r="O294" s="28" t="n">
        <v>349255</v>
      </c>
      <c r="P294" s="28" t="n">
        <v>19228</v>
      </c>
      <c r="Q294" s="28" t="n">
        <v>1594752</v>
      </c>
      <c r="R294" s="28" t="n">
        <v>174565</v>
      </c>
      <c r="S294" s="28">
        <f>Q294-R294</f>
        <v/>
      </c>
      <c r="T294" s="28">
        <f>IF(S294="","",S294*(1+in_GrowthRate)^(YEARFRAC(DATE(2024,12,31),in_AgeToDate)*IF(in_AgeToDate&lt;DATE(2024,12,31),-1,1)+1))</f>
        <v/>
      </c>
      <c r="U294" s="50">
        <f>IF(AND(AND(OR(in_Mode="All Funds",AND(C294&gt;=in_BandFloor,C294&lt;=in_BandCeiling,OR(in_Geography="National",COUNTIFS(lst_GeoPreset,in_Geography,lst_GeoState,B294)&gt;0,AND(in_Geography="Custom",ISNUMBER(SEARCH(B294,SUBSTITUTE(in_CustomStates," ",""))))),OR(AND(D294="Endowment",Inputs!$B$14="Y"),AND(D294="Foundation",Inputs!$B$15="Y"),AND(D294="Healthcare",Inputs!$B$16="Y"),AND(D294="Pension",Inputs!$B$17="Y"),AND(D294="OCIO",Inputs!$B$18="Y"),AND(D294="Other",Inputs!$B$19="Y")))),A294&lt;&gt;in_ClientOrg,NOT(AND(in_ExclHarvard="Y",ISNUMBER(SEARCH("Harvard",A294))))),$AD294="Y",K294&lt;&gt;"",S294&gt;0),"Y","")</f>
        <v/>
      </c>
      <c r="V294" s="30" t="n">
        <v>0.7310652019147268</v>
      </c>
      <c r="W294" t="inlineStr"/>
      <c r="X294" s="28">
        <f>IF(L294+M294=0,"",L294+M294)</f>
        <v/>
      </c>
      <c r="Y294" s="38">
        <f>IF(L294=0,"",M294/L294)</f>
        <v/>
      </c>
      <c r="Z294" t="inlineStr">
        <is>
          <t>Managing Director</t>
        </is>
      </c>
      <c r="AA294" t="inlineStr">
        <is>
          <t>Investments</t>
        </is>
      </c>
      <c r="AB294" s="50" t="inlineStr"/>
      <c r="AC294" s="43">
        <f>HYPERLINK("https://projects.propublica.org/nonprofits/organizations/131930701/202533189349311948/full","view filing")</f>
        <v/>
      </c>
      <c r="AD294" s="50" t="inlineStr">
        <is>
          <t>Y</t>
        </is>
      </c>
    </row>
    <row r="295">
      <c r="A295" t="inlineStr">
        <is>
          <t>Cystic Fibrosis Foundation</t>
        </is>
      </c>
      <c r="B295" s="50" t="inlineStr">
        <is>
          <t>MD</t>
        </is>
      </c>
      <c r="C295" s="52" t="n">
        <v>4.78</v>
      </c>
      <c r="D295" t="inlineStr">
        <is>
          <t>Foundation</t>
        </is>
      </c>
      <c r="E295" s="50" t="n">
        <v>2024</v>
      </c>
      <c r="F295" s="50" t="inlineStr">
        <is>
          <t>2025-11-14</t>
        </is>
      </c>
      <c r="G295" s="50" t="inlineStr">
        <is>
          <t>2024-12-31</t>
        </is>
      </c>
      <c r="H295" t="inlineStr">
        <is>
          <t>Eric Koehrsen</t>
        </is>
      </c>
      <c r="I295" t="inlineStr">
        <is>
          <t>MANAGING DIRECTOR, INVESTMENTS</t>
        </is>
      </c>
      <c r="J295" t="inlineStr">
        <is>
          <t>Managing Director</t>
        </is>
      </c>
      <c r="K295" t="inlineStr">
        <is>
          <t>Sr Investment Professional</t>
        </is>
      </c>
      <c r="L295" s="28" t="n">
        <v>600659</v>
      </c>
      <c r="M295" s="28" t="n">
        <v>374293</v>
      </c>
      <c r="N295" s="28" t="n">
        <v>1153</v>
      </c>
      <c r="O295" s="28" t="n">
        <v>248801</v>
      </c>
      <c r="P295" s="28" t="n">
        <v>55801</v>
      </c>
      <c r="Q295" s="28" t="n">
        <v>1280707</v>
      </c>
      <c r="R295" s="28" t="n">
        <v>156672</v>
      </c>
      <c r="S295" s="28">
        <f>Q295-R295</f>
        <v/>
      </c>
      <c r="T295" s="28">
        <f>IF(S295="","",S295*(1+in_GrowthRate)^(YEARFRAC(DATE(2024,12,31),in_AgeToDate)*IF(in_AgeToDate&lt;DATE(2024,12,31),-1,1)+1))</f>
        <v/>
      </c>
      <c r="U295" s="50">
        <f>IF(AND(AND(OR(in_Mode="All Funds",AND(C295&gt;=in_BandFloor,C295&lt;=in_BandCeiling,OR(in_Geography="National",COUNTIFS(lst_GeoPreset,in_Geography,lst_GeoState,B295)&gt;0,AND(in_Geography="Custom",ISNUMBER(SEARCH(B295,SUBSTITUTE(in_CustomStates," ",""))))),OR(AND(D295="Endowment",Inputs!$B$14="Y"),AND(D295="Foundation",Inputs!$B$15="Y"),AND(D295="Healthcare",Inputs!$B$16="Y"),AND(D295="Pension",Inputs!$B$17="Y"),AND(D295="OCIO",Inputs!$B$18="Y"),AND(D295="Other",Inputs!$B$19="Y")))),A295&lt;&gt;in_ClientOrg,NOT(AND(in_ExclHarvard="Y",ISNUMBER(SEARCH("Harvard",A295))))),$AD295="Y",K295&lt;&gt;"",S295&gt;0),"Y","")</f>
        <v/>
      </c>
      <c r="V295" s="30" t="n">
        <v>0.5786159669354951</v>
      </c>
      <c r="W295" t="inlineStr"/>
      <c r="X295" s="28">
        <f>IF(L295+M295=0,"",L295+M295)</f>
        <v/>
      </c>
      <c r="Y295" s="38">
        <f>IF(L295=0,"",M295/L295)</f>
        <v/>
      </c>
      <c r="Z295" t="inlineStr">
        <is>
          <t>Managing Director</t>
        </is>
      </c>
      <c r="AA295" t="inlineStr">
        <is>
          <t>Investments</t>
        </is>
      </c>
      <c r="AB295" s="50" t="inlineStr"/>
      <c r="AC295" s="43">
        <f>HYPERLINK("https://projects.propublica.org/nonprofits/organizations/131930701/202533189349311948/full","view filing")</f>
        <v/>
      </c>
      <c r="AD295" s="50" t="inlineStr">
        <is>
          <t>Y</t>
        </is>
      </c>
    </row>
    <row r="296">
      <c r="A296" t="inlineStr">
        <is>
          <t>Cystic Fibrosis Foundation</t>
        </is>
      </c>
      <c r="B296" s="50" t="inlineStr">
        <is>
          <t>MD</t>
        </is>
      </c>
      <c r="C296" s="52" t="n">
        <v>4.78</v>
      </c>
      <c r="D296" t="inlineStr">
        <is>
          <t>Foundation</t>
        </is>
      </c>
      <c r="E296" s="50" t="n">
        <v>2024</v>
      </c>
      <c r="F296" s="50" t="inlineStr">
        <is>
          <t>2025-11-14</t>
        </is>
      </c>
      <c r="G296" s="50" t="inlineStr">
        <is>
          <t>2024-12-31</t>
        </is>
      </c>
      <c r="H296" t="inlineStr">
        <is>
          <t>Gentiana S Arovas</t>
        </is>
      </c>
      <c r="I296" t="inlineStr">
        <is>
          <t>MANAGING DIRECTOR, INVESTMENTS OPERATIONS</t>
        </is>
      </c>
      <c r="J296" t="inlineStr">
        <is>
          <t>Managing Director</t>
        </is>
      </c>
      <c r="K296" t="inlineStr">
        <is>
          <t>COO (Investment Office)</t>
        </is>
      </c>
      <c r="L296" s="28" t="n">
        <v>478673</v>
      </c>
      <c r="M296" s="28" t="n">
        <v>161598</v>
      </c>
      <c r="N296" s="28" t="n">
        <v>2261</v>
      </c>
      <c r="O296" s="28" t="n">
        <v>122786</v>
      </c>
      <c r="P296" s="28" t="n">
        <v>54341</v>
      </c>
      <c r="Q296" s="28" t="n">
        <v>819659</v>
      </c>
      <c r="R296" s="28" t="n">
        <v>53221</v>
      </c>
      <c r="S296" s="28">
        <f>Q296-R296</f>
        <v/>
      </c>
      <c r="T296" s="28">
        <f>IF(S296="","",S296*(1+in_GrowthRate)^(YEARFRAC(DATE(2024,12,31),in_AgeToDate)*IF(in_AgeToDate&lt;DATE(2024,12,31),-1,1)+1))</f>
        <v/>
      </c>
      <c r="U296" s="50">
        <f>IF(AND(AND(OR(in_Mode="All Funds",AND(C296&gt;=in_BandFloor,C296&lt;=in_BandCeiling,OR(in_Geography="National",COUNTIFS(lst_GeoPreset,in_Geography,lst_GeoState,B296)&gt;0,AND(in_Geography="Custom",ISNUMBER(SEARCH(B296,SUBSTITUTE(in_CustomStates," ",""))))),OR(AND(D296="Endowment",Inputs!$B$14="Y"),AND(D296="Foundation",Inputs!$B$15="Y"),AND(D296="Healthcare",Inputs!$B$16="Y"),AND(D296="Pension",Inputs!$B$17="Y"),AND(D296="OCIO",Inputs!$B$18="Y"),AND(D296="Other",Inputs!$B$19="Y")))),A296&lt;&gt;in_ClientOrg,NOT(AND(in_ExclHarvard="Y",ISNUMBER(SEARCH("Harvard",A296))))),$AD296="Y",K296&lt;&gt;"",S296&gt;0),"Y","")</f>
        <v/>
      </c>
      <c r="V296" s="30" t="n">
        <v>0.394536882273334</v>
      </c>
      <c r="W296" t="inlineStr"/>
      <c r="X296" s="28">
        <f>IF(L296+M296=0,"",L296+M296)</f>
        <v/>
      </c>
      <c r="Y296" s="38">
        <f>IF(L296=0,"",M296/L296)</f>
        <v/>
      </c>
      <c r="Z296" t="inlineStr">
        <is>
          <t>COO (Investment Office)</t>
        </is>
      </c>
      <c r="AA296" t="inlineStr">
        <is>
          <t>Operations &amp; Control</t>
        </is>
      </c>
      <c r="AB296" s="50" t="inlineStr"/>
      <c r="AC296" s="43">
        <f>HYPERLINK("https://projects.propublica.org/nonprofits/organizations/131930701/202533189349311948/full","view filing")</f>
        <v/>
      </c>
      <c r="AD296" s="50" t="inlineStr">
        <is>
          <t>Y</t>
        </is>
      </c>
    </row>
    <row r="297">
      <c r="A297" t="inlineStr">
        <is>
          <t>Cystic Fibrosis Foundation</t>
        </is>
      </c>
      <c r="B297" s="50" t="inlineStr">
        <is>
          <t>MD</t>
        </is>
      </c>
      <c r="C297" s="52" t="n">
        <v>4.78</v>
      </c>
      <c r="D297" t="inlineStr">
        <is>
          <t>Foundation</t>
        </is>
      </c>
      <c r="E297" s="50" t="n">
        <v>2024</v>
      </c>
      <c r="F297" s="50" t="inlineStr">
        <is>
          <t>2025-11-14</t>
        </is>
      </c>
      <c r="G297" s="50" t="inlineStr">
        <is>
          <t>2024-12-31</t>
        </is>
      </c>
      <c r="H297" t="inlineStr">
        <is>
          <t>John C Mahler Jr Md</t>
        </is>
      </c>
      <c r="I297" t="inlineStr">
        <is>
          <t>CHIEF INVESTMENT OFFICER</t>
        </is>
      </c>
      <c r="J297" t="inlineStr">
        <is>
          <t>CIO</t>
        </is>
      </c>
      <c r="K297" t="inlineStr">
        <is>
          <t>CIO - Top Investment Executive</t>
        </is>
      </c>
      <c r="L297" s="28" t="n">
        <v>766301</v>
      </c>
      <c r="M297" s="28" t="n">
        <v>1091398</v>
      </c>
      <c r="N297" s="28" t="n">
        <v>9169</v>
      </c>
      <c r="O297" s="28" t="n">
        <v>34656</v>
      </c>
      <c r="P297" s="28" t="n">
        <v>41103</v>
      </c>
      <c r="Q297" s="28" t="n">
        <v>1942627</v>
      </c>
      <c r="R297" s="28" t="n">
        <v>0</v>
      </c>
      <c r="S297" s="28">
        <f>Q297-R297</f>
        <v/>
      </c>
      <c r="T297" s="28">
        <f>IF(S297="","",S297*(1+in_GrowthRate)^(YEARFRAC(DATE(2024,12,31),in_AgeToDate)*IF(in_AgeToDate&lt;DATE(2024,12,31),-1,1)+1))</f>
        <v/>
      </c>
      <c r="U297" s="50">
        <f>IF(AND(AND(OR(in_Mode="All Funds",AND(C297&gt;=in_BandFloor,C297&lt;=in_BandCeiling,OR(in_Geography="National",COUNTIFS(lst_GeoPreset,in_Geography,lst_GeoState,B297)&gt;0,AND(in_Geography="Custom",ISNUMBER(SEARCH(B297,SUBSTITUTE(in_CustomStates," ",""))))),OR(AND(D297="Endowment",Inputs!$B$14="Y"),AND(D297="Foundation",Inputs!$B$15="Y"),AND(D297="Healthcare",Inputs!$B$16="Y"),AND(D297="Pension",Inputs!$B$17="Y"),AND(D297="OCIO",Inputs!$B$18="Y"),AND(D297="Other",Inputs!$B$19="Y")))),A297&lt;&gt;in_ClientOrg,NOT(AND(in_ExclHarvard="Y",ISNUMBER(SEARCH("Harvard",A297))))),$AD297="Y",K297&lt;&gt;"",S297&gt;0),"Y","")</f>
        <v/>
      </c>
      <c r="V297" s="30" t="n">
        <v>1</v>
      </c>
      <c r="W297" t="inlineStr"/>
      <c r="X297" s="28">
        <f>IF(L297+M297=0,"",L297+M297)</f>
        <v/>
      </c>
      <c r="Y297" s="38">
        <f>IF(L297=0,"",M297/L297)</f>
        <v/>
      </c>
      <c r="Z297" t="inlineStr">
        <is>
          <t>CIO - Top Investment Executive</t>
        </is>
      </c>
      <c r="AA297" t="inlineStr">
        <is>
          <t>Leadership</t>
        </is>
      </c>
      <c r="AB297" s="50" t="inlineStr">
        <is>
          <t>Y</t>
        </is>
      </c>
      <c r="AC297" s="43">
        <f>HYPERLINK("https://projects.propublica.org/nonprofits/organizations/131930701/202533189349311948/full","view filing")</f>
        <v/>
      </c>
      <c r="AD297" s="50" t="inlineStr">
        <is>
          <t>Y</t>
        </is>
      </c>
    </row>
    <row r="298">
      <c r="A298" t="inlineStr">
        <is>
          <t>Cystic Fibrosis Foundation</t>
        </is>
      </c>
      <c r="B298" s="50" t="inlineStr">
        <is>
          <t>MD</t>
        </is>
      </c>
      <c r="C298" s="52" t="n">
        <v>4.78</v>
      </c>
      <c r="D298" t="inlineStr">
        <is>
          <t>Foundation</t>
        </is>
      </c>
      <c r="E298" s="50" t="n">
        <v>2023</v>
      </c>
      <c r="F298" s="50" t="inlineStr">
        <is>
          <t>2024-11-12</t>
        </is>
      </c>
      <c r="G298" s="50" t="inlineStr">
        <is>
          <t>2023-12-31</t>
        </is>
      </c>
      <c r="H298" t="inlineStr">
        <is>
          <t>Andrew Lewis</t>
        </is>
      </c>
      <c r="I298" t="inlineStr">
        <is>
          <t>MANAGING DIRECTOR, INVESTMENTS</t>
        </is>
      </c>
      <c r="J298" t="inlineStr">
        <is>
          <t>Managing Director</t>
        </is>
      </c>
      <c r="K298" t="inlineStr">
        <is>
          <t>Sr Investment Professional</t>
        </is>
      </c>
      <c r="L298" s="28" t="n">
        <v>422884</v>
      </c>
      <c r="M298" s="28" t="n">
        <v>843750</v>
      </c>
      <c r="N298" s="28" t="n">
        <v>2203</v>
      </c>
      <c r="O298" s="28" t="n">
        <v>33192</v>
      </c>
      <c r="P298" s="28" t="n">
        <v>16418</v>
      </c>
      <c r="Q298" s="28" t="n">
        <v>1318447</v>
      </c>
      <c r="R298" s="28" t="n">
        <v>0</v>
      </c>
      <c r="S298" s="28">
        <f>Q298-R298</f>
        <v/>
      </c>
      <c r="T298" s="28">
        <f>IF(S298="","",S298*(1+in_GrowthRate)^(YEARFRAC(DATE(2023,12,31),in_AgeToDate)*IF(in_AgeToDate&lt;DATE(2023,12,31),-1,1)+1))</f>
        <v/>
      </c>
      <c r="U298" s="50">
        <f>IF(AND(AND(OR(in_Mode="All Funds",AND(C298&gt;=in_BandFloor,C298&lt;=in_BandCeiling,OR(in_Geography="National",COUNTIFS(lst_GeoPreset,in_Geography,lst_GeoState,B298)&gt;0,AND(in_Geography="Custom",ISNUMBER(SEARCH(B298,SUBSTITUTE(in_CustomStates," ",""))))),OR(AND(D298="Endowment",Inputs!$B$14="Y"),AND(D298="Foundation",Inputs!$B$15="Y"),AND(D298="Healthcare",Inputs!$B$16="Y"),AND(D298="Pension",Inputs!$B$17="Y"),AND(D298="OCIO",Inputs!$B$18="Y"),AND(D298="Other",Inputs!$B$19="Y")))),A298&lt;&gt;in_ClientOrg,NOT(AND(in_ExclHarvard="Y",ISNUMBER(SEARCH("Harvard",A298))))),$AD298="Y",K298&lt;&gt;"",S298&gt;0),"Y","")</f>
        <v/>
      </c>
      <c r="V298" s="30" t="n">
        <v>0.6200450250261831</v>
      </c>
      <c r="W298" t="inlineStr"/>
      <c r="X298" s="28">
        <f>IF(L298+M298=0,"",L298+M298)</f>
        <v/>
      </c>
      <c r="Y298" s="38">
        <f>IF(L298=0,"",M298/L298)</f>
        <v/>
      </c>
      <c r="Z298" t="inlineStr">
        <is>
          <t>Managing Director</t>
        </is>
      </c>
      <c r="AA298" t="inlineStr">
        <is>
          <t>Investments</t>
        </is>
      </c>
      <c r="AB298" s="50" t="inlineStr"/>
      <c r="AC298" s="43">
        <f>HYPERLINK("https://projects.propublica.org/nonprofits/organizations/131930701/202403179349300720/full","view filing")</f>
        <v/>
      </c>
      <c r="AD298" s="50" t="inlineStr"/>
    </row>
    <row r="299">
      <c r="A299" t="inlineStr">
        <is>
          <t>Cystic Fibrosis Foundation</t>
        </is>
      </c>
      <c r="B299" s="50" t="inlineStr">
        <is>
          <t>MD</t>
        </is>
      </c>
      <c r="C299" s="52" t="n">
        <v>4.78</v>
      </c>
      <c r="D299" t="inlineStr">
        <is>
          <t>Foundation</t>
        </is>
      </c>
      <c r="E299" s="50" t="n">
        <v>2023</v>
      </c>
      <c r="F299" s="50" t="inlineStr">
        <is>
          <t>2024-11-12</t>
        </is>
      </c>
      <c r="G299" s="50" t="inlineStr">
        <is>
          <t>2023-12-31</t>
        </is>
      </c>
      <c r="H299" t="inlineStr">
        <is>
          <t>Earl A Lee</t>
        </is>
      </c>
      <c r="I299" t="inlineStr">
        <is>
          <t>MANAGING DIRECTOR, INVESTMENTS</t>
        </is>
      </c>
      <c r="J299" t="inlineStr">
        <is>
          <t>Managing Director</t>
        </is>
      </c>
      <c r="K299" t="inlineStr">
        <is>
          <t>Sr Investment Professional</t>
        </is>
      </c>
      <c r="L299" s="28" t="n">
        <v>462638</v>
      </c>
      <c r="M299" s="28" t="n">
        <v>650071</v>
      </c>
      <c r="N299" s="28" t="n">
        <v>1715</v>
      </c>
      <c r="O299" s="28" t="n">
        <v>264863</v>
      </c>
      <c r="P299" s="28" t="n">
        <v>17823</v>
      </c>
      <c r="Q299" s="28" t="n">
        <v>1397110</v>
      </c>
      <c r="R299" s="28" t="n">
        <v>128353</v>
      </c>
      <c r="S299" s="28">
        <f>Q299-R299</f>
        <v/>
      </c>
      <c r="T299" s="28">
        <f>IF(S299="","",S299*(1+in_GrowthRate)^(YEARFRAC(DATE(2023,12,31),in_AgeToDate)*IF(in_AgeToDate&lt;DATE(2023,12,31),-1,1)+1))</f>
        <v/>
      </c>
      <c r="U299" s="50">
        <f>IF(AND(AND(OR(in_Mode="All Funds",AND(C299&gt;=in_BandFloor,C299&lt;=in_BandCeiling,OR(in_Geography="National",COUNTIFS(lst_GeoPreset,in_Geography,lst_GeoState,B299)&gt;0,AND(in_Geography="Custom",ISNUMBER(SEARCH(B299,SUBSTITUTE(in_CustomStates," ",""))))),OR(AND(D299="Endowment",Inputs!$B$14="Y"),AND(D299="Foundation",Inputs!$B$15="Y"),AND(D299="Healthcare",Inputs!$B$16="Y"),AND(D299="Pension",Inputs!$B$17="Y"),AND(D299="OCIO",Inputs!$B$18="Y"),AND(D299="Other",Inputs!$B$19="Y")))),A299&lt;&gt;in_ClientOrg,NOT(AND(in_ExclHarvard="Y",ISNUMBER(SEARCH("Harvard",A299))))),$AD299="Y",K299&lt;&gt;"",S299&gt;0),"Y","")</f>
        <v/>
      </c>
      <c r="V299" s="30" t="n">
        <v>0.5966765943698495</v>
      </c>
      <c r="W299" t="inlineStr"/>
      <c r="X299" s="28">
        <f>IF(L299+M299=0,"",L299+M299)</f>
        <v/>
      </c>
      <c r="Y299" s="38">
        <f>IF(L299=0,"",M299/L299)</f>
        <v/>
      </c>
      <c r="Z299" t="inlineStr">
        <is>
          <t>Managing Director</t>
        </is>
      </c>
      <c r="AA299" t="inlineStr">
        <is>
          <t>Investments</t>
        </is>
      </c>
      <c r="AB299" s="50" t="inlineStr"/>
      <c r="AC299" s="43">
        <f>HYPERLINK("https://projects.propublica.org/nonprofits/organizations/131930701/202403179349300720/full","view filing")</f>
        <v/>
      </c>
      <c r="AD299" s="50" t="inlineStr"/>
    </row>
    <row r="300">
      <c r="A300" t="inlineStr">
        <is>
          <t>Cystic Fibrosis Foundation</t>
        </is>
      </c>
      <c r="B300" s="50" t="inlineStr">
        <is>
          <t>MD</t>
        </is>
      </c>
      <c r="C300" s="52" t="n">
        <v>4.78</v>
      </c>
      <c r="D300" t="inlineStr">
        <is>
          <t>Foundation</t>
        </is>
      </c>
      <c r="E300" s="50" t="n">
        <v>2023</v>
      </c>
      <c r="F300" s="50" t="inlineStr">
        <is>
          <t>2024-11-12</t>
        </is>
      </c>
      <c r="G300" s="50" t="inlineStr">
        <is>
          <t>2023-12-31</t>
        </is>
      </c>
      <c r="H300" t="inlineStr">
        <is>
          <t>Eric Koehrsen</t>
        </is>
      </c>
      <c r="I300" t="inlineStr">
        <is>
          <t>MANAGING DIRECTOR, INVESTMENTS</t>
        </is>
      </c>
      <c r="J300" t="inlineStr">
        <is>
          <t>Managing Director</t>
        </is>
      </c>
      <c r="K300" t="inlineStr">
        <is>
          <t>Sr Investment Professional</t>
        </is>
      </c>
      <c r="L300" s="28" t="n">
        <v>426621</v>
      </c>
      <c r="M300" s="28" t="n">
        <v>521753</v>
      </c>
      <c r="N300" s="28" t="n">
        <v>1131</v>
      </c>
      <c r="O300" s="28" t="n">
        <v>214961</v>
      </c>
      <c r="P300" s="28" t="n">
        <v>54041</v>
      </c>
      <c r="Q300" s="28" t="n">
        <v>1218507</v>
      </c>
      <c r="R300" s="28" t="n">
        <v>114841</v>
      </c>
      <c r="S300" s="28">
        <f>Q300-R300</f>
        <v/>
      </c>
      <c r="T300" s="28">
        <f>IF(S300="","",S300*(1+in_GrowthRate)^(YEARFRAC(DATE(2023,12,31),in_AgeToDate)*IF(in_AgeToDate&lt;DATE(2023,12,31),-1,1)+1))</f>
        <v/>
      </c>
      <c r="U300" s="50">
        <f>IF(AND(AND(OR(in_Mode="All Funds",AND(C300&gt;=in_BandFloor,C300&lt;=in_BandCeiling,OR(in_Geography="National",COUNTIFS(lst_GeoPreset,in_Geography,lst_GeoState,B300)&gt;0,AND(in_Geography="Custom",ISNUMBER(SEARCH(B300,SUBSTITUTE(in_CustomStates," ",""))))),OR(AND(D300="Endowment",Inputs!$B$14="Y"),AND(D300="Foundation",Inputs!$B$15="Y"),AND(D300="Healthcare",Inputs!$B$16="Y"),AND(D300="Pension",Inputs!$B$17="Y"),AND(D300="OCIO",Inputs!$B$18="Y"),AND(D300="Other",Inputs!$B$19="Y")))),A300&lt;&gt;in_ClientOrg,NOT(AND(in_ExclHarvard="Y",ISNUMBER(SEARCH("Harvard",A300))))),$AD300="Y",K300&lt;&gt;"",S300&gt;0),"Y","")</f>
        <v/>
      </c>
      <c r="V300" s="30" t="n">
        <v>0.5190368764087956</v>
      </c>
      <c r="W300" t="inlineStr"/>
      <c r="X300" s="28">
        <f>IF(L300+M300=0,"",L300+M300)</f>
        <v/>
      </c>
      <c r="Y300" s="38">
        <f>IF(L300=0,"",M300/L300)</f>
        <v/>
      </c>
      <c r="Z300" t="inlineStr">
        <is>
          <t>Managing Director</t>
        </is>
      </c>
      <c r="AA300" t="inlineStr">
        <is>
          <t>Investments</t>
        </is>
      </c>
      <c r="AB300" s="50" t="inlineStr"/>
      <c r="AC300" s="43">
        <f>HYPERLINK("https://projects.propublica.org/nonprofits/organizations/131930701/202403179349300720/full","view filing")</f>
        <v/>
      </c>
      <c r="AD300" s="50" t="inlineStr"/>
    </row>
    <row r="301">
      <c r="A301" t="inlineStr">
        <is>
          <t>Cystic Fibrosis Foundation</t>
        </is>
      </c>
      <c r="B301" s="50" t="inlineStr">
        <is>
          <t>MD</t>
        </is>
      </c>
      <c r="C301" s="52" t="n">
        <v>4.78</v>
      </c>
      <c r="D301" t="inlineStr">
        <is>
          <t>Foundation</t>
        </is>
      </c>
      <c r="E301" s="50" t="n">
        <v>2023</v>
      </c>
      <c r="F301" s="50" t="inlineStr">
        <is>
          <t>2024-11-12</t>
        </is>
      </c>
      <c r="G301" s="50" t="inlineStr">
        <is>
          <t>2023-12-31</t>
        </is>
      </c>
      <c r="H301" t="inlineStr">
        <is>
          <t>Gentiana S Arovas</t>
        </is>
      </c>
      <c r="I301" t="inlineStr">
        <is>
          <t>MANAGING DIRECTOR, INVESTMENTS</t>
        </is>
      </c>
      <c r="J301" t="inlineStr">
        <is>
          <t>Managing Director</t>
        </is>
      </c>
      <c r="K301" t="inlineStr">
        <is>
          <t>Sr Investment Professional</t>
        </is>
      </c>
      <c r="L301" s="28" t="n">
        <v>377927</v>
      </c>
      <c r="M301" s="28" t="n">
        <v>161385</v>
      </c>
      <c r="N301" s="28" t="n">
        <v>1984</v>
      </c>
      <c r="O301" s="28" t="n">
        <v>137360</v>
      </c>
      <c r="P301" s="28" t="n">
        <v>53081</v>
      </c>
      <c r="Q301" s="28" t="n">
        <v>731737</v>
      </c>
      <c r="R301" s="28" t="n">
        <v>44099</v>
      </c>
      <c r="S301" s="28">
        <f>Q301-R301</f>
        <v/>
      </c>
      <c r="T301" s="28">
        <f>IF(S301="","",S301*(1+in_GrowthRate)^(YEARFRAC(DATE(2023,12,31),in_AgeToDate)*IF(in_AgeToDate&lt;DATE(2023,12,31),-1,1)+1))</f>
        <v/>
      </c>
      <c r="U301" s="50">
        <f>IF(AND(AND(OR(in_Mode="All Funds",AND(C301&gt;=in_BandFloor,C301&lt;=in_BandCeiling,OR(in_Geography="National",COUNTIFS(lst_GeoPreset,in_Geography,lst_GeoState,B301)&gt;0,AND(in_Geography="Custom",ISNUMBER(SEARCH(B301,SUBSTITUTE(in_CustomStates," ",""))))),OR(AND(D301="Endowment",Inputs!$B$14="Y"),AND(D301="Foundation",Inputs!$B$15="Y"),AND(D301="Healthcare",Inputs!$B$16="Y"),AND(D301="Pension",Inputs!$B$17="Y"),AND(D301="OCIO",Inputs!$B$18="Y"),AND(D301="Other",Inputs!$B$19="Y")))),A301&lt;&gt;in_ClientOrg,NOT(AND(in_ExclHarvard="Y",ISNUMBER(SEARCH("Harvard",A301))))),$AD301="Y",K301&lt;&gt;"",S301&gt;0),"Y","")</f>
        <v/>
      </c>
      <c r="V301" s="30" t="n">
        <v>0.3233854079223166</v>
      </c>
      <c r="W301" t="inlineStr"/>
      <c r="X301" s="28">
        <f>IF(L301+M301=0,"",L301+M301)</f>
        <v/>
      </c>
      <c r="Y301" s="38">
        <f>IF(L301=0,"",M301/L301)</f>
        <v/>
      </c>
      <c r="Z301" t="inlineStr">
        <is>
          <t>Managing Director</t>
        </is>
      </c>
      <c r="AA301" t="inlineStr">
        <is>
          <t>Investments</t>
        </is>
      </c>
      <c r="AB301" s="50" t="inlineStr"/>
      <c r="AC301" s="43">
        <f>HYPERLINK("https://projects.propublica.org/nonprofits/organizations/131930701/202403179349300720/full","view filing")</f>
        <v/>
      </c>
      <c r="AD301" s="50" t="inlineStr"/>
    </row>
    <row r="302">
      <c r="A302" t="inlineStr">
        <is>
          <t>Cystic Fibrosis Foundation</t>
        </is>
      </c>
      <c r="B302" s="50" t="inlineStr">
        <is>
          <t>MD</t>
        </is>
      </c>
      <c r="C302" s="52" t="n">
        <v>4.78</v>
      </c>
      <c r="D302" t="inlineStr">
        <is>
          <t>Foundation</t>
        </is>
      </c>
      <c r="E302" s="50" t="n">
        <v>2023</v>
      </c>
      <c r="F302" s="50" t="inlineStr">
        <is>
          <t>2024-11-12</t>
        </is>
      </c>
      <c r="G302" s="50" t="inlineStr">
        <is>
          <t>2023-12-31</t>
        </is>
      </c>
      <c r="H302" t="inlineStr">
        <is>
          <t>John C Mahler Jr</t>
        </is>
      </c>
      <c r="I302" t="inlineStr">
        <is>
          <t>CHIEF INVESTMENT OFFICER</t>
        </is>
      </c>
      <c r="J302" t="inlineStr">
        <is>
          <t>CIO</t>
        </is>
      </c>
      <c r="K302" t="inlineStr">
        <is>
          <t>CIO - Top Investment Executive</t>
        </is>
      </c>
      <c r="L302" s="28" t="n">
        <v>731770</v>
      </c>
      <c r="M302" s="28" t="n">
        <v>1685373</v>
      </c>
      <c r="N302" s="28" t="n">
        <v>330628</v>
      </c>
      <c r="O302" s="28" t="n">
        <v>33192</v>
      </c>
      <c r="P302" s="28" t="n">
        <v>41633</v>
      </c>
      <c r="Q302" s="28" t="n">
        <v>2822596</v>
      </c>
      <c r="R302" s="28" t="n">
        <v>696223</v>
      </c>
      <c r="S302" s="28">
        <f>Q302-R302</f>
        <v/>
      </c>
      <c r="T302" s="28">
        <f>IF(S302="","",S302*(1+in_GrowthRate)^(YEARFRAC(DATE(2023,12,31),in_AgeToDate)*IF(in_AgeToDate&lt;DATE(2023,12,31),-1,1)+1))</f>
        <v/>
      </c>
      <c r="U302" s="50">
        <f>IF(AND(AND(OR(in_Mode="All Funds",AND(C302&gt;=in_BandFloor,C302&lt;=in_BandCeiling,OR(in_Geography="National",COUNTIFS(lst_GeoPreset,in_Geography,lst_GeoState,B302)&gt;0,AND(in_Geography="Custom",ISNUMBER(SEARCH(B302,SUBSTITUTE(in_CustomStates," ",""))))),OR(AND(D302="Endowment",Inputs!$B$14="Y"),AND(D302="Foundation",Inputs!$B$15="Y"),AND(D302="Healthcare",Inputs!$B$16="Y"),AND(D302="Pension",Inputs!$B$17="Y"),AND(D302="OCIO",Inputs!$B$18="Y"),AND(D302="Other",Inputs!$B$19="Y")))),A302&lt;&gt;in_ClientOrg,NOT(AND(in_ExclHarvard="Y",ISNUMBER(SEARCH("Harvard",A302))))),$AD302="Y",K302&lt;&gt;"",S302&gt;0),"Y","")</f>
        <v/>
      </c>
      <c r="V302" s="30" t="n">
        <v>1</v>
      </c>
      <c r="W302" t="inlineStr"/>
      <c r="X302" s="28">
        <f>IF(L302+M302=0,"",L302+M302)</f>
        <v/>
      </c>
      <c r="Y302" s="38">
        <f>IF(L302=0,"",M302/L302)</f>
        <v/>
      </c>
      <c r="Z302" t="inlineStr">
        <is>
          <t>CIO - Top Investment Executive</t>
        </is>
      </c>
      <c r="AA302" t="inlineStr">
        <is>
          <t>Leadership</t>
        </is>
      </c>
      <c r="AB302" s="50" t="inlineStr">
        <is>
          <t>Y</t>
        </is>
      </c>
      <c r="AC302" s="43">
        <f>HYPERLINK("https://projects.propublica.org/nonprofits/organizations/131930701/202403179349300720/full","view filing")</f>
        <v/>
      </c>
      <c r="AD302" s="50" t="inlineStr"/>
    </row>
    <row r="303">
      <c r="A303" t="inlineStr">
        <is>
          <t>Cystic Fibrosis Foundation</t>
        </is>
      </c>
      <c r="B303" s="50" t="inlineStr">
        <is>
          <t>MD</t>
        </is>
      </c>
      <c r="C303" s="52" t="n">
        <v>4.78</v>
      </c>
      <c r="D303" t="inlineStr">
        <is>
          <t>Foundation</t>
        </is>
      </c>
      <c r="E303" s="50" t="n">
        <v>2022</v>
      </c>
      <c r="F303" s="50" t="inlineStr">
        <is>
          <t>2023-11-14</t>
        </is>
      </c>
      <c r="G303" s="50" t="inlineStr">
        <is>
          <t>2022-12-31</t>
        </is>
      </c>
      <c r="H303" t="inlineStr">
        <is>
          <t>Earl Lee</t>
        </is>
      </c>
      <c r="I303" t="inlineStr">
        <is>
          <t>MANAGING DIRECTOR, INVESTMENTS</t>
        </is>
      </c>
      <c r="J303" t="inlineStr">
        <is>
          <t>Managing Director</t>
        </is>
      </c>
      <c r="K303" t="inlineStr">
        <is>
          <t>Sr Investment Professional</t>
        </is>
      </c>
      <c r="L303" s="28" t="n">
        <v>439904</v>
      </c>
      <c r="M303" s="28" t="n">
        <v>581475</v>
      </c>
      <c r="N303" s="28" t="n">
        <v>1634</v>
      </c>
      <c r="O303" s="28" t="n">
        <v>217912</v>
      </c>
      <c r="P303" s="28" t="n">
        <v>16450</v>
      </c>
      <c r="Q303" s="28" t="n">
        <v>1257375</v>
      </c>
      <c r="R303" s="28" t="n">
        <v>126945</v>
      </c>
      <c r="S303" s="28">
        <f>Q303-R303</f>
        <v/>
      </c>
      <c r="T303" s="28">
        <f>IF(S303="","",S303*(1+in_GrowthRate)^(YEARFRAC(DATE(2022,12,31),in_AgeToDate)*IF(in_AgeToDate&lt;DATE(2022,12,31),-1,1)+1))</f>
        <v/>
      </c>
      <c r="U303" s="50">
        <f>IF(AND(AND(OR(in_Mode="All Funds",AND(C303&gt;=in_BandFloor,C303&lt;=in_BandCeiling,OR(in_Geography="National",COUNTIFS(lst_GeoPreset,in_Geography,lst_GeoState,B303)&gt;0,AND(in_Geography="Custom",ISNUMBER(SEARCH(B303,SUBSTITUTE(in_CustomStates," ",""))))),OR(AND(D303="Endowment",Inputs!$B$14="Y"),AND(D303="Foundation",Inputs!$B$15="Y"),AND(D303="Healthcare",Inputs!$B$16="Y"),AND(D303="Pension",Inputs!$B$17="Y"),AND(D303="OCIO",Inputs!$B$18="Y"),AND(D303="Other",Inputs!$B$19="Y")))),A303&lt;&gt;in_ClientOrg,NOT(AND(in_ExclHarvard="Y",ISNUMBER(SEARCH("Harvard",A303))))),$AD303="Y",K303&lt;&gt;"",S303&gt;0),"Y","")</f>
        <v/>
      </c>
      <c r="V303" s="30" t="n">
        <v>0.5027413441303037</v>
      </c>
      <c r="W303" t="inlineStr"/>
      <c r="X303" s="28">
        <f>IF(L303+M303=0,"",L303+M303)</f>
        <v/>
      </c>
      <c r="Y303" s="38">
        <f>IF(L303=0,"",M303/L303)</f>
        <v/>
      </c>
      <c r="Z303" t="inlineStr">
        <is>
          <t>Managing Director</t>
        </is>
      </c>
      <c r="AA303" t="inlineStr">
        <is>
          <t>Investments</t>
        </is>
      </c>
      <c r="AB303" s="50" t="inlineStr"/>
      <c r="AC303" s="43">
        <f>HYPERLINK("https://projects.propublica.org/nonprofits/organizations/131930701/202333189349314028/full","view filing")</f>
        <v/>
      </c>
      <c r="AD303" s="50" t="inlineStr"/>
    </row>
    <row r="304">
      <c r="A304" t="inlineStr">
        <is>
          <t>Cystic Fibrosis Foundation</t>
        </is>
      </c>
      <c r="B304" s="50" t="inlineStr">
        <is>
          <t>MD</t>
        </is>
      </c>
      <c r="C304" s="52" t="n">
        <v>4.78</v>
      </c>
      <c r="D304" t="inlineStr">
        <is>
          <t>Foundation</t>
        </is>
      </c>
      <c r="E304" s="50" t="n">
        <v>2022</v>
      </c>
      <c r="F304" s="50" t="inlineStr">
        <is>
          <t>2023-11-14</t>
        </is>
      </c>
      <c r="G304" s="50" t="inlineStr">
        <is>
          <t>2022-12-31</t>
        </is>
      </c>
      <c r="H304" t="inlineStr">
        <is>
          <t>Eric Koehrsen</t>
        </is>
      </c>
      <c r="I304" t="inlineStr">
        <is>
          <t>MANAGING DIRECTOR, INVESTMENTS</t>
        </is>
      </c>
      <c r="J304" t="inlineStr">
        <is>
          <t>Managing Director</t>
        </is>
      </c>
      <c r="K304" t="inlineStr">
        <is>
          <t>Sr Investment Professional</t>
        </is>
      </c>
      <c r="L304" s="28" t="n">
        <v>407807</v>
      </c>
      <c r="M304" s="28" t="n">
        <v>512092</v>
      </c>
      <c r="N304" s="28" t="n">
        <v>1135</v>
      </c>
      <c r="O304" s="28" t="n">
        <v>199727</v>
      </c>
      <c r="P304" s="28" t="n">
        <v>48510</v>
      </c>
      <c r="Q304" s="28" t="n">
        <v>1169271</v>
      </c>
      <c r="R304" s="28" t="n">
        <v>106470</v>
      </c>
      <c r="S304" s="28">
        <f>Q304-R304</f>
        <v/>
      </c>
      <c r="T304" s="28">
        <f>IF(S304="","",S304*(1+in_GrowthRate)^(YEARFRAC(DATE(2022,12,31),in_AgeToDate)*IF(in_AgeToDate&lt;DATE(2022,12,31),-1,1)+1))</f>
        <v/>
      </c>
      <c r="U304" s="50">
        <f>IF(AND(AND(OR(in_Mode="All Funds",AND(C304&gt;=in_BandFloor,C304&lt;=in_BandCeiling,OR(in_Geography="National",COUNTIFS(lst_GeoPreset,in_Geography,lst_GeoState,B304)&gt;0,AND(in_Geography="Custom",ISNUMBER(SEARCH(B304,SUBSTITUTE(in_CustomStates," ",""))))),OR(AND(D304="Endowment",Inputs!$B$14="Y"),AND(D304="Foundation",Inputs!$B$15="Y"),AND(D304="Healthcare",Inputs!$B$16="Y"),AND(D304="Pension",Inputs!$B$17="Y"),AND(D304="OCIO",Inputs!$B$18="Y"),AND(D304="Other",Inputs!$B$19="Y")))),A304&lt;&gt;in_ClientOrg,NOT(AND(in_ExclHarvard="Y",ISNUMBER(SEARCH("Harvard",A304))))),$AD304="Y",K304&lt;&gt;"",S304&gt;0),"Y","")</f>
        <v/>
      </c>
      <c r="V304" s="30" t="n">
        <v>0.4726643872535503</v>
      </c>
      <c r="W304" t="inlineStr"/>
      <c r="X304" s="28">
        <f>IF(L304+M304=0,"",L304+M304)</f>
        <v/>
      </c>
      <c r="Y304" s="38">
        <f>IF(L304=0,"",M304/L304)</f>
        <v/>
      </c>
      <c r="Z304" t="inlineStr">
        <is>
          <t>Managing Director</t>
        </is>
      </c>
      <c r="AA304" t="inlineStr">
        <is>
          <t>Investments</t>
        </is>
      </c>
      <c r="AB304" s="50" t="inlineStr"/>
      <c r="AC304" s="43">
        <f>HYPERLINK("https://projects.propublica.org/nonprofits/organizations/131930701/202333189349314028/full","view filing")</f>
        <v/>
      </c>
      <c r="AD304" s="50" t="inlineStr"/>
    </row>
    <row r="305">
      <c r="A305" t="inlineStr">
        <is>
          <t>Cystic Fibrosis Foundation</t>
        </is>
      </c>
      <c r="B305" s="50" t="inlineStr">
        <is>
          <t>MD</t>
        </is>
      </c>
      <c r="C305" s="52" t="n">
        <v>4.78</v>
      </c>
      <c r="D305" t="inlineStr">
        <is>
          <t>Foundation</t>
        </is>
      </c>
      <c r="E305" s="50" t="n">
        <v>2022</v>
      </c>
      <c r="F305" s="50" t="inlineStr">
        <is>
          <t>2023-11-14</t>
        </is>
      </c>
      <c r="G305" s="50" t="inlineStr">
        <is>
          <t>2022-12-31</t>
        </is>
      </c>
      <c r="H305" t="inlineStr">
        <is>
          <t>Jack Mahler Md</t>
        </is>
      </c>
      <c r="I305" t="inlineStr">
        <is>
          <t>CHIEF INVESTMENT OFFICER</t>
        </is>
      </c>
      <c r="J305" t="inlineStr">
        <is>
          <t>CIO</t>
        </is>
      </c>
      <c r="K305" t="inlineStr">
        <is>
          <t>CIO - Top Investment Executive</t>
        </is>
      </c>
      <c r="L305" s="28" t="n">
        <v>695940</v>
      </c>
      <c r="M305" s="28" t="n">
        <v>1760233</v>
      </c>
      <c r="N305" s="28" t="n">
        <v>7674</v>
      </c>
      <c r="O305" s="28" t="n">
        <v>193597</v>
      </c>
      <c r="P305" s="28" t="n">
        <v>37338</v>
      </c>
      <c r="Q305" s="28" t="n">
        <v>2694782</v>
      </c>
      <c r="R305" s="28" t="n">
        <v>446250</v>
      </c>
      <c r="S305" s="28">
        <f>Q305-R305</f>
        <v/>
      </c>
      <c r="T305" s="28">
        <f>IF(S305="","",S305*(1+in_GrowthRate)^(YEARFRAC(DATE(2022,12,31),in_AgeToDate)*IF(in_AgeToDate&lt;DATE(2022,12,31),-1,1)+1))</f>
        <v/>
      </c>
      <c r="U305" s="50">
        <f>IF(AND(AND(OR(in_Mode="All Funds",AND(C305&gt;=in_BandFloor,C305&lt;=in_BandCeiling,OR(in_Geography="National",COUNTIFS(lst_GeoPreset,in_Geography,lst_GeoState,B305)&gt;0,AND(in_Geography="Custom",ISNUMBER(SEARCH(B305,SUBSTITUTE(in_CustomStates," ",""))))),OR(AND(D305="Endowment",Inputs!$B$14="Y"),AND(D305="Foundation",Inputs!$B$15="Y"),AND(D305="Healthcare",Inputs!$B$16="Y"),AND(D305="Pension",Inputs!$B$17="Y"),AND(D305="OCIO",Inputs!$B$18="Y"),AND(D305="Other",Inputs!$B$19="Y")))),A305&lt;&gt;in_ClientOrg,NOT(AND(in_ExclHarvard="Y",ISNUMBER(SEARCH("Harvard",A305))))),$AD305="Y",K305&lt;&gt;"",S305&gt;0),"Y","")</f>
        <v/>
      </c>
      <c r="V305" s="30" t="n">
        <v>1</v>
      </c>
      <c r="W305" t="inlineStr"/>
      <c r="X305" s="28">
        <f>IF(L305+M305=0,"",L305+M305)</f>
        <v/>
      </c>
      <c r="Y305" s="38">
        <f>IF(L305=0,"",M305/L305)</f>
        <v/>
      </c>
      <c r="Z305" t="inlineStr">
        <is>
          <t>CIO - Top Investment Executive</t>
        </is>
      </c>
      <c r="AA305" t="inlineStr">
        <is>
          <t>Leadership</t>
        </is>
      </c>
      <c r="AB305" s="50" t="inlineStr">
        <is>
          <t>Y</t>
        </is>
      </c>
      <c r="AC305" s="43">
        <f>HYPERLINK("https://projects.propublica.org/nonprofits/organizations/131930701/202333189349314028/full","view filing")</f>
        <v/>
      </c>
      <c r="AD305" s="50" t="inlineStr"/>
    </row>
    <row r="306">
      <c r="A306" t="inlineStr">
        <is>
          <t>Dana Farber Cancer Institute</t>
        </is>
      </c>
      <c r="B306" s="50" t="inlineStr">
        <is>
          <t>MA</t>
        </is>
      </c>
      <c r="C306" s="52" t="n">
        <v>0.12</v>
      </c>
      <c r="D306" t="inlineStr">
        <is>
          <t>Other</t>
        </is>
      </c>
      <c r="E306" s="50" t="n">
        <v>2025</v>
      </c>
      <c r="F306" s="50" t="inlineStr">
        <is>
          <t>2026-07-28</t>
        </is>
      </c>
      <c r="G306" s="50" t="inlineStr">
        <is>
          <t>2025-09-30</t>
        </is>
      </c>
      <c r="H306" t="inlineStr">
        <is>
          <t>Naomi Lenane</t>
        </is>
      </c>
      <c r="I306" t="inlineStr">
        <is>
          <t>SVP INFORMATION SERVICES CIO</t>
        </is>
      </c>
      <c r="J306" t="inlineStr">
        <is>
          <t>CIO</t>
        </is>
      </c>
      <c r="K306" t="inlineStr">
        <is>
          <t>CIO - Top Investment Executive</t>
        </is>
      </c>
      <c r="L306" s="28" t="n">
        <v>142430</v>
      </c>
      <c r="M306" s="28" t="n">
        <v>26333</v>
      </c>
      <c r="N306" s="28" t="n">
        <v>575</v>
      </c>
      <c r="O306" s="28" t="n">
        <v>15563</v>
      </c>
      <c r="P306" s="28" t="n">
        <v>13749</v>
      </c>
      <c r="Q306" s="28" t="n">
        <v>198650</v>
      </c>
      <c r="R306" s="28" t="n">
        <v>0</v>
      </c>
      <c r="S306" s="28">
        <f>Q306-R306</f>
        <v/>
      </c>
      <c r="T306" s="28">
        <f>IF(S306="","",S306*(1+in_GrowthRate)^(YEARFRAC(DATE(2025,9,30),in_AgeToDate)*IF(in_AgeToDate&lt;DATE(2025,9,30),-1,1)+1))</f>
        <v/>
      </c>
      <c r="U306" s="50">
        <f>IF(AND(AND(OR(in_Mode="All Funds",AND(C306&gt;=in_BandFloor,C306&lt;=in_BandCeiling,OR(in_Geography="National",COUNTIFS(lst_GeoPreset,in_Geography,lst_GeoState,B306)&gt;0,AND(in_Geography="Custom",ISNUMBER(SEARCH(B306,SUBSTITUTE(in_CustomStates," ",""))))),OR(AND(D306="Endowment",Inputs!$B$14="Y"),AND(D306="Foundation",Inputs!$B$15="Y"),AND(D306="Healthcare",Inputs!$B$16="Y"),AND(D306="Pension",Inputs!$B$17="Y"),AND(D306="OCIO",Inputs!$B$18="Y"),AND(D306="Other",Inputs!$B$19="Y")))),A306&lt;&gt;in_ClientOrg,NOT(AND(in_ExclHarvard="Y",ISNUMBER(SEARCH("Harvard",A306))))),$AD306="Y",K306&lt;&gt;"",S306&gt;0),"Y","")</f>
        <v/>
      </c>
      <c r="V306" s="30" t="n">
        <v>1</v>
      </c>
      <c r="W306" t="inlineStr"/>
      <c r="X306" s="28">
        <f>IF(L306+M306=0,"",L306+M306)</f>
        <v/>
      </c>
      <c r="Y306" s="38">
        <f>IF(L306=0,"",M306/L306)</f>
        <v/>
      </c>
      <c r="Z306" t="inlineStr">
        <is>
          <t>CIO - Top Investment Executive</t>
        </is>
      </c>
      <c r="AA306" t="inlineStr">
        <is>
          <t>Leadership</t>
        </is>
      </c>
      <c r="AB306" s="50" t="inlineStr">
        <is>
          <t>Y</t>
        </is>
      </c>
      <c r="AC306" s="43">
        <f>HYPERLINK("https://projects.propublica.org/nonprofits/organizations/42263040/202602099349300935/full","view filing")</f>
        <v/>
      </c>
      <c r="AD306" s="50" t="inlineStr">
        <is>
          <t>Y</t>
        </is>
      </c>
    </row>
    <row r="307">
      <c r="A307" t="inlineStr">
        <is>
          <t>Daniels Fund</t>
        </is>
      </c>
      <c r="B307" s="50" t="inlineStr">
        <is>
          <t>CO</t>
        </is>
      </c>
      <c r="C307" s="52" t="n">
        <v>1.61</v>
      </c>
      <c r="D307" t="inlineStr">
        <is>
          <t>Foundation</t>
        </is>
      </c>
      <c r="E307" s="50" t="n">
        <v>2024</v>
      </c>
      <c r="F307" s="50" t="inlineStr">
        <is>
          <t>2025-11-17</t>
        </is>
      </c>
      <c r="G307" s="50" t="inlineStr">
        <is>
          <t>2024-12-31</t>
        </is>
      </c>
      <c r="H307" t="inlineStr">
        <is>
          <t>Alex Ruehle</t>
        </is>
      </c>
      <c r="I307" t="inlineStr">
        <is>
          <t>DIRECTOR OF INVESTME</t>
        </is>
      </c>
      <c r="J307" t="inlineStr">
        <is>
          <t>Director of Investments</t>
        </is>
      </c>
      <c r="K307" t="inlineStr">
        <is>
          <t>Sr Investment Professional</t>
        </is>
      </c>
      <c r="L307" s="28" t="n">
        <v>0</v>
      </c>
      <c r="M307" s="28" t="n">
        <v>0</v>
      </c>
      <c r="N307" s="28" t="n">
        <v>0</v>
      </c>
      <c r="O307" s="28" t="n">
        <v>0</v>
      </c>
      <c r="P307" s="28" t="n">
        <v>0</v>
      </c>
      <c r="Q307" s="28" t="n">
        <v>244056</v>
      </c>
      <c r="R307" s="28" t="n">
        <v>0</v>
      </c>
      <c r="S307" s="28">
        <f>Q307-R307</f>
        <v/>
      </c>
      <c r="T307" s="28">
        <f>IF(S307="","",S307*(1+in_GrowthRate)^(YEARFRAC(DATE(2024,12,31),in_AgeToDate)*IF(in_AgeToDate&lt;DATE(2024,12,31),-1,1)+1))</f>
        <v/>
      </c>
      <c r="U307" s="50">
        <f>IF(AND(AND(OR(in_Mode="All Funds",AND(C307&gt;=in_BandFloor,C307&lt;=in_BandCeiling,OR(in_Geography="National",COUNTIFS(lst_GeoPreset,in_Geography,lst_GeoState,B307)&gt;0,AND(in_Geography="Custom",ISNUMBER(SEARCH(B307,SUBSTITUTE(in_CustomStates," ",""))))),OR(AND(D307="Endowment",Inputs!$B$14="Y"),AND(D307="Foundation",Inputs!$B$15="Y"),AND(D307="Healthcare",Inputs!$B$16="Y"),AND(D307="Pension",Inputs!$B$17="Y"),AND(D307="OCIO",Inputs!$B$18="Y"),AND(D307="Other",Inputs!$B$19="Y")))),A307&lt;&gt;in_ClientOrg,NOT(AND(in_ExclHarvard="Y",ISNUMBER(SEARCH("Harvard",A307))))),$AD307="Y",K307&lt;&gt;"",S307&gt;0),"Y","")</f>
        <v/>
      </c>
      <c r="V307" s="30" t="n"/>
      <c r="W307" t="inlineStr"/>
      <c r="X307" s="28">
        <f>IF(L307+M307=0,"",L307+M307)</f>
        <v/>
      </c>
      <c r="Y307" s="38">
        <f>IF(L307=0,"",M307/L307)</f>
        <v/>
      </c>
      <c r="Z307" t="inlineStr">
        <is>
          <t>Director &amp; Investment Officer</t>
        </is>
      </c>
      <c r="AA307" t="inlineStr">
        <is>
          <t>Investments</t>
        </is>
      </c>
      <c r="AB307" s="50" t="inlineStr"/>
      <c r="AC307" s="43">
        <f>HYPERLINK("https://projects.propublica.org/nonprofits/organizations/841393308/202523219349108752/full","view filing")</f>
        <v/>
      </c>
      <c r="AD307" s="50" t="inlineStr">
        <is>
          <t>Y</t>
        </is>
      </c>
    </row>
    <row r="308">
      <c r="A308" t="inlineStr">
        <is>
          <t>David And Lucile Packard Foundation</t>
        </is>
      </c>
      <c r="B308" s="50" t="inlineStr">
        <is>
          <t>CA</t>
        </is>
      </c>
      <c r="C308" s="52" t="n">
        <v>8.07</v>
      </c>
      <c r="D308" t="inlineStr">
        <is>
          <t>Foundation</t>
        </is>
      </c>
      <c r="E308" s="50" t="n">
        <v>2024</v>
      </c>
      <c r="F308" s="50" t="inlineStr">
        <is>
          <t>2025-11-16</t>
        </is>
      </c>
      <c r="G308" s="50" t="inlineStr">
        <is>
          <t>2024-12-31</t>
        </is>
      </c>
      <c r="H308" t="inlineStr">
        <is>
          <t>Ben Chiquoine</t>
        </is>
      </c>
      <c r="I308" t="inlineStr">
        <is>
          <t>MANAGING DIRECTOR</t>
        </is>
      </c>
      <c r="J308" t="inlineStr">
        <is>
          <t>Managing Director</t>
        </is>
      </c>
      <c r="K308" t="inlineStr">
        <is>
          <t>Sr Investment Professional</t>
        </is>
      </c>
      <c r="L308" s="28" t="n">
        <v>0</v>
      </c>
      <c r="M308" s="28" t="n">
        <v>0</v>
      </c>
      <c r="N308" s="28" t="n">
        <v>0</v>
      </c>
      <c r="O308" s="28" t="n">
        <v>0</v>
      </c>
      <c r="P308" s="28" t="n">
        <v>0</v>
      </c>
      <c r="Q308" s="28" t="n">
        <v>1031532</v>
      </c>
      <c r="R308" s="28" t="n">
        <v>0</v>
      </c>
      <c r="S308" s="28">
        <f>Q308-R308</f>
        <v/>
      </c>
      <c r="T308" s="28">
        <f>IF(S308="","",S308*(1+in_GrowthRate)^(YEARFRAC(DATE(2024,12,31),in_AgeToDate)*IF(in_AgeToDate&lt;DATE(2024,12,31),-1,1)+1))</f>
        <v/>
      </c>
      <c r="U308" s="50">
        <f>IF(AND(AND(OR(in_Mode="All Funds",AND(C308&gt;=in_BandFloor,C308&lt;=in_BandCeiling,OR(in_Geography="National",COUNTIFS(lst_GeoPreset,in_Geography,lst_GeoState,B308)&gt;0,AND(in_Geography="Custom",ISNUMBER(SEARCH(B308,SUBSTITUTE(in_CustomStates," ",""))))),OR(AND(D308="Endowment",Inputs!$B$14="Y"),AND(D308="Foundation",Inputs!$B$15="Y"),AND(D308="Healthcare",Inputs!$B$16="Y"),AND(D308="Pension",Inputs!$B$17="Y"),AND(D308="OCIO",Inputs!$B$18="Y"),AND(D308="Other",Inputs!$B$19="Y")))),A308&lt;&gt;in_ClientOrg,NOT(AND(in_ExclHarvard="Y",ISNUMBER(SEARCH("Harvard",A308))))),$AD308="Y",K308&lt;&gt;"",S308&gt;0),"Y","")</f>
        <v/>
      </c>
      <c r="V308" s="30" t="n">
        <v>0.3002008067191674</v>
      </c>
      <c r="W308" t="inlineStr"/>
      <c r="X308" s="28">
        <f>IF(L308+M308=0,"",L308+M308)</f>
        <v/>
      </c>
      <c r="Y308" s="38">
        <f>IF(L308=0,"",M308/L308)</f>
        <v/>
      </c>
      <c r="Z308" t="inlineStr">
        <is>
          <t>Managing Director</t>
        </is>
      </c>
      <c r="AA308" t="inlineStr">
        <is>
          <t>Investments</t>
        </is>
      </c>
      <c r="AB308" s="50" t="inlineStr"/>
      <c r="AC308" s="43">
        <f>HYPERLINK("https://projects.propublica.org/nonprofits/organizations/942278431/202533209349100148/full","view filing")</f>
        <v/>
      </c>
      <c r="AD308" s="50" t="inlineStr">
        <is>
          <t>Y</t>
        </is>
      </c>
    </row>
    <row r="309">
      <c r="A309" t="inlineStr">
        <is>
          <t>David And Lucile Packard Foundation</t>
        </is>
      </c>
      <c r="B309" s="50" t="inlineStr">
        <is>
          <t>CA</t>
        </is>
      </c>
      <c r="C309" s="52" t="n">
        <v>8.07</v>
      </c>
      <c r="D309" t="inlineStr">
        <is>
          <t>Foundation</t>
        </is>
      </c>
      <c r="E309" s="50" t="n">
        <v>2024</v>
      </c>
      <c r="F309" s="50" t="inlineStr">
        <is>
          <t>2025-11-16</t>
        </is>
      </c>
      <c r="G309" s="50" t="inlineStr">
        <is>
          <t>2024-12-31</t>
        </is>
      </c>
      <c r="H309" t="inlineStr">
        <is>
          <t>Christine Ortiz Arent</t>
        </is>
      </c>
      <c r="I309" t="inlineStr">
        <is>
          <t>MANAGING DIRECTOR</t>
        </is>
      </c>
      <c r="J309" t="inlineStr">
        <is>
          <t>Managing Director</t>
        </is>
      </c>
      <c r="K309" t="inlineStr">
        <is>
          <t>Sr Investment Professional</t>
        </is>
      </c>
      <c r="L309" s="28" t="n">
        <v>0</v>
      </c>
      <c r="M309" s="28" t="n">
        <v>0</v>
      </c>
      <c r="N309" s="28" t="n">
        <v>0</v>
      </c>
      <c r="O309" s="28" t="n">
        <v>0</v>
      </c>
      <c r="P309" s="28" t="n">
        <v>0</v>
      </c>
      <c r="Q309" s="28" t="n">
        <v>1244206</v>
      </c>
      <c r="R309" s="28" t="n">
        <v>0</v>
      </c>
      <c r="S309" s="28">
        <f>Q309-R309</f>
        <v/>
      </c>
      <c r="T309" s="28">
        <f>IF(S309="","",S309*(1+in_GrowthRate)^(YEARFRAC(DATE(2024,12,31),in_AgeToDate)*IF(in_AgeToDate&lt;DATE(2024,12,31),-1,1)+1))</f>
        <v/>
      </c>
      <c r="U309" s="50">
        <f>IF(AND(AND(OR(in_Mode="All Funds",AND(C309&gt;=in_BandFloor,C309&lt;=in_BandCeiling,OR(in_Geography="National",COUNTIFS(lst_GeoPreset,in_Geography,lst_GeoState,B309)&gt;0,AND(in_Geography="Custom",ISNUMBER(SEARCH(B309,SUBSTITUTE(in_CustomStates," ",""))))),OR(AND(D309="Endowment",Inputs!$B$14="Y"),AND(D309="Foundation",Inputs!$B$15="Y"),AND(D309="Healthcare",Inputs!$B$16="Y"),AND(D309="Pension",Inputs!$B$17="Y"),AND(D309="OCIO",Inputs!$B$18="Y"),AND(D309="Other",Inputs!$B$19="Y")))),A309&lt;&gt;in_ClientOrg,NOT(AND(in_ExclHarvard="Y",ISNUMBER(SEARCH("Harvard",A309))))),$AD309="Y",K309&lt;&gt;"",S309&gt;0),"Y","")</f>
        <v/>
      </c>
      <c r="V309" s="30" t="n">
        <v>0.3620940939542626</v>
      </c>
      <c r="W309" t="inlineStr"/>
      <c r="X309" s="28">
        <f>IF(L309+M309=0,"",L309+M309)</f>
        <v/>
      </c>
      <c r="Y309" s="38">
        <f>IF(L309=0,"",M309/L309)</f>
        <v/>
      </c>
      <c r="Z309" t="inlineStr">
        <is>
          <t>Managing Director</t>
        </is>
      </c>
      <c r="AA309" t="inlineStr">
        <is>
          <t>Investments</t>
        </is>
      </c>
      <c r="AB309" s="50" t="inlineStr"/>
      <c r="AC309" s="43">
        <f>HYPERLINK("https://projects.propublica.org/nonprofits/organizations/942278431/202533209349100148/full","view filing")</f>
        <v/>
      </c>
      <c r="AD309" s="50" t="inlineStr">
        <is>
          <t>Y</t>
        </is>
      </c>
    </row>
    <row r="310">
      <c r="A310" t="inlineStr">
        <is>
          <t>David And Lucile Packard Foundation</t>
        </is>
      </c>
      <c r="B310" s="50" t="inlineStr">
        <is>
          <t>CA</t>
        </is>
      </c>
      <c r="C310" s="52" t="n">
        <v>8.07</v>
      </c>
      <c r="D310" t="inlineStr">
        <is>
          <t>Foundation</t>
        </is>
      </c>
      <c r="E310" s="50" t="n">
        <v>2024</v>
      </c>
      <c r="F310" s="50" t="inlineStr">
        <is>
          <t>2025-11-16</t>
        </is>
      </c>
      <c r="G310" s="50" t="inlineStr">
        <is>
          <t>2024-12-31</t>
        </is>
      </c>
      <c r="H310" t="inlineStr">
        <is>
          <t>Kimberly Sargent</t>
        </is>
      </c>
      <c r="I310" t="inlineStr">
        <is>
          <t>CHIEF INVESTMENT OFFICER</t>
        </is>
      </c>
      <c r="J310" t="inlineStr">
        <is>
          <t>CIO</t>
        </is>
      </c>
      <c r="K310" t="inlineStr">
        <is>
          <t>CIO - Top Investment Executive</t>
        </is>
      </c>
      <c r="L310" s="28" t="n">
        <v>0</v>
      </c>
      <c r="M310" s="28" t="n">
        <v>0</v>
      </c>
      <c r="N310" s="28" t="n">
        <v>0</v>
      </c>
      <c r="O310" s="28" t="n">
        <v>0</v>
      </c>
      <c r="P310" s="28" t="n">
        <v>222816</v>
      </c>
      <c r="Q310" s="28" t="n">
        <v>3436140</v>
      </c>
      <c r="R310" s="28" t="n">
        <v>0</v>
      </c>
      <c r="S310" s="28">
        <f>Q310-R310</f>
        <v/>
      </c>
      <c r="T310" s="28">
        <f>IF(S310="","",S310*(1+in_GrowthRate)^(YEARFRAC(DATE(2024,12,31),in_AgeToDate)*IF(in_AgeToDate&lt;DATE(2024,12,31),-1,1)+1))</f>
        <v/>
      </c>
      <c r="U310" s="50">
        <f>IF(AND(AND(OR(in_Mode="All Funds",AND(C310&gt;=in_BandFloor,C310&lt;=in_BandCeiling,OR(in_Geography="National",COUNTIFS(lst_GeoPreset,in_Geography,lst_GeoState,B310)&gt;0,AND(in_Geography="Custom",ISNUMBER(SEARCH(B310,SUBSTITUTE(in_CustomStates," ",""))))),OR(AND(D310="Endowment",Inputs!$B$14="Y"),AND(D310="Foundation",Inputs!$B$15="Y"),AND(D310="Healthcare",Inputs!$B$16="Y"),AND(D310="Pension",Inputs!$B$17="Y"),AND(D310="OCIO",Inputs!$B$18="Y"),AND(D310="Other",Inputs!$B$19="Y")))),A310&lt;&gt;in_ClientOrg,NOT(AND(in_ExclHarvard="Y",ISNUMBER(SEARCH("Harvard",A310))))),$AD310="Y",K310&lt;&gt;"",S310&gt;0),"Y","")</f>
        <v/>
      </c>
      <c r="V310" s="30" t="n">
        <v>1</v>
      </c>
      <c r="W310" t="inlineStr"/>
      <c r="X310" s="28">
        <f>IF(L310+M310=0,"",L310+M310)</f>
        <v/>
      </c>
      <c r="Y310" s="38">
        <f>IF(L310=0,"",M310/L310)</f>
        <v/>
      </c>
      <c r="Z310" t="inlineStr">
        <is>
          <t>CIO - Top Investment Executive</t>
        </is>
      </c>
      <c r="AA310" t="inlineStr">
        <is>
          <t>Leadership</t>
        </is>
      </c>
      <c r="AB310" s="50" t="inlineStr">
        <is>
          <t>Y</t>
        </is>
      </c>
      <c r="AC310" s="43">
        <f>HYPERLINK("https://projects.propublica.org/nonprofits/organizations/942278431/202533209349100148/full","view filing")</f>
        <v/>
      </c>
      <c r="AD310" s="50" t="inlineStr">
        <is>
          <t>Y</t>
        </is>
      </c>
    </row>
    <row r="311">
      <c r="A311" t="inlineStr">
        <is>
          <t>David And Lucile Packard Foundation</t>
        </is>
      </c>
      <c r="B311" s="50" t="inlineStr">
        <is>
          <t>CA</t>
        </is>
      </c>
      <c r="C311" s="52" t="n">
        <v>8.07</v>
      </c>
      <c r="D311" t="inlineStr">
        <is>
          <t>Foundation</t>
        </is>
      </c>
      <c r="E311" s="50" t="n">
        <v>2024</v>
      </c>
      <c r="F311" s="50" t="inlineStr">
        <is>
          <t>2025-11-16</t>
        </is>
      </c>
      <c r="G311" s="50" t="inlineStr">
        <is>
          <t>2024-12-31</t>
        </is>
      </c>
      <c r="H311" t="inlineStr">
        <is>
          <t>Silpa S Pericherla</t>
        </is>
      </c>
      <c r="I311" t="inlineStr">
        <is>
          <t>MANAGING DIRECTOR</t>
        </is>
      </c>
      <c r="J311" t="inlineStr">
        <is>
          <t>Managing Director</t>
        </is>
      </c>
      <c r="K311" t="inlineStr">
        <is>
          <t>Sr Investment Professional</t>
        </is>
      </c>
      <c r="L311" s="28" t="n">
        <v>0</v>
      </c>
      <c r="M311" s="28" t="n">
        <v>0</v>
      </c>
      <c r="N311" s="28" t="n">
        <v>0</v>
      </c>
      <c r="O311" s="28" t="n">
        <v>0</v>
      </c>
      <c r="P311" s="28" t="n">
        <v>0</v>
      </c>
      <c r="Q311" s="28" t="n">
        <v>1384774</v>
      </c>
      <c r="R311" s="28" t="n">
        <v>0</v>
      </c>
      <c r="S311" s="28">
        <f>Q311-R311</f>
        <v/>
      </c>
      <c r="T311" s="28">
        <f>IF(S311="","",S311*(1+in_GrowthRate)^(YEARFRAC(DATE(2024,12,31),in_AgeToDate)*IF(in_AgeToDate&lt;DATE(2024,12,31),-1,1)+1))</f>
        <v/>
      </c>
      <c r="U311" s="50">
        <f>IF(AND(AND(OR(in_Mode="All Funds",AND(C311&gt;=in_BandFloor,C311&lt;=in_BandCeiling,OR(in_Geography="National",COUNTIFS(lst_GeoPreset,in_Geography,lst_GeoState,B311)&gt;0,AND(in_Geography="Custom",ISNUMBER(SEARCH(B311,SUBSTITUTE(in_CustomStates," ",""))))),OR(AND(D311="Endowment",Inputs!$B$14="Y"),AND(D311="Foundation",Inputs!$B$15="Y"),AND(D311="Healthcare",Inputs!$B$16="Y"),AND(D311="Pension",Inputs!$B$17="Y"),AND(D311="OCIO",Inputs!$B$18="Y"),AND(D311="Other",Inputs!$B$19="Y")))),A311&lt;&gt;in_ClientOrg,NOT(AND(in_ExclHarvard="Y",ISNUMBER(SEARCH("Harvard",A311))))),$AD311="Y",K311&lt;&gt;"",S311&gt;0),"Y","")</f>
        <v/>
      </c>
      <c r="V311" s="30" t="n">
        <v>0.4030027880121299</v>
      </c>
      <c r="W311" t="inlineStr"/>
      <c r="X311" s="28">
        <f>IF(L311+M311=0,"",L311+M311)</f>
        <v/>
      </c>
      <c r="Y311" s="38">
        <f>IF(L311=0,"",M311/L311)</f>
        <v/>
      </c>
      <c r="Z311" t="inlineStr">
        <is>
          <t>Managing Director</t>
        </is>
      </c>
      <c r="AA311" t="inlineStr">
        <is>
          <t>Investments</t>
        </is>
      </c>
      <c r="AB311" s="50" t="inlineStr"/>
      <c r="AC311" s="43">
        <f>HYPERLINK("https://projects.propublica.org/nonprofits/organizations/942278431/202533209349100148/full","view filing")</f>
        <v/>
      </c>
      <c r="AD311" s="50" t="inlineStr">
        <is>
          <t>Y</t>
        </is>
      </c>
    </row>
    <row r="312">
      <c r="A312" t="inlineStr">
        <is>
          <t>David And Lucile Packard Foundation</t>
        </is>
      </c>
      <c r="B312" s="50" t="inlineStr">
        <is>
          <t>CA</t>
        </is>
      </c>
      <c r="C312" s="52" t="n">
        <v>8.07</v>
      </c>
      <c r="D312" t="inlineStr">
        <is>
          <t>Foundation</t>
        </is>
      </c>
      <c r="E312" s="50" t="n">
        <v>2024</v>
      </c>
      <c r="F312" s="50" t="inlineStr">
        <is>
          <t>2025-11-16</t>
        </is>
      </c>
      <c r="G312" s="50" t="inlineStr">
        <is>
          <t>2024-12-31</t>
        </is>
      </c>
      <c r="H312" t="inlineStr">
        <is>
          <t>Stephen Bluestein</t>
        </is>
      </c>
      <c r="I312" t="inlineStr">
        <is>
          <t>MANAGING DIRECTOR</t>
        </is>
      </c>
      <c r="J312" t="inlineStr">
        <is>
          <t>Managing Director</t>
        </is>
      </c>
      <c r="K312" t="inlineStr">
        <is>
          <t>Sr Investment Professional</t>
        </is>
      </c>
      <c r="L312" s="28" t="n">
        <v>0</v>
      </c>
      <c r="M312" s="28" t="n">
        <v>0</v>
      </c>
      <c r="N312" s="28" t="n">
        <v>0</v>
      </c>
      <c r="O312" s="28" t="n">
        <v>0</v>
      </c>
      <c r="P312" s="28" t="n">
        <v>0</v>
      </c>
      <c r="Q312" s="28" t="n">
        <v>1136606</v>
      </c>
      <c r="R312" s="28" t="n">
        <v>0</v>
      </c>
      <c r="S312" s="28">
        <f>Q312-R312</f>
        <v/>
      </c>
      <c r="T312" s="28">
        <f>IF(S312="","",S312*(1+in_GrowthRate)^(YEARFRAC(DATE(2024,12,31),in_AgeToDate)*IF(in_AgeToDate&lt;DATE(2024,12,31),-1,1)+1))</f>
        <v/>
      </c>
      <c r="U312" s="50">
        <f>IF(AND(AND(OR(in_Mode="All Funds",AND(C312&gt;=in_BandFloor,C312&lt;=in_BandCeiling,OR(in_Geography="National",COUNTIFS(lst_GeoPreset,in_Geography,lst_GeoState,B312)&gt;0,AND(in_Geography="Custom",ISNUMBER(SEARCH(B312,SUBSTITUTE(in_CustomStates," ",""))))),OR(AND(D312="Endowment",Inputs!$B$14="Y"),AND(D312="Foundation",Inputs!$B$15="Y"),AND(D312="Healthcare",Inputs!$B$16="Y"),AND(D312="Pension",Inputs!$B$17="Y"),AND(D312="OCIO",Inputs!$B$18="Y"),AND(D312="Other",Inputs!$B$19="Y")))),A312&lt;&gt;in_ClientOrg,NOT(AND(in_ExclHarvard="Y",ISNUMBER(SEARCH("Harvard",A312))))),$AD312="Y",K312&lt;&gt;"",S312&gt;0),"Y","")</f>
        <v/>
      </c>
      <c r="V312" s="30" t="n">
        <v>0.3307798867333694</v>
      </c>
      <c r="W312" t="inlineStr"/>
      <c r="X312" s="28">
        <f>IF(L312+M312=0,"",L312+M312)</f>
        <v/>
      </c>
      <c r="Y312" s="38">
        <f>IF(L312=0,"",M312/L312)</f>
        <v/>
      </c>
      <c r="Z312" t="inlineStr">
        <is>
          <t>Managing Director</t>
        </is>
      </c>
      <c r="AA312" t="inlineStr">
        <is>
          <t>Investments</t>
        </is>
      </c>
      <c r="AB312" s="50" t="inlineStr"/>
      <c r="AC312" s="43">
        <f>HYPERLINK("https://projects.propublica.org/nonprofits/organizations/942278431/202533209349100148/full","view filing")</f>
        <v/>
      </c>
      <c r="AD312" s="50" t="inlineStr">
        <is>
          <t>Y</t>
        </is>
      </c>
    </row>
    <row r="313">
      <c r="A313" t="inlineStr">
        <is>
          <t>David And Lucile Packard Foundation</t>
        </is>
      </c>
      <c r="B313" s="50" t="inlineStr">
        <is>
          <t>CA</t>
        </is>
      </c>
      <c r="C313" s="52" t="n">
        <v>8.07</v>
      </c>
      <c r="D313" t="inlineStr">
        <is>
          <t>Foundation</t>
        </is>
      </c>
      <c r="E313" s="50" t="n">
        <v>2023</v>
      </c>
      <c r="F313" s="50" t="inlineStr">
        <is>
          <t>2024-11-14</t>
        </is>
      </c>
      <c r="G313" s="50" t="inlineStr">
        <is>
          <t>2023-12-31</t>
        </is>
      </c>
      <c r="H313" t="inlineStr">
        <is>
          <t>Ben Chiquoine</t>
        </is>
      </c>
      <c r="I313" t="inlineStr">
        <is>
          <t>MANAGING DIRECTOR</t>
        </is>
      </c>
      <c r="J313" t="inlineStr">
        <is>
          <t>Managing Director</t>
        </is>
      </c>
      <c r="K313" t="inlineStr">
        <is>
          <t>Sr Investment Professional</t>
        </is>
      </c>
      <c r="L313" s="28" t="n">
        <v>0</v>
      </c>
      <c r="M313" s="28" t="n">
        <v>0</v>
      </c>
      <c r="N313" s="28" t="n">
        <v>0</v>
      </c>
      <c r="O313" s="28" t="n">
        <v>0</v>
      </c>
      <c r="P313" s="28" t="n">
        <v>0</v>
      </c>
      <c r="Q313" s="28" t="n">
        <v>975671</v>
      </c>
      <c r="R313" s="28" t="n">
        <v>0</v>
      </c>
      <c r="S313" s="28">
        <f>Q313-R313</f>
        <v/>
      </c>
      <c r="T313" s="28">
        <f>IF(S313="","",S313*(1+in_GrowthRate)^(YEARFRAC(DATE(2023,12,31),in_AgeToDate)*IF(in_AgeToDate&lt;DATE(2023,12,31),-1,1)+1))</f>
        <v/>
      </c>
      <c r="U313" s="50">
        <f>IF(AND(AND(OR(in_Mode="All Funds",AND(C313&gt;=in_BandFloor,C313&lt;=in_BandCeiling,OR(in_Geography="National",COUNTIFS(lst_GeoPreset,in_Geography,lst_GeoState,B313)&gt;0,AND(in_Geography="Custom",ISNUMBER(SEARCH(B313,SUBSTITUTE(in_CustomStates," ",""))))),OR(AND(D313="Endowment",Inputs!$B$14="Y"),AND(D313="Foundation",Inputs!$B$15="Y"),AND(D313="Healthcare",Inputs!$B$16="Y"),AND(D313="Pension",Inputs!$B$17="Y"),AND(D313="OCIO",Inputs!$B$18="Y"),AND(D313="Other",Inputs!$B$19="Y")))),A313&lt;&gt;in_ClientOrg,NOT(AND(in_ExclHarvard="Y",ISNUMBER(SEARCH("Harvard",A313))))),$AD313="Y",K313&lt;&gt;"",S313&gt;0),"Y","")</f>
        <v/>
      </c>
      <c r="V313" s="30" t="n">
        <v>0.2876704897089214</v>
      </c>
      <c r="W313" t="inlineStr"/>
      <c r="X313" s="28">
        <f>IF(L313+M313=0,"",L313+M313)</f>
        <v/>
      </c>
      <c r="Y313" s="38">
        <f>IF(L313=0,"",M313/L313)</f>
        <v/>
      </c>
      <c r="Z313" t="inlineStr">
        <is>
          <t>Managing Director</t>
        </is>
      </c>
      <c r="AA313" t="inlineStr">
        <is>
          <t>Investments</t>
        </is>
      </c>
      <c r="AB313" s="50" t="inlineStr"/>
      <c r="AC313" s="43">
        <f>HYPERLINK("https://projects.propublica.org/nonprofits/organizations/942278431/202433199349102603/full","view filing")</f>
        <v/>
      </c>
      <c r="AD313" s="50" t="inlineStr"/>
    </row>
    <row r="314">
      <c r="A314" t="inlineStr">
        <is>
          <t>David And Lucile Packard Foundation</t>
        </is>
      </c>
      <c r="B314" s="50" t="inlineStr">
        <is>
          <t>CA</t>
        </is>
      </c>
      <c r="C314" s="52" t="n">
        <v>8.07</v>
      </c>
      <c r="D314" t="inlineStr">
        <is>
          <t>Foundation</t>
        </is>
      </c>
      <c r="E314" s="50" t="n">
        <v>2023</v>
      </c>
      <c r="F314" s="50" t="inlineStr">
        <is>
          <t>2024-11-14</t>
        </is>
      </c>
      <c r="G314" s="50" t="inlineStr">
        <is>
          <t>2023-12-31</t>
        </is>
      </c>
      <c r="H314" t="inlineStr">
        <is>
          <t>Christine Ortiz Arent</t>
        </is>
      </c>
      <c r="I314" t="inlineStr">
        <is>
          <t>MANAGING DIRECTOR</t>
        </is>
      </c>
      <c r="J314" t="inlineStr">
        <is>
          <t>Managing Director</t>
        </is>
      </c>
      <c r="K314" t="inlineStr">
        <is>
          <t>Sr Investment Professional</t>
        </is>
      </c>
      <c r="L314" s="28" t="n">
        <v>0</v>
      </c>
      <c r="M314" s="28" t="n">
        <v>0</v>
      </c>
      <c r="N314" s="28" t="n">
        <v>0</v>
      </c>
      <c r="O314" s="28" t="n">
        <v>0</v>
      </c>
      <c r="P314" s="28" t="n">
        <v>0</v>
      </c>
      <c r="Q314" s="28" t="n">
        <v>1229839</v>
      </c>
      <c r="R314" s="28" t="n">
        <v>0</v>
      </c>
      <c r="S314" s="28">
        <f>Q314-R314</f>
        <v/>
      </c>
      <c r="T314" s="28">
        <f>IF(S314="","",S314*(1+in_GrowthRate)^(YEARFRAC(DATE(2023,12,31),in_AgeToDate)*IF(in_AgeToDate&lt;DATE(2023,12,31),-1,1)+1))</f>
        <v/>
      </c>
      <c r="U314" s="50">
        <f>IF(AND(AND(OR(in_Mode="All Funds",AND(C314&gt;=in_BandFloor,C314&lt;=in_BandCeiling,OR(in_Geography="National",COUNTIFS(lst_GeoPreset,in_Geography,lst_GeoState,B314)&gt;0,AND(in_Geography="Custom",ISNUMBER(SEARCH(B314,SUBSTITUTE(in_CustomStates," ",""))))),OR(AND(D314="Endowment",Inputs!$B$14="Y"),AND(D314="Foundation",Inputs!$B$15="Y"),AND(D314="Healthcare",Inputs!$B$16="Y"),AND(D314="Pension",Inputs!$B$17="Y"),AND(D314="OCIO",Inputs!$B$18="Y"),AND(D314="Other",Inputs!$B$19="Y")))),A314&lt;&gt;in_ClientOrg,NOT(AND(in_ExclHarvard="Y",ISNUMBER(SEARCH("Harvard",A314))))),$AD314="Y",K314&lt;&gt;"",S314&gt;0),"Y","")</f>
        <v/>
      </c>
      <c r="V314" s="30" t="n">
        <v>0.3626103342142282</v>
      </c>
      <c r="W314" t="inlineStr"/>
      <c r="X314" s="28">
        <f>IF(L314+M314=0,"",L314+M314)</f>
        <v/>
      </c>
      <c r="Y314" s="38">
        <f>IF(L314=0,"",M314/L314)</f>
        <v/>
      </c>
      <c r="Z314" t="inlineStr">
        <is>
          <t>Managing Director</t>
        </is>
      </c>
      <c r="AA314" t="inlineStr">
        <is>
          <t>Investments</t>
        </is>
      </c>
      <c r="AB314" s="50" t="inlineStr"/>
      <c r="AC314" s="43">
        <f>HYPERLINK("https://projects.propublica.org/nonprofits/organizations/942278431/202433199349102603/full","view filing")</f>
        <v/>
      </c>
      <c r="AD314" s="50" t="inlineStr"/>
    </row>
    <row r="315">
      <c r="A315" t="inlineStr">
        <is>
          <t>David And Lucile Packard Foundation</t>
        </is>
      </c>
      <c r="B315" s="50" t="inlineStr">
        <is>
          <t>CA</t>
        </is>
      </c>
      <c r="C315" s="52" t="n">
        <v>8.07</v>
      </c>
      <c r="D315" t="inlineStr">
        <is>
          <t>Foundation</t>
        </is>
      </c>
      <c r="E315" s="50" t="n">
        <v>2023</v>
      </c>
      <c r="F315" s="50" t="inlineStr">
        <is>
          <t>2024-11-14</t>
        </is>
      </c>
      <c r="G315" s="50" t="inlineStr">
        <is>
          <t>2023-12-31</t>
        </is>
      </c>
      <c r="H315" t="inlineStr">
        <is>
          <t>Kimberly Sargent</t>
        </is>
      </c>
      <c r="I315" t="inlineStr">
        <is>
          <t>CHIEF INVESTMENT OFFICER</t>
        </is>
      </c>
      <c r="J315" t="inlineStr">
        <is>
          <t>CIO</t>
        </is>
      </c>
      <c r="K315" t="inlineStr">
        <is>
          <t>CIO - Top Investment Executive</t>
        </is>
      </c>
      <c r="L315" s="28" t="n">
        <v>0</v>
      </c>
      <c r="M315" s="28" t="n">
        <v>0</v>
      </c>
      <c r="N315" s="28" t="n">
        <v>0</v>
      </c>
      <c r="O315" s="28" t="n">
        <v>0</v>
      </c>
      <c r="P315" s="28" t="n">
        <v>209136</v>
      </c>
      <c r="Q315" s="28" t="n">
        <v>3391627</v>
      </c>
      <c r="R315" s="28" t="n">
        <v>0</v>
      </c>
      <c r="S315" s="28">
        <f>Q315-R315</f>
        <v/>
      </c>
      <c r="T315" s="28">
        <f>IF(S315="","",S315*(1+in_GrowthRate)^(YEARFRAC(DATE(2023,12,31),in_AgeToDate)*IF(in_AgeToDate&lt;DATE(2023,12,31),-1,1)+1))</f>
        <v/>
      </c>
      <c r="U315" s="50">
        <f>IF(AND(AND(OR(in_Mode="All Funds",AND(C315&gt;=in_BandFloor,C315&lt;=in_BandCeiling,OR(in_Geography="National",COUNTIFS(lst_GeoPreset,in_Geography,lst_GeoState,B315)&gt;0,AND(in_Geography="Custom",ISNUMBER(SEARCH(B315,SUBSTITUTE(in_CustomStates," ",""))))),OR(AND(D315="Endowment",Inputs!$B$14="Y"),AND(D315="Foundation",Inputs!$B$15="Y"),AND(D315="Healthcare",Inputs!$B$16="Y"),AND(D315="Pension",Inputs!$B$17="Y"),AND(D315="OCIO",Inputs!$B$18="Y"),AND(D315="Other",Inputs!$B$19="Y")))),A315&lt;&gt;in_ClientOrg,NOT(AND(in_ExclHarvard="Y",ISNUMBER(SEARCH("Harvard",A315))))),$AD315="Y",K315&lt;&gt;"",S315&gt;0),"Y","")</f>
        <v/>
      </c>
      <c r="V315" s="30" t="n">
        <v>1</v>
      </c>
      <c r="W315" t="inlineStr"/>
      <c r="X315" s="28">
        <f>IF(L315+M315=0,"",L315+M315)</f>
        <v/>
      </c>
      <c r="Y315" s="38">
        <f>IF(L315=0,"",M315/L315)</f>
        <v/>
      </c>
      <c r="Z315" t="inlineStr">
        <is>
          <t>CIO - Top Investment Executive</t>
        </is>
      </c>
      <c r="AA315" t="inlineStr">
        <is>
          <t>Leadership</t>
        </is>
      </c>
      <c r="AB315" s="50" t="inlineStr">
        <is>
          <t>Y</t>
        </is>
      </c>
      <c r="AC315" s="43">
        <f>HYPERLINK("https://projects.propublica.org/nonprofits/organizations/942278431/202433199349102603/full","view filing")</f>
        <v/>
      </c>
      <c r="AD315" s="50" t="inlineStr"/>
    </row>
    <row r="316">
      <c r="A316" t="inlineStr">
        <is>
          <t>David And Lucile Packard Foundation</t>
        </is>
      </c>
      <c r="B316" s="50" t="inlineStr">
        <is>
          <t>CA</t>
        </is>
      </c>
      <c r="C316" s="52" t="n">
        <v>8.07</v>
      </c>
      <c r="D316" t="inlineStr">
        <is>
          <t>Foundation</t>
        </is>
      </c>
      <c r="E316" s="50" t="n">
        <v>2023</v>
      </c>
      <c r="F316" s="50" t="inlineStr">
        <is>
          <t>2024-11-14</t>
        </is>
      </c>
      <c r="G316" s="50" t="inlineStr">
        <is>
          <t>2023-12-31</t>
        </is>
      </c>
      <c r="H316" t="inlineStr">
        <is>
          <t>Silpa S Pericherla</t>
        </is>
      </c>
      <c r="I316" t="inlineStr">
        <is>
          <t>MANAGING DIRECTOR</t>
        </is>
      </c>
      <c r="J316" t="inlineStr">
        <is>
          <t>Managing Director</t>
        </is>
      </c>
      <c r="K316" t="inlineStr">
        <is>
          <t>Sr Investment Professional</t>
        </is>
      </c>
      <c r="L316" s="28" t="n">
        <v>0</v>
      </c>
      <c r="M316" s="28" t="n">
        <v>0</v>
      </c>
      <c r="N316" s="28" t="n">
        <v>0</v>
      </c>
      <c r="O316" s="28" t="n">
        <v>0</v>
      </c>
      <c r="P316" s="28" t="n">
        <v>0</v>
      </c>
      <c r="Q316" s="28" t="n">
        <v>1350137</v>
      </c>
      <c r="R316" s="28" t="n">
        <v>0</v>
      </c>
      <c r="S316" s="28">
        <f>Q316-R316</f>
        <v/>
      </c>
      <c r="T316" s="28">
        <f>IF(S316="","",S316*(1+in_GrowthRate)^(YEARFRAC(DATE(2023,12,31),in_AgeToDate)*IF(in_AgeToDate&lt;DATE(2023,12,31),-1,1)+1))</f>
        <v/>
      </c>
      <c r="U316" s="50">
        <f>IF(AND(AND(OR(in_Mode="All Funds",AND(C316&gt;=in_BandFloor,C316&lt;=in_BandCeiling,OR(in_Geography="National",COUNTIFS(lst_GeoPreset,in_Geography,lst_GeoState,B316)&gt;0,AND(in_Geography="Custom",ISNUMBER(SEARCH(B316,SUBSTITUTE(in_CustomStates," ",""))))),OR(AND(D316="Endowment",Inputs!$B$14="Y"),AND(D316="Foundation",Inputs!$B$15="Y"),AND(D316="Healthcare",Inputs!$B$16="Y"),AND(D316="Pension",Inputs!$B$17="Y"),AND(D316="OCIO",Inputs!$B$18="Y"),AND(D316="Other",Inputs!$B$19="Y")))),A316&lt;&gt;in_ClientOrg,NOT(AND(in_ExclHarvard="Y",ISNUMBER(SEARCH("Harvard",A316))))),$AD316="Y",K316&lt;&gt;"",S316&gt;0),"Y","")</f>
        <v/>
      </c>
      <c r="V316" s="30" t="n">
        <v>0.3980794468259629</v>
      </c>
      <c r="W316" t="inlineStr"/>
      <c r="X316" s="28">
        <f>IF(L316+M316=0,"",L316+M316)</f>
        <v/>
      </c>
      <c r="Y316" s="38">
        <f>IF(L316=0,"",M316/L316)</f>
        <v/>
      </c>
      <c r="Z316" t="inlineStr">
        <is>
          <t>Managing Director</t>
        </is>
      </c>
      <c r="AA316" t="inlineStr">
        <is>
          <t>Investments</t>
        </is>
      </c>
      <c r="AB316" s="50" t="inlineStr"/>
      <c r="AC316" s="43">
        <f>HYPERLINK("https://projects.propublica.org/nonprofits/organizations/942278431/202433199349102603/full","view filing")</f>
        <v/>
      </c>
      <c r="AD316" s="50" t="inlineStr"/>
    </row>
    <row r="317">
      <c r="A317" t="inlineStr">
        <is>
          <t>David And Lucile Packard Foundation</t>
        </is>
      </c>
      <c r="B317" s="50" t="inlineStr">
        <is>
          <t>CA</t>
        </is>
      </c>
      <c r="C317" s="52" t="n">
        <v>8.07</v>
      </c>
      <c r="D317" t="inlineStr">
        <is>
          <t>Foundation</t>
        </is>
      </c>
      <c r="E317" s="50" t="n">
        <v>2023</v>
      </c>
      <c r="F317" s="50" t="inlineStr">
        <is>
          <t>2024-11-14</t>
        </is>
      </c>
      <c r="G317" s="50" t="inlineStr">
        <is>
          <t>2023-12-31</t>
        </is>
      </c>
      <c r="H317" t="inlineStr">
        <is>
          <t>Stephen Bluestein</t>
        </is>
      </c>
      <c r="I317" t="inlineStr">
        <is>
          <t>MANAGING DIRECTOR</t>
        </is>
      </c>
      <c r="J317" t="inlineStr">
        <is>
          <t>Managing Director</t>
        </is>
      </c>
      <c r="K317" t="inlineStr">
        <is>
          <t>Sr Investment Professional</t>
        </is>
      </c>
      <c r="L317" s="28" t="n">
        <v>0</v>
      </c>
      <c r="M317" s="28" t="n">
        <v>0</v>
      </c>
      <c r="N317" s="28" t="n">
        <v>0</v>
      </c>
      <c r="O317" s="28" t="n">
        <v>0</v>
      </c>
      <c r="P317" s="28" t="n">
        <v>0</v>
      </c>
      <c r="Q317" s="28" t="n">
        <v>1206773</v>
      </c>
      <c r="R317" s="28" t="n">
        <v>0</v>
      </c>
      <c r="S317" s="28">
        <f>Q317-R317</f>
        <v/>
      </c>
      <c r="T317" s="28">
        <f>IF(S317="","",S317*(1+in_GrowthRate)^(YEARFRAC(DATE(2023,12,31),in_AgeToDate)*IF(in_AgeToDate&lt;DATE(2023,12,31),-1,1)+1))</f>
        <v/>
      </c>
      <c r="U317" s="50">
        <f>IF(AND(AND(OR(in_Mode="All Funds",AND(C317&gt;=in_BandFloor,C317&lt;=in_BandCeiling,OR(in_Geography="National",COUNTIFS(lst_GeoPreset,in_Geography,lst_GeoState,B317)&gt;0,AND(in_Geography="Custom",ISNUMBER(SEARCH(B317,SUBSTITUTE(in_CustomStates," ",""))))),OR(AND(D317="Endowment",Inputs!$B$14="Y"),AND(D317="Foundation",Inputs!$B$15="Y"),AND(D317="Healthcare",Inputs!$B$16="Y"),AND(D317="Pension",Inputs!$B$17="Y"),AND(D317="OCIO",Inputs!$B$18="Y"),AND(D317="Other",Inputs!$B$19="Y")))),A317&lt;&gt;in_ClientOrg,NOT(AND(in_ExclHarvard="Y",ISNUMBER(SEARCH("Harvard",A317))))),$AD317="Y",K317&lt;&gt;"",S317&gt;0),"Y","")</f>
        <v/>
      </c>
      <c r="V317" s="30" t="n">
        <v>0.3558094684350608</v>
      </c>
      <c r="W317" t="inlineStr"/>
      <c r="X317" s="28">
        <f>IF(L317+M317=0,"",L317+M317)</f>
        <v/>
      </c>
      <c r="Y317" s="38">
        <f>IF(L317=0,"",M317/L317)</f>
        <v/>
      </c>
      <c r="Z317" t="inlineStr">
        <is>
          <t>Managing Director</t>
        </is>
      </c>
      <c r="AA317" t="inlineStr">
        <is>
          <t>Investments</t>
        </is>
      </c>
      <c r="AB317" s="50" t="inlineStr"/>
      <c r="AC317" s="43">
        <f>HYPERLINK("https://projects.propublica.org/nonprofits/organizations/942278431/202433199349102603/full","view filing")</f>
        <v/>
      </c>
      <c r="AD317" s="50" t="inlineStr"/>
    </row>
    <row r="318">
      <c r="A318" t="inlineStr">
        <is>
          <t>David And Lucile Packard Foundation</t>
        </is>
      </c>
      <c r="B318" s="50" t="inlineStr">
        <is>
          <t>CA</t>
        </is>
      </c>
      <c r="C318" s="52" t="n">
        <v>8.07</v>
      </c>
      <c r="D318" t="inlineStr">
        <is>
          <t>Foundation</t>
        </is>
      </c>
      <c r="E318" s="50" t="n">
        <v>2022</v>
      </c>
      <c r="F318" s="50" t="inlineStr">
        <is>
          <t>2023-11-10</t>
        </is>
      </c>
      <c r="G318" s="50" t="inlineStr">
        <is>
          <t>2022-12-31</t>
        </is>
      </c>
      <c r="H318" t="inlineStr">
        <is>
          <t>Ben Chiquoine</t>
        </is>
      </c>
      <c r="I318" t="inlineStr">
        <is>
          <t>INVESTMENTS ASSOCIAT</t>
        </is>
      </c>
      <c r="J318" t="inlineStr">
        <is>
          <t>Associate</t>
        </is>
      </c>
      <c r="K318" t="inlineStr">
        <is>
          <t>Sr Investment Professional</t>
        </is>
      </c>
      <c r="L318" s="28" t="n">
        <v>0</v>
      </c>
      <c r="M318" s="28" t="n">
        <v>0</v>
      </c>
      <c r="N318" s="28" t="n">
        <v>0</v>
      </c>
      <c r="O318" s="28" t="n">
        <v>0</v>
      </c>
      <c r="P318" s="28" t="n">
        <v>0</v>
      </c>
      <c r="Q318" s="28" t="n">
        <v>857743</v>
      </c>
      <c r="R318" s="28" t="n">
        <v>0</v>
      </c>
      <c r="S318" s="28">
        <f>Q318-R318</f>
        <v/>
      </c>
      <c r="T318" s="28">
        <f>IF(S318="","",S318*(1+in_GrowthRate)^(YEARFRAC(DATE(2022,12,31),in_AgeToDate)*IF(in_AgeToDate&lt;DATE(2022,12,31),-1,1)+1))</f>
        <v/>
      </c>
      <c r="U318" s="50">
        <f>IF(AND(AND(OR(in_Mode="All Funds",AND(C318&gt;=in_BandFloor,C318&lt;=in_BandCeiling,OR(in_Geography="National",COUNTIFS(lst_GeoPreset,in_Geography,lst_GeoState,B318)&gt;0,AND(in_Geography="Custom",ISNUMBER(SEARCH(B318,SUBSTITUTE(in_CustomStates," ",""))))),OR(AND(D318="Endowment",Inputs!$B$14="Y"),AND(D318="Foundation",Inputs!$B$15="Y"),AND(D318="Healthcare",Inputs!$B$16="Y"),AND(D318="Pension",Inputs!$B$17="Y"),AND(D318="OCIO",Inputs!$B$18="Y"),AND(D318="Other",Inputs!$B$19="Y")))),A318&lt;&gt;in_ClientOrg,NOT(AND(in_ExclHarvard="Y",ISNUMBER(SEARCH("Harvard",A318))))),$AD318="Y",K318&lt;&gt;"",S318&gt;0),"Y","")</f>
        <v/>
      </c>
      <c r="V318" s="30" t="n">
        <v>0.2665101719008521</v>
      </c>
      <c r="W318" t="inlineStr"/>
      <c r="X318" s="28">
        <f>IF(L318+M318=0,"",L318+M318)</f>
        <v/>
      </c>
      <c r="Y318" s="38">
        <f>IF(L318=0,"",M318/L318)</f>
        <v/>
      </c>
      <c r="Z318" t="inlineStr">
        <is>
          <t>Other investment staff</t>
        </is>
      </c>
      <c r="AA318" t="inlineStr">
        <is>
          <t>Investments</t>
        </is>
      </c>
      <c r="AB318" s="50" t="inlineStr"/>
      <c r="AC318" s="43">
        <f>HYPERLINK("https://projects.propublica.org/nonprofits/organizations/942278431/202303149349102680/full","view filing")</f>
        <v/>
      </c>
      <c r="AD318" s="50" t="inlineStr"/>
    </row>
    <row r="319">
      <c r="A319" t="inlineStr">
        <is>
          <t>David And Lucile Packard Foundation</t>
        </is>
      </c>
      <c r="B319" s="50" t="inlineStr">
        <is>
          <t>CA</t>
        </is>
      </c>
      <c r="C319" s="52" t="n">
        <v>8.07</v>
      </c>
      <c r="D319" t="inlineStr">
        <is>
          <t>Foundation</t>
        </is>
      </c>
      <c r="E319" s="50" t="n">
        <v>2022</v>
      </c>
      <c r="F319" s="50" t="inlineStr">
        <is>
          <t>2023-11-10</t>
        </is>
      </c>
      <c r="G319" s="50" t="inlineStr">
        <is>
          <t>2022-12-31</t>
        </is>
      </c>
      <c r="H319" t="inlineStr">
        <is>
          <t>Christine Ortiz Arent</t>
        </is>
      </c>
      <c r="I319" t="inlineStr">
        <is>
          <t>MANAGING DIR REAL AS</t>
        </is>
      </c>
      <c r="J319" t="inlineStr">
        <is>
          <t>Managing Director</t>
        </is>
      </c>
      <c r="K319" t="inlineStr">
        <is>
          <t>Sr Investment Professional</t>
        </is>
      </c>
      <c r="L319" s="28" t="n">
        <v>0</v>
      </c>
      <c r="M319" s="28" t="n">
        <v>0</v>
      </c>
      <c r="N319" s="28" t="n">
        <v>0</v>
      </c>
      <c r="O319" s="28" t="n">
        <v>0</v>
      </c>
      <c r="P319" s="28" t="n">
        <v>0</v>
      </c>
      <c r="Q319" s="28" t="n">
        <v>1211729</v>
      </c>
      <c r="R319" s="28" t="n">
        <v>0</v>
      </c>
      <c r="S319" s="28">
        <f>Q319-R319</f>
        <v/>
      </c>
      <c r="T319" s="28">
        <f>IF(S319="","",S319*(1+in_GrowthRate)^(YEARFRAC(DATE(2022,12,31),in_AgeToDate)*IF(in_AgeToDate&lt;DATE(2022,12,31),-1,1)+1))</f>
        <v/>
      </c>
      <c r="U319" s="50">
        <f>IF(AND(AND(OR(in_Mode="All Funds",AND(C319&gt;=in_BandFloor,C319&lt;=in_BandCeiling,OR(in_Geography="National",COUNTIFS(lst_GeoPreset,in_Geography,lst_GeoState,B319)&gt;0,AND(in_Geography="Custom",ISNUMBER(SEARCH(B319,SUBSTITUTE(in_CustomStates," ",""))))),OR(AND(D319="Endowment",Inputs!$B$14="Y"),AND(D319="Foundation",Inputs!$B$15="Y"),AND(D319="Healthcare",Inputs!$B$16="Y"),AND(D319="Pension",Inputs!$B$17="Y"),AND(D319="OCIO",Inputs!$B$18="Y"),AND(D319="Other",Inputs!$B$19="Y")))),A319&lt;&gt;in_ClientOrg,NOT(AND(in_ExclHarvard="Y",ISNUMBER(SEARCH("Harvard",A319))))),$AD319="Y",K319&lt;&gt;"",S319&gt;0),"Y","")</f>
        <v/>
      </c>
      <c r="V319" s="30" t="n">
        <v>0.3764975104282374</v>
      </c>
      <c r="W319" t="inlineStr"/>
      <c r="X319" s="28">
        <f>IF(L319+M319=0,"",L319+M319)</f>
        <v/>
      </c>
      <c r="Y319" s="38">
        <f>IF(L319=0,"",M319/L319)</f>
        <v/>
      </c>
      <c r="Z319" t="inlineStr">
        <is>
          <t>Managing Director</t>
        </is>
      </c>
      <c r="AA319" t="inlineStr">
        <is>
          <t>Investments</t>
        </is>
      </c>
      <c r="AB319" s="50" t="inlineStr"/>
      <c r="AC319" s="43">
        <f>HYPERLINK("https://projects.propublica.org/nonprofits/organizations/942278431/202303149349102680/full","view filing")</f>
        <v/>
      </c>
      <c r="AD319" s="50" t="inlineStr"/>
    </row>
    <row r="320">
      <c r="A320" t="inlineStr">
        <is>
          <t>David And Lucile Packard Foundation</t>
        </is>
      </c>
      <c r="B320" s="50" t="inlineStr">
        <is>
          <t>CA</t>
        </is>
      </c>
      <c r="C320" s="52" t="n">
        <v>8.07</v>
      </c>
      <c r="D320" t="inlineStr">
        <is>
          <t>Foundation</t>
        </is>
      </c>
      <c r="E320" s="50" t="n">
        <v>2022</v>
      </c>
      <c r="F320" s="50" t="inlineStr">
        <is>
          <t>2023-11-10</t>
        </is>
      </c>
      <c r="G320" s="50" t="inlineStr">
        <is>
          <t>2022-12-31</t>
        </is>
      </c>
      <c r="H320" t="inlineStr">
        <is>
          <t>David R Cormier</t>
        </is>
      </c>
      <c r="I320" t="inlineStr">
        <is>
          <t>INVESTMENT OPERATION</t>
        </is>
      </c>
      <c r="J320" t="inlineStr">
        <is>
          <t>Investment Operations (Inv Entity)</t>
        </is>
      </c>
      <c r="K320" t="inlineStr">
        <is>
          <t>Other disclosed professionals</t>
        </is>
      </c>
      <c r="L320" s="28" t="n">
        <v>0</v>
      </c>
      <c r="M320" s="28" t="n">
        <v>0</v>
      </c>
      <c r="N320" s="28" t="n">
        <v>0</v>
      </c>
      <c r="O320" s="28" t="n">
        <v>0</v>
      </c>
      <c r="P320" s="28" t="n">
        <v>0</v>
      </c>
      <c r="Q320" s="28" t="n">
        <v>921569</v>
      </c>
      <c r="R320" s="28" t="n">
        <v>0</v>
      </c>
      <c r="S320" s="28">
        <f>Q320-R320</f>
        <v/>
      </c>
      <c r="T320" s="28">
        <f>IF(S320="","",S320*(1+in_GrowthRate)^(YEARFRAC(DATE(2022,12,31),in_AgeToDate)*IF(in_AgeToDate&lt;DATE(2022,12,31),-1,1)+1))</f>
        <v/>
      </c>
      <c r="U320" s="50">
        <f>IF(AND(AND(OR(in_Mode="All Funds",AND(C320&gt;=in_BandFloor,C320&lt;=in_BandCeiling,OR(in_Geography="National",COUNTIFS(lst_GeoPreset,in_Geography,lst_GeoState,B320)&gt;0,AND(in_Geography="Custom",ISNUMBER(SEARCH(B320,SUBSTITUTE(in_CustomStates," ",""))))),OR(AND(D320="Endowment",Inputs!$B$14="Y"),AND(D320="Foundation",Inputs!$B$15="Y"),AND(D320="Healthcare",Inputs!$B$16="Y"),AND(D320="Pension",Inputs!$B$17="Y"),AND(D320="OCIO",Inputs!$B$18="Y"),AND(D320="Other",Inputs!$B$19="Y")))),A320&lt;&gt;in_ClientOrg,NOT(AND(in_ExclHarvard="Y",ISNUMBER(SEARCH("Harvard",A320))))),$AD320="Y",K320&lt;&gt;"",S320&gt;0),"Y","")</f>
        <v/>
      </c>
      <c r="V320" s="30" t="n">
        <v>0.2863416111918097</v>
      </c>
      <c r="W320" t="inlineStr">
        <is>
          <t>Other disclosed professionals</t>
        </is>
      </c>
      <c r="X320" s="28">
        <f>IF(L320+M320=0,"",L320+M320)</f>
        <v/>
      </c>
      <c r="Y320" s="38">
        <f>IF(L320=0,"",M320/L320)</f>
        <v/>
      </c>
      <c r="Z320" t="inlineStr">
        <is>
          <t>Other disclosed professionals</t>
        </is>
      </c>
      <c r="AA320" t="inlineStr">
        <is>
          <t>Operations &amp; Control</t>
        </is>
      </c>
      <c r="AB320" s="50" t="inlineStr"/>
      <c r="AC320" s="43">
        <f>HYPERLINK("https://projects.propublica.org/nonprofits/organizations/942278431/202303149349102680/full","view filing")</f>
        <v/>
      </c>
      <c r="AD320" s="50" t="inlineStr"/>
    </row>
    <row r="321">
      <c r="A321" t="inlineStr">
        <is>
          <t>David And Lucile Packard Foundation</t>
        </is>
      </c>
      <c r="B321" s="50" t="inlineStr">
        <is>
          <t>CA</t>
        </is>
      </c>
      <c r="C321" s="52" t="n">
        <v>8.07</v>
      </c>
      <c r="D321" t="inlineStr">
        <is>
          <t>Foundation</t>
        </is>
      </c>
      <c r="E321" s="50" t="n">
        <v>2022</v>
      </c>
      <c r="F321" s="50" t="inlineStr">
        <is>
          <t>2023-11-10</t>
        </is>
      </c>
      <c r="G321" s="50" t="inlineStr">
        <is>
          <t>2022-12-31</t>
        </is>
      </c>
      <c r="H321" t="inlineStr">
        <is>
          <t>Kimberly Sargent</t>
        </is>
      </c>
      <c r="I321" t="inlineStr">
        <is>
          <t>CHIEF INVESTMENT OFFICER</t>
        </is>
      </c>
      <c r="J321" t="inlineStr">
        <is>
          <t>CIO</t>
        </is>
      </c>
      <c r="K321" t="inlineStr">
        <is>
          <t>CIO - Top Investment Executive</t>
        </is>
      </c>
      <c r="L321" s="28" t="n">
        <v>0</v>
      </c>
      <c r="M321" s="28" t="n">
        <v>0</v>
      </c>
      <c r="N321" s="28" t="n">
        <v>0</v>
      </c>
      <c r="O321" s="28" t="n">
        <v>0</v>
      </c>
      <c r="P321" s="28" t="n">
        <v>196614</v>
      </c>
      <c r="Q321" s="28" t="n">
        <v>3218425</v>
      </c>
      <c r="R321" s="28" t="n">
        <v>0</v>
      </c>
      <c r="S321" s="28">
        <f>Q321-R321</f>
        <v/>
      </c>
      <c r="T321" s="28">
        <f>IF(S321="","",S321*(1+in_GrowthRate)^(YEARFRAC(DATE(2022,12,31),in_AgeToDate)*IF(in_AgeToDate&lt;DATE(2022,12,31),-1,1)+1))</f>
        <v/>
      </c>
      <c r="U321" s="50">
        <f>IF(AND(AND(OR(in_Mode="All Funds",AND(C321&gt;=in_BandFloor,C321&lt;=in_BandCeiling,OR(in_Geography="National",COUNTIFS(lst_GeoPreset,in_Geography,lst_GeoState,B321)&gt;0,AND(in_Geography="Custom",ISNUMBER(SEARCH(B321,SUBSTITUTE(in_CustomStates," ",""))))),OR(AND(D321="Endowment",Inputs!$B$14="Y"),AND(D321="Foundation",Inputs!$B$15="Y"),AND(D321="Healthcare",Inputs!$B$16="Y"),AND(D321="Pension",Inputs!$B$17="Y"),AND(D321="OCIO",Inputs!$B$18="Y"),AND(D321="Other",Inputs!$B$19="Y")))),A321&lt;&gt;in_ClientOrg,NOT(AND(in_ExclHarvard="Y",ISNUMBER(SEARCH("Harvard",A321))))),$AD321="Y",K321&lt;&gt;"",S321&gt;0),"Y","")</f>
        <v/>
      </c>
      <c r="V321" s="30" t="n">
        <v>1</v>
      </c>
      <c r="W321" t="inlineStr"/>
      <c r="X321" s="28">
        <f>IF(L321+M321=0,"",L321+M321)</f>
        <v/>
      </c>
      <c r="Y321" s="38">
        <f>IF(L321=0,"",M321/L321)</f>
        <v/>
      </c>
      <c r="Z321" t="inlineStr">
        <is>
          <t>CIO - Top Investment Executive</t>
        </is>
      </c>
      <c r="AA321" t="inlineStr">
        <is>
          <t>Leadership</t>
        </is>
      </c>
      <c r="AB321" s="50" t="inlineStr">
        <is>
          <t>Y</t>
        </is>
      </c>
      <c r="AC321" s="43">
        <f>HYPERLINK("https://projects.propublica.org/nonprofits/organizations/942278431/202303149349102680/full","view filing")</f>
        <v/>
      </c>
      <c r="AD321" s="50" t="inlineStr"/>
    </row>
    <row r="322">
      <c r="A322" t="inlineStr">
        <is>
          <t>Davidson College</t>
        </is>
      </c>
      <c r="B322" s="50" t="inlineStr">
        <is>
          <t>NC</t>
        </is>
      </c>
      <c r="C322" s="52" t="n">
        <v>1.46</v>
      </c>
      <c r="D322" t="inlineStr">
        <is>
          <t>Endowment</t>
        </is>
      </c>
      <c r="E322" s="50" t="n">
        <v>2025</v>
      </c>
      <c r="F322" s="50" t="inlineStr">
        <is>
          <t>2026-05-14</t>
        </is>
      </c>
      <c r="G322" s="50" t="inlineStr">
        <is>
          <t>2025-06-30</t>
        </is>
      </c>
      <c r="H322" t="inlineStr">
        <is>
          <t>David D Demeter</t>
        </is>
      </c>
      <c r="I322" t="inlineStr">
        <is>
          <t>INVESTMENT DIRECTOR</t>
        </is>
      </c>
      <c r="J322" t="inlineStr">
        <is>
          <t>Director of Investments</t>
        </is>
      </c>
      <c r="K322" t="inlineStr">
        <is>
          <t>Sr Investment Professional</t>
        </is>
      </c>
      <c r="L322" s="28" t="n">
        <v>348732</v>
      </c>
      <c r="M322" s="28" t="n">
        <v>87500</v>
      </c>
      <c r="N322" s="28" t="n">
        <v>371</v>
      </c>
      <c r="O322" s="28" t="n">
        <v>38067</v>
      </c>
      <c r="P322" s="28" t="n">
        <v>9682</v>
      </c>
      <c r="Q322" s="28" t="n">
        <v>484352</v>
      </c>
      <c r="R322" s="28" t="n">
        <v>0</v>
      </c>
      <c r="S322" s="28">
        <f>Q322-R322</f>
        <v/>
      </c>
      <c r="T322" s="28">
        <f>IF(S322="","",S322*(1+in_GrowthRate)^(YEARFRAC(DATE(2025,6,30),in_AgeToDate)*IF(in_AgeToDate&lt;DATE(2025,6,30),-1,1)+1))</f>
        <v/>
      </c>
      <c r="U322" s="50">
        <f>IF(AND(AND(OR(in_Mode="All Funds",AND(C322&gt;=in_BandFloor,C322&lt;=in_BandCeiling,OR(in_Geography="National",COUNTIFS(lst_GeoPreset,in_Geography,lst_GeoState,B322)&gt;0,AND(in_Geography="Custom",ISNUMBER(SEARCH(B322,SUBSTITUTE(in_CustomStates," ",""))))),OR(AND(D322="Endowment",Inputs!$B$14="Y"),AND(D322="Foundation",Inputs!$B$15="Y"),AND(D322="Healthcare",Inputs!$B$16="Y"),AND(D322="Pension",Inputs!$B$17="Y"),AND(D322="OCIO",Inputs!$B$18="Y"),AND(D322="Other",Inputs!$B$19="Y")))),A322&lt;&gt;in_ClientOrg,NOT(AND(in_ExclHarvard="Y",ISNUMBER(SEARCH("Harvard",A322))))),$AD322="Y",K322&lt;&gt;"",S322&gt;0),"Y","")</f>
        <v/>
      </c>
      <c r="V322" s="30" t="n">
        <v>0.4624273924682933</v>
      </c>
      <c r="W322" t="inlineStr"/>
      <c r="X322" s="28">
        <f>IF(L322+M322=0,"",L322+M322)</f>
        <v/>
      </c>
      <c r="Y322" s="38">
        <f>IF(L322=0,"",M322/L322)</f>
        <v/>
      </c>
      <c r="Z322" t="inlineStr">
        <is>
          <t>Director &amp; Investment Officer</t>
        </is>
      </c>
      <c r="AA322" t="inlineStr">
        <is>
          <t>Investments</t>
        </is>
      </c>
      <c r="AB322" s="50" t="inlineStr"/>
      <c r="AC322" s="43">
        <f>HYPERLINK("https://projects.propublica.org/nonprofits/organizations/560529961/202601349349303730/full","view filing")</f>
        <v/>
      </c>
      <c r="AD322" s="50" t="inlineStr">
        <is>
          <t>Y</t>
        </is>
      </c>
    </row>
    <row r="323">
      <c r="A323" t="inlineStr">
        <is>
          <t>Davidson College</t>
        </is>
      </c>
      <c r="B323" s="50" t="inlineStr">
        <is>
          <t>NC</t>
        </is>
      </c>
      <c r="C323" s="52" t="n">
        <v>1.46</v>
      </c>
      <c r="D323" t="inlineStr">
        <is>
          <t>Endowment</t>
        </is>
      </c>
      <c r="E323" s="50" t="n">
        <v>2025</v>
      </c>
      <c r="F323" s="50" t="inlineStr">
        <is>
          <t>2026-05-14</t>
        </is>
      </c>
      <c r="G323" s="50" t="inlineStr">
        <is>
          <t>2025-06-30</t>
        </is>
      </c>
      <c r="H323" t="inlineStr">
        <is>
          <t>Raymond A Jacobson</t>
        </is>
      </c>
      <c r="I323" t="inlineStr">
        <is>
          <t>CHIEF INVESTMENT OFFICER</t>
        </is>
      </c>
      <c r="J323" t="inlineStr">
        <is>
          <t>CIO</t>
        </is>
      </c>
      <c r="K323" t="inlineStr">
        <is>
          <t>CIO - Top Investment Executive</t>
        </is>
      </c>
      <c r="L323" s="28" t="n">
        <v>548885</v>
      </c>
      <c r="M323" s="28" t="n">
        <v>446083</v>
      </c>
      <c r="N323" s="28" t="n">
        <v>1242</v>
      </c>
      <c r="O323" s="28" t="n">
        <v>38067</v>
      </c>
      <c r="P323" s="28" t="n">
        <v>13135</v>
      </c>
      <c r="Q323" s="28" t="n">
        <v>1047412</v>
      </c>
      <c r="R323" s="28" t="n">
        <v>0</v>
      </c>
      <c r="S323" s="28">
        <f>Q323-R323</f>
        <v/>
      </c>
      <c r="T323" s="28">
        <f>IF(S323="","",S323*(1+in_GrowthRate)^(YEARFRAC(DATE(2025,6,30),in_AgeToDate)*IF(in_AgeToDate&lt;DATE(2025,6,30),-1,1)+1))</f>
        <v/>
      </c>
      <c r="U323" s="50">
        <f>IF(AND(AND(OR(in_Mode="All Funds",AND(C323&gt;=in_BandFloor,C323&lt;=in_BandCeiling,OR(in_Geography="National",COUNTIFS(lst_GeoPreset,in_Geography,lst_GeoState,B323)&gt;0,AND(in_Geography="Custom",ISNUMBER(SEARCH(B323,SUBSTITUTE(in_CustomStates," ",""))))),OR(AND(D323="Endowment",Inputs!$B$14="Y"),AND(D323="Foundation",Inputs!$B$15="Y"),AND(D323="Healthcare",Inputs!$B$16="Y"),AND(D323="Pension",Inputs!$B$17="Y"),AND(D323="OCIO",Inputs!$B$18="Y"),AND(D323="Other",Inputs!$B$19="Y")))),A323&lt;&gt;in_ClientOrg,NOT(AND(in_ExclHarvard="Y",ISNUMBER(SEARCH("Harvard",A323))))),$AD323="Y",K323&lt;&gt;"",S323&gt;0),"Y","")</f>
        <v/>
      </c>
      <c r="V323" s="30" t="n">
        <v>1</v>
      </c>
      <c r="W323" t="inlineStr"/>
      <c r="X323" s="28">
        <f>IF(L323+M323=0,"",L323+M323)</f>
        <v/>
      </c>
      <c r="Y323" s="38">
        <f>IF(L323=0,"",M323/L323)</f>
        <v/>
      </c>
      <c r="Z323" t="inlineStr">
        <is>
          <t>CIO - Top Investment Executive</t>
        </is>
      </c>
      <c r="AA323" t="inlineStr">
        <is>
          <t>Leadership</t>
        </is>
      </c>
      <c r="AB323" s="50" t="inlineStr">
        <is>
          <t>Y</t>
        </is>
      </c>
      <c r="AC323" s="43">
        <f>HYPERLINK("https://projects.propublica.org/nonprofits/organizations/560529961/202601349349303730/full","view filing")</f>
        <v/>
      </c>
      <c r="AD323" s="50" t="inlineStr">
        <is>
          <t>Y</t>
        </is>
      </c>
    </row>
    <row r="324">
      <c r="A324" t="inlineStr">
        <is>
          <t>Davidson College</t>
        </is>
      </c>
      <c r="B324" s="50" t="inlineStr">
        <is>
          <t>NC</t>
        </is>
      </c>
      <c r="C324" s="52" t="n">
        <v>1.46</v>
      </c>
      <c r="D324" t="inlineStr">
        <is>
          <t>Endowment</t>
        </is>
      </c>
      <c r="E324" s="50" t="n">
        <v>2024</v>
      </c>
      <c r="F324" s="50" t="inlineStr">
        <is>
          <t>2025-05-14</t>
        </is>
      </c>
      <c r="G324" s="50" t="inlineStr">
        <is>
          <t>2024-06-30</t>
        </is>
      </c>
      <c r="H324" t="inlineStr">
        <is>
          <t>David D Demeter</t>
        </is>
      </c>
      <c r="I324" t="inlineStr">
        <is>
          <t>INVESTMENT DIRECTOR</t>
        </is>
      </c>
      <c r="J324" t="inlineStr">
        <is>
          <t>Director of Investments</t>
        </is>
      </c>
      <c r="K324" t="inlineStr">
        <is>
          <t>Sr Investment Professional</t>
        </is>
      </c>
      <c r="L324" s="28" t="n">
        <v>316671</v>
      </c>
      <c r="M324" s="28" t="n">
        <v>91500</v>
      </c>
      <c r="N324" s="28" t="n">
        <v>333</v>
      </c>
      <c r="O324" s="28" t="n">
        <v>20728</v>
      </c>
      <c r="P324" s="28" t="n">
        <v>9357</v>
      </c>
      <c r="Q324" s="28" t="n">
        <v>438589</v>
      </c>
      <c r="R324" s="28" t="n">
        <v>0</v>
      </c>
      <c r="S324" s="28">
        <f>Q324-R324</f>
        <v/>
      </c>
      <c r="T324" s="28">
        <f>IF(S324="","",S324*(1+in_GrowthRate)^(YEARFRAC(DATE(2024,6,30),in_AgeToDate)*IF(in_AgeToDate&lt;DATE(2024,6,30),-1,1)+1))</f>
        <v/>
      </c>
      <c r="U324" s="50">
        <f>IF(AND(AND(OR(in_Mode="All Funds",AND(C324&gt;=in_BandFloor,C324&lt;=in_BandCeiling,OR(in_Geography="National",COUNTIFS(lst_GeoPreset,in_Geography,lst_GeoState,B324)&gt;0,AND(in_Geography="Custom",ISNUMBER(SEARCH(B324,SUBSTITUTE(in_CustomStates," ",""))))),OR(AND(D324="Endowment",Inputs!$B$14="Y"),AND(D324="Foundation",Inputs!$B$15="Y"),AND(D324="Healthcare",Inputs!$B$16="Y"),AND(D324="Pension",Inputs!$B$17="Y"),AND(D324="OCIO",Inputs!$B$18="Y"),AND(D324="Other",Inputs!$B$19="Y")))),A324&lt;&gt;in_ClientOrg,NOT(AND(in_ExclHarvard="Y",ISNUMBER(SEARCH("Harvard",A324))))),$AD324="Y",K324&lt;&gt;"",S324&gt;0),"Y","")</f>
        <v/>
      </c>
      <c r="V324" s="30" t="n">
        <v>0.4499590143331852</v>
      </c>
      <c r="W324" t="inlineStr"/>
      <c r="X324" s="28">
        <f>IF(L324+M324=0,"",L324+M324)</f>
        <v/>
      </c>
      <c r="Y324" s="38">
        <f>IF(L324=0,"",M324/L324)</f>
        <v/>
      </c>
      <c r="Z324" t="inlineStr">
        <is>
          <t>Director &amp; Investment Officer</t>
        </is>
      </c>
      <c r="AA324" t="inlineStr">
        <is>
          <t>Investments</t>
        </is>
      </c>
      <c r="AB324" s="50" t="inlineStr"/>
      <c r="AC324" s="43">
        <f>HYPERLINK("https://projects.propublica.org/nonprofits/organizations/560529961/202501349349304640/full","view filing")</f>
        <v/>
      </c>
      <c r="AD324" s="50" t="inlineStr"/>
    </row>
    <row r="325">
      <c r="A325" t="inlineStr">
        <is>
          <t>Davidson College</t>
        </is>
      </c>
      <c r="B325" s="50" t="inlineStr">
        <is>
          <t>NC</t>
        </is>
      </c>
      <c r="C325" s="52" t="n">
        <v>1.46</v>
      </c>
      <c r="D325" t="inlineStr">
        <is>
          <t>Endowment</t>
        </is>
      </c>
      <c r="E325" s="50" t="n">
        <v>2024</v>
      </c>
      <c r="F325" s="50" t="inlineStr">
        <is>
          <t>2025-05-14</t>
        </is>
      </c>
      <c r="G325" s="50" t="inlineStr">
        <is>
          <t>2024-06-30</t>
        </is>
      </c>
      <c r="H325" t="inlineStr">
        <is>
          <t>Raymond A Jacobson</t>
        </is>
      </c>
      <c r="I325" t="inlineStr">
        <is>
          <t>CHIEF INVESTMENT OFFICER</t>
        </is>
      </c>
      <c r="J325" t="inlineStr">
        <is>
          <t>CIO</t>
        </is>
      </c>
      <c r="K325" t="inlineStr">
        <is>
          <t>CIO - Top Investment Executive</t>
        </is>
      </c>
      <c r="L325" s="28" t="n">
        <v>523715</v>
      </c>
      <c r="M325" s="28" t="n">
        <v>435364</v>
      </c>
      <c r="N325" s="28" t="n">
        <v>1392</v>
      </c>
      <c r="O325" s="28" t="n">
        <v>36000</v>
      </c>
      <c r="P325" s="28" t="n">
        <v>12260</v>
      </c>
      <c r="Q325" s="28" t="n">
        <v>1008731</v>
      </c>
      <c r="R325" s="28" t="n">
        <v>34000</v>
      </c>
      <c r="S325" s="28">
        <f>Q325-R325</f>
        <v/>
      </c>
      <c r="T325" s="28">
        <f>IF(S325="","",S325*(1+in_GrowthRate)^(YEARFRAC(DATE(2024,6,30),in_AgeToDate)*IF(in_AgeToDate&lt;DATE(2024,6,30),-1,1)+1))</f>
        <v/>
      </c>
      <c r="U325" s="50">
        <f>IF(AND(AND(OR(in_Mode="All Funds",AND(C325&gt;=in_BandFloor,C325&lt;=in_BandCeiling,OR(in_Geography="National",COUNTIFS(lst_GeoPreset,in_Geography,lst_GeoState,B325)&gt;0,AND(in_Geography="Custom",ISNUMBER(SEARCH(B325,SUBSTITUTE(in_CustomStates," ",""))))),OR(AND(D325="Endowment",Inputs!$B$14="Y"),AND(D325="Foundation",Inputs!$B$15="Y"),AND(D325="Healthcare",Inputs!$B$16="Y"),AND(D325="Pension",Inputs!$B$17="Y"),AND(D325="OCIO",Inputs!$B$18="Y"),AND(D325="Other",Inputs!$B$19="Y")))),A325&lt;&gt;in_ClientOrg,NOT(AND(in_ExclHarvard="Y",ISNUMBER(SEARCH("Harvard",A325))))),$AD325="Y",K325&lt;&gt;"",S325&gt;0),"Y","")</f>
        <v/>
      </c>
      <c r="V325" s="30" t="n">
        <v>1</v>
      </c>
      <c r="W325" t="inlineStr"/>
      <c r="X325" s="28">
        <f>IF(L325+M325=0,"",L325+M325)</f>
        <v/>
      </c>
      <c r="Y325" s="38">
        <f>IF(L325=0,"",M325/L325)</f>
        <v/>
      </c>
      <c r="Z325" t="inlineStr">
        <is>
          <t>CIO - Top Investment Executive</t>
        </is>
      </c>
      <c r="AA325" t="inlineStr">
        <is>
          <t>Leadership</t>
        </is>
      </c>
      <c r="AB325" s="50" t="inlineStr">
        <is>
          <t>Y</t>
        </is>
      </c>
      <c r="AC325" s="43">
        <f>HYPERLINK("https://projects.propublica.org/nonprofits/organizations/560529961/202501349349304640/full","view filing")</f>
        <v/>
      </c>
      <c r="AD325" s="50" t="inlineStr"/>
    </row>
    <row r="326">
      <c r="A326" t="inlineStr">
        <is>
          <t>Davidson College</t>
        </is>
      </c>
      <c r="B326" s="50" t="inlineStr">
        <is>
          <t>NC</t>
        </is>
      </c>
      <c r="C326" s="52" t="n">
        <v>1.46</v>
      </c>
      <c r="D326" t="inlineStr">
        <is>
          <t>Endowment</t>
        </is>
      </c>
      <c r="E326" s="50" t="n">
        <v>2023</v>
      </c>
      <c r="F326" s="50" t="inlineStr">
        <is>
          <t>2024-05-15</t>
        </is>
      </c>
      <c r="G326" s="50" t="inlineStr">
        <is>
          <t>2023-06-30</t>
        </is>
      </c>
      <c r="H326" t="inlineStr">
        <is>
          <t>David D Demeter</t>
        </is>
      </c>
      <c r="I326" t="inlineStr">
        <is>
          <t>INVESTMENT DIRECTOR</t>
        </is>
      </c>
      <c r="J326" t="inlineStr">
        <is>
          <t>Director of Investments</t>
        </is>
      </c>
      <c r="K326" t="inlineStr">
        <is>
          <t>Sr Investment Professional</t>
        </is>
      </c>
      <c r="L326" s="28" t="n">
        <v>281648</v>
      </c>
      <c r="M326" s="28" t="n">
        <v>70000</v>
      </c>
      <c r="N326" s="28" t="n">
        <v>260</v>
      </c>
      <c r="O326" s="28" t="n">
        <v>31965</v>
      </c>
      <c r="P326" s="28" t="n">
        <v>9348</v>
      </c>
      <c r="Q326" s="28" t="n">
        <v>393221</v>
      </c>
      <c r="R326" s="28" t="n">
        <v>0</v>
      </c>
      <c r="S326" s="28">
        <f>Q326-R326</f>
        <v/>
      </c>
      <c r="T326" s="28">
        <f>IF(S326="","",S326*(1+in_GrowthRate)^(YEARFRAC(DATE(2023,6,30),in_AgeToDate)*IF(in_AgeToDate&lt;DATE(2023,6,30),-1,1)+1))</f>
        <v/>
      </c>
      <c r="U326" s="50">
        <f>IF(AND(AND(OR(in_Mode="All Funds",AND(C326&gt;=in_BandFloor,C326&lt;=in_BandCeiling,OR(in_Geography="National",COUNTIFS(lst_GeoPreset,in_Geography,lst_GeoState,B326)&gt;0,AND(in_Geography="Custom",ISNUMBER(SEARCH(B326,SUBSTITUTE(in_CustomStates," ",""))))),OR(AND(D326="Endowment",Inputs!$B$14="Y"),AND(D326="Foundation",Inputs!$B$15="Y"),AND(D326="Healthcare",Inputs!$B$16="Y"),AND(D326="Pension",Inputs!$B$17="Y"),AND(D326="OCIO",Inputs!$B$18="Y"),AND(D326="Other",Inputs!$B$19="Y")))),A326&lt;&gt;in_ClientOrg,NOT(AND(in_ExclHarvard="Y",ISNUMBER(SEARCH("Harvard",A326))))),$AD326="Y",K326&lt;&gt;"",S326&gt;0),"Y","")</f>
        <v/>
      </c>
      <c r="V326" s="30" t="n">
        <v>0.4879520015883652</v>
      </c>
      <c r="W326" t="inlineStr"/>
      <c r="X326" s="28">
        <f>IF(L326+M326=0,"",L326+M326)</f>
        <v/>
      </c>
      <c r="Y326" s="38">
        <f>IF(L326=0,"",M326/L326)</f>
        <v/>
      </c>
      <c r="Z326" t="inlineStr">
        <is>
          <t>Director &amp; Investment Officer</t>
        </is>
      </c>
      <c r="AA326" t="inlineStr">
        <is>
          <t>Investments</t>
        </is>
      </c>
      <c r="AB326" s="50" t="inlineStr"/>
      <c r="AC326" s="43">
        <f>HYPERLINK("https://projects.propublica.org/nonprofits/organizations/560529961/202421369349302337/full","view filing")</f>
        <v/>
      </c>
      <c r="AD326" s="50" t="inlineStr"/>
    </row>
    <row r="327">
      <c r="A327" t="inlineStr">
        <is>
          <t>Davidson College</t>
        </is>
      </c>
      <c r="B327" s="50" t="inlineStr">
        <is>
          <t>NC</t>
        </is>
      </c>
      <c r="C327" s="52" t="n">
        <v>1.46</v>
      </c>
      <c r="D327" t="inlineStr">
        <is>
          <t>Endowment</t>
        </is>
      </c>
      <c r="E327" s="50" t="n">
        <v>2023</v>
      </c>
      <c r="F327" s="50" t="inlineStr">
        <is>
          <t>2024-05-15</t>
        </is>
      </c>
      <c r="G327" s="50" t="inlineStr">
        <is>
          <t>2023-06-30</t>
        </is>
      </c>
      <c r="H327" t="inlineStr">
        <is>
          <t>Raymond A Jacobson</t>
        </is>
      </c>
      <c r="I327" t="inlineStr">
        <is>
          <t>CHIEF INVESTMENT OFFICER</t>
        </is>
      </c>
      <c r="J327" t="inlineStr">
        <is>
          <t>CIO</t>
        </is>
      </c>
      <c r="K327" t="inlineStr">
        <is>
          <t>CIO - Top Investment Executive</t>
        </is>
      </c>
      <c r="L327" s="28" t="n">
        <v>498398</v>
      </c>
      <c r="M327" s="28" t="n">
        <v>243750</v>
      </c>
      <c r="N327" s="28" t="n">
        <v>1242</v>
      </c>
      <c r="O327" s="28" t="n">
        <v>50715</v>
      </c>
      <c r="P327" s="28" t="n">
        <v>11755</v>
      </c>
      <c r="Q327" s="28" t="n">
        <v>805860</v>
      </c>
      <c r="R327" s="28" t="n">
        <v>0</v>
      </c>
      <c r="S327" s="28">
        <f>Q327-R327</f>
        <v/>
      </c>
      <c r="T327" s="28">
        <f>IF(S327="","",S327*(1+in_GrowthRate)^(YEARFRAC(DATE(2023,6,30),in_AgeToDate)*IF(in_AgeToDate&lt;DATE(2023,6,30),-1,1)+1))</f>
        <v/>
      </c>
      <c r="U327" s="50">
        <f>IF(AND(AND(OR(in_Mode="All Funds",AND(C327&gt;=in_BandFloor,C327&lt;=in_BandCeiling,OR(in_Geography="National",COUNTIFS(lst_GeoPreset,in_Geography,lst_GeoState,B327)&gt;0,AND(in_Geography="Custom",ISNUMBER(SEARCH(B327,SUBSTITUTE(in_CustomStates," ",""))))),OR(AND(D327="Endowment",Inputs!$B$14="Y"),AND(D327="Foundation",Inputs!$B$15="Y"),AND(D327="Healthcare",Inputs!$B$16="Y"),AND(D327="Pension",Inputs!$B$17="Y"),AND(D327="OCIO",Inputs!$B$18="Y"),AND(D327="Other",Inputs!$B$19="Y")))),A327&lt;&gt;in_ClientOrg,NOT(AND(in_ExclHarvard="Y",ISNUMBER(SEARCH("Harvard",A327))))),$AD327="Y",K327&lt;&gt;"",S327&gt;0),"Y","")</f>
        <v/>
      </c>
      <c r="V327" s="30" t="n">
        <v>1</v>
      </c>
      <c r="W327" t="inlineStr"/>
      <c r="X327" s="28">
        <f>IF(L327+M327=0,"",L327+M327)</f>
        <v/>
      </c>
      <c r="Y327" s="38">
        <f>IF(L327=0,"",M327/L327)</f>
        <v/>
      </c>
      <c r="Z327" t="inlineStr">
        <is>
          <t>CIO - Top Investment Executive</t>
        </is>
      </c>
      <c r="AA327" t="inlineStr">
        <is>
          <t>Leadership</t>
        </is>
      </c>
      <c r="AB327" s="50" t="inlineStr">
        <is>
          <t>Y</t>
        </is>
      </c>
      <c r="AC327" s="43">
        <f>HYPERLINK("https://projects.propublica.org/nonprofits/organizations/560529961/202421369349302337/full","view filing")</f>
        <v/>
      </c>
      <c r="AD327" s="50" t="inlineStr"/>
    </row>
    <row r="328">
      <c r="A328" t="inlineStr">
        <is>
          <t>Davidson College</t>
        </is>
      </c>
      <c r="B328" s="50" t="inlineStr">
        <is>
          <t>NC</t>
        </is>
      </c>
      <c r="C328" s="52" t="n">
        <v>1.46</v>
      </c>
      <c r="D328" t="inlineStr">
        <is>
          <t>Endowment</t>
        </is>
      </c>
      <c r="E328" s="50" t="n">
        <v>2022</v>
      </c>
      <c r="F328" s="50" t="inlineStr">
        <is>
          <t>2023-05-15</t>
        </is>
      </c>
      <c r="G328" s="50" t="inlineStr">
        <is>
          <t>2022-06-30</t>
        </is>
      </c>
      <c r="H328" t="inlineStr">
        <is>
          <t>David D Demeter</t>
        </is>
      </c>
      <c r="I328" t="inlineStr">
        <is>
          <t>INVESTMENT DIRECTOR</t>
        </is>
      </c>
      <c r="J328" t="inlineStr">
        <is>
          <t>Director of Investments</t>
        </is>
      </c>
      <c r="K328" t="inlineStr">
        <is>
          <t>Sr Investment Professional</t>
        </is>
      </c>
      <c r="L328" s="28" t="n">
        <v>270027</v>
      </c>
      <c r="M328" s="28" t="n">
        <v>53000</v>
      </c>
      <c r="N328" s="28" t="n">
        <v>239</v>
      </c>
      <c r="O328" s="28" t="n">
        <v>30896</v>
      </c>
      <c r="P328" s="28" t="n">
        <v>11409</v>
      </c>
      <c r="Q328" s="28" t="n">
        <v>365571</v>
      </c>
      <c r="R328" s="28" t="n">
        <v>0</v>
      </c>
      <c r="S328" s="28">
        <f>Q328-R328</f>
        <v/>
      </c>
      <c r="T328" s="28">
        <f>IF(S328="","",S328*(1+in_GrowthRate)^(YEARFRAC(DATE(2022,6,30),in_AgeToDate)*IF(in_AgeToDate&lt;DATE(2022,6,30),-1,1)+1))</f>
        <v/>
      </c>
      <c r="U328" s="50">
        <f>IF(AND(AND(OR(in_Mode="All Funds",AND(C328&gt;=in_BandFloor,C328&lt;=in_BandCeiling,OR(in_Geography="National",COUNTIFS(lst_GeoPreset,in_Geography,lst_GeoState,B328)&gt;0,AND(in_Geography="Custom",ISNUMBER(SEARCH(B328,SUBSTITUTE(in_CustomStates," ",""))))),OR(AND(D328="Endowment",Inputs!$B$14="Y"),AND(D328="Foundation",Inputs!$B$15="Y"),AND(D328="Healthcare",Inputs!$B$16="Y"),AND(D328="Pension",Inputs!$B$17="Y"),AND(D328="OCIO",Inputs!$B$18="Y"),AND(D328="Other",Inputs!$B$19="Y")))),A328&lt;&gt;in_ClientOrg,NOT(AND(in_ExclHarvard="Y",ISNUMBER(SEARCH("Harvard",A328))))),$AD328="Y",K328&lt;&gt;"",S328&gt;0),"Y","")</f>
        <v/>
      </c>
      <c r="V328" s="30" t="n">
        <v>0.5436307181669745</v>
      </c>
      <c r="W328" t="inlineStr"/>
      <c r="X328" s="28">
        <f>IF(L328+M328=0,"",L328+M328)</f>
        <v/>
      </c>
      <c r="Y328" s="38">
        <f>IF(L328=0,"",M328/L328)</f>
        <v/>
      </c>
      <c r="Z328" t="inlineStr">
        <is>
          <t>Director &amp; Investment Officer</t>
        </is>
      </c>
      <c r="AA328" t="inlineStr">
        <is>
          <t>Investments</t>
        </is>
      </c>
      <c r="AB328" s="50" t="inlineStr"/>
      <c r="AC328" s="43">
        <f>HYPERLINK("https://projects.propublica.org/nonprofits/organizations/560529961/202301359349305830/full","view filing")</f>
        <v/>
      </c>
      <c r="AD328" s="50" t="inlineStr"/>
    </row>
    <row r="329">
      <c r="A329" t="inlineStr">
        <is>
          <t>Davidson College</t>
        </is>
      </c>
      <c r="B329" s="50" t="inlineStr">
        <is>
          <t>NC</t>
        </is>
      </c>
      <c r="C329" s="52" t="n">
        <v>1.46</v>
      </c>
      <c r="D329" t="inlineStr">
        <is>
          <t>Endowment</t>
        </is>
      </c>
      <c r="E329" s="50" t="n">
        <v>2022</v>
      </c>
      <c r="F329" s="50" t="inlineStr">
        <is>
          <t>2023-05-15</t>
        </is>
      </c>
      <c r="G329" s="50" t="inlineStr">
        <is>
          <t>2022-06-30</t>
        </is>
      </c>
      <c r="H329" t="inlineStr">
        <is>
          <t>Raymond A Jacobson</t>
        </is>
      </c>
      <c r="I329" t="inlineStr">
        <is>
          <t>CHIEF INVESTMENT OFFICER</t>
        </is>
      </c>
      <c r="J329" t="inlineStr">
        <is>
          <t>CIO</t>
        </is>
      </c>
      <c r="K329" t="inlineStr">
        <is>
          <t>CIO - Top Investment Executive</t>
        </is>
      </c>
      <c r="L329" s="28" t="n">
        <v>489448</v>
      </c>
      <c r="M329" s="28" t="n">
        <v>174750</v>
      </c>
      <c r="N329" s="28" t="n">
        <v>1202</v>
      </c>
      <c r="O329" s="28" t="n">
        <v>48966</v>
      </c>
      <c r="P329" s="28" t="n">
        <v>14096</v>
      </c>
      <c r="Q329" s="28" t="n">
        <v>728462</v>
      </c>
      <c r="R329" s="28" t="n">
        <v>56000</v>
      </c>
      <c r="S329" s="28">
        <f>Q329-R329</f>
        <v/>
      </c>
      <c r="T329" s="28">
        <f>IF(S329="","",S329*(1+in_GrowthRate)^(YEARFRAC(DATE(2022,6,30),in_AgeToDate)*IF(in_AgeToDate&lt;DATE(2022,6,30),-1,1)+1))</f>
        <v/>
      </c>
      <c r="U329" s="50">
        <f>IF(AND(AND(OR(in_Mode="All Funds",AND(C329&gt;=in_BandFloor,C329&lt;=in_BandCeiling,OR(in_Geography="National",COUNTIFS(lst_GeoPreset,in_Geography,lst_GeoState,B329)&gt;0,AND(in_Geography="Custom",ISNUMBER(SEARCH(B329,SUBSTITUTE(in_CustomStates," ",""))))),OR(AND(D329="Endowment",Inputs!$B$14="Y"),AND(D329="Foundation",Inputs!$B$15="Y"),AND(D329="Healthcare",Inputs!$B$16="Y"),AND(D329="Pension",Inputs!$B$17="Y"),AND(D329="OCIO",Inputs!$B$18="Y"),AND(D329="Other",Inputs!$B$19="Y")))),A329&lt;&gt;in_ClientOrg,NOT(AND(in_ExclHarvard="Y",ISNUMBER(SEARCH("Harvard",A329))))),$AD329="Y",K329&lt;&gt;"",S329&gt;0),"Y","")</f>
        <v/>
      </c>
      <c r="V329" s="30" t="n">
        <v>1</v>
      </c>
      <c r="W329" t="inlineStr"/>
      <c r="X329" s="28">
        <f>IF(L329+M329=0,"",L329+M329)</f>
        <v/>
      </c>
      <c r="Y329" s="38">
        <f>IF(L329=0,"",M329/L329)</f>
        <v/>
      </c>
      <c r="Z329" t="inlineStr">
        <is>
          <t>CIO - Top Investment Executive</t>
        </is>
      </c>
      <c r="AA329" t="inlineStr">
        <is>
          <t>Leadership</t>
        </is>
      </c>
      <c r="AB329" s="50" t="inlineStr">
        <is>
          <t>Y</t>
        </is>
      </c>
      <c r="AC329" s="43">
        <f>HYPERLINK("https://projects.propublica.org/nonprofits/organizations/560529961/202301359349305830/full","view filing")</f>
        <v/>
      </c>
      <c r="AD329" s="50" t="inlineStr"/>
    </row>
    <row r="330">
      <c r="A330" t="inlineStr">
        <is>
          <t>Denison University</t>
        </is>
      </c>
      <c r="B330" s="50" t="inlineStr">
        <is>
          <t>OH</t>
        </is>
      </c>
      <c r="C330" s="52" t="n">
        <v>1.1</v>
      </c>
      <c r="D330" t="inlineStr">
        <is>
          <t>Endowment</t>
        </is>
      </c>
      <c r="E330" s="50" t="n">
        <v>2025</v>
      </c>
      <c r="F330" s="50" t="inlineStr">
        <is>
          <t>2026-05-12</t>
        </is>
      </c>
      <c r="G330" s="50" t="inlineStr">
        <is>
          <t>2025-06-30</t>
        </is>
      </c>
      <c r="H330" t="inlineStr">
        <is>
          <t>Joshua Beitzel</t>
        </is>
      </c>
      <c r="I330" t="inlineStr">
        <is>
          <t>MANAGING DIR.,INVESTMENTS</t>
        </is>
      </c>
      <c r="J330" t="inlineStr">
        <is>
          <t>Managing Director</t>
        </is>
      </c>
      <c r="K330" t="inlineStr">
        <is>
          <t>Sr Investment Professional</t>
        </is>
      </c>
      <c r="L330" s="28" t="n">
        <v>229292</v>
      </c>
      <c r="M330" s="28" t="n">
        <v>149003</v>
      </c>
      <c r="N330" s="28" t="n">
        <v>30048</v>
      </c>
      <c r="O330" s="28" t="n">
        <v>97274</v>
      </c>
      <c r="P330" s="28" t="n">
        <v>37828</v>
      </c>
      <c r="Q330" s="28" t="n">
        <v>543445</v>
      </c>
      <c r="R330" s="28" t="n">
        <v>31250</v>
      </c>
      <c r="S330" s="28">
        <f>Q330-R330</f>
        <v/>
      </c>
      <c r="T330" s="28">
        <f>IF(S330="","",S330*(1+in_GrowthRate)^(YEARFRAC(DATE(2025,6,30),in_AgeToDate)*IF(in_AgeToDate&lt;DATE(2025,6,30),-1,1)+1))</f>
        <v/>
      </c>
      <c r="U330" s="50">
        <f>IF(AND(AND(OR(in_Mode="All Funds",AND(C330&gt;=in_BandFloor,C330&lt;=in_BandCeiling,OR(in_Geography="National",COUNTIFS(lst_GeoPreset,in_Geography,lst_GeoState,B330)&gt;0,AND(in_Geography="Custom",ISNUMBER(SEARCH(B330,SUBSTITUTE(in_CustomStates," ",""))))),OR(AND(D330="Endowment",Inputs!$B$14="Y"),AND(D330="Foundation",Inputs!$B$15="Y"),AND(D330="Healthcare",Inputs!$B$16="Y"),AND(D330="Pension",Inputs!$B$17="Y"),AND(D330="OCIO",Inputs!$B$18="Y"),AND(D330="Other",Inputs!$B$19="Y")))),A330&lt;&gt;in_ClientOrg,NOT(AND(in_ExclHarvard="Y",ISNUMBER(SEARCH("Harvard",A330))))),$AD330="Y",K330&lt;&gt;"",S330&gt;0),"Y","")</f>
        <v/>
      </c>
      <c r="V330" s="30" t="n">
        <v>0.4866127922840432</v>
      </c>
      <c r="W330" t="inlineStr"/>
      <c r="X330" s="28">
        <f>IF(L330+M330=0,"",L330+M330)</f>
        <v/>
      </c>
      <c r="Y330" s="38">
        <f>IF(L330=0,"",M330/L330)</f>
        <v/>
      </c>
      <c r="Z330" t="inlineStr">
        <is>
          <t>Managing Director</t>
        </is>
      </c>
      <c r="AA330" t="inlineStr">
        <is>
          <t>Investments</t>
        </is>
      </c>
      <c r="AB330" s="50" t="inlineStr"/>
      <c r="AC330" s="43">
        <f>HYPERLINK("https://projects.propublica.org/nonprofits/organizations/314379459/202641329349302689/full","view filing")</f>
        <v/>
      </c>
      <c r="AD330" s="50" t="inlineStr">
        <is>
          <t>Y</t>
        </is>
      </c>
    </row>
    <row r="331">
      <c r="A331" t="inlineStr">
        <is>
          <t>Denison University</t>
        </is>
      </c>
      <c r="B331" s="50" t="inlineStr">
        <is>
          <t>OH</t>
        </is>
      </c>
      <c r="C331" s="52" t="n">
        <v>1.1</v>
      </c>
      <c r="D331" t="inlineStr">
        <is>
          <t>Endowment</t>
        </is>
      </c>
      <c r="E331" s="50" t="n">
        <v>2025</v>
      </c>
      <c r="F331" s="50" t="inlineStr">
        <is>
          <t>2026-05-12</t>
        </is>
      </c>
      <c r="G331" s="50" t="inlineStr">
        <is>
          <t>2025-06-30</t>
        </is>
      </c>
      <c r="H331" t="inlineStr">
        <is>
          <t>Julie Crosby</t>
        </is>
      </c>
      <c r="I331" t="inlineStr">
        <is>
          <t>MANAGING DIR.,INVESTMENTS</t>
        </is>
      </c>
      <c r="J331" t="inlineStr">
        <is>
          <t>Managing Director</t>
        </is>
      </c>
      <c r="K331" t="inlineStr">
        <is>
          <t>Sr Investment Professional</t>
        </is>
      </c>
      <c r="L331" s="28" t="n">
        <v>396425</v>
      </c>
      <c r="M331" s="28" t="n">
        <v>280873</v>
      </c>
      <c r="N331" s="28" t="n">
        <v>23624</v>
      </c>
      <c r="O331" s="28" t="n">
        <v>250490</v>
      </c>
      <c r="P331" s="28" t="n">
        <v>29475</v>
      </c>
      <c r="Q331" s="28" t="n">
        <v>980887</v>
      </c>
      <c r="R331" s="28" t="n">
        <v>66667</v>
      </c>
      <c r="S331" s="28">
        <f>Q331-R331</f>
        <v/>
      </c>
      <c r="T331" s="28">
        <f>IF(S331="","",S331*(1+in_GrowthRate)^(YEARFRAC(DATE(2025,6,30),in_AgeToDate)*IF(in_AgeToDate&lt;DATE(2025,6,30),-1,1)+1))</f>
        <v/>
      </c>
      <c r="U331" s="50">
        <f>IF(AND(AND(OR(in_Mode="All Funds",AND(C331&gt;=in_BandFloor,C331&lt;=in_BandCeiling,OR(in_Geography="National",COUNTIFS(lst_GeoPreset,in_Geography,lst_GeoState,B331)&gt;0,AND(in_Geography="Custom",ISNUMBER(SEARCH(B331,SUBSTITUTE(in_CustomStates," ",""))))),OR(AND(D331="Endowment",Inputs!$B$14="Y"),AND(D331="Foundation",Inputs!$B$15="Y"),AND(D331="Healthcare",Inputs!$B$16="Y"),AND(D331="Pension",Inputs!$B$17="Y"),AND(D331="OCIO",Inputs!$B$18="Y"),AND(D331="Other",Inputs!$B$19="Y")))),A331&lt;&gt;in_ClientOrg,NOT(AND(in_ExclHarvard="Y",ISNUMBER(SEARCH("Harvard",A331))))),$AD331="Y",K331&lt;&gt;"",S331&gt;0),"Y","")</f>
        <v/>
      </c>
      <c r="V331" s="30" t="n">
        <v>0.8685581603918782</v>
      </c>
      <c r="W331" t="inlineStr"/>
      <c r="X331" s="28">
        <f>IF(L331+M331=0,"",L331+M331)</f>
        <v/>
      </c>
      <c r="Y331" s="38">
        <f>IF(L331=0,"",M331/L331)</f>
        <v/>
      </c>
      <c r="Z331" t="inlineStr">
        <is>
          <t>Managing Director</t>
        </is>
      </c>
      <c r="AA331" t="inlineStr">
        <is>
          <t>Investments</t>
        </is>
      </c>
      <c r="AB331" s="50" t="inlineStr"/>
      <c r="AC331" s="43">
        <f>HYPERLINK("https://projects.propublica.org/nonprofits/organizations/314379459/202641329349302689/full","view filing")</f>
        <v/>
      </c>
      <c r="AD331" s="50" t="inlineStr">
        <is>
          <t>Y</t>
        </is>
      </c>
    </row>
    <row r="332">
      <c r="A332" t="inlineStr">
        <is>
          <t>Denison University</t>
        </is>
      </c>
      <c r="B332" s="50" t="inlineStr">
        <is>
          <t>OH</t>
        </is>
      </c>
      <c r="C332" s="52" t="n">
        <v>1.1</v>
      </c>
      <c r="D332" t="inlineStr">
        <is>
          <t>Endowment</t>
        </is>
      </c>
      <c r="E332" s="50" t="n">
        <v>2025</v>
      </c>
      <c r="F332" s="50" t="inlineStr">
        <is>
          <t>2026-05-12</t>
        </is>
      </c>
      <c r="G332" s="50" t="inlineStr">
        <is>
          <t>2025-06-30</t>
        </is>
      </c>
      <c r="H332" t="inlineStr">
        <is>
          <t>Kathleen R Browne</t>
        </is>
      </c>
      <c r="I332" t="inlineStr">
        <is>
          <t>CHIEF INVESTMENT OFFICER</t>
        </is>
      </c>
      <c r="J332" t="inlineStr">
        <is>
          <t>CIO</t>
        </is>
      </c>
      <c r="K332" t="inlineStr">
        <is>
          <t>CIO - Top Investment Executive</t>
        </is>
      </c>
      <c r="L332" s="28" t="n">
        <v>507318</v>
      </c>
      <c r="M332" s="28" t="n">
        <v>339966</v>
      </c>
      <c r="N332" s="28" t="n">
        <v>55816</v>
      </c>
      <c r="O332" s="28" t="n">
        <v>167418</v>
      </c>
      <c r="P332" s="28" t="n">
        <v>41454</v>
      </c>
      <c r="Q332" s="28" t="n">
        <v>1111972</v>
      </c>
      <c r="R332" s="28" t="n">
        <v>59400</v>
      </c>
      <c r="S332" s="28">
        <f>Q332-R332</f>
        <v/>
      </c>
      <c r="T332" s="28">
        <f>IF(S332="","",S332*(1+in_GrowthRate)^(YEARFRAC(DATE(2025,6,30),in_AgeToDate)*IF(in_AgeToDate&lt;DATE(2025,6,30),-1,1)+1))</f>
        <v/>
      </c>
      <c r="U332" s="50">
        <f>IF(AND(AND(OR(in_Mode="All Funds",AND(C332&gt;=in_BandFloor,C332&lt;=in_BandCeiling,OR(in_Geography="National",COUNTIFS(lst_GeoPreset,in_Geography,lst_GeoState,B332)&gt;0,AND(in_Geography="Custom",ISNUMBER(SEARCH(B332,SUBSTITUTE(in_CustomStates," ",""))))),OR(AND(D332="Endowment",Inputs!$B$14="Y"),AND(D332="Foundation",Inputs!$B$15="Y"),AND(D332="Healthcare",Inputs!$B$16="Y"),AND(D332="Pension",Inputs!$B$17="Y"),AND(D332="OCIO",Inputs!$B$18="Y"),AND(D332="Other",Inputs!$B$19="Y")))),A332&lt;&gt;in_ClientOrg,NOT(AND(in_ExclHarvard="Y",ISNUMBER(SEARCH("Harvard",A332))))),$AD332="Y",K332&lt;&gt;"",S332&gt;0),"Y","")</f>
        <v/>
      </c>
      <c r="V332" s="30" t="n">
        <v>1</v>
      </c>
      <c r="W332" t="inlineStr"/>
      <c r="X332" s="28">
        <f>IF(L332+M332=0,"",L332+M332)</f>
        <v/>
      </c>
      <c r="Y332" s="38">
        <f>IF(L332=0,"",M332/L332)</f>
        <v/>
      </c>
      <c r="Z332" t="inlineStr">
        <is>
          <t>CIO - Top Investment Executive</t>
        </is>
      </c>
      <c r="AA332" t="inlineStr">
        <is>
          <t>Leadership</t>
        </is>
      </c>
      <c r="AB332" s="50" t="inlineStr">
        <is>
          <t>Y</t>
        </is>
      </c>
      <c r="AC332" s="43">
        <f>HYPERLINK("https://projects.propublica.org/nonprofits/organizations/314379459/202641329349302689/full","view filing")</f>
        <v/>
      </c>
      <c r="AD332" s="50" t="inlineStr">
        <is>
          <t>Y</t>
        </is>
      </c>
    </row>
    <row r="333">
      <c r="A333" t="inlineStr">
        <is>
          <t>Denison University</t>
        </is>
      </c>
      <c r="B333" s="50" t="inlineStr">
        <is>
          <t>OH</t>
        </is>
      </c>
      <c r="C333" s="52" t="n">
        <v>1.1</v>
      </c>
      <c r="D333" t="inlineStr">
        <is>
          <t>Endowment</t>
        </is>
      </c>
      <c r="E333" s="50" t="n">
        <v>2025</v>
      </c>
      <c r="F333" s="50" t="inlineStr">
        <is>
          <t>2026-05-12</t>
        </is>
      </c>
      <c r="G333" s="50" t="inlineStr">
        <is>
          <t>2025-06-30</t>
        </is>
      </c>
      <c r="H333" t="inlineStr">
        <is>
          <t>Nicholas Carangelo</t>
        </is>
      </c>
      <c r="I333" t="inlineStr">
        <is>
          <t>MANAGING DIR.,INVESTMENTS</t>
        </is>
      </c>
      <c r="J333" t="inlineStr">
        <is>
          <t>Managing Director</t>
        </is>
      </c>
      <c r="K333" t="inlineStr">
        <is>
          <t>Sr Investment Professional</t>
        </is>
      </c>
      <c r="L333" s="28" t="n">
        <v>225111</v>
      </c>
      <c r="M333" s="28" t="n">
        <v>79947</v>
      </c>
      <c r="N333" s="28" t="n">
        <v>260</v>
      </c>
      <c r="O333" s="28" t="n">
        <v>62237</v>
      </c>
      <c r="P333" s="28" t="n">
        <v>13718</v>
      </c>
      <c r="Q333" s="28" t="n">
        <v>381273</v>
      </c>
      <c r="R333" s="28" t="n">
        <v>17344</v>
      </c>
      <c r="S333" s="28">
        <f>Q333-R333</f>
        <v/>
      </c>
      <c r="T333" s="28">
        <f>IF(S333="","",S333*(1+in_GrowthRate)^(YEARFRAC(DATE(2025,6,30),in_AgeToDate)*IF(in_AgeToDate&lt;DATE(2025,6,30),-1,1)+1))</f>
        <v/>
      </c>
      <c r="U333" s="50">
        <f>IF(AND(AND(OR(in_Mode="All Funds",AND(C333&gt;=in_BandFloor,C333&lt;=in_BandCeiling,OR(in_Geography="National",COUNTIFS(lst_GeoPreset,in_Geography,lst_GeoState,B333)&gt;0,AND(in_Geography="Custom",ISNUMBER(SEARCH(B333,SUBSTITUTE(in_CustomStates," ",""))))),OR(AND(D333="Endowment",Inputs!$B$14="Y"),AND(D333="Foundation",Inputs!$B$15="Y"),AND(D333="Healthcare",Inputs!$B$16="Y"),AND(D333="Pension",Inputs!$B$17="Y"),AND(D333="OCIO",Inputs!$B$18="Y"),AND(D333="Other",Inputs!$B$19="Y")))),A333&lt;&gt;in_ClientOrg,NOT(AND(in_ExclHarvard="Y",ISNUMBER(SEARCH("Harvard",A333))))),$AD333="Y",K333&lt;&gt;"",S333&gt;0),"Y","")</f>
        <v/>
      </c>
      <c r="V333" s="30" t="n">
        <v>0.3457521195699677</v>
      </c>
      <c r="W333" t="inlineStr"/>
      <c r="X333" s="28">
        <f>IF(L333+M333=0,"",L333+M333)</f>
        <v/>
      </c>
      <c r="Y333" s="38">
        <f>IF(L333=0,"",M333/L333)</f>
        <v/>
      </c>
      <c r="Z333" t="inlineStr">
        <is>
          <t>Managing Director</t>
        </is>
      </c>
      <c r="AA333" t="inlineStr">
        <is>
          <t>Investments</t>
        </is>
      </c>
      <c r="AB333" s="50" t="inlineStr"/>
      <c r="AC333" s="43">
        <f>HYPERLINK("https://projects.propublica.org/nonprofits/organizations/314379459/202641329349302689/full","view filing")</f>
        <v/>
      </c>
      <c r="AD333" s="50" t="inlineStr">
        <is>
          <t>Y</t>
        </is>
      </c>
    </row>
    <row r="334">
      <c r="A334" t="inlineStr">
        <is>
          <t>Denison University</t>
        </is>
      </c>
      <c r="B334" s="50" t="inlineStr">
        <is>
          <t>OH</t>
        </is>
      </c>
      <c r="C334" s="52" t="n">
        <v>1.1</v>
      </c>
      <c r="D334" t="inlineStr">
        <is>
          <t>Endowment</t>
        </is>
      </c>
      <c r="E334" s="50" t="n">
        <v>2024</v>
      </c>
      <c r="F334" s="50" t="inlineStr">
        <is>
          <t>2025-05-08</t>
        </is>
      </c>
      <c r="G334" s="50" t="inlineStr">
        <is>
          <t>2024-06-30</t>
        </is>
      </c>
      <c r="H334" t="inlineStr">
        <is>
          <t>Joshua M Beitzel</t>
        </is>
      </c>
      <c r="I334" t="inlineStr">
        <is>
          <t>MANAGING DIR., INVESTMENTS</t>
        </is>
      </c>
      <c r="J334" t="inlineStr">
        <is>
          <t>Managing Director</t>
        </is>
      </c>
      <c r="K334" t="inlineStr">
        <is>
          <t>Sr Investment Professional</t>
        </is>
      </c>
      <c r="L334" s="28" t="n">
        <v>225003</v>
      </c>
      <c r="M334" s="28" t="n">
        <v>76230</v>
      </c>
      <c r="N334" s="28" t="n">
        <v>24150</v>
      </c>
      <c r="O334" s="28" t="n">
        <v>92834</v>
      </c>
      <c r="P334" s="28" t="n">
        <v>31839</v>
      </c>
      <c r="Q334" s="28" t="n">
        <v>450056</v>
      </c>
      <c r="R334" s="28" t="n">
        <v>0</v>
      </c>
      <c r="S334" s="28">
        <f>Q334-R334</f>
        <v/>
      </c>
      <c r="T334" s="28">
        <f>IF(S334="","",S334*(1+in_GrowthRate)^(YEARFRAC(DATE(2024,6,30),in_AgeToDate)*IF(in_AgeToDate&lt;DATE(2024,6,30),-1,1)+1))</f>
        <v/>
      </c>
      <c r="U334" s="50">
        <f>IF(AND(AND(OR(in_Mode="All Funds",AND(C334&gt;=in_BandFloor,C334&lt;=in_BandCeiling,OR(in_Geography="National",COUNTIFS(lst_GeoPreset,in_Geography,lst_GeoState,B334)&gt;0,AND(in_Geography="Custom",ISNUMBER(SEARCH(B334,SUBSTITUTE(in_CustomStates," ",""))))),OR(AND(D334="Endowment",Inputs!$B$14="Y"),AND(D334="Foundation",Inputs!$B$15="Y"),AND(D334="Healthcare",Inputs!$B$16="Y"),AND(D334="Pension",Inputs!$B$17="Y"),AND(D334="OCIO",Inputs!$B$18="Y"),AND(D334="Other",Inputs!$B$19="Y")))),A334&lt;&gt;in_ClientOrg,NOT(AND(in_ExclHarvard="Y",ISNUMBER(SEARCH("Harvard",A334))))),$AD334="Y",K334&lt;&gt;"",S334&gt;0),"Y","")</f>
        <v/>
      </c>
      <c r="V334" s="30" t="n">
        <v>0.5214455452656898</v>
      </c>
      <c r="W334" t="inlineStr"/>
      <c r="X334" s="28">
        <f>IF(L334+M334=0,"",L334+M334)</f>
        <v/>
      </c>
      <c r="Y334" s="38">
        <f>IF(L334=0,"",M334/L334)</f>
        <v/>
      </c>
      <c r="Z334" t="inlineStr">
        <is>
          <t>Managing Director</t>
        </is>
      </c>
      <c r="AA334" t="inlineStr">
        <is>
          <t>Investments</t>
        </is>
      </c>
      <c r="AB334" s="50" t="inlineStr"/>
      <c r="AC334" s="43">
        <f>HYPERLINK("https://projects.propublica.org/nonprofits/organizations/314379459/202541289349302734/full","view filing")</f>
        <v/>
      </c>
      <c r="AD334" s="50" t="inlineStr"/>
    </row>
    <row r="335">
      <c r="A335" t="inlineStr">
        <is>
          <t>Denison University</t>
        </is>
      </c>
      <c r="B335" s="50" t="inlineStr">
        <is>
          <t>OH</t>
        </is>
      </c>
      <c r="C335" s="52" t="n">
        <v>1.1</v>
      </c>
      <c r="D335" t="inlineStr">
        <is>
          <t>Endowment</t>
        </is>
      </c>
      <c r="E335" s="50" t="n">
        <v>2024</v>
      </c>
      <c r="F335" s="50" t="inlineStr">
        <is>
          <t>2025-05-08</t>
        </is>
      </c>
      <c r="G335" s="50" t="inlineStr">
        <is>
          <t>2024-06-30</t>
        </is>
      </c>
      <c r="H335" t="inlineStr">
        <is>
          <t>Julia Crosby</t>
        </is>
      </c>
      <c r="I335" t="inlineStr">
        <is>
          <t>MANAGING DIR., INVESTMENTS</t>
        </is>
      </c>
      <c r="J335" t="inlineStr">
        <is>
          <t>Managing Director</t>
        </is>
      </c>
      <c r="K335" t="inlineStr">
        <is>
          <t>Sr Investment Professional</t>
        </is>
      </c>
      <c r="L335" s="28" t="n">
        <v>379893</v>
      </c>
      <c r="M335" s="28" t="n">
        <v>133333</v>
      </c>
      <c r="N335" s="28" t="n">
        <v>23124</v>
      </c>
      <c r="O335" s="28" t="n">
        <v>174823</v>
      </c>
      <c r="P335" s="28" t="n">
        <v>24836</v>
      </c>
      <c r="Q335" s="28" t="n">
        <v>736009</v>
      </c>
      <c r="R335" s="28" t="n">
        <v>0</v>
      </c>
      <c r="S335" s="28">
        <f>Q335-R335</f>
        <v/>
      </c>
      <c r="T335" s="28">
        <f>IF(S335="","",S335*(1+in_GrowthRate)^(YEARFRAC(DATE(2024,6,30),in_AgeToDate)*IF(in_AgeToDate&lt;DATE(2024,6,30),-1,1)+1))</f>
        <v/>
      </c>
      <c r="U335" s="50">
        <f>IF(AND(AND(OR(in_Mode="All Funds",AND(C335&gt;=in_BandFloor,C335&lt;=in_BandCeiling,OR(in_Geography="National",COUNTIFS(lst_GeoPreset,in_Geography,lst_GeoState,B335)&gt;0,AND(in_Geography="Custom",ISNUMBER(SEARCH(B335,SUBSTITUTE(in_CustomStates," ",""))))),OR(AND(D335="Endowment",Inputs!$B$14="Y"),AND(D335="Foundation",Inputs!$B$15="Y"),AND(D335="Healthcare",Inputs!$B$16="Y"),AND(D335="Pension",Inputs!$B$17="Y"),AND(D335="OCIO",Inputs!$B$18="Y"),AND(D335="Other",Inputs!$B$19="Y")))),A335&lt;&gt;in_ClientOrg,NOT(AND(in_ExclHarvard="Y",ISNUMBER(SEARCH("Harvard",A335))))),$AD335="Y",K335&lt;&gt;"",S335&gt;0),"Y","")</f>
        <v/>
      </c>
      <c r="V335" s="30" t="n">
        <v>0.8527574664607406</v>
      </c>
      <c r="W335" t="inlineStr"/>
      <c r="X335" s="28">
        <f>IF(L335+M335=0,"",L335+M335)</f>
        <v/>
      </c>
      <c r="Y335" s="38">
        <f>IF(L335=0,"",M335/L335)</f>
        <v/>
      </c>
      <c r="Z335" t="inlineStr">
        <is>
          <t>Managing Director</t>
        </is>
      </c>
      <c r="AA335" t="inlineStr">
        <is>
          <t>Investments</t>
        </is>
      </c>
      <c r="AB335" s="50" t="inlineStr"/>
      <c r="AC335" s="43">
        <f>HYPERLINK("https://projects.propublica.org/nonprofits/organizations/314379459/202541289349302734/full","view filing")</f>
        <v/>
      </c>
      <c r="AD335" s="50" t="inlineStr"/>
    </row>
    <row r="336">
      <c r="A336" t="inlineStr">
        <is>
          <t>Denison University</t>
        </is>
      </c>
      <c r="B336" s="50" t="inlineStr">
        <is>
          <t>OH</t>
        </is>
      </c>
      <c r="C336" s="52" t="n">
        <v>1.1</v>
      </c>
      <c r="D336" t="inlineStr">
        <is>
          <t>Endowment</t>
        </is>
      </c>
      <c r="E336" s="50" t="n">
        <v>2024</v>
      </c>
      <c r="F336" s="50" t="inlineStr">
        <is>
          <t>2025-05-08</t>
        </is>
      </c>
      <c r="G336" s="50" t="inlineStr">
        <is>
          <t>2024-06-30</t>
        </is>
      </c>
      <c r="H336" t="inlineStr">
        <is>
          <t>Kathleen R Browne</t>
        </is>
      </c>
      <c r="I336" t="inlineStr">
        <is>
          <t>CHIEF INVESTMENT OFFICER</t>
        </is>
      </c>
      <c r="J336" t="inlineStr">
        <is>
          <t>CIO</t>
        </is>
      </c>
      <c r="K336" t="inlineStr">
        <is>
          <t>CIO - Top Investment Executive</t>
        </is>
      </c>
      <c r="L336" s="28" t="n">
        <v>496026</v>
      </c>
      <c r="M336" s="28" t="n">
        <v>169142</v>
      </c>
      <c r="N336" s="28" t="n">
        <v>51816</v>
      </c>
      <c r="O336" s="28" t="n">
        <v>160290</v>
      </c>
      <c r="P336" s="28" t="n">
        <v>35319</v>
      </c>
      <c r="Q336" s="28" t="n">
        <v>912593</v>
      </c>
      <c r="R336" s="28" t="n">
        <v>49500</v>
      </c>
      <c r="S336" s="28">
        <f>Q336-R336</f>
        <v/>
      </c>
      <c r="T336" s="28">
        <f>IF(S336="","",S336*(1+in_GrowthRate)^(YEARFRAC(DATE(2024,6,30),in_AgeToDate)*IF(in_AgeToDate&lt;DATE(2024,6,30),-1,1)+1))</f>
        <v/>
      </c>
      <c r="U336" s="50">
        <f>IF(AND(AND(OR(in_Mode="All Funds",AND(C336&gt;=in_BandFloor,C336&lt;=in_BandCeiling,OR(in_Geography="National",COUNTIFS(lst_GeoPreset,in_Geography,lst_GeoState,B336)&gt;0,AND(in_Geography="Custom",ISNUMBER(SEARCH(B336,SUBSTITUTE(in_CustomStates," ",""))))),OR(AND(D336="Endowment",Inputs!$B$14="Y"),AND(D336="Foundation",Inputs!$B$15="Y"),AND(D336="Healthcare",Inputs!$B$16="Y"),AND(D336="Pension",Inputs!$B$17="Y"),AND(D336="OCIO",Inputs!$B$18="Y"),AND(D336="Other",Inputs!$B$19="Y")))),A336&lt;&gt;in_ClientOrg,NOT(AND(in_ExclHarvard="Y",ISNUMBER(SEARCH("Harvard",A336))))),$AD336="Y",K336&lt;&gt;"",S336&gt;0),"Y","")</f>
        <v/>
      </c>
      <c r="V336" s="30" t="n">
        <v>1</v>
      </c>
      <c r="W336" t="inlineStr"/>
      <c r="X336" s="28">
        <f>IF(L336+M336=0,"",L336+M336)</f>
        <v/>
      </c>
      <c r="Y336" s="38">
        <f>IF(L336=0,"",M336/L336)</f>
        <v/>
      </c>
      <c r="Z336" t="inlineStr">
        <is>
          <t>CIO - Top Investment Executive</t>
        </is>
      </c>
      <c r="AA336" t="inlineStr">
        <is>
          <t>Leadership</t>
        </is>
      </c>
      <c r="AB336" s="50" t="inlineStr">
        <is>
          <t>Y</t>
        </is>
      </c>
      <c r="AC336" s="43">
        <f>HYPERLINK("https://projects.propublica.org/nonprofits/organizations/314379459/202541289349302734/full","view filing")</f>
        <v/>
      </c>
      <c r="AD336" s="50" t="inlineStr"/>
    </row>
    <row r="337">
      <c r="A337" t="inlineStr">
        <is>
          <t>Denison University</t>
        </is>
      </c>
      <c r="B337" s="50" t="inlineStr">
        <is>
          <t>OH</t>
        </is>
      </c>
      <c r="C337" s="52" t="n">
        <v>1.1</v>
      </c>
      <c r="D337" t="inlineStr">
        <is>
          <t>Endowment</t>
        </is>
      </c>
      <c r="E337" s="50" t="n">
        <v>2023</v>
      </c>
      <c r="F337" s="50" t="inlineStr">
        <is>
          <t>2024-05-15</t>
        </is>
      </c>
      <c r="G337" s="50" t="inlineStr">
        <is>
          <t>2023-06-30</t>
        </is>
      </c>
      <c r="H337" t="inlineStr">
        <is>
          <t>Joshua M Beitzel</t>
        </is>
      </c>
      <c r="I337" t="inlineStr">
        <is>
          <t>MANAGING DIR.OF INVESTMENTS</t>
        </is>
      </c>
      <c r="J337" t="inlineStr">
        <is>
          <t>Managing Director</t>
        </is>
      </c>
      <c r="K337" t="inlineStr">
        <is>
          <t>Sr Investment Professional</t>
        </is>
      </c>
      <c r="L337" s="28" t="n">
        <v>189380</v>
      </c>
      <c r="M337" s="28" t="n">
        <v>52402</v>
      </c>
      <c r="N337" s="28" t="n">
        <v>19339</v>
      </c>
      <c r="O337" s="28" t="n">
        <v>38400</v>
      </c>
      <c r="P337" s="28" t="n">
        <v>29773</v>
      </c>
      <c r="Q337" s="28" t="n">
        <v>329294</v>
      </c>
      <c r="R337" s="28" t="n">
        <v>34096</v>
      </c>
      <c r="S337" s="28">
        <f>Q337-R337</f>
        <v/>
      </c>
      <c r="T337" s="28">
        <f>IF(S337="","",S337*(1+in_GrowthRate)^(YEARFRAC(DATE(2023,6,30),in_AgeToDate)*IF(in_AgeToDate&lt;DATE(2023,6,30),-1,1)+1))</f>
        <v/>
      </c>
      <c r="U337" s="50">
        <f>IF(AND(AND(OR(in_Mode="All Funds",AND(C337&gt;=in_BandFloor,C337&lt;=in_BandCeiling,OR(in_Geography="National",COUNTIFS(lst_GeoPreset,in_Geography,lst_GeoState,B337)&gt;0,AND(in_Geography="Custom",ISNUMBER(SEARCH(B337,SUBSTITUTE(in_CustomStates," ",""))))),OR(AND(D337="Endowment",Inputs!$B$14="Y"),AND(D337="Foundation",Inputs!$B$15="Y"),AND(D337="Healthcare",Inputs!$B$16="Y"),AND(D337="Pension",Inputs!$B$17="Y"),AND(D337="OCIO",Inputs!$B$18="Y"),AND(D337="Other",Inputs!$B$19="Y")))),A337&lt;&gt;in_ClientOrg,NOT(AND(in_ExclHarvard="Y",ISNUMBER(SEARCH("Harvard",A337))))),$AD337="Y",K337&lt;&gt;"",S337&gt;0),"Y","")</f>
        <v/>
      </c>
      <c r="V337" s="30" t="n">
        <v>0.4388791260418246</v>
      </c>
      <c r="W337" t="inlineStr"/>
      <c r="X337" s="28">
        <f>IF(L337+M337=0,"",L337+M337)</f>
        <v/>
      </c>
      <c r="Y337" s="38">
        <f>IF(L337=0,"",M337/L337)</f>
        <v/>
      </c>
      <c r="Z337" t="inlineStr">
        <is>
          <t>Managing Director</t>
        </is>
      </c>
      <c r="AA337" t="inlineStr">
        <is>
          <t>Investments</t>
        </is>
      </c>
      <c r="AB337" s="50" t="inlineStr"/>
      <c r="AC337" s="43">
        <f>HYPERLINK("https://projects.propublica.org/nonprofits/organizations/314379459/202401369349303945/full","view filing")</f>
        <v/>
      </c>
      <c r="AD337" s="50" t="inlineStr"/>
    </row>
    <row r="338">
      <c r="A338" t="inlineStr">
        <is>
          <t>Denison University</t>
        </is>
      </c>
      <c r="B338" s="50" t="inlineStr">
        <is>
          <t>OH</t>
        </is>
      </c>
      <c r="C338" s="52" t="n">
        <v>1.1</v>
      </c>
      <c r="D338" t="inlineStr">
        <is>
          <t>Endowment</t>
        </is>
      </c>
      <c r="E338" s="50" t="n">
        <v>2023</v>
      </c>
      <c r="F338" s="50" t="inlineStr">
        <is>
          <t>2024-05-15</t>
        </is>
      </c>
      <c r="G338" s="50" t="inlineStr">
        <is>
          <t>2023-06-30</t>
        </is>
      </c>
      <c r="H338" t="inlineStr">
        <is>
          <t>Julia Crosby</t>
        </is>
      </c>
      <c r="I338" t="inlineStr">
        <is>
          <t>MANAGING DIR.OF INVESTMENTS</t>
        </is>
      </c>
      <c r="J338" t="inlineStr">
        <is>
          <t>Managing Director</t>
        </is>
      </c>
      <c r="K338" t="inlineStr">
        <is>
          <t>Sr Investment Professional</t>
        </is>
      </c>
      <c r="L338" s="28" t="n">
        <v>66895</v>
      </c>
      <c r="M338" s="28" t="n">
        <v>287000</v>
      </c>
      <c r="N338" s="28" t="n">
        <v>0</v>
      </c>
      <c r="O338" s="28" t="n">
        <v>6774</v>
      </c>
      <c r="P338" s="28" t="n">
        <v>3678</v>
      </c>
      <c r="Q338" s="28" t="n">
        <v>364347</v>
      </c>
      <c r="R338" s="28" t="n">
        <v>0</v>
      </c>
      <c r="S338" s="28">
        <f>Q338-R338</f>
        <v/>
      </c>
      <c r="T338" s="28">
        <f>IF(S338="","",S338*(1+in_GrowthRate)^(YEARFRAC(DATE(2023,6,30),in_AgeToDate)*IF(in_AgeToDate&lt;DATE(2023,6,30),-1,1)+1))</f>
        <v/>
      </c>
      <c r="U338" s="50">
        <f>IF(AND(AND(OR(in_Mode="All Funds",AND(C338&gt;=in_BandFloor,C338&lt;=in_BandCeiling,OR(in_Geography="National",COUNTIFS(lst_GeoPreset,in_Geography,lst_GeoState,B338)&gt;0,AND(in_Geography="Custom",ISNUMBER(SEARCH(B338,SUBSTITUTE(in_CustomStates," ",""))))),OR(AND(D338="Endowment",Inputs!$B$14="Y"),AND(D338="Foundation",Inputs!$B$15="Y"),AND(D338="Healthcare",Inputs!$B$16="Y"),AND(D338="Pension",Inputs!$B$17="Y"),AND(D338="OCIO",Inputs!$B$18="Y"),AND(D338="Other",Inputs!$B$19="Y")))),A338&lt;&gt;in_ClientOrg,NOT(AND(in_ExclHarvard="Y",ISNUMBER(SEARCH("Harvard",A338))))),$AD338="Y",K338&lt;&gt;"",S338&gt;0),"Y","")</f>
        <v/>
      </c>
      <c r="V338" s="30" t="n">
        <v>0.5416848790844134</v>
      </c>
      <c r="W338" t="inlineStr"/>
      <c r="X338" s="28">
        <f>IF(L338+M338=0,"",L338+M338)</f>
        <v/>
      </c>
      <c r="Y338" s="38">
        <f>IF(L338=0,"",M338/L338)</f>
        <v/>
      </c>
      <c r="Z338" t="inlineStr">
        <is>
          <t>Managing Director</t>
        </is>
      </c>
      <c r="AA338" t="inlineStr">
        <is>
          <t>Investments</t>
        </is>
      </c>
      <c r="AB338" s="50" t="inlineStr"/>
      <c r="AC338" s="43">
        <f>HYPERLINK("https://projects.propublica.org/nonprofits/organizations/314379459/202401369349303945/full","view filing")</f>
        <v/>
      </c>
      <c r="AD338" s="50" t="inlineStr"/>
    </row>
    <row r="339">
      <c r="A339" t="inlineStr">
        <is>
          <t>Denison University</t>
        </is>
      </c>
      <c r="B339" s="50" t="inlineStr">
        <is>
          <t>OH</t>
        </is>
      </c>
      <c r="C339" s="52" t="n">
        <v>1.1</v>
      </c>
      <c r="D339" t="inlineStr">
        <is>
          <t>Endowment</t>
        </is>
      </c>
      <c r="E339" s="50" t="n">
        <v>2023</v>
      </c>
      <c r="F339" s="50" t="inlineStr">
        <is>
          <t>2024-05-15</t>
        </is>
      </c>
      <c r="G339" s="50" t="inlineStr">
        <is>
          <t>2023-06-30</t>
        </is>
      </c>
      <c r="H339" t="inlineStr">
        <is>
          <t>Kathleen R Browne</t>
        </is>
      </c>
      <c r="I339" t="inlineStr">
        <is>
          <t>CHIEF INVESTMENT OFFICER</t>
        </is>
      </c>
      <c r="J339" t="inlineStr">
        <is>
          <t>CIO</t>
        </is>
      </c>
      <c r="K339" t="inlineStr">
        <is>
          <t>CIO - Top Investment Executive</t>
        </is>
      </c>
      <c r="L339" s="28" t="n">
        <v>449047</v>
      </c>
      <c r="M339" s="28" t="n">
        <v>238568</v>
      </c>
      <c r="N339" s="28" t="n">
        <v>48816</v>
      </c>
      <c r="O339" s="28" t="n">
        <v>87900</v>
      </c>
      <c r="P339" s="28" t="n">
        <v>22537</v>
      </c>
      <c r="Q339" s="28" t="n">
        <v>846868</v>
      </c>
      <c r="R339" s="28" t="n">
        <v>174250</v>
      </c>
      <c r="S339" s="28">
        <f>Q339-R339</f>
        <v/>
      </c>
      <c r="T339" s="28">
        <f>IF(S339="","",S339*(1+in_GrowthRate)^(YEARFRAC(DATE(2023,6,30),in_AgeToDate)*IF(in_AgeToDate&lt;DATE(2023,6,30),-1,1)+1))</f>
        <v/>
      </c>
      <c r="U339" s="50">
        <f>IF(AND(AND(OR(in_Mode="All Funds",AND(C339&gt;=in_BandFloor,C339&lt;=in_BandCeiling,OR(in_Geography="National",COUNTIFS(lst_GeoPreset,in_Geography,lst_GeoState,B339)&gt;0,AND(in_Geography="Custom",ISNUMBER(SEARCH(B339,SUBSTITUTE(in_CustomStates," ",""))))),OR(AND(D339="Endowment",Inputs!$B$14="Y"),AND(D339="Foundation",Inputs!$B$15="Y"),AND(D339="Healthcare",Inputs!$B$16="Y"),AND(D339="Pension",Inputs!$B$17="Y"),AND(D339="OCIO",Inputs!$B$18="Y"),AND(D339="Other",Inputs!$B$19="Y")))),A339&lt;&gt;in_ClientOrg,NOT(AND(in_ExclHarvard="Y",ISNUMBER(SEARCH("Harvard",A339))))),$AD339="Y",K339&lt;&gt;"",S339&gt;0),"Y","")</f>
        <v/>
      </c>
      <c r="V339" s="30" t="n">
        <v>1</v>
      </c>
      <c r="W339" t="inlineStr"/>
      <c r="X339" s="28">
        <f>IF(L339+M339=0,"",L339+M339)</f>
        <v/>
      </c>
      <c r="Y339" s="38">
        <f>IF(L339=0,"",M339/L339)</f>
        <v/>
      </c>
      <c r="Z339" t="inlineStr">
        <is>
          <t>CIO - Top Investment Executive</t>
        </is>
      </c>
      <c r="AA339" t="inlineStr">
        <is>
          <t>Leadership</t>
        </is>
      </c>
      <c r="AB339" s="50" t="inlineStr">
        <is>
          <t>Y</t>
        </is>
      </c>
      <c r="AC339" s="43">
        <f>HYPERLINK("https://projects.propublica.org/nonprofits/organizations/314379459/202401369349303945/full","view filing")</f>
        <v/>
      </c>
      <c r="AD339" s="50" t="inlineStr"/>
    </row>
    <row r="340">
      <c r="A340" t="inlineStr">
        <is>
          <t>Denison University</t>
        </is>
      </c>
      <c r="B340" s="50" t="inlineStr">
        <is>
          <t>OH</t>
        </is>
      </c>
      <c r="C340" s="52" t="n">
        <v>1.1</v>
      </c>
      <c r="D340" t="inlineStr">
        <is>
          <t>Endowment</t>
        </is>
      </c>
      <c r="E340" s="50" t="n">
        <v>2022</v>
      </c>
      <c r="F340" s="50" t="inlineStr">
        <is>
          <t>2023-04-19</t>
        </is>
      </c>
      <c r="G340" s="50" t="inlineStr">
        <is>
          <t>2022-06-30</t>
        </is>
      </c>
      <c r="H340" t="inlineStr">
        <is>
          <t>David A Barcus</t>
        </is>
      </c>
      <c r="I340" t="inlineStr">
        <is>
          <t>DIRECTOR OF INVESTMENTS</t>
        </is>
      </c>
      <c r="J340" t="inlineStr">
        <is>
          <t>Director of Investments</t>
        </is>
      </c>
      <c r="K340" t="inlineStr">
        <is>
          <t>Sr Investment Professional</t>
        </is>
      </c>
      <c r="L340" s="28" t="n">
        <v>146120</v>
      </c>
      <c r="M340" s="28" t="n">
        <v>90526</v>
      </c>
      <c r="N340" s="28" t="n">
        <v>19868</v>
      </c>
      <c r="O340" s="28" t="n">
        <v>51000</v>
      </c>
      <c r="P340" s="28" t="n">
        <v>29899</v>
      </c>
      <c r="Q340" s="28" t="n">
        <v>337413</v>
      </c>
      <c r="R340" s="28" t="n">
        <v>31200</v>
      </c>
      <c r="S340" s="28">
        <f>Q340-R340</f>
        <v/>
      </c>
      <c r="T340" s="28">
        <f>IF(S340="","",S340*(1+in_GrowthRate)^(YEARFRAC(DATE(2022,6,30),in_AgeToDate)*IF(in_AgeToDate&lt;DATE(2022,6,30),-1,1)+1))</f>
        <v/>
      </c>
      <c r="U340" s="50">
        <f>IF(AND(AND(OR(in_Mode="All Funds",AND(C340&gt;=in_BandFloor,C340&lt;=in_BandCeiling,OR(in_Geography="National",COUNTIFS(lst_GeoPreset,in_Geography,lst_GeoState,B340)&gt;0,AND(in_Geography="Custom",ISNUMBER(SEARCH(B340,SUBSTITUTE(in_CustomStates," ",""))))),OR(AND(D340="Endowment",Inputs!$B$14="Y"),AND(D340="Foundation",Inputs!$B$15="Y"),AND(D340="Healthcare",Inputs!$B$16="Y"),AND(D340="Pension",Inputs!$B$17="Y"),AND(D340="OCIO",Inputs!$B$18="Y"),AND(D340="Other",Inputs!$B$19="Y")))),A340&lt;&gt;in_ClientOrg,NOT(AND(in_ExclHarvard="Y",ISNUMBER(SEARCH("Harvard",A340))))),$AD340="Y",K340&lt;&gt;"",S340&gt;0),"Y","")</f>
        <v/>
      </c>
      <c r="V340" s="30" t="n">
        <v>0.2984444899271951</v>
      </c>
      <c r="W340" t="inlineStr"/>
      <c r="X340" s="28">
        <f>IF(L340+M340=0,"",L340+M340)</f>
        <v/>
      </c>
      <c r="Y340" s="38">
        <f>IF(L340=0,"",M340/L340)</f>
        <v/>
      </c>
      <c r="Z340" t="inlineStr">
        <is>
          <t>Director &amp; Investment Officer</t>
        </is>
      </c>
      <c r="AA340" t="inlineStr">
        <is>
          <t>Investments</t>
        </is>
      </c>
      <c r="AB340" s="50" t="inlineStr"/>
      <c r="AC340" s="43">
        <f>HYPERLINK("https://projects.propublica.org/nonprofits/organizations/314379459/202321099349301527/full","view filing")</f>
        <v/>
      </c>
      <c r="AD340" s="50" t="inlineStr"/>
    </row>
    <row r="341">
      <c r="A341" t="inlineStr">
        <is>
          <t>Denison University</t>
        </is>
      </c>
      <c r="B341" s="50" t="inlineStr">
        <is>
          <t>OH</t>
        </is>
      </c>
      <c r="C341" s="52" t="n">
        <v>1.1</v>
      </c>
      <c r="D341" t="inlineStr">
        <is>
          <t>Endowment</t>
        </is>
      </c>
      <c r="E341" s="50" t="n">
        <v>2022</v>
      </c>
      <c r="F341" s="50" t="inlineStr">
        <is>
          <t>2023-04-19</t>
        </is>
      </c>
      <c r="G341" s="50" t="inlineStr">
        <is>
          <t>2022-06-30</t>
        </is>
      </c>
      <c r="H341" t="inlineStr">
        <is>
          <t>Joshua M Beitzel</t>
        </is>
      </c>
      <c r="I341" t="inlineStr">
        <is>
          <t>DIRECTOR OF INVESTMENTS</t>
        </is>
      </c>
      <c r="J341" t="inlineStr">
        <is>
          <t>Director of Investments</t>
        </is>
      </c>
      <c r="K341" t="inlineStr">
        <is>
          <t>Sr Investment Professional</t>
        </is>
      </c>
      <c r="L341" s="28" t="n">
        <v>151368</v>
      </c>
      <c r="M341" s="28" t="n">
        <v>95667</v>
      </c>
      <c r="N341" s="28" t="n">
        <v>19489</v>
      </c>
      <c r="O341" s="28" t="n">
        <v>53553</v>
      </c>
      <c r="P341" s="28" t="n">
        <v>29629</v>
      </c>
      <c r="Q341" s="28" t="n">
        <v>349706</v>
      </c>
      <c r="R341" s="28" t="n">
        <v>33000</v>
      </c>
      <c r="S341" s="28">
        <f>Q341-R341</f>
        <v/>
      </c>
      <c r="T341" s="28">
        <f>IF(S341="","",S341*(1+in_GrowthRate)^(YEARFRAC(DATE(2022,6,30),in_AgeToDate)*IF(in_AgeToDate&lt;DATE(2022,6,30),-1,1)+1))</f>
        <v/>
      </c>
      <c r="U341" s="50">
        <f>IF(AND(AND(OR(in_Mode="All Funds",AND(C341&gt;=in_BandFloor,C341&lt;=in_BandCeiling,OR(in_Geography="National",COUNTIFS(lst_GeoPreset,in_Geography,lst_GeoState,B341)&gt;0,AND(in_Geography="Custom",ISNUMBER(SEARCH(B341,SUBSTITUTE(in_CustomStates," ",""))))),OR(AND(D341="Endowment",Inputs!$B$14="Y"),AND(D341="Foundation",Inputs!$B$15="Y"),AND(D341="Healthcare",Inputs!$B$16="Y"),AND(D341="Pension",Inputs!$B$17="Y"),AND(D341="OCIO",Inputs!$B$18="Y"),AND(D341="Other",Inputs!$B$19="Y")))),A341&lt;&gt;in_ClientOrg,NOT(AND(in_ExclHarvard="Y",ISNUMBER(SEARCH("Harvard",A341))))),$AD341="Y",K341&lt;&gt;"",S341&gt;0),"Y","")</f>
        <v/>
      </c>
      <c r="V341" s="30" t="n">
        <v>0.3086712864146273</v>
      </c>
      <c r="W341" t="inlineStr"/>
      <c r="X341" s="28">
        <f>IF(L341+M341=0,"",L341+M341)</f>
        <v/>
      </c>
      <c r="Y341" s="38">
        <f>IF(L341=0,"",M341/L341)</f>
        <v/>
      </c>
      <c r="Z341" t="inlineStr">
        <is>
          <t>Director &amp; Investment Officer</t>
        </is>
      </c>
      <c r="AA341" t="inlineStr">
        <is>
          <t>Investments</t>
        </is>
      </c>
      <c r="AB341" s="50" t="inlineStr"/>
      <c r="AC341" s="43">
        <f>HYPERLINK("https://projects.propublica.org/nonprofits/organizations/314379459/202321099349301527/full","view filing")</f>
        <v/>
      </c>
      <c r="AD341" s="50" t="inlineStr"/>
    </row>
    <row r="342">
      <c r="A342" t="inlineStr">
        <is>
          <t>Denison University</t>
        </is>
      </c>
      <c r="B342" s="50" t="inlineStr">
        <is>
          <t>OH</t>
        </is>
      </c>
      <c r="C342" s="52" t="n">
        <v>1.1</v>
      </c>
      <c r="D342" t="inlineStr">
        <is>
          <t>Endowment</t>
        </is>
      </c>
      <c r="E342" s="50" t="n">
        <v>2022</v>
      </c>
      <c r="F342" s="50" t="inlineStr">
        <is>
          <t>2023-04-19</t>
        </is>
      </c>
      <c r="G342" s="50" t="inlineStr">
        <is>
          <t>2022-06-30</t>
        </is>
      </c>
      <c r="H342" t="inlineStr">
        <is>
          <t>Kathleen R Browne</t>
        </is>
      </c>
      <c r="I342" t="inlineStr">
        <is>
          <t>CHIEF INVESTMENT OFFICER</t>
        </is>
      </c>
      <c r="J342" t="inlineStr">
        <is>
          <t>CIO</t>
        </is>
      </c>
      <c r="K342" t="inlineStr">
        <is>
          <t>CIO - Top Investment Executive</t>
        </is>
      </c>
      <c r="L342" s="28" t="n">
        <v>426233</v>
      </c>
      <c r="M342" s="28" t="n">
        <v>486588</v>
      </c>
      <c r="N342" s="28" t="n">
        <v>48140</v>
      </c>
      <c r="O342" s="28" t="n">
        <v>210610</v>
      </c>
      <c r="P342" s="28" t="n">
        <v>24459</v>
      </c>
      <c r="Q342" s="28" t="n">
        <v>1196030</v>
      </c>
      <c r="R342" s="28" t="n">
        <v>170000</v>
      </c>
      <c r="S342" s="28">
        <f>Q342-R342</f>
        <v/>
      </c>
      <c r="T342" s="28">
        <f>IF(S342="","",S342*(1+in_GrowthRate)^(YEARFRAC(DATE(2022,6,30),in_AgeToDate)*IF(in_AgeToDate&lt;DATE(2022,6,30),-1,1)+1))</f>
        <v/>
      </c>
      <c r="U342" s="50">
        <f>IF(AND(AND(OR(in_Mode="All Funds",AND(C342&gt;=in_BandFloor,C342&lt;=in_BandCeiling,OR(in_Geography="National",COUNTIFS(lst_GeoPreset,in_Geography,lst_GeoState,B342)&gt;0,AND(in_Geography="Custom",ISNUMBER(SEARCH(B342,SUBSTITUTE(in_CustomStates," ",""))))),OR(AND(D342="Endowment",Inputs!$B$14="Y"),AND(D342="Foundation",Inputs!$B$15="Y"),AND(D342="Healthcare",Inputs!$B$16="Y"),AND(D342="Pension",Inputs!$B$17="Y"),AND(D342="OCIO",Inputs!$B$18="Y"),AND(D342="Other",Inputs!$B$19="Y")))),A342&lt;&gt;in_ClientOrg,NOT(AND(in_ExclHarvard="Y",ISNUMBER(SEARCH("Harvard",A342))))),$AD342="Y",K342&lt;&gt;"",S342&gt;0),"Y","")</f>
        <v/>
      </c>
      <c r="V342" s="30" t="n">
        <v>1</v>
      </c>
      <c r="W342" t="inlineStr"/>
      <c r="X342" s="28">
        <f>IF(L342+M342=0,"",L342+M342)</f>
        <v/>
      </c>
      <c r="Y342" s="38">
        <f>IF(L342=0,"",M342/L342)</f>
        <v/>
      </c>
      <c r="Z342" t="inlineStr">
        <is>
          <t>CIO - Top Investment Executive</t>
        </is>
      </c>
      <c r="AA342" t="inlineStr">
        <is>
          <t>Leadership</t>
        </is>
      </c>
      <c r="AB342" s="50" t="inlineStr">
        <is>
          <t>Y</t>
        </is>
      </c>
      <c r="AC342" s="43">
        <f>HYPERLINK("https://projects.propublica.org/nonprofits/organizations/314379459/202321099349301527/full","view filing")</f>
        <v/>
      </c>
      <c r="AD342" s="50" t="inlineStr"/>
    </row>
    <row r="343">
      <c r="A343" t="inlineStr">
        <is>
          <t>Diana Davis Spencer Foundation</t>
        </is>
      </c>
      <c r="B343" s="50" t="inlineStr">
        <is>
          <t>MD</t>
        </is>
      </c>
      <c r="C343" s="52" t="n">
        <v>1.17</v>
      </c>
      <c r="D343" t="inlineStr">
        <is>
          <t>Foundation</t>
        </is>
      </c>
      <c r="E343" s="50" t="n">
        <v>2024</v>
      </c>
      <c r="F343" s="50" t="inlineStr">
        <is>
          <t>2025-11-14</t>
        </is>
      </c>
      <c r="G343" s="50" t="inlineStr">
        <is>
          <t>2024-12-31</t>
        </is>
      </c>
      <c r="H343" t="inlineStr">
        <is>
          <t>Christopher Burn</t>
        </is>
      </c>
      <c r="I343" t="inlineStr">
        <is>
          <t>CHIEF INVESTMENT OFFICER</t>
        </is>
      </c>
      <c r="J343" t="inlineStr">
        <is>
          <t>CIO</t>
        </is>
      </c>
      <c r="K343" t="inlineStr">
        <is>
          <t>CIO - Top Investment Executive</t>
        </is>
      </c>
      <c r="L343" s="28" t="n">
        <v>0</v>
      </c>
      <c r="M343" s="28" t="n">
        <v>0</v>
      </c>
      <c r="N343" s="28" t="n">
        <v>0</v>
      </c>
      <c r="O343" s="28" t="n">
        <v>0</v>
      </c>
      <c r="P343" s="28" t="n">
        <v>144266</v>
      </c>
      <c r="Q343" s="28" t="n">
        <v>1038494</v>
      </c>
      <c r="R343" s="28" t="n">
        <v>0</v>
      </c>
      <c r="S343" s="28">
        <f>Q343-R343</f>
        <v/>
      </c>
      <c r="T343" s="28">
        <f>IF(S343="","",S343*(1+in_GrowthRate)^(YEARFRAC(DATE(2024,12,31),in_AgeToDate)*IF(in_AgeToDate&lt;DATE(2024,12,31),-1,1)+1))</f>
        <v/>
      </c>
      <c r="U343" s="50">
        <f>IF(AND(AND(OR(in_Mode="All Funds",AND(C343&gt;=in_BandFloor,C343&lt;=in_BandCeiling,OR(in_Geography="National",COUNTIFS(lst_GeoPreset,in_Geography,lst_GeoState,B343)&gt;0,AND(in_Geography="Custom",ISNUMBER(SEARCH(B343,SUBSTITUTE(in_CustomStates," ",""))))),OR(AND(D343="Endowment",Inputs!$B$14="Y"),AND(D343="Foundation",Inputs!$B$15="Y"),AND(D343="Healthcare",Inputs!$B$16="Y"),AND(D343="Pension",Inputs!$B$17="Y"),AND(D343="OCIO",Inputs!$B$18="Y"),AND(D343="Other",Inputs!$B$19="Y")))),A343&lt;&gt;in_ClientOrg,NOT(AND(in_ExclHarvard="Y",ISNUMBER(SEARCH("Harvard",A343))))),$AD343="Y",K343&lt;&gt;"",S343&gt;0),"Y","")</f>
        <v/>
      </c>
      <c r="V343" s="30" t="n">
        <v>1</v>
      </c>
      <c r="W343" t="inlineStr"/>
      <c r="X343" s="28">
        <f>IF(L343+M343=0,"",L343+M343)</f>
        <v/>
      </c>
      <c r="Y343" s="38">
        <f>IF(L343=0,"",M343/L343)</f>
        <v/>
      </c>
      <c r="Z343" t="inlineStr">
        <is>
          <t>CIO - Top Investment Executive</t>
        </is>
      </c>
      <c r="AA343" t="inlineStr">
        <is>
          <t>Leadership</t>
        </is>
      </c>
      <c r="AB343" s="50" t="inlineStr">
        <is>
          <t>Y</t>
        </is>
      </c>
      <c r="AC343" s="43">
        <f>HYPERLINK("https://projects.propublica.org/nonprofits/organizations/203672969/202503189349104390/full","view filing")</f>
        <v/>
      </c>
      <c r="AD343" s="50" t="inlineStr">
        <is>
          <t>Y</t>
        </is>
      </c>
    </row>
    <row r="344">
      <c r="A344" t="inlineStr">
        <is>
          <t>Diana Davis Spencer Foundation</t>
        </is>
      </c>
      <c r="B344" s="50" t="inlineStr">
        <is>
          <t>MD</t>
        </is>
      </c>
      <c r="C344" s="52" t="n">
        <v>1.17</v>
      </c>
      <c r="D344" t="inlineStr">
        <is>
          <t>Foundation</t>
        </is>
      </c>
      <c r="E344" s="50" t="n">
        <v>2023</v>
      </c>
      <c r="F344" s="50" t="inlineStr">
        <is>
          <t>2024-11-14</t>
        </is>
      </c>
      <c r="G344" s="50" t="inlineStr">
        <is>
          <t>2023-12-31</t>
        </is>
      </c>
      <c r="H344" t="inlineStr">
        <is>
          <t>Christopher Burn</t>
        </is>
      </c>
      <c r="I344" t="inlineStr">
        <is>
          <t>CHIEF INVESTMENT OFFICER</t>
        </is>
      </c>
      <c r="J344" t="inlineStr">
        <is>
          <t>CIO</t>
        </is>
      </c>
      <c r="K344" t="inlineStr">
        <is>
          <t>CIO - Top Investment Executive</t>
        </is>
      </c>
      <c r="L344" s="28" t="n">
        <v>0</v>
      </c>
      <c r="M344" s="28" t="n">
        <v>0</v>
      </c>
      <c r="N344" s="28" t="n">
        <v>0</v>
      </c>
      <c r="O344" s="28" t="n">
        <v>0</v>
      </c>
      <c r="P344" s="28" t="n">
        <v>141019</v>
      </c>
      <c r="Q344" s="28" t="n">
        <v>1012235</v>
      </c>
      <c r="R344" s="28" t="n">
        <v>0</v>
      </c>
      <c r="S344" s="28">
        <f>Q344-R344</f>
        <v/>
      </c>
      <c r="T344" s="28">
        <f>IF(S344="","",S344*(1+in_GrowthRate)^(YEARFRAC(DATE(2023,12,31),in_AgeToDate)*IF(in_AgeToDate&lt;DATE(2023,12,31),-1,1)+1))</f>
        <v/>
      </c>
      <c r="U344" s="50">
        <f>IF(AND(AND(OR(in_Mode="All Funds",AND(C344&gt;=in_BandFloor,C344&lt;=in_BandCeiling,OR(in_Geography="National",COUNTIFS(lst_GeoPreset,in_Geography,lst_GeoState,B344)&gt;0,AND(in_Geography="Custom",ISNUMBER(SEARCH(B344,SUBSTITUTE(in_CustomStates," ",""))))),OR(AND(D344="Endowment",Inputs!$B$14="Y"),AND(D344="Foundation",Inputs!$B$15="Y"),AND(D344="Healthcare",Inputs!$B$16="Y"),AND(D344="Pension",Inputs!$B$17="Y"),AND(D344="OCIO",Inputs!$B$18="Y"),AND(D344="Other",Inputs!$B$19="Y")))),A344&lt;&gt;in_ClientOrg,NOT(AND(in_ExclHarvard="Y",ISNUMBER(SEARCH("Harvard",A344))))),$AD344="Y",K344&lt;&gt;"",S344&gt;0),"Y","")</f>
        <v/>
      </c>
      <c r="V344" s="30" t="n">
        <v>1</v>
      </c>
      <c r="W344" t="inlineStr"/>
      <c r="X344" s="28">
        <f>IF(L344+M344=0,"",L344+M344)</f>
        <v/>
      </c>
      <c r="Y344" s="38">
        <f>IF(L344=0,"",M344/L344)</f>
        <v/>
      </c>
      <c r="Z344" t="inlineStr">
        <is>
          <t>CIO - Top Investment Executive</t>
        </is>
      </c>
      <c r="AA344" t="inlineStr">
        <is>
          <t>Leadership</t>
        </is>
      </c>
      <c r="AB344" s="50" t="inlineStr">
        <is>
          <t>Y</t>
        </is>
      </c>
      <c r="AC344" s="43">
        <f>HYPERLINK("https://projects.propublica.org/nonprofits/organizations/203672969/202433199349102773/full","view filing")</f>
        <v/>
      </c>
      <c r="AD344" s="50" t="inlineStr"/>
    </row>
    <row r="345">
      <c r="A345" t="inlineStr">
        <is>
          <t>Diana Davis Spencer Foundation</t>
        </is>
      </c>
      <c r="B345" s="50" t="inlineStr">
        <is>
          <t>MD</t>
        </is>
      </c>
      <c r="C345" s="52" t="n">
        <v>1.17</v>
      </c>
      <c r="D345" t="inlineStr">
        <is>
          <t>Foundation</t>
        </is>
      </c>
      <c r="E345" s="50" t="n">
        <v>2022</v>
      </c>
      <c r="F345" s="50" t="inlineStr">
        <is>
          <t>2023-11-12</t>
        </is>
      </c>
      <c r="G345" s="50" t="inlineStr">
        <is>
          <t>2022-12-31</t>
        </is>
      </c>
      <c r="H345" t="inlineStr">
        <is>
          <t>Christopher Burn</t>
        </is>
      </c>
      <c r="I345" t="inlineStr">
        <is>
          <t>CHIEF INVESTMENT OFFICER</t>
        </is>
      </c>
      <c r="J345" t="inlineStr">
        <is>
          <t>CIO</t>
        </is>
      </c>
      <c r="K345" t="inlineStr">
        <is>
          <t>CIO - Top Investment Executive</t>
        </is>
      </c>
      <c r="L345" s="28" t="n">
        <v>0</v>
      </c>
      <c r="M345" s="28" t="n">
        <v>0</v>
      </c>
      <c r="N345" s="28" t="n">
        <v>0</v>
      </c>
      <c r="O345" s="28" t="n">
        <v>0</v>
      </c>
      <c r="P345" s="28" t="n">
        <v>100095</v>
      </c>
      <c r="Q345" s="28" t="n">
        <v>778197</v>
      </c>
      <c r="R345" s="28" t="n">
        <v>0</v>
      </c>
      <c r="S345" s="28">
        <f>Q345-R345</f>
        <v/>
      </c>
      <c r="T345" s="28">
        <f>IF(S345="","",S345*(1+in_GrowthRate)^(YEARFRAC(DATE(2022,12,31),in_AgeToDate)*IF(in_AgeToDate&lt;DATE(2022,12,31),-1,1)+1))</f>
        <v/>
      </c>
      <c r="U345" s="50">
        <f>IF(AND(AND(OR(in_Mode="All Funds",AND(C345&gt;=in_BandFloor,C345&lt;=in_BandCeiling,OR(in_Geography="National",COUNTIFS(lst_GeoPreset,in_Geography,lst_GeoState,B345)&gt;0,AND(in_Geography="Custom",ISNUMBER(SEARCH(B345,SUBSTITUTE(in_CustomStates," ",""))))),OR(AND(D345="Endowment",Inputs!$B$14="Y"),AND(D345="Foundation",Inputs!$B$15="Y"),AND(D345="Healthcare",Inputs!$B$16="Y"),AND(D345="Pension",Inputs!$B$17="Y"),AND(D345="OCIO",Inputs!$B$18="Y"),AND(D345="Other",Inputs!$B$19="Y")))),A345&lt;&gt;in_ClientOrg,NOT(AND(in_ExclHarvard="Y",ISNUMBER(SEARCH("Harvard",A345))))),$AD345="Y",K345&lt;&gt;"",S345&gt;0),"Y","")</f>
        <v/>
      </c>
      <c r="V345" s="30" t="n">
        <v>1</v>
      </c>
      <c r="W345" t="inlineStr"/>
      <c r="X345" s="28">
        <f>IF(L345+M345=0,"",L345+M345)</f>
        <v/>
      </c>
      <c r="Y345" s="38">
        <f>IF(L345=0,"",M345/L345)</f>
        <v/>
      </c>
      <c r="Z345" t="inlineStr">
        <is>
          <t>CIO - Top Investment Executive</t>
        </is>
      </c>
      <c r="AA345" t="inlineStr">
        <is>
          <t>Leadership</t>
        </is>
      </c>
      <c r="AB345" s="50" t="inlineStr">
        <is>
          <t>Y</t>
        </is>
      </c>
      <c r="AC345" s="43">
        <f>HYPERLINK("https://projects.propublica.org/nonprofits/organizations/203672969/202333169349100258/full","view filing")</f>
        <v/>
      </c>
      <c r="AD345" s="50" t="inlineStr"/>
    </row>
    <row r="346">
      <c r="A346" t="inlineStr">
        <is>
          <t>Dietrich Foundation</t>
        </is>
      </c>
      <c r="B346" s="50" t="inlineStr">
        <is>
          <t>PA</t>
        </is>
      </c>
      <c r="C346" s="52" t="n">
        <v>1.47</v>
      </c>
      <c r="D346" t="inlineStr">
        <is>
          <t>Foundation</t>
        </is>
      </c>
      <c r="E346" s="50" t="n">
        <v>2024</v>
      </c>
      <c r="F346" s="50" t="inlineStr">
        <is>
          <t>2025-11-17</t>
        </is>
      </c>
      <c r="G346" s="50" t="inlineStr">
        <is>
          <t>2024-12-31</t>
        </is>
      </c>
      <c r="H346" t="inlineStr">
        <is>
          <t>Lee S Tilghman</t>
        </is>
      </c>
      <c r="I346" t="inlineStr">
        <is>
          <t>MANAGING DIRECTOR</t>
        </is>
      </c>
      <c r="J346" t="inlineStr">
        <is>
          <t>Managing Director</t>
        </is>
      </c>
      <c r="K346" t="inlineStr">
        <is>
          <t>Sr Investment Professional</t>
        </is>
      </c>
      <c r="L346" s="28" t="n">
        <v>415193</v>
      </c>
      <c r="M346" s="28" t="n">
        <v>361000</v>
      </c>
      <c r="N346" s="28" t="n">
        <v>66907</v>
      </c>
      <c r="O346" s="28" t="n">
        <v>555460</v>
      </c>
      <c r="P346" s="28" t="n">
        <v>24068</v>
      </c>
      <c r="Q346" s="28" t="n">
        <v>1422628</v>
      </c>
      <c r="R346" s="28" t="n">
        <v>421563</v>
      </c>
      <c r="S346" s="28">
        <f>Q346-R346</f>
        <v/>
      </c>
      <c r="T346" s="28">
        <f>IF(S346="","",S346*(1+in_GrowthRate)^(YEARFRAC(DATE(2024,12,31),in_AgeToDate)*IF(in_AgeToDate&lt;DATE(2024,12,31),-1,1)+1))</f>
        <v/>
      </c>
      <c r="U346" s="50">
        <f>IF(AND(AND(OR(in_Mode="All Funds",AND(C346&gt;=in_BandFloor,C346&lt;=in_BandCeiling,OR(in_Geography="National",COUNTIFS(lst_GeoPreset,in_Geography,lst_GeoState,B346)&gt;0,AND(in_Geography="Custom",ISNUMBER(SEARCH(B346,SUBSTITUTE(in_CustomStates," ",""))))),OR(AND(D346="Endowment",Inputs!$B$14="Y"),AND(D346="Foundation",Inputs!$B$15="Y"),AND(D346="Healthcare",Inputs!$B$16="Y"),AND(D346="Pension",Inputs!$B$17="Y"),AND(D346="OCIO",Inputs!$B$18="Y"),AND(D346="Other",Inputs!$B$19="Y")))),A346&lt;&gt;in_ClientOrg,NOT(AND(in_ExclHarvard="Y",ISNUMBER(SEARCH("Harvard",A346))))),$AD346="Y",K346&lt;&gt;"",S346&gt;0),"Y","")</f>
        <v/>
      </c>
      <c r="V346" s="30" t="n"/>
      <c r="W346" t="inlineStr"/>
      <c r="X346" s="28">
        <f>IF(L346+M346=0,"",L346+M346)</f>
        <v/>
      </c>
      <c r="Y346" s="38">
        <f>IF(L346=0,"",M346/L346)</f>
        <v/>
      </c>
      <c r="Z346" t="inlineStr">
        <is>
          <t>Managing Director</t>
        </is>
      </c>
      <c r="AA346" t="inlineStr">
        <is>
          <t>Investments</t>
        </is>
      </c>
      <c r="AB346" s="50" t="inlineStr"/>
      <c r="AC346" s="43">
        <f>HYPERLINK("https://projects.propublica.org/nonprofits/organizations/364711746/202523219349319537/full","view filing")</f>
        <v/>
      </c>
      <c r="AD346" s="50" t="inlineStr">
        <is>
          <t>Y</t>
        </is>
      </c>
    </row>
    <row r="347">
      <c r="A347" t="inlineStr">
        <is>
          <t>Dietrich Foundation</t>
        </is>
      </c>
      <c r="B347" s="50" t="inlineStr">
        <is>
          <t>PA</t>
        </is>
      </c>
      <c r="C347" s="52" t="n">
        <v>1.47</v>
      </c>
      <c r="D347" t="inlineStr">
        <is>
          <t>Foundation</t>
        </is>
      </c>
      <c r="E347" s="50" t="n">
        <v>2024</v>
      </c>
      <c r="F347" s="50" t="inlineStr">
        <is>
          <t>2025-11-17</t>
        </is>
      </c>
      <c r="G347" s="50" t="inlineStr">
        <is>
          <t>2024-12-31</t>
        </is>
      </c>
      <c r="H347" t="inlineStr">
        <is>
          <t>Mariah S Smith</t>
        </is>
      </c>
      <c r="I347" t="inlineStr">
        <is>
          <t>OPERATIONS MANAGER</t>
        </is>
      </c>
      <c r="J347" t="inlineStr">
        <is>
          <t>Investment Operations (Inv Entity)</t>
        </is>
      </c>
      <c r="K347" t="inlineStr">
        <is>
          <t>Other disclosed professionals</t>
        </is>
      </c>
      <c r="L347" s="28" t="n">
        <v>125122</v>
      </c>
      <c r="M347" s="28" t="n">
        <v>30000</v>
      </c>
      <c r="N347" s="28" t="n">
        <v>0</v>
      </c>
      <c r="O347" s="28" t="n">
        <v>68710</v>
      </c>
      <c r="P347" s="28" t="n">
        <v>6921</v>
      </c>
      <c r="Q347" s="28" t="n">
        <v>230753</v>
      </c>
      <c r="R347" s="28" t="n">
        <v>30000</v>
      </c>
      <c r="S347" s="28">
        <f>Q347-R347</f>
        <v/>
      </c>
      <c r="T347" s="28">
        <f>IF(S347="","",S347*(1+in_GrowthRate)^(YEARFRAC(DATE(2024,12,31),in_AgeToDate)*IF(in_AgeToDate&lt;DATE(2024,12,31),-1,1)+1))</f>
        <v/>
      </c>
      <c r="U347" s="50">
        <f>IF(AND(AND(OR(in_Mode="All Funds",AND(C347&gt;=in_BandFloor,C347&lt;=in_BandCeiling,OR(in_Geography="National",COUNTIFS(lst_GeoPreset,in_Geography,lst_GeoState,B347)&gt;0,AND(in_Geography="Custom",ISNUMBER(SEARCH(B347,SUBSTITUTE(in_CustomStates," ",""))))),OR(AND(D347="Endowment",Inputs!$B$14="Y"),AND(D347="Foundation",Inputs!$B$15="Y"),AND(D347="Healthcare",Inputs!$B$16="Y"),AND(D347="Pension",Inputs!$B$17="Y"),AND(D347="OCIO",Inputs!$B$18="Y"),AND(D347="Other",Inputs!$B$19="Y")))),A347&lt;&gt;in_ClientOrg,NOT(AND(in_ExclHarvard="Y",ISNUMBER(SEARCH("Harvard",A347))))),$AD347="Y",K347&lt;&gt;"",S347&gt;0),"Y","")</f>
        <v/>
      </c>
      <c r="V347" s="30" t="n"/>
      <c r="W347" t="inlineStr">
        <is>
          <t>Other disclosed professionals</t>
        </is>
      </c>
      <c r="X347" s="28">
        <f>IF(L347+M347=0,"",L347+M347)</f>
        <v/>
      </c>
      <c r="Y347" s="38">
        <f>IF(L347=0,"",M347/L347)</f>
        <v/>
      </c>
      <c r="Z347" t="inlineStr">
        <is>
          <t>Other disclosed professionals</t>
        </is>
      </c>
      <c r="AA347" t="inlineStr">
        <is>
          <t>Operations &amp; Control</t>
        </is>
      </c>
      <c r="AB347" s="50" t="inlineStr"/>
      <c r="AC347" s="43">
        <f>HYPERLINK("https://projects.propublica.org/nonprofits/organizations/364711746/202523219349319537/full","view filing")</f>
        <v/>
      </c>
      <c r="AD347" s="50" t="inlineStr">
        <is>
          <t>Y</t>
        </is>
      </c>
    </row>
    <row r="348">
      <c r="A348" t="inlineStr">
        <is>
          <t>Dietrich Foundation</t>
        </is>
      </c>
      <c r="B348" s="50" t="inlineStr">
        <is>
          <t>PA</t>
        </is>
      </c>
      <c r="C348" s="52" t="n">
        <v>1.47</v>
      </c>
      <c r="D348" t="inlineStr">
        <is>
          <t>Foundation</t>
        </is>
      </c>
      <c r="E348" s="50" t="n">
        <v>2024</v>
      </c>
      <c r="F348" s="50" t="inlineStr">
        <is>
          <t>2025-11-17</t>
        </is>
      </c>
      <c r="G348" s="50" t="inlineStr">
        <is>
          <t>2024-12-31</t>
        </is>
      </c>
      <c r="H348" t="inlineStr">
        <is>
          <t>Matthew E Cunningham</t>
        </is>
      </c>
      <c r="I348" t="inlineStr">
        <is>
          <t>MANAGING DIRECTOR</t>
        </is>
      </c>
      <c r="J348" t="inlineStr">
        <is>
          <t>Managing Director</t>
        </is>
      </c>
      <c r="K348" t="inlineStr">
        <is>
          <t>Sr Investment Professional</t>
        </is>
      </c>
      <c r="L348" s="28" t="n">
        <v>405000</v>
      </c>
      <c r="M348" s="28" t="n">
        <v>285000</v>
      </c>
      <c r="N348" s="28" t="n">
        <v>6344</v>
      </c>
      <c r="O348" s="28" t="n">
        <v>440841</v>
      </c>
      <c r="P348" s="28" t="n">
        <v>5189</v>
      </c>
      <c r="Q348" s="28" t="n">
        <v>1142374</v>
      </c>
      <c r="R348" s="28" t="n">
        <v>285000</v>
      </c>
      <c r="S348" s="28">
        <f>Q348-R348</f>
        <v/>
      </c>
      <c r="T348" s="28">
        <f>IF(S348="","",S348*(1+in_GrowthRate)^(YEARFRAC(DATE(2024,12,31),in_AgeToDate)*IF(in_AgeToDate&lt;DATE(2024,12,31),-1,1)+1))</f>
        <v/>
      </c>
      <c r="U348" s="50">
        <f>IF(AND(AND(OR(in_Mode="All Funds",AND(C348&gt;=in_BandFloor,C348&lt;=in_BandCeiling,OR(in_Geography="National",COUNTIFS(lst_GeoPreset,in_Geography,lst_GeoState,B348)&gt;0,AND(in_Geography="Custom",ISNUMBER(SEARCH(B348,SUBSTITUTE(in_CustomStates," ",""))))),OR(AND(D348="Endowment",Inputs!$B$14="Y"),AND(D348="Foundation",Inputs!$B$15="Y"),AND(D348="Healthcare",Inputs!$B$16="Y"),AND(D348="Pension",Inputs!$B$17="Y"),AND(D348="OCIO",Inputs!$B$18="Y"),AND(D348="Other",Inputs!$B$19="Y")))),A348&lt;&gt;in_ClientOrg,NOT(AND(in_ExclHarvard="Y",ISNUMBER(SEARCH("Harvard",A348))))),$AD348="Y",K348&lt;&gt;"",S348&gt;0),"Y","")</f>
        <v/>
      </c>
      <c r="V348" s="30" t="n"/>
      <c r="W348" t="inlineStr"/>
      <c r="X348" s="28">
        <f>IF(L348+M348=0,"",L348+M348)</f>
        <v/>
      </c>
      <c r="Y348" s="38">
        <f>IF(L348=0,"",M348/L348)</f>
        <v/>
      </c>
      <c r="Z348" t="inlineStr">
        <is>
          <t>Managing Director</t>
        </is>
      </c>
      <c r="AA348" t="inlineStr">
        <is>
          <t>Investments</t>
        </is>
      </c>
      <c r="AB348" s="50" t="inlineStr"/>
      <c r="AC348" s="43">
        <f>HYPERLINK("https://projects.propublica.org/nonprofits/organizations/364711746/202523219349319537/full","view filing")</f>
        <v/>
      </c>
      <c r="AD348" s="50" t="inlineStr">
        <is>
          <t>Y</t>
        </is>
      </c>
    </row>
    <row r="349">
      <c r="A349" t="inlineStr">
        <is>
          <t>Dietrich Foundation</t>
        </is>
      </c>
      <c r="B349" s="50" t="inlineStr">
        <is>
          <t>PA</t>
        </is>
      </c>
      <c r="C349" s="52" t="n">
        <v>1.47</v>
      </c>
      <c r="D349" t="inlineStr">
        <is>
          <t>Foundation</t>
        </is>
      </c>
      <c r="E349" s="50" t="n">
        <v>2024</v>
      </c>
      <c r="F349" s="50" t="inlineStr">
        <is>
          <t>2025-11-17</t>
        </is>
      </c>
      <c r="G349" s="50" t="inlineStr">
        <is>
          <t>2024-12-31</t>
        </is>
      </c>
      <c r="H349" t="inlineStr">
        <is>
          <t>Ryan L Vaccaro</t>
        </is>
      </c>
      <c r="I349" t="inlineStr">
        <is>
          <t>MANAGING DIRECTOR</t>
        </is>
      </c>
      <c r="J349" t="inlineStr">
        <is>
          <t>Managing Director</t>
        </is>
      </c>
      <c r="K349" t="inlineStr">
        <is>
          <t>Sr Investment Professional</t>
        </is>
      </c>
      <c r="L349" s="28" t="n">
        <v>425422</v>
      </c>
      <c r="M349" s="28" t="n">
        <v>380000</v>
      </c>
      <c r="N349" s="28" t="n">
        <v>74922</v>
      </c>
      <c r="O349" s="28" t="n">
        <v>570133</v>
      </c>
      <c r="P349" s="28" t="n">
        <v>23084</v>
      </c>
      <c r="Q349" s="28" t="n">
        <v>1473561</v>
      </c>
      <c r="R349" s="28" t="n">
        <v>448578</v>
      </c>
      <c r="S349" s="28">
        <f>Q349-R349</f>
        <v/>
      </c>
      <c r="T349" s="28">
        <f>IF(S349="","",S349*(1+in_GrowthRate)^(YEARFRAC(DATE(2024,12,31),in_AgeToDate)*IF(in_AgeToDate&lt;DATE(2024,12,31),-1,1)+1))</f>
        <v/>
      </c>
      <c r="U349" s="50">
        <f>IF(AND(AND(OR(in_Mode="All Funds",AND(C349&gt;=in_BandFloor,C349&lt;=in_BandCeiling,OR(in_Geography="National",COUNTIFS(lst_GeoPreset,in_Geography,lst_GeoState,B349)&gt;0,AND(in_Geography="Custom",ISNUMBER(SEARCH(B349,SUBSTITUTE(in_CustomStates," ",""))))),OR(AND(D349="Endowment",Inputs!$B$14="Y"),AND(D349="Foundation",Inputs!$B$15="Y"),AND(D349="Healthcare",Inputs!$B$16="Y"),AND(D349="Pension",Inputs!$B$17="Y"),AND(D349="OCIO",Inputs!$B$18="Y"),AND(D349="Other",Inputs!$B$19="Y")))),A349&lt;&gt;in_ClientOrg,NOT(AND(in_ExclHarvard="Y",ISNUMBER(SEARCH("Harvard",A349))))),$AD349="Y",K349&lt;&gt;"",S349&gt;0),"Y","")</f>
        <v/>
      </c>
      <c r="V349" s="30" t="n"/>
      <c r="W349" t="inlineStr"/>
      <c r="X349" s="28">
        <f>IF(L349+M349=0,"",L349+M349)</f>
        <v/>
      </c>
      <c r="Y349" s="38">
        <f>IF(L349=0,"",M349/L349)</f>
        <v/>
      </c>
      <c r="Z349" t="inlineStr">
        <is>
          <t>Managing Director</t>
        </is>
      </c>
      <c r="AA349" t="inlineStr">
        <is>
          <t>Investments</t>
        </is>
      </c>
      <c r="AB349" s="50" t="inlineStr"/>
      <c r="AC349" s="43">
        <f>HYPERLINK("https://projects.propublica.org/nonprofits/organizations/364711746/202523219349319537/full","view filing")</f>
        <v/>
      </c>
      <c r="AD349" s="50" t="inlineStr">
        <is>
          <t>Y</t>
        </is>
      </c>
    </row>
    <row r="350">
      <c r="A350" t="inlineStr">
        <is>
          <t>Dietrich Foundation</t>
        </is>
      </c>
      <c r="B350" s="50" t="inlineStr">
        <is>
          <t>PA</t>
        </is>
      </c>
      <c r="C350" s="52" t="n">
        <v>1.47</v>
      </c>
      <c r="D350" t="inlineStr">
        <is>
          <t>Foundation</t>
        </is>
      </c>
      <c r="E350" s="50" t="n">
        <v>2023</v>
      </c>
      <c r="F350" s="50" t="inlineStr">
        <is>
          <t>2024-11-15</t>
        </is>
      </c>
      <c r="G350" s="50" t="inlineStr">
        <is>
          <t>2023-12-31</t>
        </is>
      </c>
      <c r="H350" t="inlineStr">
        <is>
          <t>Lee S Tilghman</t>
        </is>
      </c>
      <c r="I350" t="inlineStr">
        <is>
          <t>MANAGING DIRECTOR</t>
        </is>
      </c>
      <c r="J350" t="inlineStr">
        <is>
          <t>Managing Director</t>
        </is>
      </c>
      <c r="K350" t="inlineStr">
        <is>
          <t>Sr Investment Professional</t>
        </is>
      </c>
      <c r="L350" s="28" t="n">
        <v>380000</v>
      </c>
      <c r="M350" s="28" t="n">
        <v>301500</v>
      </c>
      <c r="N350" s="28" t="n">
        <v>57656</v>
      </c>
      <c r="O350" s="28" t="n">
        <v>442429</v>
      </c>
      <c r="P350" s="28" t="n">
        <v>21527</v>
      </c>
      <c r="Q350" s="28" t="n">
        <v>1203112</v>
      </c>
      <c r="R350" s="28" t="n">
        <v>353170</v>
      </c>
      <c r="S350" s="28">
        <f>Q350-R350</f>
        <v/>
      </c>
      <c r="T350" s="28">
        <f>IF(S350="","",S350*(1+in_GrowthRate)^(YEARFRAC(DATE(2023,12,31),in_AgeToDate)*IF(in_AgeToDate&lt;DATE(2023,12,31),-1,1)+1))</f>
        <v/>
      </c>
      <c r="U350" s="50">
        <f>IF(AND(AND(OR(in_Mode="All Funds",AND(C350&gt;=in_BandFloor,C350&lt;=in_BandCeiling,OR(in_Geography="National",COUNTIFS(lst_GeoPreset,in_Geography,lst_GeoState,B350)&gt;0,AND(in_Geography="Custom",ISNUMBER(SEARCH(B350,SUBSTITUTE(in_CustomStates," ",""))))),OR(AND(D350="Endowment",Inputs!$B$14="Y"),AND(D350="Foundation",Inputs!$B$15="Y"),AND(D350="Healthcare",Inputs!$B$16="Y"),AND(D350="Pension",Inputs!$B$17="Y"),AND(D350="OCIO",Inputs!$B$18="Y"),AND(D350="Other",Inputs!$B$19="Y")))),A350&lt;&gt;in_ClientOrg,NOT(AND(in_ExclHarvard="Y",ISNUMBER(SEARCH("Harvard",A350))))),$AD350="Y",K350&lt;&gt;"",S350&gt;0),"Y","")</f>
        <v/>
      </c>
      <c r="V350" s="30" t="n"/>
      <c r="W350" t="inlineStr"/>
      <c r="X350" s="28">
        <f>IF(L350+M350=0,"",L350+M350)</f>
        <v/>
      </c>
      <c r="Y350" s="38">
        <f>IF(L350=0,"",M350/L350)</f>
        <v/>
      </c>
      <c r="Z350" t="inlineStr">
        <is>
          <t>Managing Director</t>
        </is>
      </c>
      <c r="AA350" t="inlineStr">
        <is>
          <t>Investments</t>
        </is>
      </c>
      <c r="AB350" s="50" t="inlineStr"/>
      <c r="AC350" s="43">
        <f>HYPERLINK("https://projects.propublica.org/nonprofits/organizations/364711746/202433209349310268/full","view filing")</f>
        <v/>
      </c>
      <c r="AD350" s="50" t="inlineStr"/>
    </row>
    <row r="351">
      <c r="A351" t="inlineStr">
        <is>
          <t>Dietrich Foundation</t>
        </is>
      </c>
      <c r="B351" s="50" t="inlineStr">
        <is>
          <t>PA</t>
        </is>
      </c>
      <c r="C351" s="52" t="n">
        <v>1.47</v>
      </c>
      <c r="D351" t="inlineStr">
        <is>
          <t>Foundation</t>
        </is>
      </c>
      <c r="E351" s="50" t="n">
        <v>2023</v>
      </c>
      <c r="F351" s="50" t="inlineStr">
        <is>
          <t>2024-11-15</t>
        </is>
      </c>
      <c r="G351" s="50" t="inlineStr">
        <is>
          <t>2023-12-31</t>
        </is>
      </c>
      <c r="H351" t="inlineStr">
        <is>
          <t>Mariah Salas</t>
        </is>
      </c>
      <c r="I351" t="inlineStr">
        <is>
          <t>OPERATIONS MANAGER</t>
        </is>
      </c>
      <c r="J351" t="inlineStr">
        <is>
          <t>Investment Operations (Inv Entity)</t>
        </is>
      </c>
      <c r="K351" t="inlineStr">
        <is>
          <t>Other disclosed professionals</t>
        </is>
      </c>
      <c r="L351" s="28" t="n">
        <v>115000</v>
      </c>
      <c r="M351" s="28" t="n">
        <v>18000</v>
      </c>
      <c r="N351" s="28" t="n">
        <v>0</v>
      </c>
      <c r="O351" s="28" t="n">
        <v>57930</v>
      </c>
      <c r="P351" s="28" t="n">
        <v>5664</v>
      </c>
      <c r="Q351" s="28" t="n">
        <v>196594</v>
      </c>
      <c r="R351" s="28" t="n">
        <v>18000</v>
      </c>
      <c r="S351" s="28">
        <f>Q351-R351</f>
        <v/>
      </c>
      <c r="T351" s="28">
        <f>IF(S351="","",S351*(1+in_GrowthRate)^(YEARFRAC(DATE(2023,12,31),in_AgeToDate)*IF(in_AgeToDate&lt;DATE(2023,12,31),-1,1)+1))</f>
        <v/>
      </c>
      <c r="U351" s="50">
        <f>IF(AND(AND(OR(in_Mode="All Funds",AND(C351&gt;=in_BandFloor,C351&lt;=in_BandCeiling,OR(in_Geography="National",COUNTIFS(lst_GeoPreset,in_Geography,lst_GeoState,B351)&gt;0,AND(in_Geography="Custom",ISNUMBER(SEARCH(B351,SUBSTITUTE(in_CustomStates," ",""))))),OR(AND(D351="Endowment",Inputs!$B$14="Y"),AND(D351="Foundation",Inputs!$B$15="Y"),AND(D351="Healthcare",Inputs!$B$16="Y"),AND(D351="Pension",Inputs!$B$17="Y"),AND(D351="OCIO",Inputs!$B$18="Y"),AND(D351="Other",Inputs!$B$19="Y")))),A351&lt;&gt;in_ClientOrg,NOT(AND(in_ExclHarvard="Y",ISNUMBER(SEARCH("Harvard",A351))))),$AD351="Y",K351&lt;&gt;"",S351&gt;0),"Y","")</f>
        <v/>
      </c>
      <c r="V351" s="30" t="n"/>
      <c r="W351" t="inlineStr">
        <is>
          <t>Other disclosed professionals</t>
        </is>
      </c>
      <c r="X351" s="28">
        <f>IF(L351+M351=0,"",L351+M351)</f>
        <v/>
      </c>
      <c r="Y351" s="38">
        <f>IF(L351=0,"",M351/L351)</f>
        <v/>
      </c>
      <c r="Z351" t="inlineStr">
        <is>
          <t>Other disclosed professionals</t>
        </is>
      </c>
      <c r="AA351" t="inlineStr">
        <is>
          <t>Operations &amp; Control</t>
        </is>
      </c>
      <c r="AB351" s="50" t="inlineStr"/>
      <c r="AC351" s="43">
        <f>HYPERLINK("https://projects.propublica.org/nonprofits/organizations/364711746/202433209349310268/full","view filing")</f>
        <v/>
      </c>
      <c r="AD351" s="50" t="inlineStr"/>
    </row>
    <row r="352">
      <c r="A352" t="inlineStr">
        <is>
          <t>Dietrich Foundation</t>
        </is>
      </c>
      <c r="B352" s="50" t="inlineStr">
        <is>
          <t>PA</t>
        </is>
      </c>
      <c r="C352" s="52" t="n">
        <v>1.47</v>
      </c>
      <c r="D352" t="inlineStr">
        <is>
          <t>Foundation</t>
        </is>
      </c>
      <c r="E352" s="50" t="n">
        <v>2023</v>
      </c>
      <c r="F352" s="50" t="inlineStr">
        <is>
          <t>2024-11-15</t>
        </is>
      </c>
      <c r="G352" s="50" t="inlineStr">
        <is>
          <t>2023-12-31</t>
        </is>
      </c>
      <c r="H352" t="inlineStr">
        <is>
          <t>Matthew E Cunningham</t>
        </is>
      </c>
      <c r="I352" t="inlineStr">
        <is>
          <t>MANAGING DIRECTOR</t>
        </is>
      </c>
      <c r="J352" t="inlineStr">
        <is>
          <t>Managing Director</t>
        </is>
      </c>
      <c r="K352" t="inlineStr">
        <is>
          <t>Sr Investment Professional</t>
        </is>
      </c>
      <c r="L352" s="28" t="n">
        <v>383000</v>
      </c>
      <c r="M352" s="28" t="n">
        <v>154467</v>
      </c>
      <c r="N352" s="28" t="n">
        <v>5986</v>
      </c>
      <c r="O352" s="28" t="n">
        <v>384970</v>
      </c>
      <c r="P352" s="28" t="n">
        <v>5754</v>
      </c>
      <c r="Q352" s="28" t="n">
        <v>934177</v>
      </c>
      <c r="R352" s="28" t="n">
        <v>154467</v>
      </c>
      <c r="S352" s="28">
        <f>Q352-R352</f>
        <v/>
      </c>
      <c r="T352" s="28">
        <f>IF(S352="","",S352*(1+in_GrowthRate)^(YEARFRAC(DATE(2023,12,31),in_AgeToDate)*IF(in_AgeToDate&lt;DATE(2023,12,31),-1,1)+1))</f>
        <v/>
      </c>
      <c r="U352" s="50">
        <f>IF(AND(AND(OR(in_Mode="All Funds",AND(C352&gt;=in_BandFloor,C352&lt;=in_BandCeiling,OR(in_Geography="National",COUNTIFS(lst_GeoPreset,in_Geography,lst_GeoState,B352)&gt;0,AND(in_Geography="Custom",ISNUMBER(SEARCH(B352,SUBSTITUTE(in_CustomStates," ",""))))),OR(AND(D352="Endowment",Inputs!$B$14="Y"),AND(D352="Foundation",Inputs!$B$15="Y"),AND(D352="Healthcare",Inputs!$B$16="Y"),AND(D352="Pension",Inputs!$B$17="Y"),AND(D352="OCIO",Inputs!$B$18="Y"),AND(D352="Other",Inputs!$B$19="Y")))),A352&lt;&gt;in_ClientOrg,NOT(AND(in_ExclHarvard="Y",ISNUMBER(SEARCH("Harvard",A352))))),$AD352="Y",K352&lt;&gt;"",S352&gt;0),"Y","")</f>
        <v/>
      </c>
      <c r="V352" s="30" t="n"/>
      <c r="W352" t="inlineStr"/>
      <c r="X352" s="28">
        <f>IF(L352+M352=0,"",L352+M352)</f>
        <v/>
      </c>
      <c r="Y352" s="38">
        <f>IF(L352=0,"",M352/L352)</f>
        <v/>
      </c>
      <c r="Z352" t="inlineStr">
        <is>
          <t>Managing Director</t>
        </is>
      </c>
      <c r="AA352" t="inlineStr">
        <is>
          <t>Investments</t>
        </is>
      </c>
      <c r="AB352" s="50" t="inlineStr"/>
      <c r="AC352" s="43">
        <f>HYPERLINK("https://projects.propublica.org/nonprofits/organizations/364711746/202433209349310268/full","view filing")</f>
        <v/>
      </c>
      <c r="AD352" s="50" t="inlineStr"/>
    </row>
    <row r="353">
      <c r="A353" t="inlineStr">
        <is>
          <t>Dietrich Foundation</t>
        </is>
      </c>
      <c r="B353" s="50" t="inlineStr">
        <is>
          <t>PA</t>
        </is>
      </c>
      <c r="C353" s="52" t="n">
        <v>1.47</v>
      </c>
      <c r="D353" t="inlineStr">
        <is>
          <t>Foundation</t>
        </is>
      </c>
      <c r="E353" s="50" t="n">
        <v>2023</v>
      </c>
      <c r="F353" s="50" t="inlineStr">
        <is>
          <t>2024-11-15</t>
        </is>
      </c>
      <c r="G353" s="50" t="inlineStr">
        <is>
          <t>2023-12-31</t>
        </is>
      </c>
      <c r="H353" t="inlineStr">
        <is>
          <t>Ryan L Vaccaro</t>
        </is>
      </c>
      <c r="I353" t="inlineStr">
        <is>
          <t>MANAGING DIRECTOR</t>
        </is>
      </c>
      <c r="J353" t="inlineStr">
        <is>
          <t>Managing Director</t>
        </is>
      </c>
      <c r="K353" t="inlineStr">
        <is>
          <t>Sr Investment Professional</t>
        </is>
      </c>
      <c r="L353" s="28" t="n">
        <v>400000</v>
      </c>
      <c r="M353" s="28" t="n">
        <v>316800</v>
      </c>
      <c r="N353" s="28" t="n">
        <v>69491</v>
      </c>
      <c r="O353" s="28" t="n">
        <v>461567</v>
      </c>
      <c r="P353" s="28" t="n">
        <v>20460</v>
      </c>
      <c r="Q353" s="28" t="n">
        <v>1268318</v>
      </c>
      <c r="R353" s="28" t="n">
        <v>380305</v>
      </c>
      <c r="S353" s="28">
        <f>Q353-R353</f>
        <v/>
      </c>
      <c r="T353" s="28">
        <f>IF(S353="","",S353*(1+in_GrowthRate)^(YEARFRAC(DATE(2023,12,31),in_AgeToDate)*IF(in_AgeToDate&lt;DATE(2023,12,31),-1,1)+1))</f>
        <v/>
      </c>
      <c r="U353" s="50">
        <f>IF(AND(AND(OR(in_Mode="All Funds",AND(C353&gt;=in_BandFloor,C353&lt;=in_BandCeiling,OR(in_Geography="National",COUNTIFS(lst_GeoPreset,in_Geography,lst_GeoState,B353)&gt;0,AND(in_Geography="Custom",ISNUMBER(SEARCH(B353,SUBSTITUTE(in_CustomStates," ",""))))),OR(AND(D353="Endowment",Inputs!$B$14="Y"),AND(D353="Foundation",Inputs!$B$15="Y"),AND(D353="Healthcare",Inputs!$B$16="Y"),AND(D353="Pension",Inputs!$B$17="Y"),AND(D353="OCIO",Inputs!$B$18="Y"),AND(D353="Other",Inputs!$B$19="Y")))),A353&lt;&gt;in_ClientOrg,NOT(AND(in_ExclHarvard="Y",ISNUMBER(SEARCH("Harvard",A353))))),$AD353="Y",K353&lt;&gt;"",S353&gt;0),"Y","")</f>
        <v/>
      </c>
      <c r="V353" s="30" t="n"/>
      <c r="W353" t="inlineStr"/>
      <c r="X353" s="28">
        <f>IF(L353+M353=0,"",L353+M353)</f>
        <v/>
      </c>
      <c r="Y353" s="38">
        <f>IF(L353=0,"",M353/L353)</f>
        <v/>
      </c>
      <c r="Z353" t="inlineStr">
        <is>
          <t>Managing Director</t>
        </is>
      </c>
      <c r="AA353" t="inlineStr">
        <is>
          <t>Investments</t>
        </is>
      </c>
      <c r="AB353" s="50" t="inlineStr"/>
      <c r="AC353" s="43">
        <f>HYPERLINK("https://projects.propublica.org/nonprofits/organizations/364711746/202433209349310268/full","view filing")</f>
        <v/>
      </c>
      <c r="AD353" s="50" t="inlineStr"/>
    </row>
    <row r="354">
      <c r="A354" t="inlineStr">
        <is>
          <t>Dietrich Foundation</t>
        </is>
      </c>
      <c r="B354" s="50" t="inlineStr">
        <is>
          <t>PA</t>
        </is>
      </c>
      <c r="C354" s="52" t="n">
        <v>1.47</v>
      </c>
      <c r="D354" t="inlineStr">
        <is>
          <t>Foundation</t>
        </is>
      </c>
      <c r="E354" s="50" t="n">
        <v>2022</v>
      </c>
      <c r="F354" s="50" t="inlineStr">
        <is>
          <t>2023-11-14</t>
        </is>
      </c>
      <c r="G354" s="50" t="inlineStr">
        <is>
          <t>2022-12-31</t>
        </is>
      </c>
      <c r="H354" t="inlineStr">
        <is>
          <t>Lee S Tilghman</t>
        </is>
      </c>
      <c r="I354" t="inlineStr">
        <is>
          <t>MANAGING DIRECTOR</t>
        </is>
      </c>
      <c r="J354" t="inlineStr">
        <is>
          <t>Managing Director</t>
        </is>
      </c>
      <c r="K354" t="inlineStr">
        <is>
          <t>Sr Investment Professional</t>
        </is>
      </c>
      <c r="L354" s="28" t="n">
        <v>335000</v>
      </c>
      <c r="M354" s="28" t="n">
        <v>250000</v>
      </c>
      <c r="N354" s="28" t="n">
        <v>56331</v>
      </c>
      <c r="O354" s="28" t="n">
        <v>480204</v>
      </c>
      <c r="P354" s="28" t="n">
        <v>22910</v>
      </c>
      <c r="Q354" s="28" t="n">
        <v>1144445</v>
      </c>
      <c r="R354" s="28" t="n">
        <v>300563</v>
      </c>
      <c r="S354" s="28">
        <f>Q354-R354</f>
        <v/>
      </c>
      <c r="T354" s="28">
        <f>IF(S354="","",S354*(1+in_GrowthRate)^(YEARFRAC(DATE(2022,12,31),in_AgeToDate)*IF(in_AgeToDate&lt;DATE(2022,12,31),-1,1)+1))</f>
        <v/>
      </c>
      <c r="U354" s="50">
        <f>IF(AND(AND(OR(in_Mode="All Funds",AND(C354&gt;=in_BandFloor,C354&lt;=in_BandCeiling,OR(in_Geography="National",COUNTIFS(lst_GeoPreset,in_Geography,lst_GeoState,B354)&gt;0,AND(in_Geography="Custom",ISNUMBER(SEARCH(B354,SUBSTITUTE(in_CustomStates," ",""))))),OR(AND(D354="Endowment",Inputs!$B$14="Y"),AND(D354="Foundation",Inputs!$B$15="Y"),AND(D354="Healthcare",Inputs!$B$16="Y"),AND(D354="Pension",Inputs!$B$17="Y"),AND(D354="OCIO",Inputs!$B$18="Y"),AND(D354="Other",Inputs!$B$19="Y")))),A354&lt;&gt;in_ClientOrg,NOT(AND(in_ExclHarvard="Y",ISNUMBER(SEARCH("Harvard",A354))))),$AD354="Y",K354&lt;&gt;"",S354&gt;0),"Y","")</f>
        <v/>
      </c>
      <c r="V354" s="30" t="n"/>
      <c r="W354" t="inlineStr"/>
      <c r="X354" s="28">
        <f>IF(L354+M354=0,"",L354+M354)</f>
        <v/>
      </c>
      <c r="Y354" s="38">
        <f>IF(L354=0,"",M354/L354)</f>
        <v/>
      </c>
      <c r="Z354" t="inlineStr">
        <is>
          <t>Managing Director</t>
        </is>
      </c>
      <c r="AA354" t="inlineStr">
        <is>
          <t>Investments</t>
        </is>
      </c>
      <c r="AB354" s="50" t="inlineStr"/>
      <c r="AC354" s="43">
        <f>HYPERLINK("https://projects.propublica.org/nonprofits/organizations/364711746/202333189349315488/full","view filing")</f>
        <v/>
      </c>
      <c r="AD354" s="50" t="inlineStr"/>
    </row>
    <row r="355">
      <c r="A355" t="inlineStr">
        <is>
          <t>Dietrich Foundation</t>
        </is>
      </c>
      <c r="B355" s="50" t="inlineStr">
        <is>
          <t>PA</t>
        </is>
      </c>
      <c r="C355" s="52" t="n">
        <v>1.47</v>
      </c>
      <c r="D355" t="inlineStr">
        <is>
          <t>Foundation</t>
        </is>
      </c>
      <c r="E355" s="50" t="n">
        <v>2022</v>
      </c>
      <c r="F355" s="50" t="inlineStr">
        <is>
          <t>2023-11-14</t>
        </is>
      </c>
      <c r="G355" s="50" t="inlineStr">
        <is>
          <t>2022-12-31</t>
        </is>
      </c>
      <c r="H355" t="inlineStr">
        <is>
          <t>Matthew E Cunningham</t>
        </is>
      </c>
      <c r="I355" t="inlineStr">
        <is>
          <t>MANAGING DIRECTOR</t>
        </is>
      </c>
      <c r="J355" t="inlineStr">
        <is>
          <t>Managing Director</t>
        </is>
      </c>
      <c r="K355" t="inlineStr">
        <is>
          <t>Sr Investment Professional</t>
        </is>
      </c>
      <c r="L355" s="28" t="n">
        <v>276167</v>
      </c>
      <c r="M355" s="28" t="n">
        <v>0</v>
      </c>
      <c r="N355" s="28" t="n">
        <v>1456</v>
      </c>
      <c r="O355" s="28" t="n">
        <v>169380</v>
      </c>
      <c r="P355" s="28" t="n">
        <v>4473</v>
      </c>
      <c r="Q355" s="28" t="n">
        <v>451476</v>
      </c>
      <c r="R355" s="28" t="n">
        <v>0</v>
      </c>
      <c r="S355" s="28">
        <f>Q355-R355</f>
        <v/>
      </c>
      <c r="T355" s="28">
        <f>IF(S355="","",S355*(1+in_GrowthRate)^(YEARFRAC(DATE(2022,12,31),in_AgeToDate)*IF(in_AgeToDate&lt;DATE(2022,12,31),-1,1)+1))</f>
        <v/>
      </c>
      <c r="U355" s="50">
        <f>IF(AND(AND(OR(in_Mode="All Funds",AND(C355&gt;=in_BandFloor,C355&lt;=in_BandCeiling,OR(in_Geography="National",COUNTIFS(lst_GeoPreset,in_Geography,lst_GeoState,B355)&gt;0,AND(in_Geography="Custom",ISNUMBER(SEARCH(B355,SUBSTITUTE(in_CustomStates," ",""))))),OR(AND(D355="Endowment",Inputs!$B$14="Y"),AND(D355="Foundation",Inputs!$B$15="Y"),AND(D355="Healthcare",Inputs!$B$16="Y"),AND(D355="Pension",Inputs!$B$17="Y"),AND(D355="OCIO",Inputs!$B$18="Y"),AND(D355="Other",Inputs!$B$19="Y")))),A355&lt;&gt;in_ClientOrg,NOT(AND(in_ExclHarvard="Y",ISNUMBER(SEARCH("Harvard",A355))))),$AD355="Y",K355&lt;&gt;"",S355&gt;0),"Y","")</f>
        <v/>
      </c>
      <c r="V355" s="30" t="n"/>
      <c r="W355" t="inlineStr"/>
      <c r="X355" s="28">
        <f>IF(L355+M355=0,"",L355+M355)</f>
        <v/>
      </c>
      <c r="Y355" s="38">
        <f>IF(L355=0,"",M355/L355)</f>
        <v/>
      </c>
      <c r="Z355" t="inlineStr">
        <is>
          <t>Managing Director</t>
        </is>
      </c>
      <c r="AA355" t="inlineStr">
        <is>
          <t>Investments</t>
        </is>
      </c>
      <c r="AB355" s="50" t="inlineStr"/>
      <c r="AC355" s="43">
        <f>HYPERLINK("https://projects.propublica.org/nonprofits/organizations/364711746/202333189349315488/full","view filing")</f>
        <v/>
      </c>
      <c r="AD355" s="50" t="inlineStr"/>
    </row>
    <row r="356">
      <c r="A356" t="inlineStr">
        <is>
          <t>Dietrich Foundation</t>
        </is>
      </c>
      <c r="B356" s="50" t="inlineStr">
        <is>
          <t>PA</t>
        </is>
      </c>
      <c r="C356" s="52" t="n">
        <v>1.47</v>
      </c>
      <c r="D356" t="inlineStr">
        <is>
          <t>Foundation</t>
        </is>
      </c>
      <c r="E356" s="50" t="n">
        <v>2022</v>
      </c>
      <c r="F356" s="50" t="inlineStr">
        <is>
          <t>2023-11-14</t>
        </is>
      </c>
      <c r="G356" s="50" t="inlineStr">
        <is>
          <t>2022-12-31</t>
        </is>
      </c>
      <c r="H356" t="inlineStr">
        <is>
          <t>Matthew W Rozyczka</t>
        </is>
      </c>
      <c r="I356" t="inlineStr">
        <is>
          <t>MANAGING DIRECTOR</t>
        </is>
      </c>
      <c r="J356" t="inlineStr">
        <is>
          <t>Managing Director</t>
        </is>
      </c>
      <c r="K356" t="inlineStr">
        <is>
          <t>Sr Investment Professional</t>
        </is>
      </c>
      <c r="L356" s="28" t="n">
        <v>68718</v>
      </c>
      <c r="M356" s="28" t="n">
        <v>240000</v>
      </c>
      <c r="N356" s="28" t="n">
        <v>72902</v>
      </c>
      <c r="O356" s="28" t="n">
        <v>17750</v>
      </c>
      <c r="P356" s="28" t="n">
        <v>4520</v>
      </c>
      <c r="Q356" s="28" t="n">
        <v>403890</v>
      </c>
      <c r="R356" s="28" t="n">
        <v>311969</v>
      </c>
      <c r="S356" s="28">
        <f>Q356-R356</f>
        <v/>
      </c>
      <c r="T356" s="28">
        <f>IF(S356="","",S356*(1+in_GrowthRate)^(YEARFRAC(DATE(2022,12,31),in_AgeToDate)*IF(in_AgeToDate&lt;DATE(2022,12,31),-1,1)+1))</f>
        <v/>
      </c>
      <c r="U356" s="50">
        <f>IF(AND(AND(OR(in_Mode="All Funds",AND(C356&gt;=in_BandFloor,C356&lt;=in_BandCeiling,OR(in_Geography="National",COUNTIFS(lst_GeoPreset,in_Geography,lst_GeoState,B356)&gt;0,AND(in_Geography="Custom",ISNUMBER(SEARCH(B356,SUBSTITUTE(in_CustomStates," ",""))))),OR(AND(D356="Endowment",Inputs!$B$14="Y"),AND(D356="Foundation",Inputs!$B$15="Y"),AND(D356="Healthcare",Inputs!$B$16="Y"),AND(D356="Pension",Inputs!$B$17="Y"),AND(D356="OCIO",Inputs!$B$18="Y"),AND(D356="Other",Inputs!$B$19="Y")))),A356&lt;&gt;in_ClientOrg,NOT(AND(in_ExclHarvard="Y",ISNUMBER(SEARCH("Harvard",A356))))),$AD356="Y",K356&lt;&gt;"",S356&gt;0),"Y","")</f>
        <v/>
      </c>
      <c r="V356" s="30" t="n"/>
      <c r="W356" t="inlineStr"/>
      <c r="X356" s="28">
        <f>IF(L356+M356=0,"",L356+M356)</f>
        <v/>
      </c>
      <c r="Y356" s="38">
        <f>IF(L356=0,"",M356/L356)</f>
        <v/>
      </c>
      <c r="Z356" t="inlineStr">
        <is>
          <t>Managing Director</t>
        </is>
      </c>
      <c r="AA356" t="inlineStr">
        <is>
          <t>Investments</t>
        </is>
      </c>
      <c r="AB356" s="50" t="inlineStr"/>
      <c r="AC356" s="43">
        <f>HYPERLINK("https://projects.propublica.org/nonprofits/organizations/364711746/202333189349315488/full","view filing")</f>
        <v/>
      </c>
      <c r="AD356" s="50" t="inlineStr"/>
    </row>
    <row r="357">
      <c r="A357" t="inlineStr">
        <is>
          <t>Dietrich Foundation</t>
        </is>
      </c>
      <c r="B357" s="50" t="inlineStr">
        <is>
          <t>PA</t>
        </is>
      </c>
      <c r="C357" s="52" t="n">
        <v>1.47</v>
      </c>
      <c r="D357" t="inlineStr">
        <is>
          <t>Foundation</t>
        </is>
      </c>
      <c r="E357" s="50" t="n">
        <v>2022</v>
      </c>
      <c r="F357" s="50" t="inlineStr">
        <is>
          <t>2023-11-14</t>
        </is>
      </c>
      <c r="G357" s="50" t="inlineStr">
        <is>
          <t>2022-12-31</t>
        </is>
      </c>
      <c r="H357" t="inlineStr">
        <is>
          <t>Ryan L Vaccaro</t>
        </is>
      </c>
      <c r="I357" t="inlineStr">
        <is>
          <t>MANAGING DIRECTOR</t>
        </is>
      </c>
      <c r="J357" t="inlineStr">
        <is>
          <t>Managing Director</t>
        </is>
      </c>
      <c r="K357" t="inlineStr">
        <is>
          <t>Sr Investment Professional</t>
        </is>
      </c>
      <c r="L357" s="28" t="n">
        <v>352000</v>
      </c>
      <c r="M357" s="28" t="n">
        <v>290000</v>
      </c>
      <c r="N357" s="28" t="n">
        <v>81305</v>
      </c>
      <c r="O357" s="28" t="n">
        <v>517404</v>
      </c>
      <c r="P357" s="28" t="n">
        <v>21610</v>
      </c>
      <c r="Q357" s="28" t="n">
        <v>1262319</v>
      </c>
      <c r="R357" s="28" t="n">
        <v>365537</v>
      </c>
      <c r="S357" s="28">
        <f>Q357-R357</f>
        <v/>
      </c>
      <c r="T357" s="28">
        <f>IF(S357="","",S357*(1+in_GrowthRate)^(YEARFRAC(DATE(2022,12,31),in_AgeToDate)*IF(in_AgeToDate&lt;DATE(2022,12,31),-1,1)+1))</f>
        <v/>
      </c>
      <c r="U357" s="50">
        <f>IF(AND(AND(OR(in_Mode="All Funds",AND(C357&gt;=in_BandFloor,C357&lt;=in_BandCeiling,OR(in_Geography="National",COUNTIFS(lst_GeoPreset,in_Geography,lst_GeoState,B357)&gt;0,AND(in_Geography="Custom",ISNUMBER(SEARCH(B357,SUBSTITUTE(in_CustomStates," ",""))))),OR(AND(D357="Endowment",Inputs!$B$14="Y"),AND(D357="Foundation",Inputs!$B$15="Y"),AND(D357="Healthcare",Inputs!$B$16="Y"),AND(D357="Pension",Inputs!$B$17="Y"),AND(D357="OCIO",Inputs!$B$18="Y"),AND(D357="Other",Inputs!$B$19="Y")))),A357&lt;&gt;in_ClientOrg,NOT(AND(in_ExclHarvard="Y",ISNUMBER(SEARCH("Harvard",A357))))),$AD357="Y",K357&lt;&gt;"",S357&gt;0),"Y","")</f>
        <v/>
      </c>
      <c r="V357" s="30" t="n"/>
      <c r="W357" t="inlineStr"/>
      <c r="X357" s="28">
        <f>IF(L357+M357=0,"",L357+M357)</f>
        <v/>
      </c>
      <c r="Y357" s="38">
        <f>IF(L357=0,"",M357/L357)</f>
        <v/>
      </c>
      <c r="Z357" t="inlineStr">
        <is>
          <t>Managing Director</t>
        </is>
      </c>
      <c r="AA357" t="inlineStr">
        <is>
          <t>Investments</t>
        </is>
      </c>
      <c r="AB357" s="50" t="inlineStr"/>
      <c r="AC357" s="43">
        <f>HYPERLINK("https://projects.propublica.org/nonprofits/organizations/364711746/202333189349315488/full","view filing")</f>
        <v/>
      </c>
      <c r="AD357" s="50" t="inlineStr"/>
    </row>
    <row r="358">
      <c r="A358" t="inlineStr">
        <is>
          <t>Drexel University</t>
        </is>
      </c>
      <c r="B358" s="50" t="inlineStr">
        <is>
          <t>PA</t>
        </is>
      </c>
      <c r="C358" s="52" t="n">
        <v>1.13</v>
      </c>
      <c r="D358" t="inlineStr">
        <is>
          <t>Endowment</t>
        </is>
      </c>
      <c r="E358" s="50" t="n">
        <v>2025</v>
      </c>
      <c r="F358" s="50" t="inlineStr">
        <is>
          <t>2026-05-14</t>
        </is>
      </c>
      <c r="G358" s="50" t="inlineStr">
        <is>
          <t>2025-06-30</t>
        </is>
      </c>
      <c r="H358" t="inlineStr">
        <is>
          <t>Catherine Ulozas</t>
        </is>
      </c>
      <c r="I358" t="inlineStr">
        <is>
          <t>SVP, CHIEF INVESTMENT OFFICER</t>
        </is>
      </c>
      <c r="J358" t="inlineStr">
        <is>
          <t>CIO</t>
        </is>
      </c>
      <c r="K358" t="inlineStr">
        <is>
          <t>CIO - Top Investment Executive</t>
        </is>
      </c>
      <c r="L358" s="28" t="n">
        <v>398696</v>
      </c>
      <c r="M358" s="28" t="n">
        <v>3100</v>
      </c>
      <c r="N358" s="28" t="n">
        <v>108291</v>
      </c>
      <c r="O358" s="28" t="n">
        <v>137950</v>
      </c>
      <c r="P358" s="28" t="n">
        <v>9493</v>
      </c>
      <c r="Q358" s="28" t="n">
        <v>657530</v>
      </c>
      <c r="R358" s="28" t="n">
        <v>100000</v>
      </c>
      <c r="S358" s="28">
        <f>Q358-R358</f>
        <v/>
      </c>
      <c r="T358" s="28">
        <f>IF(S358="","",S358*(1+in_GrowthRate)^(YEARFRAC(DATE(2025,6,30),in_AgeToDate)*IF(in_AgeToDate&lt;DATE(2025,6,30),-1,1)+1))</f>
        <v/>
      </c>
      <c r="U358" s="50">
        <f>IF(AND(AND(OR(in_Mode="All Funds",AND(C358&gt;=in_BandFloor,C358&lt;=in_BandCeiling,OR(in_Geography="National",COUNTIFS(lst_GeoPreset,in_Geography,lst_GeoState,B358)&gt;0,AND(in_Geography="Custom",ISNUMBER(SEARCH(B358,SUBSTITUTE(in_CustomStates," ",""))))),OR(AND(D358="Endowment",Inputs!$B$14="Y"),AND(D358="Foundation",Inputs!$B$15="Y"),AND(D358="Healthcare",Inputs!$B$16="Y"),AND(D358="Pension",Inputs!$B$17="Y"),AND(D358="OCIO",Inputs!$B$18="Y"),AND(D358="Other",Inputs!$B$19="Y")))),A358&lt;&gt;in_ClientOrg,NOT(AND(in_ExclHarvard="Y",ISNUMBER(SEARCH("Harvard",A358))))),$AD358="Y",K358&lt;&gt;"",S358&gt;0),"Y","")</f>
        <v/>
      </c>
      <c r="V358" s="30" t="n">
        <v>1</v>
      </c>
      <c r="W358" t="inlineStr"/>
      <c r="X358" s="28">
        <f>IF(L358+M358=0,"",L358+M358)</f>
        <v/>
      </c>
      <c r="Y358" s="38">
        <f>IF(L358=0,"",M358/L358)</f>
        <v/>
      </c>
      <c r="Z358" t="inlineStr">
        <is>
          <t>CIO - Top Investment Executive</t>
        </is>
      </c>
      <c r="AA358" t="inlineStr">
        <is>
          <t>Leadership</t>
        </is>
      </c>
      <c r="AB358" s="50" t="inlineStr">
        <is>
          <t>Y</t>
        </is>
      </c>
      <c r="AC358" s="43">
        <f>HYPERLINK("https://projects.propublica.org/nonprofits/organizations/231352630/202611349349311266/full","view filing")</f>
        <v/>
      </c>
      <c r="AD358" s="50" t="inlineStr">
        <is>
          <t>Y</t>
        </is>
      </c>
    </row>
    <row r="359">
      <c r="A359" t="inlineStr">
        <is>
          <t>Drexel University</t>
        </is>
      </c>
      <c r="B359" s="50" t="inlineStr">
        <is>
          <t>PA</t>
        </is>
      </c>
      <c r="C359" s="52" t="n">
        <v>1.13</v>
      </c>
      <c r="D359" t="inlineStr">
        <is>
          <t>Endowment</t>
        </is>
      </c>
      <c r="E359" s="50" t="n">
        <v>2024</v>
      </c>
      <c r="F359" s="50" t="inlineStr">
        <is>
          <t>2025-05-15</t>
        </is>
      </c>
      <c r="G359" s="50" t="inlineStr">
        <is>
          <t>2024-06-30</t>
        </is>
      </c>
      <c r="H359" t="inlineStr">
        <is>
          <t>Catherine Ulozas</t>
        </is>
      </c>
      <c r="I359" t="inlineStr">
        <is>
          <t>SVP CHIEF INVESTMENT OFFICER</t>
        </is>
      </c>
      <c r="J359" t="inlineStr">
        <is>
          <t>CIO</t>
        </is>
      </c>
      <c r="K359" t="inlineStr">
        <is>
          <t>CIO - Top Investment Executive</t>
        </is>
      </c>
      <c r="L359" s="28" t="n">
        <v>312053</v>
      </c>
      <c r="M359" s="28" t="n">
        <v>0</v>
      </c>
      <c r="N359" s="28" t="n">
        <v>0</v>
      </c>
      <c r="O359" s="28" t="n">
        <v>67433</v>
      </c>
      <c r="P359" s="28" t="n">
        <v>9124</v>
      </c>
      <c r="Q359" s="28" t="n">
        <v>388610</v>
      </c>
      <c r="R359" s="28" t="n">
        <v>0</v>
      </c>
      <c r="S359" s="28">
        <f>Q359-R359</f>
        <v/>
      </c>
      <c r="T359" s="28">
        <f>IF(S359="","",S359*(1+in_GrowthRate)^(YEARFRAC(DATE(2024,6,30),in_AgeToDate)*IF(in_AgeToDate&lt;DATE(2024,6,30),-1,1)+1))</f>
        <v/>
      </c>
      <c r="U359" s="50">
        <f>IF(AND(AND(OR(in_Mode="All Funds",AND(C359&gt;=in_BandFloor,C359&lt;=in_BandCeiling,OR(in_Geography="National",COUNTIFS(lst_GeoPreset,in_Geography,lst_GeoState,B359)&gt;0,AND(in_Geography="Custom",ISNUMBER(SEARCH(B359,SUBSTITUTE(in_CustomStates," ",""))))),OR(AND(D359="Endowment",Inputs!$B$14="Y"),AND(D359="Foundation",Inputs!$B$15="Y"),AND(D359="Healthcare",Inputs!$B$16="Y"),AND(D359="Pension",Inputs!$B$17="Y"),AND(D359="OCIO",Inputs!$B$18="Y"),AND(D359="Other",Inputs!$B$19="Y")))),A359&lt;&gt;in_ClientOrg,NOT(AND(in_ExclHarvard="Y",ISNUMBER(SEARCH("Harvard",A359))))),$AD359="Y",K359&lt;&gt;"",S359&gt;0),"Y","")</f>
        <v/>
      </c>
      <c r="V359" s="30" t="n">
        <v>1</v>
      </c>
      <c r="W359" t="inlineStr"/>
      <c r="X359" s="28">
        <f>IF(L359+M359=0,"",L359+M359)</f>
        <v/>
      </c>
      <c r="Y359" s="38">
        <f>IF(L359=0,"",M359/L359)</f>
        <v/>
      </c>
      <c r="Z359" t="inlineStr">
        <is>
          <t>CIO - Top Investment Executive</t>
        </is>
      </c>
      <c r="AA359" t="inlineStr">
        <is>
          <t>Leadership</t>
        </is>
      </c>
      <c r="AB359" s="50" t="inlineStr">
        <is>
          <t>Y</t>
        </is>
      </c>
      <c r="AC359" s="43">
        <f>HYPERLINK("https://projects.propublica.org/nonprofits/organizations/231352630/202511359349304681/full","view filing")</f>
        <v/>
      </c>
      <c r="AD359" s="50" t="inlineStr"/>
    </row>
    <row r="360">
      <c r="A360" t="inlineStr">
        <is>
          <t>Drexel University</t>
        </is>
      </c>
      <c r="B360" s="50" t="inlineStr">
        <is>
          <t>PA</t>
        </is>
      </c>
      <c r="C360" s="52" t="n">
        <v>1.13</v>
      </c>
      <c r="D360" t="inlineStr">
        <is>
          <t>Endowment</t>
        </is>
      </c>
      <c r="E360" s="50" t="n">
        <v>2023</v>
      </c>
      <c r="F360" s="50" t="inlineStr">
        <is>
          <t>2024-05-15</t>
        </is>
      </c>
      <c r="G360" s="50" t="inlineStr">
        <is>
          <t>2023-06-30</t>
        </is>
      </c>
      <c r="H360" t="inlineStr">
        <is>
          <t>Catherine Ulozas</t>
        </is>
      </c>
      <c r="I360" t="inlineStr">
        <is>
          <t>VP CHIEF INVESTMENT OFFICER</t>
        </is>
      </c>
      <c r="J360" t="inlineStr">
        <is>
          <t>CIO</t>
        </is>
      </c>
      <c r="K360" t="inlineStr">
        <is>
          <t>CIO - Top Investment Executive</t>
        </is>
      </c>
      <c r="L360" s="28" t="n">
        <v>271478</v>
      </c>
      <c r="M360" s="28" t="n">
        <v>0</v>
      </c>
      <c r="N360" s="28" t="n">
        <v>0</v>
      </c>
      <c r="O360" s="28" t="n">
        <v>63266</v>
      </c>
      <c r="P360" s="28" t="n">
        <v>8997</v>
      </c>
      <c r="Q360" s="28" t="n">
        <v>343741</v>
      </c>
      <c r="R360" s="28" t="n">
        <v>0</v>
      </c>
      <c r="S360" s="28">
        <f>Q360-R360</f>
        <v/>
      </c>
      <c r="T360" s="28">
        <f>IF(S360="","",S360*(1+in_GrowthRate)^(YEARFRAC(DATE(2023,6,30),in_AgeToDate)*IF(in_AgeToDate&lt;DATE(2023,6,30),-1,1)+1))</f>
        <v/>
      </c>
      <c r="U360" s="50">
        <f>IF(AND(AND(OR(in_Mode="All Funds",AND(C360&gt;=in_BandFloor,C360&lt;=in_BandCeiling,OR(in_Geography="National",COUNTIFS(lst_GeoPreset,in_Geography,lst_GeoState,B360)&gt;0,AND(in_Geography="Custom",ISNUMBER(SEARCH(B360,SUBSTITUTE(in_CustomStates," ",""))))),OR(AND(D360="Endowment",Inputs!$B$14="Y"),AND(D360="Foundation",Inputs!$B$15="Y"),AND(D360="Healthcare",Inputs!$B$16="Y"),AND(D360="Pension",Inputs!$B$17="Y"),AND(D360="OCIO",Inputs!$B$18="Y"),AND(D360="Other",Inputs!$B$19="Y")))),A360&lt;&gt;in_ClientOrg,NOT(AND(in_ExclHarvard="Y",ISNUMBER(SEARCH("Harvard",A360))))),$AD360="Y",K360&lt;&gt;"",S360&gt;0),"Y","")</f>
        <v/>
      </c>
      <c r="V360" s="30" t="n">
        <v>1</v>
      </c>
      <c r="W360" t="inlineStr"/>
      <c r="X360" s="28">
        <f>IF(L360+M360=0,"",L360+M360)</f>
        <v/>
      </c>
      <c r="Y360" s="38">
        <f>IF(L360=0,"",M360/L360)</f>
        <v/>
      </c>
      <c r="Z360" t="inlineStr">
        <is>
          <t>CIO - Top Investment Executive</t>
        </is>
      </c>
      <c r="AA360" t="inlineStr">
        <is>
          <t>Leadership</t>
        </is>
      </c>
      <c r="AB360" s="50" t="inlineStr">
        <is>
          <t>Y</t>
        </is>
      </c>
      <c r="AC360" s="43">
        <f>HYPERLINK("https://projects.propublica.org/nonprofits/organizations/231352630/202421369349304212/full","view filing")</f>
        <v/>
      </c>
      <c r="AD360" s="50" t="inlineStr"/>
    </row>
    <row r="361">
      <c r="A361" t="inlineStr">
        <is>
          <t>Drexel University</t>
        </is>
      </c>
      <c r="B361" s="50" t="inlineStr">
        <is>
          <t>PA</t>
        </is>
      </c>
      <c r="C361" s="52" t="n">
        <v>1.13</v>
      </c>
      <c r="D361" t="inlineStr">
        <is>
          <t>Endowment</t>
        </is>
      </c>
      <c r="E361" s="50" t="n">
        <v>2022</v>
      </c>
      <c r="F361" s="50" t="inlineStr">
        <is>
          <t>2023-05-15</t>
        </is>
      </c>
      <c r="G361" s="50" t="inlineStr">
        <is>
          <t>2022-06-30</t>
        </is>
      </c>
      <c r="H361" t="inlineStr">
        <is>
          <t>Catherine Ulozas</t>
        </is>
      </c>
      <c r="I361" t="inlineStr">
        <is>
          <t>VP, CHIEF INVESTMENT OFFICER</t>
        </is>
      </c>
      <c r="J361" t="inlineStr">
        <is>
          <t>CIO</t>
        </is>
      </c>
      <c r="K361" t="inlineStr">
        <is>
          <t>CIO - Top Investment Executive</t>
        </is>
      </c>
      <c r="L361" s="28" t="n">
        <v>252849</v>
      </c>
      <c r="M361" s="28" t="n">
        <v>0</v>
      </c>
      <c r="N361" s="28" t="n">
        <v>0</v>
      </c>
      <c r="O361" s="28" t="n">
        <v>47459</v>
      </c>
      <c r="P361" s="28" t="n">
        <v>8894</v>
      </c>
      <c r="Q361" s="28" t="n">
        <v>309202</v>
      </c>
      <c r="R361" s="28" t="n">
        <v>0</v>
      </c>
      <c r="S361" s="28">
        <f>Q361-R361</f>
        <v/>
      </c>
      <c r="T361" s="28">
        <f>IF(S361="","",S361*(1+in_GrowthRate)^(YEARFRAC(DATE(2022,6,30),in_AgeToDate)*IF(in_AgeToDate&lt;DATE(2022,6,30),-1,1)+1))</f>
        <v/>
      </c>
      <c r="U361" s="50">
        <f>IF(AND(AND(OR(in_Mode="All Funds",AND(C361&gt;=in_BandFloor,C361&lt;=in_BandCeiling,OR(in_Geography="National",COUNTIFS(lst_GeoPreset,in_Geography,lst_GeoState,B361)&gt;0,AND(in_Geography="Custom",ISNUMBER(SEARCH(B361,SUBSTITUTE(in_CustomStates," ",""))))),OR(AND(D361="Endowment",Inputs!$B$14="Y"),AND(D361="Foundation",Inputs!$B$15="Y"),AND(D361="Healthcare",Inputs!$B$16="Y"),AND(D361="Pension",Inputs!$B$17="Y"),AND(D361="OCIO",Inputs!$B$18="Y"),AND(D361="Other",Inputs!$B$19="Y")))),A361&lt;&gt;in_ClientOrg,NOT(AND(in_ExclHarvard="Y",ISNUMBER(SEARCH("Harvard",A361))))),$AD361="Y",K361&lt;&gt;"",S361&gt;0),"Y","")</f>
        <v/>
      </c>
      <c r="V361" s="30" t="n">
        <v>1</v>
      </c>
      <c r="W361" t="inlineStr"/>
      <c r="X361" s="28">
        <f>IF(L361+M361=0,"",L361+M361)</f>
        <v/>
      </c>
      <c r="Y361" s="38">
        <f>IF(L361=0,"",M361/L361)</f>
        <v/>
      </c>
      <c r="Z361" t="inlineStr">
        <is>
          <t>CIO - Top Investment Executive</t>
        </is>
      </c>
      <c r="AA361" t="inlineStr">
        <is>
          <t>Leadership</t>
        </is>
      </c>
      <c r="AB361" s="50" t="inlineStr">
        <is>
          <t>Y</t>
        </is>
      </c>
      <c r="AC361" s="43">
        <f>HYPERLINK("https://projects.propublica.org/nonprofits/organizations/231352630/202321359349320387/full","view filing")</f>
        <v/>
      </c>
      <c r="AD361" s="50" t="inlineStr"/>
    </row>
    <row r="362">
      <c r="A362" t="inlineStr">
        <is>
          <t>Duke Endowment</t>
        </is>
      </c>
      <c r="B362" s="50" t="inlineStr">
        <is>
          <t>NC</t>
        </is>
      </c>
      <c r="C362" s="52" t="n">
        <v>4.97</v>
      </c>
      <c r="D362" t="inlineStr">
        <is>
          <t>Foundation</t>
        </is>
      </c>
      <c r="E362" s="50" t="n">
        <v>2024</v>
      </c>
      <c r="F362" s="50" t="inlineStr">
        <is>
          <t>2025-11-17</t>
        </is>
      </c>
      <c r="G362" s="50" t="inlineStr">
        <is>
          <t>2024-12-31</t>
        </is>
      </c>
      <c r="H362" t="inlineStr">
        <is>
          <t>K Todd Walker</t>
        </is>
      </c>
      <c r="I362" t="inlineStr">
        <is>
          <t>DIR. OF INVESTMENTS</t>
        </is>
      </c>
      <c r="J362" t="inlineStr">
        <is>
          <t>Director of Investments</t>
        </is>
      </c>
      <c r="K362" t="inlineStr">
        <is>
          <t>Sr Investment Professional</t>
        </is>
      </c>
      <c r="L362" s="28" t="n">
        <v>0</v>
      </c>
      <c r="M362" s="28" t="n">
        <v>0</v>
      </c>
      <c r="N362" s="28" t="n">
        <v>0</v>
      </c>
      <c r="O362" s="28" t="n">
        <v>0</v>
      </c>
      <c r="P362" s="28" t="n">
        <v>0</v>
      </c>
      <c r="Q362" s="28" t="n">
        <v>409260</v>
      </c>
      <c r="R362" s="28" t="n">
        <v>0</v>
      </c>
      <c r="S362" s="28">
        <f>Q362-R362</f>
        <v/>
      </c>
      <c r="T362" s="28">
        <f>IF(S362="","",S362*(1+in_GrowthRate)^(YEARFRAC(DATE(2024,12,31),in_AgeToDate)*IF(in_AgeToDate&lt;DATE(2024,12,31),-1,1)+1))</f>
        <v/>
      </c>
      <c r="U362" s="50">
        <f>IF(AND(AND(OR(in_Mode="All Funds",AND(C362&gt;=in_BandFloor,C362&lt;=in_BandCeiling,OR(in_Geography="National",COUNTIFS(lst_GeoPreset,in_Geography,lst_GeoState,B362)&gt;0,AND(in_Geography="Custom",ISNUMBER(SEARCH(B362,SUBSTITUTE(in_CustomStates," ",""))))),OR(AND(D362="Endowment",Inputs!$B$14="Y"),AND(D362="Foundation",Inputs!$B$15="Y"),AND(D362="Healthcare",Inputs!$B$16="Y"),AND(D362="Pension",Inputs!$B$17="Y"),AND(D362="OCIO",Inputs!$B$18="Y"),AND(D362="Other",Inputs!$B$19="Y")))),A362&lt;&gt;in_ClientOrg,NOT(AND(in_ExclHarvard="Y",ISNUMBER(SEARCH("Harvard",A362))))),$AD362="Y",K362&lt;&gt;"",S362&gt;0),"Y","")</f>
        <v/>
      </c>
      <c r="V362" s="30" t="n"/>
      <c r="W362" t="inlineStr"/>
      <c r="X362" s="28">
        <f>IF(L362+M362=0,"",L362+M362)</f>
        <v/>
      </c>
      <c r="Y362" s="38">
        <f>IF(L362=0,"",M362/L362)</f>
        <v/>
      </c>
      <c r="Z362" t="inlineStr">
        <is>
          <t>Director &amp; Investment Officer</t>
        </is>
      </c>
      <c r="AA362" t="inlineStr">
        <is>
          <t>Investments</t>
        </is>
      </c>
      <c r="AB362" s="50" t="inlineStr"/>
      <c r="AC362" s="43">
        <f>HYPERLINK("https://projects.propublica.org/nonprofits/organizations/560529965/202543219349101479/full","view filing")</f>
        <v/>
      </c>
      <c r="AD362" s="50" t="inlineStr">
        <is>
          <t>Y</t>
        </is>
      </c>
    </row>
    <row r="363">
      <c r="A363" t="inlineStr">
        <is>
          <t>Duke Endowment</t>
        </is>
      </c>
      <c r="B363" s="50" t="inlineStr">
        <is>
          <t>NC</t>
        </is>
      </c>
      <c r="C363" s="52" t="n">
        <v>4.97</v>
      </c>
      <c r="D363" t="inlineStr">
        <is>
          <t>Foundation</t>
        </is>
      </c>
      <c r="E363" s="50" t="n">
        <v>2023</v>
      </c>
      <c r="F363" s="50" t="inlineStr">
        <is>
          <t>2025-04-04</t>
        </is>
      </c>
      <c r="G363" s="50" t="inlineStr">
        <is>
          <t>2023-12-31</t>
        </is>
      </c>
      <c r="H363" t="inlineStr">
        <is>
          <t>K Todd Walker</t>
        </is>
      </c>
      <c r="I363" t="inlineStr">
        <is>
          <t>DIR. OF INVESTMENTS</t>
        </is>
      </c>
      <c r="J363" t="inlineStr">
        <is>
          <t>Director of Investments</t>
        </is>
      </c>
      <c r="K363" t="inlineStr">
        <is>
          <t>Sr Investment Professional</t>
        </is>
      </c>
      <c r="L363" s="28" t="n">
        <v>0</v>
      </c>
      <c r="M363" s="28" t="n">
        <v>0</v>
      </c>
      <c r="N363" s="28" t="n">
        <v>0</v>
      </c>
      <c r="O363" s="28" t="n">
        <v>0</v>
      </c>
      <c r="P363" s="28" t="n">
        <v>0</v>
      </c>
      <c r="Q363" s="28" t="n">
        <v>395458</v>
      </c>
      <c r="R363" s="28" t="n">
        <v>0</v>
      </c>
      <c r="S363" s="28">
        <f>Q363-R363</f>
        <v/>
      </c>
      <c r="T363" s="28">
        <f>IF(S363="","",S363*(1+in_GrowthRate)^(YEARFRAC(DATE(2023,12,31),in_AgeToDate)*IF(in_AgeToDate&lt;DATE(2023,12,31),-1,1)+1))</f>
        <v/>
      </c>
      <c r="U363" s="50">
        <f>IF(AND(AND(OR(in_Mode="All Funds",AND(C363&gt;=in_BandFloor,C363&lt;=in_BandCeiling,OR(in_Geography="National",COUNTIFS(lst_GeoPreset,in_Geography,lst_GeoState,B363)&gt;0,AND(in_Geography="Custom",ISNUMBER(SEARCH(B363,SUBSTITUTE(in_CustomStates," ",""))))),OR(AND(D363="Endowment",Inputs!$B$14="Y"),AND(D363="Foundation",Inputs!$B$15="Y"),AND(D363="Healthcare",Inputs!$B$16="Y"),AND(D363="Pension",Inputs!$B$17="Y"),AND(D363="OCIO",Inputs!$B$18="Y"),AND(D363="Other",Inputs!$B$19="Y")))),A363&lt;&gt;in_ClientOrg,NOT(AND(in_ExclHarvard="Y",ISNUMBER(SEARCH("Harvard",A363))))),$AD363="Y",K363&lt;&gt;"",S363&gt;0),"Y","")</f>
        <v/>
      </c>
      <c r="V363" s="30" t="n"/>
      <c r="W363" t="inlineStr"/>
      <c r="X363" s="28">
        <f>IF(L363+M363=0,"",L363+M363)</f>
        <v/>
      </c>
      <c r="Y363" s="38">
        <f>IF(L363=0,"",M363/L363)</f>
        <v/>
      </c>
      <c r="Z363" t="inlineStr">
        <is>
          <t>Director &amp; Investment Officer</t>
        </is>
      </c>
      <c r="AA363" t="inlineStr">
        <is>
          <t>Investments</t>
        </is>
      </c>
      <c r="AB363" s="50" t="inlineStr"/>
      <c r="AC363" s="43">
        <f>HYPERLINK("https://projects.propublica.org/nonprofits/organizations/560529965/202510949349100121/full","view filing")</f>
        <v/>
      </c>
      <c r="AD363" s="50" t="inlineStr"/>
    </row>
    <row r="364">
      <c r="A364" t="inlineStr">
        <is>
          <t>Duke Endowment</t>
        </is>
      </c>
      <c r="B364" s="50" t="inlineStr">
        <is>
          <t>NC</t>
        </is>
      </c>
      <c r="C364" s="52" t="n">
        <v>4.97</v>
      </c>
      <c r="D364" t="inlineStr">
        <is>
          <t>Foundation</t>
        </is>
      </c>
      <c r="E364" s="50" t="n">
        <v>2022</v>
      </c>
      <c r="F364" s="50" t="inlineStr">
        <is>
          <t>2023-11-15</t>
        </is>
      </c>
      <c r="G364" s="50" t="inlineStr">
        <is>
          <t>2022-12-31</t>
        </is>
      </c>
      <c r="H364" t="inlineStr">
        <is>
          <t>K Todd Walker</t>
        </is>
      </c>
      <c r="I364" t="inlineStr">
        <is>
          <t>DIR. OF INVESTMENTS</t>
        </is>
      </c>
      <c r="J364" t="inlineStr">
        <is>
          <t>Director of Investments</t>
        </is>
      </c>
      <c r="K364" t="inlineStr">
        <is>
          <t>Sr Investment Professional</t>
        </is>
      </c>
      <c r="L364" s="28" t="n">
        <v>0</v>
      </c>
      <c r="M364" s="28" t="n">
        <v>0</v>
      </c>
      <c r="N364" s="28" t="n">
        <v>0</v>
      </c>
      <c r="O364" s="28" t="n">
        <v>0</v>
      </c>
      <c r="P364" s="28" t="n">
        <v>0</v>
      </c>
      <c r="Q364" s="28" t="n">
        <v>387960</v>
      </c>
      <c r="R364" s="28" t="n">
        <v>0</v>
      </c>
      <c r="S364" s="28">
        <f>Q364-R364</f>
        <v/>
      </c>
      <c r="T364" s="28">
        <f>IF(S364="","",S364*(1+in_GrowthRate)^(YEARFRAC(DATE(2022,12,31),in_AgeToDate)*IF(in_AgeToDate&lt;DATE(2022,12,31),-1,1)+1))</f>
        <v/>
      </c>
      <c r="U364" s="50">
        <f>IF(AND(AND(OR(in_Mode="All Funds",AND(C364&gt;=in_BandFloor,C364&lt;=in_BandCeiling,OR(in_Geography="National",COUNTIFS(lst_GeoPreset,in_Geography,lst_GeoState,B364)&gt;0,AND(in_Geography="Custom",ISNUMBER(SEARCH(B364,SUBSTITUTE(in_CustomStates," ",""))))),OR(AND(D364="Endowment",Inputs!$B$14="Y"),AND(D364="Foundation",Inputs!$B$15="Y"),AND(D364="Healthcare",Inputs!$B$16="Y"),AND(D364="Pension",Inputs!$B$17="Y"),AND(D364="OCIO",Inputs!$B$18="Y"),AND(D364="Other",Inputs!$B$19="Y")))),A364&lt;&gt;in_ClientOrg,NOT(AND(in_ExclHarvard="Y",ISNUMBER(SEARCH("Harvard",A364))))),$AD364="Y",K364&lt;&gt;"",S364&gt;0),"Y","")</f>
        <v/>
      </c>
      <c r="V364" s="30" t="n"/>
      <c r="W364" t="inlineStr"/>
      <c r="X364" s="28">
        <f>IF(L364+M364=0,"",L364+M364)</f>
        <v/>
      </c>
      <c r="Y364" s="38">
        <f>IF(L364=0,"",M364/L364)</f>
        <v/>
      </c>
      <c r="Z364" t="inlineStr">
        <is>
          <t>Director &amp; Investment Officer</t>
        </is>
      </c>
      <c r="AA364" t="inlineStr">
        <is>
          <t>Investments</t>
        </is>
      </c>
      <c r="AB364" s="50" t="inlineStr"/>
      <c r="AC364" s="43">
        <f>HYPERLINK("https://projects.propublica.org/nonprofits/organizations/560529965/202343199349104749/full","view filing")</f>
        <v/>
      </c>
      <c r="AD364" s="50" t="inlineStr"/>
    </row>
    <row r="365">
      <c r="A365" t="inlineStr">
        <is>
          <t>Duke University</t>
        </is>
      </c>
      <c r="B365" s="50" t="inlineStr">
        <is>
          <t>NC</t>
        </is>
      </c>
      <c r="C365" s="52" t="n">
        <v>21.16</v>
      </c>
      <c r="D365" t="inlineStr">
        <is>
          <t>Endowment</t>
        </is>
      </c>
      <c r="E365" s="50" t="n">
        <v>2025</v>
      </c>
      <c r="F365" s="50" t="inlineStr">
        <is>
          <t>2026-05-15</t>
        </is>
      </c>
      <c r="G365" s="50" t="inlineStr">
        <is>
          <t>2025-06-30</t>
        </is>
      </c>
      <c r="H365" t="inlineStr">
        <is>
          <t>Evan L Jones</t>
        </is>
      </c>
      <c r="I365" t="inlineStr">
        <is>
          <t>INVESTMENT MANAGER</t>
        </is>
      </c>
      <c r="J365" t="inlineStr">
        <is>
          <t>Investment Manager</t>
        </is>
      </c>
      <c r="K365" t="inlineStr">
        <is>
          <t>Sr Investment Professional</t>
        </is>
      </c>
      <c r="L365" s="28" t="n">
        <v>418942</v>
      </c>
      <c r="M365" s="28" t="n">
        <v>1269560</v>
      </c>
      <c r="N365" s="28" t="n">
        <v>237400</v>
      </c>
      <c r="O365" s="28" t="n">
        <v>325272</v>
      </c>
      <c r="P365" s="28" t="n">
        <v>21902</v>
      </c>
      <c r="Q365" s="28" t="n">
        <v>2273076</v>
      </c>
      <c r="R365" s="28" t="n">
        <v>214400</v>
      </c>
      <c r="S365" s="28">
        <f>Q365-R365</f>
        <v/>
      </c>
      <c r="T365" s="28">
        <f>IF(S365="","",S365*(1+in_GrowthRate)^(YEARFRAC(DATE(2025,6,30),in_AgeToDate)*IF(in_AgeToDate&lt;DATE(2025,6,30),-1,1)+1))</f>
        <v/>
      </c>
      <c r="U365" s="50">
        <f>IF(AND(AND(OR(in_Mode="All Funds",AND(C365&gt;=in_BandFloor,C365&lt;=in_BandCeiling,OR(in_Geography="National",COUNTIFS(lst_GeoPreset,in_Geography,lst_GeoState,B365)&gt;0,AND(in_Geography="Custom",ISNUMBER(SEARCH(B365,SUBSTITUTE(in_CustomStates," ",""))))),OR(AND(D365="Endowment",Inputs!$B$14="Y"),AND(D365="Foundation",Inputs!$B$15="Y"),AND(D365="Healthcare",Inputs!$B$16="Y"),AND(D365="Pension",Inputs!$B$17="Y"),AND(D365="OCIO",Inputs!$B$18="Y"),AND(D365="Other",Inputs!$B$19="Y")))),A365&lt;&gt;in_ClientOrg,NOT(AND(in_ExclHarvard="Y",ISNUMBER(SEARCH("Harvard",A365))))),$AD365="Y",K365&lt;&gt;"",S365&gt;0),"Y","")</f>
        <v/>
      </c>
      <c r="V365" s="30" t="n">
        <v>0.4104558092425908</v>
      </c>
      <c r="W365" t="inlineStr"/>
      <c r="X365" s="28">
        <f>IF(L365+M365=0,"",L365+M365)</f>
        <v/>
      </c>
      <c r="Y365" s="38">
        <f>IF(L365=0,"",M365/L365)</f>
        <v/>
      </c>
      <c r="Z365" t="inlineStr">
        <is>
          <t>Managing Director</t>
        </is>
      </c>
      <c r="AA365" t="inlineStr">
        <is>
          <t>Investments</t>
        </is>
      </c>
      <c r="AB365" s="50" t="inlineStr"/>
      <c r="AC365" s="43">
        <f>HYPERLINK("https://projects.propublica.org/nonprofits/organizations/560532129/202611359349301296/full","view filing")</f>
        <v/>
      </c>
      <c r="AD365" s="50" t="inlineStr">
        <is>
          <t>Y</t>
        </is>
      </c>
    </row>
    <row r="366">
      <c r="A366" t="inlineStr">
        <is>
          <t>Duke University</t>
        </is>
      </c>
      <c r="B366" s="50" t="inlineStr">
        <is>
          <t>NC</t>
        </is>
      </c>
      <c r="C366" s="52" t="n">
        <v>21.16</v>
      </c>
      <c r="D366" t="inlineStr">
        <is>
          <t>Endowment</t>
        </is>
      </c>
      <c r="E366" s="50" t="n">
        <v>2025</v>
      </c>
      <c r="F366" s="50" t="inlineStr">
        <is>
          <t>2026-05-15</t>
        </is>
      </c>
      <c r="G366" s="50" t="inlineStr">
        <is>
          <t>2025-06-30</t>
        </is>
      </c>
      <c r="H366" t="inlineStr">
        <is>
          <t>Justin B Nixon</t>
        </is>
      </c>
      <c r="I366" t="inlineStr">
        <is>
          <t>INVESTMENT MANAGER</t>
        </is>
      </c>
      <c r="J366" t="inlineStr">
        <is>
          <t>Investment Manager</t>
        </is>
      </c>
      <c r="K366" t="inlineStr">
        <is>
          <t>Sr Investment Professional</t>
        </is>
      </c>
      <c r="L366" s="28" t="n">
        <v>437050</v>
      </c>
      <c r="M366" s="28" t="n">
        <v>1269560</v>
      </c>
      <c r="N366" s="28" t="n">
        <v>214400</v>
      </c>
      <c r="O366" s="28" t="n">
        <v>325272</v>
      </c>
      <c r="P366" s="28" t="n">
        <v>36862</v>
      </c>
      <c r="Q366" s="28" t="n">
        <v>2283144</v>
      </c>
      <c r="R366" s="28" t="n">
        <v>214400</v>
      </c>
      <c r="S366" s="28">
        <f>Q366-R366</f>
        <v/>
      </c>
      <c r="T366" s="28">
        <f>IF(S366="","",S366*(1+in_GrowthRate)^(YEARFRAC(DATE(2025,6,30),in_AgeToDate)*IF(in_AgeToDate&lt;DATE(2025,6,30),-1,1)+1))</f>
        <v/>
      </c>
      <c r="U366" s="50">
        <f>IF(AND(AND(OR(in_Mode="All Funds",AND(C366&gt;=in_BandFloor,C366&lt;=in_BandCeiling,OR(in_Geography="National",COUNTIFS(lst_GeoPreset,in_Geography,lst_GeoState,B366)&gt;0,AND(in_Geography="Custom",ISNUMBER(SEARCH(B366,SUBSTITUTE(in_CustomStates," ",""))))),OR(AND(D366="Endowment",Inputs!$B$14="Y"),AND(D366="Foundation",Inputs!$B$15="Y"),AND(D366="Healthcare",Inputs!$B$16="Y"),AND(D366="Pension",Inputs!$B$17="Y"),AND(D366="OCIO",Inputs!$B$18="Y"),AND(D366="Other",Inputs!$B$19="Y")))),A366&lt;&gt;in_ClientOrg,NOT(AND(in_ExclHarvard="Y",ISNUMBER(SEARCH("Harvard",A366))))),$AD366="Y",K366&lt;&gt;"",S366&gt;0),"Y","")</f>
        <v/>
      </c>
      <c r="V366" s="30" t="n">
        <v>0.4124631523541122</v>
      </c>
      <c r="W366" t="inlineStr"/>
      <c r="X366" s="28">
        <f>IF(L366+M366=0,"",L366+M366)</f>
        <v/>
      </c>
      <c r="Y366" s="38">
        <f>IF(L366=0,"",M366/L366)</f>
        <v/>
      </c>
      <c r="Z366" t="inlineStr">
        <is>
          <t>Managing Director</t>
        </is>
      </c>
      <c r="AA366" t="inlineStr">
        <is>
          <t>Investments</t>
        </is>
      </c>
      <c r="AB366" s="50" t="inlineStr"/>
      <c r="AC366" s="43">
        <f>HYPERLINK("https://projects.propublica.org/nonprofits/organizations/560532129/202611359349301296/full","view filing")</f>
        <v/>
      </c>
      <c r="AD366" s="50" t="inlineStr">
        <is>
          <t>Y</t>
        </is>
      </c>
    </row>
    <row r="367">
      <c r="A367" t="inlineStr">
        <is>
          <t>Duke University</t>
        </is>
      </c>
      <c r="B367" s="50" t="inlineStr">
        <is>
          <t>NC</t>
        </is>
      </c>
      <c r="C367" s="52" t="n">
        <v>21.16</v>
      </c>
      <c r="D367" t="inlineStr">
        <is>
          <t>Endowment</t>
        </is>
      </c>
      <c r="E367" s="50" t="n">
        <v>2025</v>
      </c>
      <c r="F367" s="50" t="inlineStr">
        <is>
          <t>2026-05-15</t>
        </is>
      </c>
      <c r="G367" s="50" t="inlineStr">
        <is>
          <t>2025-06-30</t>
        </is>
      </c>
      <c r="H367" t="inlineStr">
        <is>
          <t>Kavita Nayar</t>
        </is>
      </c>
      <c r="I367" t="inlineStr">
        <is>
          <t>INVESTMENT MANAGER</t>
        </is>
      </c>
      <c r="J367" t="inlineStr">
        <is>
          <t>Investment Manager</t>
        </is>
      </c>
      <c r="K367" t="inlineStr">
        <is>
          <t>Sr Investment Professional</t>
        </is>
      </c>
      <c r="L367" s="28" t="n">
        <v>440265</v>
      </c>
      <c r="M367" s="28" t="n">
        <v>1027299</v>
      </c>
      <c r="N367" s="28" t="n">
        <v>147400</v>
      </c>
      <c r="O367" s="28" t="n">
        <v>258272</v>
      </c>
      <c r="P367" s="28" t="n">
        <v>28017</v>
      </c>
      <c r="Q367" s="28" t="n">
        <v>1901253</v>
      </c>
      <c r="R367" s="28" t="n">
        <v>147400</v>
      </c>
      <c r="S367" s="28">
        <f>Q367-R367</f>
        <v/>
      </c>
      <c r="T367" s="28">
        <f>IF(S367="","",S367*(1+in_GrowthRate)^(YEARFRAC(DATE(2025,6,30),in_AgeToDate)*IF(in_AgeToDate&lt;DATE(2025,6,30),-1,1)+1))</f>
        <v/>
      </c>
      <c r="U367" s="50">
        <f>IF(AND(AND(OR(in_Mode="All Funds",AND(C367&gt;=in_BandFloor,C367&lt;=in_BandCeiling,OR(in_Geography="National",COUNTIFS(lst_GeoPreset,in_Geography,lst_GeoState,B367)&gt;0,AND(in_Geography="Custom",ISNUMBER(SEARCH(B367,SUBSTITUTE(in_CustomStates," ",""))))),OR(AND(D367="Endowment",Inputs!$B$14="Y"),AND(D367="Foundation",Inputs!$B$15="Y"),AND(D367="Healthcare",Inputs!$B$16="Y"),AND(D367="Pension",Inputs!$B$17="Y"),AND(D367="OCIO",Inputs!$B$18="Y"),AND(D367="Other",Inputs!$B$19="Y")))),A367&lt;&gt;in_ClientOrg,NOT(AND(in_ExclHarvard="Y",ISNUMBER(SEARCH("Harvard",A367))))),$AD367="Y",K367&lt;&gt;"",S367&gt;0),"Y","")</f>
        <v/>
      </c>
      <c r="V367" s="30" t="n">
        <v>0.3496806454282003</v>
      </c>
      <c r="W367" t="inlineStr"/>
      <c r="X367" s="28">
        <f>IF(L367+M367=0,"",L367+M367)</f>
        <v/>
      </c>
      <c r="Y367" s="38">
        <f>IF(L367=0,"",M367/L367)</f>
        <v/>
      </c>
      <c r="Z367" t="inlineStr">
        <is>
          <t>Managing Director</t>
        </is>
      </c>
      <c r="AA367" t="inlineStr">
        <is>
          <t>Investments</t>
        </is>
      </c>
      <c r="AB367" s="50" t="inlineStr"/>
      <c r="AC367" s="43">
        <f>HYPERLINK("https://projects.propublica.org/nonprofits/organizations/560532129/202611359349301296/full","view filing")</f>
        <v/>
      </c>
      <c r="AD367" s="50" t="inlineStr">
        <is>
          <t>Y</t>
        </is>
      </c>
    </row>
    <row r="368">
      <c r="A368" t="inlineStr">
        <is>
          <t>Duke University</t>
        </is>
      </c>
      <c r="B368" s="50" t="inlineStr">
        <is>
          <t>NC</t>
        </is>
      </c>
      <c r="C368" s="52" t="n">
        <v>21.16</v>
      </c>
      <c r="D368" t="inlineStr">
        <is>
          <t>Endowment</t>
        </is>
      </c>
      <c r="E368" s="50" t="n">
        <v>2025</v>
      </c>
      <c r="F368" s="50" t="inlineStr">
        <is>
          <t>2026-05-15</t>
        </is>
      </c>
      <c r="G368" s="50" t="inlineStr">
        <is>
          <t>2025-06-30</t>
        </is>
      </c>
      <c r="H368" t="inlineStr">
        <is>
          <t>Neal F Triplett</t>
        </is>
      </c>
      <c r="I368" t="inlineStr">
        <is>
          <t>CHIEF INVESTMENT OFFICER</t>
        </is>
      </c>
      <c r="J368" t="inlineStr">
        <is>
          <t>CIO</t>
        </is>
      </c>
      <c r="K368" t="inlineStr">
        <is>
          <t>CIO - Top Investment Executive</t>
        </is>
      </c>
      <c r="L368" s="28" t="n">
        <v>887718</v>
      </c>
      <c r="M368" s="28" t="n">
        <v>3975000</v>
      </c>
      <c r="N368" s="28" t="n">
        <v>23000</v>
      </c>
      <c r="O368" s="28" t="n">
        <v>42072</v>
      </c>
      <c r="P368" s="28" t="n">
        <v>87795</v>
      </c>
      <c r="Q368" s="28" t="n">
        <v>5015585</v>
      </c>
      <c r="R368" s="28" t="n">
        <v>0</v>
      </c>
      <c r="S368" s="28">
        <f>Q368-R368</f>
        <v/>
      </c>
      <c r="T368" s="28">
        <f>IF(S368="","",S368*(1+in_GrowthRate)^(YEARFRAC(DATE(2025,6,30),in_AgeToDate)*IF(in_AgeToDate&lt;DATE(2025,6,30),-1,1)+1))</f>
        <v/>
      </c>
      <c r="U368" s="50">
        <f>IF(AND(AND(OR(in_Mode="All Funds",AND(C368&gt;=in_BandFloor,C368&lt;=in_BandCeiling,OR(in_Geography="National",COUNTIFS(lst_GeoPreset,in_Geography,lst_GeoState,B368)&gt;0,AND(in_Geography="Custom",ISNUMBER(SEARCH(B368,SUBSTITUTE(in_CustomStates," ",""))))),OR(AND(D368="Endowment",Inputs!$B$14="Y"),AND(D368="Foundation",Inputs!$B$15="Y"),AND(D368="Healthcare",Inputs!$B$16="Y"),AND(D368="Pension",Inputs!$B$17="Y"),AND(D368="OCIO",Inputs!$B$18="Y"),AND(D368="Other",Inputs!$B$19="Y")))),A368&lt;&gt;in_ClientOrg,NOT(AND(in_ExclHarvard="Y",ISNUMBER(SEARCH("Harvard",A368))))),$AD368="Y",K368&lt;&gt;"",S368&gt;0),"Y","")</f>
        <v/>
      </c>
      <c r="V368" s="30" t="n">
        <v>1</v>
      </c>
      <c r="W368" t="inlineStr"/>
      <c r="X368" s="28">
        <f>IF(L368+M368=0,"",L368+M368)</f>
        <v/>
      </c>
      <c r="Y368" s="38">
        <f>IF(L368=0,"",M368/L368)</f>
        <v/>
      </c>
      <c r="Z368" t="inlineStr">
        <is>
          <t>CIO - Top Investment Executive</t>
        </is>
      </c>
      <c r="AA368" t="inlineStr">
        <is>
          <t>Leadership</t>
        </is>
      </c>
      <c r="AB368" s="50" t="inlineStr">
        <is>
          <t>Y</t>
        </is>
      </c>
      <c r="AC368" s="43">
        <f>HYPERLINK("https://projects.propublica.org/nonprofits/organizations/560532129/202611359349301296/full","view filing")</f>
        <v/>
      </c>
      <c r="AD368" s="50" t="inlineStr">
        <is>
          <t>Y</t>
        </is>
      </c>
    </row>
    <row r="369">
      <c r="A369" t="inlineStr">
        <is>
          <t>Duke University</t>
        </is>
      </c>
      <c r="B369" s="50" t="inlineStr">
        <is>
          <t>NC</t>
        </is>
      </c>
      <c r="C369" s="52" t="n">
        <v>21.16</v>
      </c>
      <c r="D369" t="inlineStr">
        <is>
          <t>Endowment</t>
        </is>
      </c>
      <c r="E369" s="50" t="n">
        <v>2024</v>
      </c>
      <c r="F369" s="50" t="inlineStr">
        <is>
          <t>2025-05-15</t>
        </is>
      </c>
      <c r="G369" s="50" t="inlineStr">
        <is>
          <t>2024-06-30</t>
        </is>
      </c>
      <c r="H369" t="inlineStr">
        <is>
          <t>Anil Madhok</t>
        </is>
      </c>
      <c r="I369" t="inlineStr">
        <is>
          <t>CHIEF OPERATING OFFICER DUMAC</t>
        </is>
      </c>
      <c r="J369" t="inlineStr">
        <is>
          <t>COO (Inv Entity)</t>
        </is>
      </c>
      <c r="K369" t="inlineStr">
        <is>
          <t>COO (Investment Office)</t>
        </is>
      </c>
      <c r="L369" s="28" t="n">
        <v>371269</v>
      </c>
      <c r="M369" s="28" t="n">
        <v>1062591</v>
      </c>
      <c r="N369" s="28" t="n">
        <v>157700</v>
      </c>
      <c r="O369" s="28" t="n">
        <v>274856</v>
      </c>
      <c r="P369" s="28" t="n">
        <v>22353</v>
      </c>
      <c r="Q369" s="28" t="n">
        <v>1888769</v>
      </c>
      <c r="R369" s="28" t="n">
        <v>135200</v>
      </c>
      <c r="S369" s="28">
        <f>Q369-R369</f>
        <v/>
      </c>
      <c r="T369" s="28">
        <f>IF(S369="","",S369*(1+in_GrowthRate)^(YEARFRAC(DATE(2024,6,30),in_AgeToDate)*IF(in_AgeToDate&lt;DATE(2024,6,30),-1,1)+1))</f>
        <v/>
      </c>
      <c r="U369" s="50">
        <f>IF(AND(AND(OR(in_Mode="All Funds",AND(C369&gt;=in_BandFloor,C369&lt;=in_BandCeiling,OR(in_Geography="National",COUNTIFS(lst_GeoPreset,in_Geography,lst_GeoState,B369)&gt;0,AND(in_Geography="Custom",ISNUMBER(SEARCH(B369,SUBSTITUTE(in_CustomStates," ",""))))),OR(AND(D369="Endowment",Inputs!$B$14="Y"),AND(D369="Foundation",Inputs!$B$15="Y"),AND(D369="Healthcare",Inputs!$B$16="Y"),AND(D369="Pension",Inputs!$B$17="Y"),AND(D369="OCIO",Inputs!$B$18="Y"),AND(D369="Other",Inputs!$B$19="Y")))),A369&lt;&gt;in_ClientOrg,NOT(AND(in_ExclHarvard="Y",ISNUMBER(SEARCH("Harvard",A369))))),$AD369="Y",K369&lt;&gt;"",S369&gt;0),"Y","")</f>
        <v/>
      </c>
      <c r="V369" s="30" t="n">
        <v>0.3728626624472224</v>
      </c>
      <c r="W369" t="inlineStr"/>
      <c r="X369" s="28">
        <f>IF(L369+M369=0,"",L369+M369)</f>
        <v/>
      </c>
      <c r="Y369" s="38">
        <f>IF(L369=0,"",M369/L369)</f>
        <v/>
      </c>
      <c r="Z369" t="inlineStr">
        <is>
          <t>COO (Investment Office)</t>
        </is>
      </c>
      <c r="AA369" t="inlineStr">
        <is>
          <t>Operations &amp; Control</t>
        </is>
      </c>
      <c r="AB369" s="50" t="inlineStr"/>
      <c r="AC369" s="43">
        <f>HYPERLINK("https://projects.propublica.org/nonprofits/organizations/560532129/202501359349302225/full","view filing")</f>
        <v/>
      </c>
      <c r="AD369" s="50" t="inlineStr"/>
    </row>
    <row r="370">
      <c r="A370" t="inlineStr">
        <is>
          <t>Duke University</t>
        </is>
      </c>
      <c r="B370" s="50" t="inlineStr">
        <is>
          <t>NC</t>
        </is>
      </c>
      <c r="C370" s="52" t="n">
        <v>21.16</v>
      </c>
      <c r="D370" t="inlineStr">
        <is>
          <t>Endowment</t>
        </is>
      </c>
      <c r="E370" s="50" t="n">
        <v>2024</v>
      </c>
      <c r="F370" s="50" t="inlineStr">
        <is>
          <t>2025-05-15</t>
        </is>
      </c>
      <c r="G370" s="50" t="inlineStr">
        <is>
          <t>2024-06-30</t>
        </is>
      </c>
      <c r="H370" t="inlineStr">
        <is>
          <t>Evan L Jones</t>
        </is>
      </c>
      <c r="I370" t="inlineStr">
        <is>
          <t>INVESTMENT MANAGER</t>
        </is>
      </c>
      <c r="J370" t="inlineStr">
        <is>
          <t>Investment Manager</t>
        </is>
      </c>
      <c r="K370" t="inlineStr">
        <is>
          <t>Sr Investment Professional</t>
        </is>
      </c>
      <c r="L370" s="28" t="n">
        <v>394722</v>
      </c>
      <c r="M370" s="28" t="n">
        <v>1109843</v>
      </c>
      <c r="N370" s="28" t="n">
        <v>157700</v>
      </c>
      <c r="O370" s="28" t="n">
        <v>280776</v>
      </c>
      <c r="P370" s="28" t="n">
        <v>20218</v>
      </c>
      <c r="Q370" s="28" t="n">
        <v>1963259</v>
      </c>
      <c r="R370" s="28" t="n">
        <v>135200</v>
      </c>
      <c r="S370" s="28">
        <f>Q370-R370</f>
        <v/>
      </c>
      <c r="T370" s="28">
        <f>IF(S370="","",S370*(1+in_GrowthRate)^(YEARFRAC(DATE(2024,6,30),in_AgeToDate)*IF(in_AgeToDate&lt;DATE(2024,6,30),-1,1)+1))</f>
        <v/>
      </c>
      <c r="U370" s="50">
        <f>IF(AND(AND(OR(in_Mode="All Funds",AND(C370&gt;=in_BandFloor,C370&lt;=in_BandCeiling,OR(in_Geography="National",COUNTIFS(lst_GeoPreset,in_Geography,lst_GeoState,B370)&gt;0,AND(in_Geography="Custom",ISNUMBER(SEARCH(B370,SUBSTITUTE(in_CustomStates," ",""))))),OR(AND(D370="Endowment",Inputs!$B$14="Y"),AND(D370="Foundation",Inputs!$B$15="Y"),AND(D370="Healthcare",Inputs!$B$16="Y"),AND(D370="Pension",Inputs!$B$17="Y"),AND(D370="OCIO",Inputs!$B$18="Y"),AND(D370="Other",Inputs!$B$19="Y")))),A370&lt;&gt;in_ClientOrg,NOT(AND(in_ExclHarvard="Y",ISNUMBER(SEARCH("Harvard",A370))))),$AD370="Y",K370&lt;&gt;"",S370&gt;0),"Y","")</f>
        <v/>
      </c>
      <c r="V370" s="30" t="n">
        <v>0.3887015257743533</v>
      </c>
      <c r="W370" t="inlineStr"/>
      <c r="X370" s="28">
        <f>IF(L370+M370=0,"",L370+M370)</f>
        <v/>
      </c>
      <c r="Y370" s="38">
        <f>IF(L370=0,"",M370/L370)</f>
        <v/>
      </c>
      <c r="Z370" t="inlineStr">
        <is>
          <t>Managing Director</t>
        </is>
      </c>
      <c r="AA370" t="inlineStr">
        <is>
          <t>Investments</t>
        </is>
      </c>
      <c r="AB370" s="50" t="inlineStr"/>
      <c r="AC370" s="43">
        <f>HYPERLINK("https://projects.propublica.org/nonprofits/organizations/560532129/202501359349302225/full","view filing")</f>
        <v/>
      </c>
      <c r="AD370" s="50" t="inlineStr"/>
    </row>
    <row r="371">
      <c r="A371" t="inlineStr">
        <is>
          <t>Duke University</t>
        </is>
      </c>
      <c r="B371" s="50" t="inlineStr">
        <is>
          <t>NC</t>
        </is>
      </c>
      <c r="C371" s="52" t="n">
        <v>21.16</v>
      </c>
      <c r="D371" t="inlineStr">
        <is>
          <t>Endowment</t>
        </is>
      </c>
      <c r="E371" s="50" t="n">
        <v>2024</v>
      </c>
      <c r="F371" s="50" t="inlineStr">
        <is>
          <t>2025-05-15</t>
        </is>
      </c>
      <c r="G371" s="50" t="inlineStr">
        <is>
          <t>2024-06-30</t>
        </is>
      </c>
      <c r="H371" t="inlineStr">
        <is>
          <t>Justin B Nixon</t>
        </is>
      </c>
      <c r="I371" t="inlineStr">
        <is>
          <t>INVESTMENT MANAGER</t>
        </is>
      </c>
      <c r="J371" t="inlineStr">
        <is>
          <t>Investment Manager</t>
        </is>
      </c>
      <c r="K371" t="inlineStr">
        <is>
          <t>Sr Investment Professional</t>
        </is>
      </c>
      <c r="L371" s="28" t="n">
        <v>412897</v>
      </c>
      <c r="M371" s="28" t="n">
        <v>1109843</v>
      </c>
      <c r="N371" s="28" t="n">
        <v>135200</v>
      </c>
      <c r="O371" s="28" t="n">
        <v>280776</v>
      </c>
      <c r="P371" s="28" t="n">
        <v>33450</v>
      </c>
      <c r="Q371" s="28" t="n">
        <v>1972166</v>
      </c>
      <c r="R371" s="28" t="n">
        <v>135200</v>
      </c>
      <c r="S371" s="28">
        <f>Q371-R371</f>
        <v/>
      </c>
      <c r="T371" s="28">
        <f>IF(S371="","",S371*(1+in_GrowthRate)^(YEARFRAC(DATE(2024,6,30),in_AgeToDate)*IF(in_AgeToDate&lt;DATE(2024,6,30),-1,1)+1))</f>
        <v/>
      </c>
      <c r="U371" s="50">
        <f>IF(AND(AND(OR(in_Mode="All Funds",AND(C371&gt;=in_BandFloor,C371&lt;=in_BandCeiling,OR(in_Geography="National",COUNTIFS(lst_GeoPreset,in_Geography,lst_GeoState,B371)&gt;0,AND(in_Geography="Custom",ISNUMBER(SEARCH(B371,SUBSTITUTE(in_CustomStates," ",""))))),OR(AND(D371="Endowment",Inputs!$B$14="Y"),AND(D371="Foundation",Inputs!$B$15="Y"),AND(D371="Healthcare",Inputs!$B$16="Y"),AND(D371="Pension",Inputs!$B$17="Y"),AND(D371="OCIO",Inputs!$B$18="Y"),AND(D371="Other",Inputs!$B$19="Y")))),A371&lt;&gt;in_ClientOrg,NOT(AND(in_ExclHarvard="Y",ISNUMBER(SEARCH("Harvard",A371))))),$AD371="Y",K371&lt;&gt;"",S371&gt;0),"Y","")</f>
        <v/>
      </c>
      <c r="V371" s="30" t="n">
        <v>0.3905954277162885</v>
      </c>
      <c r="W371" t="inlineStr"/>
      <c r="X371" s="28">
        <f>IF(L371+M371=0,"",L371+M371)</f>
        <v/>
      </c>
      <c r="Y371" s="38">
        <f>IF(L371=0,"",M371/L371)</f>
        <v/>
      </c>
      <c r="Z371" t="inlineStr">
        <is>
          <t>Managing Director</t>
        </is>
      </c>
      <c r="AA371" t="inlineStr">
        <is>
          <t>Investments</t>
        </is>
      </c>
      <c r="AB371" s="50" t="inlineStr"/>
      <c r="AC371" s="43">
        <f>HYPERLINK("https://projects.propublica.org/nonprofits/organizations/560532129/202501359349302225/full","view filing")</f>
        <v/>
      </c>
      <c r="AD371" s="50" t="inlineStr"/>
    </row>
    <row r="372">
      <c r="A372" t="inlineStr">
        <is>
          <t>Duke University</t>
        </is>
      </c>
      <c r="B372" s="50" t="inlineStr">
        <is>
          <t>NC</t>
        </is>
      </c>
      <c r="C372" s="52" t="n">
        <v>21.16</v>
      </c>
      <c r="D372" t="inlineStr">
        <is>
          <t>Endowment</t>
        </is>
      </c>
      <c r="E372" s="50" t="n">
        <v>2024</v>
      </c>
      <c r="F372" s="50" t="inlineStr">
        <is>
          <t>2025-05-15</t>
        </is>
      </c>
      <c r="G372" s="50" t="inlineStr">
        <is>
          <t>2024-06-30</t>
        </is>
      </c>
      <c r="H372" t="inlineStr">
        <is>
          <t>Kavita Nayar</t>
        </is>
      </c>
      <c r="I372" t="inlineStr">
        <is>
          <t>INVESTMENT MANAGER</t>
        </is>
      </c>
      <c r="J372" t="inlineStr">
        <is>
          <t>Investment Manager</t>
        </is>
      </c>
      <c r="K372" t="inlineStr">
        <is>
          <t>Sr Investment Professional</t>
        </is>
      </c>
      <c r="L372" s="28" t="n">
        <v>389546</v>
      </c>
      <c r="M372" s="28" t="n">
        <v>946576</v>
      </c>
      <c r="N372" s="28" t="n">
        <v>46475</v>
      </c>
      <c r="O372" s="28" t="n">
        <v>210276</v>
      </c>
      <c r="P372" s="28" t="n">
        <v>26637</v>
      </c>
      <c r="Q372" s="28" t="n">
        <v>1619510</v>
      </c>
      <c r="R372" s="28" t="n">
        <v>46475</v>
      </c>
      <c r="S372" s="28">
        <f>Q372-R372</f>
        <v/>
      </c>
      <c r="T372" s="28">
        <f>IF(S372="","",S372*(1+in_GrowthRate)^(YEARFRAC(DATE(2024,6,30),in_AgeToDate)*IF(in_AgeToDate&lt;DATE(2024,6,30),-1,1)+1))</f>
        <v/>
      </c>
      <c r="U372" s="50">
        <f>IF(AND(AND(OR(in_Mode="All Funds",AND(C372&gt;=in_BandFloor,C372&lt;=in_BandCeiling,OR(in_Geography="National",COUNTIFS(lst_GeoPreset,in_Geography,lst_GeoState,B372)&gt;0,AND(in_Geography="Custom",ISNUMBER(SEARCH(B372,SUBSTITUTE(in_CustomStates," ",""))))),OR(AND(D372="Endowment",Inputs!$B$14="Y"),AND(D372="Foundation",Inputs!$B$15="Y"),AND(D372="Healthcare",Inputs!$B$16="Y"),AND(D372="Pension",Inputs!$B$17="Y"),AND(D372="OCIO",Inputs!$B$18="Y"),AND(D372="Other",Inputs!$B$19="Y")))),A372&lt;&gt;in_ClientOrg,NOT(AND(in_ExclHarvard="Y",ISNUMBER(SEARCH("Harvard",A372))))),$AD372="Y",K372&lt;&gt;"",S372&gt;0),"Y","")</f>
        <v/>
      </c>
      <c r="V372" s="30" t="n">
        <v>0.3344755856328815</v>
      </c>
      <c r="W372" t="inlineStr"/>
      <c r="X372" s="28">
        <f>IF(L372+M372=0,"",L372+M372)</f>
        <v/>
      </c>
      <c r="Y372" s="38">
        <f>IF(L372=0,"",M372/L372)</f>
        <v/>
      </c>
      <c r="Z372" t="inlineStr">
        <is>
          <t>Managing Director</t>
        </is>
      </c>
      <c r="AA372" t="inlineStr">
        <is>
          <t>Investments</t>
        </is>
      </c>
      <c r="AB372" s="50" t="inlineStr"/>
      <c r="AC372" s="43">
        <f>HYPERLINK("https://projects.propublica.org/nonprofits/organizations/560532129/202501359349302225/full","view filing")</f>
        <v/>
      </c>
      <c r="AD372" s="50" t="inlineStr"/>
    </row>
    <row r="373">
      <c r="A373" t="inlineStr">
        <is>
          <t>Duke University</t>
        </is>
      </c>
      <c r="B373" s="50" t="inlineStr">
        <is>
          <t>NC</t>
        </is>
      </c>
      <c r="C373" s="52" t="n">
        <v>21.16</v>
      </c>
      <c r="D373" t="inlineStr">
        <is>
          <t>Endowment</t>
        </is>
      </c>
      <c r="E373" s="50" t="n">
        <v>2024</v>
      </c>
      <c r="F373" s="50" t="inlineStr">
        <is>
          <t>2025-05-15</t>
        </is>
      </c>
      <c r="G373" s="50" t="inlineStr">
        <is>
          <t>2024-06-30</t>
        </is>
      </c>
      <c r="H373" t="inlineStr">
        <is>
          <t>Neal F Triplett</t>
        </is>
      </c>
      <c r="I373" t="inlineStr">
        <is>
          <t>CHIEF INVESTMENT OFFICER</t>
        </is>
      </c>
      <c r="J373" t="inlineStr">
        <is>
          <t>CIO</t>
        </is>
      </c>
      <c r="K373" t="inlineStr">
        <is>
          <t>CIO - Top Investment Executive</t>
        </is>
      </c>
      <c r="L373" s="28" t="n">
        <v>816839</v>
      </c>
      <c r="M373" s="28" t="n">
        <v>3700000</v>
      </c>
      <c r="N373" s="28" t="n">
        <v>22500</v>
      </c>
      <c r="O373" s="28" t="n">
        <v>40376</v>
      </c>
      <c r="P373" s="28" t="n">
        <v>123274</v>
      </c>
      <c r="Q373" s="28" t="n">
        <v>4702989</v>
      </c>
      <c r="R373" s="28" t="n">
        <v>0</v>
      </c>
      <c r="S373" s="28">
        <f>Q373-R373</f>
        <v/>
      </c>
      <c r="T373" s="28">
        <f>IF(S373="","",S373*(1+in_GrowthRate)^(YEARFRAC(DATE(2024,6,30),in_AgeToDate)*IF(in_AgeToDate&lt;DATE(2024,6,30),-1,1)+1))</f>
        <v/>
      </c>
      <c r="U373" s="50">
        <f>IF(AND(AND(OR(in_Mode="All Funds",AND(C373&gt;=in_BandFloor,C373&lt;=in_BandCeiling,OR(in_Geography="National",COUNTIFS(lst_GeoPreset,in_Geography,lst_GeoState,B373)&gt;0,AND(in_Geography="Custom",ISNUMBER(SEARCH(B373,SUBSTITUTE(in_CustomStates," ",""))))),OR(AND(D373="Endowment",Inputs!$B$14="Y"),AND(D373="Foundation",Inputs!$B$15="Y"),AND(D373="Healthcare",Inputs!$B$16="Y"),AND(D373="Pension",Inputs!$B$17="Y"),AND(D373="OCIO",Inputs!$B$18="Y"),AND(D373="Other",Inputs!$B$19="Y")))),A373&lt;&gt;in_ClientOrg,NOT(AND(in_ExclHarvard="Y",ISNUMBER(SEARCH("Harvard",A373))))),$AD373="Y",K373&lt;&gt;"",S373&gt;0),"Y","")</f>
        <v/>
      </c>
      <c r="V373" s="30" t="n">
        <v>1</v>
      </c>
      <c r="W373" t="inlineStr"/>
      <c r="X373" s="28">
        <f>IF(L373+M373=0,"",L373+M373)</f>
        <v/>
      </c>
      <c r="Y373" s="38">
        <f>IF(L373=0,"",M373/L373)</f>
        <v/>
      </c>
      <c r="Z373" t="inlineStr">
        <is>
          <t>CIO - Top Investment Executive</t>
        </is>
      </c>
      <c r="AA373" t="inlineStr">
        <is>
          <t>Leadership</t>
        </is>
      </c>
      <c r="AB373" s="50" t="inlineStr">
        <is>
          <t>Y</t>
        </is>
      </c>
      <c r="AC373" s="43">
        <f>HYPERLINK("https://projects.propublica.org/nonprofits/organizations/560532129/202501359349302225/full","view filing")</f>
        <v/>
      </c>
      <c r="AD373" s="50" t="inlineStr"/>
    </row>
    <row r="374">
      <c r="A374" t="inlineStr">
        <is>
          <t>Duke University</t>
        </is>
      </c>
      <c r="B374" s="50" t="inlineStr">
        <is>
          <t>NC</t>
        </is>
      </c>
      <c r="C374" s="52" t="n">
        <v>21.16</v>
      </c>
      <c r="D374" t="inlineStr">
        <is>
          <t>Endowment</t>
        </is>
      </c>
      <c r="E374" s="50" t="n">
        <v>2023</v>
      </c>
      <c r="F374" s="50" t="inlineStr">
        <is>
          <t>2024-05-15</t>
        </is>
      </c>
      <c r="G374" s="50" t="inlineStr">
        <is>
          <t>2023-06-30</t>
        </is>
      </c>
      <c r="H374" t="inlineStr">
        <is>
          <t>Evan L Jones</t>
        </is>
      </c>
      <c r="I374" t="inlineStr">
        <is>
          <t>INVESTMENT MANAGER</t>
        </is>
      </c>
      <c r="J374" t="inlineStr">
        <is>
          <t>Investment Manager</t>
        </is>
      </c>
      <c r="K374" t="inlineStr">
        <is>
          <t>Sr Investment Professional</t>
        </is>
      </c>
      <c r="L374" s="28" t="n">
        <v>396076</v>
      </c>
      <c r="M374" s="28" t="n">
        <v>949752</v>
      </c>
      <c r="N374" s="28" t="n">
        <v>196200</v>
      </c>
      <c r="O374" s="28" t="n">
        <v>211964</v>
      </c>
      <c r="P374" s="28" t="n">
        <v>19709</v>
      </c>
      <c r="Q374" s="28" t="n">
        <v>1773701</v>
      </c>
      <c r="R374" s="28" t="n">
        <v>175700</v>
      </c>
      <c r="S374" s="28">
        <f>Q374-R374</f>
        <v/>
      </c>
      <c r="T374" s="28">
        <f>IF(S374="","",S374*(1+in_GrowthRate)^(YEARFRAC(DATE(2023,6,30),in_AgeToDate)*IF(in_AgeToDate&lt;DATE(2023,6,30),-1,1)+1))</f>
        <v/>
      </c>
      <c r="U374" s="50">
        <f>IF(AND(AND(OR(in_Mode="All Funds",AND(C374&gt;=in_BandFloor,C374&lt;=in_BandCeiling,OR(in_Geography="National",COUNTIFS(lst_GeoPreset,in_Geography,lst_GeoState,B374)&gt;0,AND(in_Geography="Custom",ISNUMBER(SEARCH(B374,SUBSTITUTE(in_CustomStates," ",""))))),OR(AND(D374="Endowment",Inputs!$B$14="Y"),AND(D374="Foundation",Inputs!$B$15="Y"),AND(D374="Healthcare",Inputs!$B$16="Y"),AND(D374="Pension",Inputs!$B$17="Y"),AND(D374="OCIO",Inputs!$B$18="Y"),AND(D374="Other",Inputs!$B$19="Y")))),A374&lt;&gt;in_ClientOrg,NOT(AND(in_ExclHarvard="Y",ISNUMBER(SEARCH("Harvard",A374))))),$AD374="Y",K374&lt;&gt;"",S374&gt;0),"Y","")</f>
        <v/>
      </c>
      <c r="V374" s="30" t="n">
        <v>0.3720444832682527</v>
      </c>
      <c r="W374" t="inlineStr"/>
      <c r="X374" s="28">
        <f>IF(L374+M374=0,"",L374+M374)</f>
        <v/>
      </c>
      <c r="Y374" s="38">
        <f>IF(L374=0,"",M374/L374)</f>
        <v/>
      </c>
      <c r="Z374" t="inlineStr">
        <is>
          <t>Managing Director</t>
        </is>
      </c>
      <c r="AA374" t="inlineStr">
        <is>
          <t>Investments</t>
        </is>
      </c>
      <c r="AB374" s="50" t="inlineStr"/>
      <c r="AC374" s="43">
        <f>HYPERLINK("https://projects.propublica.org/nonprofits/organizations/560532129/202441369349300929/full","view filing")</f>
        <v/>
      </c>
      <c r="AD374" s="50" t="inlineStr"/>
    </row>
    <row r="375">
      <c r="A375" t="inlineStr">
        <is>
          <t>Duke University</t>
        </is>
      </c>
      <c r="B375" s="50" t="inlineStr">
        <is>
          <t>NC</t>
        </is>
      </c>
      <c r="C375" s="52" t="n">
        <v>21.16</v>
      </c>
      <c r="D375" t="inlineStr">
        <is>
          <t>Endowment</t>
        </is>
      </c>
      <c r="E375" s="50" t="n">
        <v>2023</v>
      </c>
      <c r="F375" s="50" t="inlineStr">
        <is>
          <t>2024-05-15</t>
        </is>
      </c>
      <c r="G375" s="50" t="inlineStr">
        <is>
          <t>2023-06-30</t>
        </is>
      </c>
      <c r="H375" t="inlineStr">
        <is>
          <t>Justin B Nixon</t>
        </is>
      </c>
      <c r="I375" t="inlineStr">
        <is>
          <t>INVESTMENT MANAGER</t>
        </is>
      </c>
      <c r="J375" t="inlineStr">
        <is>
          <t>Investment Manager</t>
        </is>
      </c>
      <c r="K375" t="inlineStr">
        <is>
          <t>Sr Investment Professional</t>
        </is>
      </c>
      <c r="L375" s="28" t="n">
        <v>413184</v>
      </c>
      <c r="M375" s="28" t="n">
        <v>942577</v>
      </c>
      <c r="N375" s="28" t="n">
        <v>163150</v>
      </c>
      <c r="O375" s="28" t="n">
        <v>211964</v>
      </c>
      <c r="P375" s="28" t="n">
        <v>31145</v>
      </c>
      <c r="Q375" s="28" t="n">
        <v>1762020</v>
      </c>
      <c r="R375" s="28" t="n">
        <v>163150</v>
      </c>
      <c r="S375" s="28">
        <f>Q375-R375</f>
        <v/>
      </c>
      <c r="T375" s="28">
        <f>IF(S375="","",S375*(1+in_GrowthRate)^(YEARFRAC(DATE(2023,6,30),in_AgeToDate)*IF(in_AgeToDate&lt;DATE(2023,6,30),-1,1)+1))</f>
        <v/>
      </c>
      <c r="U375" s="50">
        <f>IF(AND(AND(OR(in_Mode="All Funds",AND(C375&gt;=in_BandFloor,C375&lt;=in_BandCeiling,OR(in_Geography="National",COUNTIFS(lst_GeoPreset,in_Geography,lst_GeoState,B375)&gt;0,AND(in_Geography="Custom",ISNUMBER(SEARCH(B375,SUBSTITUTE(in_CustomStates," ",""))))),OR(AND(D375="Endowment",Inputs!$B$14="Y"),AND(D375="Foundation",Inputs!$B$15="Y"),AND(D375="Healthcare",Inputs!$B$16="Y"),AND(D375="Pension",Inputs!$B$17="Y"),AND(D375="OCIO",Inputs!$B$18="Y"),AND(D375="Other",Inputs!$B$19="Y")))),A375&lt;&gt;in_ClientOrg,NOT(AND(in_ExclHarvard="Y",ISNUMBER(SEARCH("Harvard",A375))))),$AD375="Y",K375&lt;&gt;"",S375&gt;0),"Y","")</f>
        <v/>
      </c>
      <c r="V375" s="30" t="n">
        <v>0.3722468027010692</v>
      </c>
      <c r="W375" t="inlineStr"/>
      <c r="X375" s="28">
        <f>IF(L375+M375=0,"",L375+M375)</f>
        <v/>
      </c>
      <c r="Y375" s="38">
        <f>IF(L375=0,"",M375/L375)</f>
        <v/>
      </c>
      <c r="Z375" t="inlineStr">
        <is>
          <t>Managing Director</t>
        </is>
      </c>
      <c r="AA375" t="inlineStr">
        <is>
          <t>Investments</t>
        </is>
      </c>
      <c r="AB375" s="50" t="inlineStr"/>
      <c r="AC375" s="43">
        <f>HYPERLINK("https://projects.propublica.org/nonprofits/organizations/560532129/202441369349300929/full","view filing")</f>
        <v/>
      </c>
      <c r="AD375" s="50" t="inlineStr"/>
    </row>
    <row r="376">
      <c r="A376" t="inlineStr">
        <is>
          <t>Duke University</t>
        </is>
      </c>
      <c r="B376" s="50" t="inlineStr">
        <is>
          <t>NC</t>
        </is>
      </c>
      <c r="C376" s="52" t="n">
        <v>21.16</v>
      </c>
      <c r="D376" t="inlineStr">
        <is>
          <t>Endowment</t>
        </is>
      </c>
      <c r="E376" s="50" t="n">
        <v>2023</v>
      </c>
      <c r="F376" s="50" t="inlineStr">
        <is>
          <t>2024-05-15</t>
        </is>
      </c>
      <c r="G376" s="50" t="inlineStr">
        <is>
          <t>2023-06-30</t>
        </is>
      </c>
      <c r="H376" t="inlineStr">
        <is>
          <t>Kavita Nayar</t>
        </is>
      </c>
      <c r="I376" t="inlineStr">
        <is>
          <t>INVESTMENT MANAGER</t>
        </is>
      </c>
      <c r="J376" t="inlineStr">
        <is>
          <t>Investment Manager</t>
        </is>
      </c>
      <c r="K376" t="inlineStr">
        <is>
          <t>Sr Investment Professional</t>
        </is>
      </c>
      <c r="L376" s="28" t="n">
        <v>289771</v>
      </c>
      <c r="M376" s="28" t="n">
        <v>742033</v>
      </c>
      <c r="N376" s="28" t="n">
        <v>0</v>
      </c>
      <c r="O376" s="28" t="n">
        <v>157339</v>
      </c>
      <c r="P376" s="28" t="n">
        <v>24451</v>
      </c>
      <c r="Q376" s="28" t="n">
        <v>1213594</v>
      </c>
      <c r="R376" s="28" t="n">
        <v>0</v>
      </c>
      <c r="S376" s="28">
        <f>Q376-R376</f>
        <v/>
      </c>
      <c r="T376" s="28">
        <f>IF(S376="","",S376*(1+in_GrowthRate)^(YEARFRAC(DATE(2023,6,30),in_AgeToDate)*IF(in_AgeToDate&lt;DATE(2023,6,30),-1,1)+1))</f>
        <v/>
      </c>
      <c r="U376" s="50">
        <f>IF(AND(AND(OR(in_Mode="All Funds",AND(C376&gt;=in_BandFloor,C376&lt;=in_BandCeiling,OR(in_Geography="National",COUNTIFS(lst_GeoPreset,in_Geography,lst_GeoState,B376)&gt;0,AND(in_Geography="Custom",ISNUMBER(SEARCH(B376,SUBSTITUTE(in_CustomStates," ",""))))),OR(AND(D376="Endowment",Inputs!$B$14="Y"),AND(D376="Foundation",Inputs!$B$15="Y"),AND(D376="Healthcare",Inputs!$B$16="Y"),AND(D376="Pension",Inputs!$B$17="Y"),AND(D376="OCIO",Inputs!$B$18="Y"),AND(D376="Other",Inputs!$B$19="Y")))),A376&lt;&gt;in_ClientOrg,NOT(AND(in_ExclHarvard="Y",ISNUMBER(SEARCH("Harvard",A376))))),$AD376="Y",K376&lt;&gt;"",S376&gt;0),"Y","")</f>
        <v/>
      </c>
      <c r="V376" s="30" t="n">
        <v>0.282547352991301</v>
      </c>
      <c r="W376" t="inlineStr"/>
      <c r="X376" s="28">
        <f>IF(L376+M376=0,"",L376+M376)</f>
        <v/>
      </c>
      <c r="Y376" s="38">
        <f>IF(L376=0,"",M376/L376)</f>
        <v/>
      </c>
      <c r="Z376" t="inlineStr">
        <is>
          <t>Managing Director</t>
        </is>
      </c>
      <c r="AA376" t="inlineStr">
        <is>
          <t>Investments</t>
        </is>
      </c>
      <c r="AB376" s="50" t="inlineStr"/>
      <c r="AC376" s="43">
        <f>HYPERLINK("https://projects.propublica.org/nonprofits/organizations/560532129/202441369349300929/full","view filing")</f>
        <v/>
      </c>
      <c r="AD376" s="50" t="inlineStr"/>
    </row>
    <row r="377">
      <c r="A377" t="inlineStr">
        <is>
          <t>Duke University</t>
        </is>
      </c>
      <c r="B377" s="50" t="inlineStr">
        <is>
          <t>NC</t>
        </is>
      </c>
      <c r="C377" s="52" t="n">
        <v>21.16</v>
      </c>
      <c r="D377" t="inlineStr">
        <is>
          <t>Endowment</t>
        </is>
      </c>
      <c r="E377" s="50" t="n">
        <v>2023</v>
      </c>
      <c r="F377" s="50" t="inlineStr">
        <is>
          <t>2024-05-15</t>
        </is>
      </c>
      <c r="G377" s="50" t="inlineStr">
        <is>
          <t>2023-06-30</t>
        </is>
      </c>
      <c r="H377" t="inlineStr">
        <is>
          <t>Mark E Corigliano</t>
        </is>
      </c>
      <c r="I377" t="inlineStr">
        <is>
          <t>INVESTMENT MANAGER</t>
        </is>
      </c>
      <c r="J377" t="inlineStr">
        <is>
          <t>Investment Manager</t>
        </is>
      </c>
      <c r="K377" t="inlineStr">
        <is>
          <t>Sr Investment Professional</t>
        </is>
      </c>
      <c r="L377" s="28" t="n">
        <v>412910</v>
      </c>
      <c r="M377" s="28" t="n">
        <v>653723</v>
      </c>
      <c r="N377" s="28" t="n">
        <v>165975</v>
      </c>
      <c r="O377" s="28" t="n">
        <v>190114</v>
      </c>
      <c r="P377" s="28" t="n">
        <v>42453</v>
      </c>
      <c r="Q377" s="28" t="n">
        <v>1465175</v>
      </c>
      <c r="R377" s="28" t="n">
        <v>150600</v>
      </c>
      <c r="S377" s="28">
        <f>Q377-R377</f>
        <v/>
      </c>
      <c r="T377" s="28">
        <f>IF(S377="","",S377*(1+in_GrowthRate)^(YEARFRAC(DATE(2023,6,30),in_AgeToDate)*IF(in_AgeToDate&lt;DATE(2023,6,30),-1,1)+1))</f>
        <v/>
      </c>
      <c r="U377" s="50">
        <f>IF(AND(AND(OR(in_Mode="All Funds",AND(C377&gt;=in_BandFloor,C377&lt;=in_BandCeiling,OR(in_Geography="National",COUNTIFS(lst_GeoPreset,in_Geography,lst_GeoState,B377)&gt;0,AND(in_Geography="Custom",ISNUMBER(SEARCH(B377,SUBSTITUTE(in_CustomStates," ",""))))),OR(AND(D377="Endowment",Inputs!$B$14="Y"),AND(D377="Foundation",Inputs!$B$15="Y"),AND(D377="Healthcare",Inputs!$B$16="Y"),AND(D377="Pension",Inputs!$B$17="Y"),AND(D377="OCIO",Inputs!$B$18="Y"),AND(D377="Other",Inputs!$B$19="Y")))),A377&lt;&gt;in_ClientOrg,NOT(AND(in_ExclHarvard="Y",ISNUMBER(SEARCH("Harvard",A377))))),$AD377="Y",K377&lt;&gt;"",S377&gt;0),"Y","")</f>
        <v/>
      </c>
      <c r="V377" s="30" t="n">
        <v>0.3060576161043475</v>
      </c>
      <c r="W377" t="inlineStr"/>
      <c r="X377" s="28">
        <f>IF(L377+M377=0,"",L377+M377)</f>
        <v/>
      </c>
      <c r="Y377" s="38">
        <f>IF(L377=0,"",M377/L377)</f>
        <v/>
      </c>
      <c r="Z377" t="inlineStr">
        <is>
          <t>Managing Director</t>
        </is>
      </c>
      <c r="AA377" t="inlineStr">
        <is>
          <t>Investments</t>
        </is>
      </c>
      <c r="AB377" s="50" t="inlineStr"/>
      <c r="AC377" s="43">
        <f>HYPERLINK("https://projects.propublica.org/nonprofits/organizations/560532129/202441369349300929/full","view filing")</f>
        <v/>
      </c>
      <c r="AD377" s="50" t="inlineStr"/>
    </row>
    <row r="378">
      <c r="A378" t="inlineStr">
        <is>
          <t>Duke University</t>
        </is>
      </c>
      <c r="B378" s="50" t="inlineStr">
        <is>
          <t>NC</t>
        </is>
      </c>
      <c r="C378" s="52" t="n">
        <v>21.16</v>
      </c>
      <c r="D378" t="inlineStr">
        <is>
          <t>Endowment</t>
        </is>
      </c>
      <c r="E378" s="50" t="n">
        <v>2023</v>
      </c>
      <c r="F378" s="50" t="inlineStr">
        <is>
          <t>2024-05-15</t>
        </is>
      </c>
      <c r="G378" s="50" t="inlineStr">
        <is>
          <t>2023-06-30</t>
        </is>
      </c>
      <c r="H378" t="inlineStr">
        <is>
          <t>Neal F Triplett</t>
        </is>
      </c>
      <c r="I378" t="inlineStr">
        <is>
          <t>CHIEF INVESTMENT OFFICER</t>
        </is>
      </c>
      <c r="J378" t="inlineStr">
        <is>
          <t>CIO</t>
        </is>
      </c>
      <c r="K378" t="inlineStr">
        <is>
          <t>CIO - Top Investment Executive</t>
        </is>
      </c>
      <c r="L378" s="28" t="n">
        <v>821217</v>
      </c>
      <c r="M378" s="28" t="n">
        <v>3350000</v>
      </c>
      <c r="N378" s="28" t="n">
        <v>20500</v>
      </c>
      <c r="O378" s="28" t="n">
        <v>37164</v>
      </c>
      <c r="P378" s="28" t="n">
        <v>66307</v>
      </c>
      <c r="Q378" s="28" t="n">
        <v>4295188</v>
      </c>
      <c r="R378" s="28" t="n">
        <v>0</v>
      </c>
      <c r="S378" s="28">
        <f>Q378-R378</f>
        <v/>
      </c>
      <c r="T378" s="28">
        <f>IF(S378="","",S378*(1+in_GrowthRate)^(YEARFRAC(DATE(2023,6,30),in_AgeToDate)*IF(in_AgeToDate&lt;DATE(2023,6,30),-1,1)+1))</f>
        <v/>
      </c>
      <c r="U378" s="50">
        <f>IF(AND(AND(OR(in_Mode="All Funds",AND(C378&gt;=in_BandFloor,C378&lt;=in_BandCeiling,OR(in_Geography="National",COUNTIFS(lst_GeoPreset,in_Geography,lst_GeoState,B378)&gt;0,AND(in_Geography="Custom",ISNUMBER(SEARCH(B378,SUBSTITUTE(in_CustomStates," ",""))))),OR(AND(D378="Endowment",Inputs!$B$14="Y"),AND(D378="Foundation",Inputs!$B$15="Y"),AND(D378="Healthcare",Inputs!$B$16="Y"),AND(D378="Pension",Inputs!$B$17="Y"),AND(D378="OCIO",Inputs!$B$18="Y"),AND(D378="Other",Inputs!$B$19="Y")))),A378&lt;&gt;in_ClientOrg,NOT(AND(in_ExclHarvard="Y",ISNUMBER(SEARCH("Harvard",A378))))),$AD378="Y",K378&lt;&gt;"",S378&gt;0),"Y","")</f>
        <v/>
      </c>
      <c r="V378" s="30" t="n">
        <v>1</v>
      </c>
      <c r="W378" t="inlineStr"/>
      <c r="X378" s="28">
        <f>IF(L378+M378=0,"",L378+M378)</f>
        <v/>
      </c>
      <c r="Y378" s="38">
        <f>IF(L378=0,"",M378/L378)</f>
        <v/>
      </c>
      <c r="Z378" t="inlineStr">
        <is>
          <t>CIO - Top Investment Executive</t>
        </is>
      </c>
      <c r="AA378" t="inlineStr">
        <is>
          <t>Leadership</t>
        </is>
      </c>
      <c r="AB378" s="50" t="inlineStr">
        <is>
          <t>Y</t>
        </is>
      </c>
      <c r="AC378" s="43">
        <f>HYPERLINK("https://projects.propublica.org/nonprofits/organizations/560532129/202441369349300929/full","view filing")</f>
        <v/>
      </c>
      <c r="AD378" s="50" t="inlineStr"/>
    </row>
    <row r="379">
      <c r="A379" t="inlineStr">
        <is>
          <t>Duke University</t>
        </is>
      </c>
      <c r="B379" s="50" t="inlineStr">
        <is>
          <t>NC</t>
        </is>
      </c>
      <c r="C379" s="52" t="n">
        <v>21.16</v>
      </c>
      <c r="D379" t="inlineStr">
        <is>
          <t>Endowment</t>
        </is>
      </c>
      <c r="E379" s="50" t="n">
        <v>2022</v>
      </c>
      <c r="F379" s="50" t="inlineStr">
        <is>
          <t>2023-05-15</t>
        </is>
      </c>
      <c r="G379" s="50" t="inlineStr">
        <is>
          <t>2022-06-30</t>
        </is>
      </c>
      <c r="H379" t="inlineStr">
        <is>
          <t>Evan L Jones</t>
        </is>
      </c>
      <c r="I379" t="inlineStr">
        <is>
          <t>INVESTMENT MANAGER</t>
        </is>
      </c>
      <c r="J379" t="inlineStr">
        <is>
          <t>Investment Manager</t>
        </is>
      </c>
      <c r="K379" t="inlineStr">
        <is>
          <t>Sr Investment Professional</t>
        </is>
      </c>
      <c r="L379" s="28" t="n">
        <v>389217</v>
      </c>
      <c r="M379" s="28" t="n">
        <v>783475</v>
      </c>
      <c r="N379" s="28" t="n">
        <v>19500</v>
      </c>
      <c r="O379" s="28" t="n">
        <v>190746</v>
      </c>
      <c r="P379" s="28" t="n">
        <v>20323</v>
      </c>
      <c r="Q379" s="28" t="n">
        <v>1403261</v>
      </c>
      <c r="R379" s="28" t="n">
        <v>0</v>
      </c>
      <c r="S379" s="28">
        <f>Q379-R379</f>
        <v/>
      </c>
      <c r="T379" s="28">
        <f>IF(S379="","",S379*(1+in_GrowthRate)^(YEARFRAC(DATE(2022,6,30),in_AgeToDate)*IF(in_AgeToDate&lt;DATE(2022,6,30),-1,1)+1))</f>
        <v/>
      </c>
      <c r="U379" s="50">
        <f>IF(AND(AND(OR(in_Mode="All Funds",AND(C379&gt;=in_BandFloor,C379&lt;=in_BandCeiling,OR(in_Geography="National",COUNTIFS(lst_GeoPreset,in_Geography,lst_GeoState,B379)&gt;0,AND(in_Geography="Custom",ISNUMBER(SEARCH(B379,SUBSTITUTE(in_CustomStates," ",""))))),OR(AND(D379="Endowment",Inputs!$B$14="Y"),AND(D379="Foundation",Inputs!$B$15="Y"),AND(D379="Healthcare",Inputs!$B$16="Y"),AND(D379="Pension",Inputs!$B$17="Y"),AND(D379="OCIO",Inputs!$B$18="Y"),AND(D379="Other",Inputs!$B$19="Y")))),A379&lt;&gt;in_ClientOrg,NOT(AND(in_ExclHarvard="Y",ISNUMBER(SEARCH("Harvard",A379))))),$AD379="Y",K379&lt;&gt;"",S379&gt;0),"Y","")</f>
        <v/>
      </c>
      <c r="V379" s="30" t="n">
        <v>0.4735959462597267</v>
      </c>
      <c r="W379" t="inlineStr"/>
      <c r="X379" s="28">
        <f>IF(L379+M379=0,"",L379+M379)</f>
        <v/>
      </c>
      <c r="Y379" s="38">
        <f>IF(L379=0,"",M379/L379)</f>
        <v/>
      </c>
      <c r="Z379" t="inlineStr">
        <is>
          <t>Managing Director</t>
        </is>
      </c>
      <c r="AA379" t="inlineStr">
        <is>
          <t>Investments</t>
        </is>
      </c>
      <c r="AB379" s="50" t="inlineStr"/>
      <c r="AC379" s="43">
        <f>HYPERLINK("https://projects.propublica.org/nonprofits/organizations/560532129/202311359349317716/full","view filing")</f>
        <v/>
      </c>
      <c r="AD379" s="50" t="inlineStr"/>
    </row>
    <row r="380">
      <c r="A380" t="inlineStr">
        <is>
          <t>Duke University</t>
        </is>
      </c>
      <c r="B380" s="50" t="inlineStr">
        <is>
          <t>NC</t>
        </is>
      </c>
      <c r="C380" s="52" t="n">
        <v>21.16</v>
      </c>
      <c r="D380" t="inlineStr">
        <is>
          <t>Endowment</t>
        </is>
      </c>
      <c r="E380" s="50" t="n">
        <v>2022</v>
      </c>
      <c r="F380" s="50" t="inlineStr">
        <is>
          <t>2023-05-15</t>
        </is>
      </c>
      <c r="G380" s="50" t="inlineStr">
        <is>
          <t>2022-06-30</t>
        </is>
      </c>
      <c r="H380" t="inlineStr">
        <is>
          <t>Justin B Nixon</t>
        </is>
      </c>
      <c r="I380" t="inlineStr">
        <is>
          <t>INVESTMENT MANAGER</t>
        </is>
      </c>
      <c r="J380" t="inlineStr">
        <is>
          <t>Investment Manager</t>
        </is>
      </c>
      <c r="K380" t="inlineStr">
        <is>
          <t>Sr Investment Professional</t>
        </is>
      </c>
      <c r="L380" s="28" t="n">
        <v>406816</v>
      </c>
      <c r="M380" s="28" t="n">
        <v>768846</v>
      </c>
      <c r="N380" s="28" t="n">
        <v>0</v>
      </c>
      <c r="O380" s="28" t="n">
        <v>184471</v>
      </c>
      <c r="P380" s="28" t="n">
        <v>29749</v>
      </c>
      <c r="Q380" s="28" t="n">
        <v>1389882</v>
      </c>
      <c r="R380" s="28" t="n">
        <v>0</v>
      </c>
      <c r="S380" s="28">
        <f>Q380-R380</f>
        <v/>
      </c>
      <c r="T380" s="28">
        <f>IF(S380="","",S380*(1+in_GrowthRate)^(YEARFRAC(DATE(2022,6,30),in_AgeToDate)*IF(in_AgeToDate&lt;DATE(2022,6,30),-1,1)+1))</f>
        <v/>
      </c>
      <c r="U380" s="50">
        <f>IF(AND(AND(OR(in_Mode="All Funds",AND(C380&gt;=in_BandFloor,C380&lt;=in_BandCeiling,OR(in_Geography="National",COUNTIFS(lst_GeoPreset,in_Geography,lst_GeoState,B380)&gt;0,AND(in_Geography="Custom",ISNUMBER(SEARCH(B380,SUBSTITUTE(in_CustomStates," ",""))))),OR(AND(D380="Endowment",Inputs!$B$14="Y"),AND(D380="Foundation",Inputs!$B$15="Y"),AND(D380="Healthcare",Inputs!$B$16="Y"),AND(D380="Pension",Inputs!$B$17="Y"),AND(D380="OCIO",Inputs!$B$18="Y"),AND(D380="Other",Inputs!$B$19="Y")))),A380&lt;&gt;in_ClientOrg,NOT(AND(in_ExclHarvard="Y",ISNUMBER(SEARCH("Harvard",A380))))),$AD380="Y",K380&lt;&gt;"",S380&gt;0),"Y","")</f>
        <v/>
      </c>
      <c r="V380" s="30" t="n">
        <v>0.4690805780103355</v>
      </c>
      <c r="W380" t="inlineStr"/>
      <c r="X380" s="28">
        <f>IF(L380+M380=0,"",L380+M380)</f>
        <v/>
      </c>
      <c r="Y380" s="38">
        <f>IF(L380=0,"",M380/L380)</f>
        <v/>
      </c>
      <c r="Z380" t="inlineStr">
        <is>
          <t>Managing Director</t>
        </is>
      </c>
      <c r="AA380" t="inlineStr">
        <is>
          <t>Investments</t>
        </is>
      </c>
      <c r="AB380" s="50" t="inlineStr"/>
      <c r="AC380" s="43">
        <f>HYPERLINK("https://projects.propublica.org/nonprofits/organizations/560532129/202311359349317716/full","view filing")</f>
        <v/>
      </c>
      <c r="AD380" s="50" t="inlineStr"/>
    </row>
    <row r="381">
      <c r="A381" t="inlineStr">
        <is>
          <t>Duke University</t>
        </is>
      </c>
      <c r="B381" s="50" t="inlineStr">
        <is>
          <t>NC</t>
        </is>
      </c>
      <c r="C381" s="52" t="n">
        <v>21.16</v>
      </c>
      <c r="D381" t="inlineStr">
        <is>
          <t>Endowment</t>
        </is>
      </c>
      <c r="E381" s="50" t="n">
        <v>2022</v>
      </c>
      <c r="F381" s="50" t="inlineStr">
        <is>
          <t>2023-05-15</t>
        </is>
      </c>
      <c r="G381" s="50" t="inlineStr">
        <is>
          <t>2022-06-30</t>
        </is>
      </c>
      <c r="H381" t="inlineStr">
        <is>
          <t>Mark E Corigliano</t>
        </is>
      </c>
      <c r="I381" t="inlineStr">
        <is>
          <t>INVESTMENT MANAGER</t>
        </is>
      </c>
      <c r="J381" t="inlineStr">
        <is>
          <t>Investment Manager</t>
        </is>
      </c>
      <c r="K381" t="inlineStr">
        <is>
          <t>Sr Investment Professional</t>
        </is>
      </c>
      <c r="L381" s="28" t="n">
        <v>343495</v>
      </c>
      <c r="M381" s="28" t="n">
        <v>665693</v>
      </c>
      <c r="N381" s="28" t="n">
        <v>19500</v>
      </c>
      <c r="O381" s="28" t="n">
        <v>169746</v>
      </c>
      <c r="P381" s="28" t="n">
        <v>31668</v>
      </c>
      <c r="Q381" s="28" t="n">
        <v>1230102</v>
      </c>
      <c r="R381" s="28" t="n">
        <v>0</v>
      </c>
      <c r="S381" s="28">
        <f>Q381-R381</f>
        <v/>
      </c>
      <c r="T381" s="28">
        <f>IF(S381="","",S381*(1+in_GrowthRate)^(YEARFRAC(DATE(2022,6,30),in_AgeToDate)*IF(in_AgeToDate&lt;DATE(2022,6,30),-1,1)+1))</f>
        <v/>
      </c>
      <c r="U381" s="50">
        <f>IF(AND(AND(OR(in_Mode="All Funds",AND(C381&gt;=in_BandFloor,C381&lt;=in_BandCeiling,OR(in_Geography="National",COUNTIFS(lst_GeoPreset,in_Geography,lst_GeoState,B381)&gt;0,AND(in_Geography="Custom",ISNUMBER(SEARCH(B381,SUBSTITUTE(in_CustomStates," ",""))))),OR(AND(D381="Endowment",Inputs!$B$14="Y"),AND(D381="Foundation",Inputs!$B$15="Y"),AND(D381="Healthcare",Inputs!$B$16="Y"),AND(D381="Pension",Inputs!$B$17="Y"),AND(D381="OCIO",Inputs!$B$18="Y"),AND(D381="Other",Inputs!$B$19="Y")))),A381&lt;&gt;in_ClientOrg,NOT(AND(in_ExclHarvard="Y",ISNUMBER(SEARCH("Harvard",A381))))),$AD381="Y",K381&lt;&gt;"",S381&gt;0),"Y","")</f>
        <v/>
      </c>
      <c r="V381" s="30" t="n">
        <v>0.4151553564775065</v>
      </c>
      <c r="W381" t="inlineStr"/>
      <c r="X381" s="28">
        <f>IF(L381+M381=0,"",L381+M381)</f>
        <v/>
      </c>
      <c r="Y381" s="38">
        <f>IF(L381=0,"",M381/L381)</f>
        <v/>
      </c>
      <c r="Z381" t="inlineStr">
        <is>
          <t>Managing Director</t>
        </is>
      </c>
      <c r="AA381" t="inlineStr">
        <is>
          <t>Investments</t>
        </is>
      </c>
      <c r="AB381" s="50" t="inlineStr"/>
      <c r="AC381" s="43">
        <f>HYPERLINK("https://projects.propublica.org/nonprofits/organizations/560532129/202311359349317716/full","view filing")</f>
        <v/>
      </c>
      <c r="AD381" s="50" t="inlineStr"/>
    </row>
    <row r="382">
      <c r="A382" t="inlineStr">
        <is>
          <t>Duke University</t>
        </is>
      </c>
      <c r="B382" s="50" t="inlineStr">
        <is>
          <t>NC</t>
        </is>
      </c>
      <c r="C382" s="52" t="n">
        <v>21.16</v>
      </c>
      <c r="D382" t="inlineStr">
        <is>
          <t>Endowment</t>
        </is>
      </c>
      <c r="E382" s="50" t="n">
        <v>2022</v>
      </c>
      <c r="F382" s="50" t="inlineStr">
        <is>
          <t>2023-05-15</t>
        </is>
      </c>
      <c r="G382" s="50" t="inlineStr">
        <is>
          <t>2022-06-30</t>
        </is>
      </c>
      <c r="H382" t="inlineStr">
        <is>
          <t>Neal F Triplett</t>
        </is>
      </c>
      <c r="I382" t="inlineStr">
        <is>
          <t>CHIEF INVESTMENT OFFICER</t>
        </is>
      </c>
      <c r="J382" t="inlineStr">
        <is>
          <t>CIO</t>
        </is>
      </c>
      <c r="K382" t="inlineStr">
        <is>
          <t>CIO - Top Investment Executive</t>
        </is>
      </c>
      <c r="L382" s="28" t="n">
        <v>699107</v>
      </c>
      <c r="M382" s="28" t="n">
        <v>2124358</v>
      </c>
      <c r="N382" s="28" t="n">
        <v>19500</v>
      </c>
      <c r="O382" s="28" t="n">
        <v>35296</v>
      </c>
      <c r="P382" s="28" t="n">
        <v>84731</v>
      </c>
      <c r="Q382" s="28" t="n">
        <v>2962992</v>
      </c>
      <c r="R382" s="28" t="n">
        <v>0</v>
      </c>
      <c r="S382" s="28">
        <f>Q382-R382</f>
        <v/>
      </c>
      <c r="T382" s="28">
        <f>IF(S382="","",S382*(1+in_GrowthRate)^(YEARFRAC(DATE(2022,6,30),in_AgeToDate)*IF(in_AgeToDate&lt;DATE(2022,6,30),-1,1)+1))</f>
        <v/>
      </c>
      <c r="U382" s="50">
        <f>IF(AND(AND(OR(in_Mode="All Funds",AND(C382&gt;=in_BandFloor,C382&lt;=in_BandCeiling,OR(in_Geography="National",COUNTIFS(lst_GeoPreset,in_Geography,lst_GeoState,B382)&gt;0,AND(in_Geography="Custom",ISNUMBER(SEARCH(B382,SUBSTITUTE(in_CustomStates," ",""))))),OR(AND(D382="Endowment",Inputs!$B$14="Y"),AND(D382="Foundation",Inputs!$B$15="Y"),AND(D382="Healthcare",Inputs!$B$16="Y"),AND(D382="Pension",Inputs!$B$17="Y"),AND(D382="OCIO",Inputs!$B$18="Y"),AND(D382="Other",Inputs!$B$19="Y")))),A382&lt;&gt;in_ClientOrg,NOT(AND(in_ExclHarvard="Y",ISNUMBER(SEARCH("Harvard",A382))))),$AD382="Y",K382&lt;&gt;"",S382&gt;0),"Y","")</f>
        <v/>
      </c>
      <c r="V382" s="30" t="n">
        <v>1</v>
      </c>
      <c r="W382" t="inlineStr"/>
      <c r="X382" s="28">
        <f>IF(L382+M382=0,"",L382+M382)</f>
        <v/>
      </c>
      <c r="Y382" s="38">
        <f>IF(L382=0,"",M382/L382)</f>
        <v/>
      </c>
      <c r="Z382" t="inlineStr">
        <is>
          <t>CIO - Top Investment Executive</t>
        </is>
      </c>
      <c r="AA382" t="inlineStr">
        <is>
          <t>Leadership</t>
        </is>
      </c>
      <c r="AB382" s="50" t="inlineStr">
        <is>
          <t>Y</t>
        </is>
      </c>
      <c r="AC382" s="43">
        <f>HYPERLINK("https://projects.propublica.org/nonprofits/organizations/560532129/202311359349317716/full","view filing")</f>
        <v/>
      </c>
      <c r="AD382" s="50" t="inlineStr"/>
    </row>
    <row r="383">
      <c r="A383" t="inlineStr">
        <is>
          <t>Duquesne University Of The Holy Spirit</t>
        </is>
      </c>
      <c r="B383" s="50" t="inlineStr">
        <is>
          <t>PA</t>
        </is>
      </c>
      <c r="C383" s="52" t="n">
        <v>0.83</v>
      </c>
      <c r="D383" t="inlineStr">
        <is>
          <t>Endowment</t>
        </is>
      </c>
      <c r="E383" s="50" t="n">
        <v>2025</v>
      </c>
      <c r="F383" s="50" t="inlineStr">
        <is>
          <t>2026-05-08</t>
        </is>
      </c>
      <c r="G383" s="50" t="inlineStr">
        <is>
          <t>2025-06-30</t>
        </is>
      </c>
      <c r="H383" t="inlineStr">
        <is>
          <t>Matthew Rozyczka</t>
        </is>
      </c>
      <c r="I383" t="inlineStr">
        <is>
          <t>CHIEF INVESTMENT OFFICER</t>
        </is>
      </c>
      <c r="J383" t="inlineStr">
        <is>
          <t>CIO</t>
        </is>
      </c>
      <c r="K383" t="inlineStr">
        <is>
          <t>CIO - Top Investment Executive</t>
        </is>
      </c>
      <c r="L383" s="28" t="n">
        <v>333290</v>
      </c>
      <c r="M383" s="28" t="n">
        <v>183855</v>
      </c>
      <c r="N383" s="28" t="n">
        <v>23449</v>
      </c>
      <c r="O383" s="28" t="n">
        <v>102250</v>
      </c>
      <c r="P383" s="28" t="n">
        <v>21462</v>
      </c>
      <c r="Q383" s="28" t="n">
        <v>664306</v>
      </c>
      <c r="R383" s="28" t="n">
        <v>0</v>
      </c>
      <c r="S383" s="28">
        <f>Q383-R383</f>
        <v/>
      </c>
      <c r="T383" s="28">
        <f>IF(S383="","",S383*(1+in_GrowthRate)^(YEARFRAC(DATE(2025,6,30),in_AgeToDate)*IF(in_AgeToDate&lt;DATE(2025,6,30),-1,1)+1))</f>
        <v/>
      </c>
      <c r="U383" s="50">
        <f>IF(AND(AND(OR(in_Mode="All Funds",AND(C383&gt;=in_BandFloor,C383&lt;=in_BandCeiling,OR(in_Geography="National",COUNTIFS(lst_GeoPreset,in_Geography,lst_GeoState,B383)&gt;0,AND(in_Geography="Custom",ISNUMBER(SEARCH(B383,SUBSTITUTE(in_CustomStates," ",""))))),OR(AND(D383="Endowment",Inputs!$B$14="Y"),AND(D383="Foundation",Inputs!$B$15="Y"),AND(D383="Healthcare",Inputs!$B$16="Y"),AND(D383="Pension",Inputs!$B$17="Y"),AND(D383="OCIO",Inputs!$B$18="Y"),AND(D383="Other",Inputs!$B$19="Y")))),A383&lt;&gt;in_ClientOrg,NOT(AND(in_ExclHarvard="Y",ISNUMBER(SEARCH("Harvard",A383))))),$AD383="Y",K383&lt;&gt;"",S383&gt;0),"Y","")</f>
        <v/>
      </c>
      <c r="V383" s="30" t="n">
        <v>1</v>
      </c>
      <c r="W383" t="inlineStr"/>
      <c r="X383" s="28">
        <f>IF(L383+M383=0,"",L383+M383)</f>
        <v/>
      </c>
      <c r="Y383" s="38">
        <f>IF(L383=0,"",M383/L383)</f>
        <v/>
      </c>
      <c r="Z383" t="inlineStr">
        <is>
          <t>CIO - Top Investment Executive</t>
        </is>
      </c>
      <c r="AA383" t="inlineStr">
        <is>
          <t>Leadership</t>
        </is>
      </c>
      <c r="AB383" s="50" t="inlineStr">
        <is>
          <t>Y</t>
        </is>
      </c>
      <c r="AC383" s="43">
        <f>HYPERLINK("https://projects.propublica.org/nonprofits/organizations/251035663/202601289349302650/full","view filing")</f>
        <v/>
      </c>
      <c r="AD383" s="50" t="inlineStr">
        <is>
          <t>Y</t>
        </is>
      </c>
    </row>
    <row r="384">
      <c r="A384" t="inlineStr">
        <is>
          <t>Duquesne University Of The Holy Spirit</t>
        </is>
      </c>
      <c r="B384" s="50" t="inlineStr">
        <is>
          <t>PA</t>
        </is>
      </c>
      <c r="C384" s="52" t="n">
        <v>0.83</v>
      </c>
      <c r="D384" t="inlineStr">
        <is>
          <t>Endowment</t>
        </is>
      </c>
      <c r="E384" s="50" t="n">
        <v>2024</v>
      </c>
      <c r="F384" s="50" t="inlineStr">
        <is>
          <t>2025-05-09</t>
        </is>
      </c>
      <c r="G384" s="50" t="inlineStr">
        <is>
          <t>2024-06-30</t>
        </is>
      </c>
      <c r="H384" t="inlineStr">
        <is>
          <t>Matthew Rozyczka</t>
        </is>
      </c>
      <c r="I384" t="inlineStr">
        <is>
          <t>CHIEF INVESTMENT OFFICER</t>
        </is>
      </c>
      <c r="J384" t="inlineStr">
        <is>
          <t>CIO</t>
        </is>
      </c>
      <c r="K384" t="inlineStr">
        <is>
          <t>CIO - Top Investment Executive</t>
        </is>
      </c>
      <c r="L384" s="28" t="n">
        <v>350284</v>
      </c>
      <c r="M384" s="28" t="n">
        <v>191065</v>
      </c>
      <c r="N384" s="28" t="n">
        <v>306</v>
      </c>
      <c r="O384" s="28" t="n">
        <v>98865</v>
      </c>
      <c r="P384" s="28" t="n">
        <v>21310</v>
      </c>
      <c r="Q384" s="28" t="n">
        <v>661830</v>
      </c>
      <c r="R384" s="28" t="n">
        <v>0</v>
      </c>
      <c r="S384" s="28">
        <f>Q384-R384</f>
        <v/>
      </c>
      <c r="T384" s="28">
        <f>IF(S384="","",S384*(1+in_GrowthRate)^(YEARFRAC(DATE(2024,6,30),in_AgeToDate)*IF(in_AgeToDate&lt;DATE(2024,6,30),-1,1)+1))</f>
        <v/>
      </c>
      <c r="U384" s="50">
        <f>IF(AND(AND(OR(in_Mode="All Funds",AND(C384&gt;=in_BandFloor,C384&lt;=in_BandCeiling,OR(in_Geography="National",COUNTIFS(lst_GeoPreset,in_Geography,lst_GeoState,B384)&gt;0,AND(in_Geography="Custom",ISNUMBER(SEARCH(B384,SUBSTITUTE(in_CustomStates," ",""))))),OR(AND(D384="Endowment",Inputs!$B$14="Y"),AND(D384="Foundation",Inputs!$B$15="Y"),AND(D384="Healthcare",Inputs!$B$16="Y"),AND(D384="Pension",Inputs!$B$17="Y"),AND(D384="OCIO",Inputs!$B$18="Y"),AND(D384="Other",Inputs!$B$19="Y")))),A384&lt;&gt;in_ClientOrg,NOT(AND(in_ExclHarvard="Y",ISNUMBER(SEARCH("Harvard",A384))))),$AD384="Y",K384&lt;&gt;"",S384&gt;0),"Y","")</f>
        <v/>
      </c>
      <c r="V384" s="30" t="n">
        <v>1</v>
      </c>
      <c r="W384" t="inlineStr"/>
      <c r="X384" s="28">
        <f>IF(L384+M384=0,"",L384+M384)</f>
        <v/>
      </c>
      <c r="Y384" s="38">
        <f>IF(L384=0,"",M384/L384)</f>
        <v/>
      </c>
      <c r="Z384" t="inlineStr">
        <is>
          <t>CIO - Top Investment Executive</t>
        </is>
      </c>
      <c r="AA384" t="inlineStr">
        <is>
          <t>Leadership</t>
        </is>
      </c>
      <c r="AB384" s="50" t="inlineStr">
        <is>
          <t>Y</t>
        </is>
      </c>
      <c r="AC384" s="43">
        <f>HYPERLINK("https://projects.propublica.org/nonprofits/organizations/251035663/202511299349302751/full","view filing")</f>
        <v/>
      </c>
      <c r="AD384" s="50" t="inlineStr"/>
    </row>
    <row r="385">
      <c r="A385" t="inlineStr">
        <is>
          <t>Duquesne University Of The Holy Spirit</t>
        </is>
      </c>
      <c r="B385" s="50" t="inlineStr">
        <is>
          <t>PA</t>
        </is>
      </c>
      <c r="C385" s="52" t="n">
        <v>0.83</v>
      </c>
      <c r="D385" t="inlineStr">
        <is>
          <t>Endowment</t>
        </is>
      </c>
      <c r="E385" s="50" t="n">
        <v>2023</v>
      </c>
      <c r="F385" s="50" t="inlineStr">
        <is>
          <t>2024-05-10</t>
        </is>
      </c>
      <c r="G385" s="50" t="inlineStr">
        <is>
          <t>2023-06-30</t>
        </is>
      </c>
      <c r="H385" t="inlineStr">
        <is>
          <t>Matthew Rozyczka</t>
        </is>
      </c>
      <c r="I385" t="inlineStr">
        <is>
          <t>CHIEF INVESTMENT OFFICER</t>
        </is>
      </c>
      <c r="J385" t="inlineStr">
        <is>
          <t>CIO</t>
        </is>
      </c>
      <c r="K385" t="inlineStr">
        <is>
          <t>CIO - Top Investment Executive</t>
        </is>
      </c>
      <c r="L385" s="28" t="n">
        <v>267015</v>
      </c>
      <c r="M385" s="28" t="n">
        <v>105000</v>
      </c>
      <c r="N385" s="28" t="n">
        <v>249</v>
      </c>
      <c r="O385" s="28" t="n">
        <v>85000</v>
      </c>
      <c r="P385" s="28" t="n">
        <v>16255</v>
      </c>
      <c r="Q385" s="28" t="n">
        <v>473519</v>
      </c>
      <c r="R385" s="28" t="n">
        <v>0</v>
      </c>
      <c r="S385" s="28">
        <f>Q385-R385</f>
        <v/>
      </c>
      <c r="T385" s="28">
        <f>IF(S385="","",S385*(1+in_GrowthRate)^(YEARFRAC(DATE(2023,6,30),in_AgeToDate)*IF(in_AgeToDate&lt;DATE(2023,6,30),-1,1)+1))</f>
        <v/>
      </c>
      <c r="U385" s="50">
        <f>IF(AND(AND(OR(in_Mode="All Funds",AND(C385&gt;=in_BandFloor,C385&lt;=in_BandCeiling,OR(in_Geography="National",COUNTIFS(lst_GeoPreset,in_Geography,lst_GeoState,B385)&gt;0,AND(in_Geography="Custom",ISNUMBER(SEARCH(B385,SUBSTITUTE(in_CustomStates," ",""))))),OR(AND(D385="Endowment",Inputs!$B$14="Y"),AND(D385="Foundation",Inputs!$B$15="Y"),AND(D385="Healthcare",Inputs!$B$16="Y"),AND(D385="Pension",Inputs!$B$17="Y"),AND(D385="OCIO",Inputs!$B$18="Y"),AND(D385="Other",Inputs!$B$19="Y")))),A385&lt;&gt;in_ClientOrg,NOT(AND(in_ExclHarvard="Y",ISNUMBER(SEARCH("Harvard",A385))))),$AD385="Y",K385&lt;&gt;"",S385&gt;0),"Y","")</f>
        <v/>
      </c>
      <c r="V385" s="30" t="n">
        <v>1</v>
      </c>
      <c r="W385" t="inlineStr"/>
      <c r="X385" s="28">
        <f>IF(L385+M385=0,"",L385+M385)</f>
        <v/>
      </c>
      <c r="Y385" s="38">
        <f>IF(L385=0,"",M385/L385)</f>
        <v/>
      </c>
      <c r="Z385" t="inlineStr">
        <is>
          <t>CIO - Top Investment Executive</t>
        </is>
      </c>
      <c r="AA385" t="inlineStr">
        <is>
          <t>Leadership</t>
        </is>
      </c>
      <c r="AB385" s="50" t="inlineStr">
        <is>
          <t>Y</t>
        </is>
      </c>
      <c r="AC385" s="43">
        <f>HYPERLINK("https://projects.propublica.org/nonprofits/organizations/251035663/202441319349303274/full","view filing")</f>
        <v/>
      </c>
      <c r="AD385" s="50" t="inlineStr"/>
    </row>
    <row r="386">
      <c r="A386" t="inlineStr">
        <is>
          <t>Emory University</t>
        </is>
      </c>
      <c r="B386" s="50" t="inlineStr">
        <is>
          <t>GA</t>
        </is>
      </c>
      <c r="C386" s="52" t="n">
        <v>12</v>
      </c>
      <c r="D386" t="inlineStr">
        <is>
          <t>Endowment</t>
        </is>
      </c>
      <c r="E386" s="50" t="n">
        <v>2025</v>
      </c>
      <c r="F386" s="50" t="inlineStr">
        <is>
          <t>2026-07-14</t>
        </is>
      </c>
      <c r="G386" s="50" t="inlineStr">
        <is>
          <t>2025-08-31</t>
        </is>
      </c>
      <c r="H386" t="inlineStr">
        <is>
          <t>Srinivas Pulavarti</t>
        </is>
      </c>
      <c r="I386" t="inlineStr">
        <is>
          <t>VP, Chief Investment Officer</t>
        </is>
      </c>
      <c r="J386" t="inlineStr">
        <is>
          <t>CIO</t>
        </is>
      </c>
      <c r="K386" t="inlineStr">
        <is>
          <t>CIO - Top Investment Executive</t>
        </is>
      </c>
      <c r="L386" s="28" t="n">
        <v>1152379</v>
      </c>
      <c r="M386" s="28" t="n">
        <v>3003000</v>
      </c>
      <c r="N386" s="28" t="n">
        <v>75256</v>
      </c>
      <c r="O386" s="28" t="n">
        <v>31050</v>
      </c>
      <c r="P386" s="28" t="n">
        <v>23005</v>
      </c>
      <c r="Q386" s="28" t="n">
        <v>4284690</v>
      </c>
      <c r="R386" s="28" t="n">
        <v>0</v>
      </c>
      <c r="S386" s="28">
        <f>Q386-R386</f>
        <v/>
      </c>
      <c r="T386" s="28">
        <f>IF(S386="","",S386*(1+in_GrowthRate)^(YEARFRAC(DATE(2025,8,31),in_AgeToDate)*IF(in_AgeToDate&lt;DATE(2025,8,31),-1,1)+1))</f>
        <v/>
      </c>
      <c r="U386" s="50">
        <f>IF(AND(AND(OR(in_Mode="All Funds",AND(C386&gt;=in_BandFloor,C386&lt;=in_BandCeiling,OR(in_Geography="National",COUNTIFS(lst_GeoPreset,in_Geography,lst_GeoState,B386)&gt;0,AND(in_Geography="Custom",ISNUMBER(SEARCH(B386,SUBSTITUTE(in_CustomStates," ",""))))),OR(AND(D386="Endowment",Inputs!$B$14="Y"),AND(D386="Foundation",Inputs!$B$15="Y"),AND(D386="Healthcare",Inputs!$B$16="Y"),AND(D386="Pension",Inputs!$B$17="Y"),AND(D386="OCIO",Inputs!$B$18="Y"),AND(D386="Other",Inputs!$B$19="Y")))),A386&lt;&gt;in_ClientOrg,NOT(AND(in_ExclHarvard="Y",ISNUMBER(SEARCH("Harvard",A386))))),$AD386="Y",K386&lt;&gt;"",S386&gt;0),"Y","")</f>
        <v/>
      </c>
      <c r="V386" s="30" t="n">
        <v>1</v>
      </c>
      <c r="W386" t="inlineStr"/>
      <c r="X386" s="28">
        <f>IF(L386+M386=0,"",L386+M386)</f>
        <v/>
      </c>
      <c r="Y386" s="38">
        <f>IF(L386=0,"",M386/L386)</f>
        <v/>
      </c>
      <c r="Z386" t="inlineStr">
        <is>
          <t>CIO - Top Investment Executive</t>
        </is>
      </c>
      <c r="AA386" t="inlineStr">
        <is>
          <t>Leadership</t>
        </is>
      </c>
      <c r="AB386" s="50" t="inlineStr">
        <is>
          <t>Y</t>
        </is>
      </c>
      <c r="AC386" s="43">
        <f>HYPERLINK("https://projects.propublica.org/nonprofits/organizations/580566256/202611959349300411/full","view filing")</f>
        <v/>
      </c>
      <c r="AD386" s="50" t="inlineStr">
        <is>
          <t>Y</t>
        </is>
      </c>
    </row>
    <row r="387">
      <c r="A387" t="inlineStr">
        <is>
          <t>Emory University</t>
        </is>
      </c>
      <c r="B387" s="50" t="inlineStr">
        <is>
          <t>GA</t>
        </is>
      </c>
      <c r="C387" s="52" t="n">
        <v>12</v>
      </c>
      <c r="D387" t="inlineStr">
        <is>
          <t>Endowment</t>
        </is>
      </c>
      <c r="E387" s="50" t="n">
        <v>2024</v>
      </c>
      <c r="F387" s="50" t="inlineStr">
        <is>
          <t>2025-07-11</t>
        </is>
      </c>
      <c r="G387" s="50" t="inlineStr">
        <is>
          <t>2024-08-31</t>
        </is>
      </c>
      <c r="H387" t="inlineStr">
        <is>
          <t>Srinivas Pulavarti</t>
        </is>
      </c>
      <c r="I387" t="inlineStr">
        <is>
          <t>VP-Chief Investment Officer</t>
        </is>
      </c>
      <c r="J387" t="inlineStr">
        <is>
          <t>CIO</t>
        </is>
      </c>
      <c r="K387" t="inlineStr">
        <is>
          <t>CIO - Top Investment Executive</t>
        </is>
      </c>
      <c r="L387" s="28" t="n">
        <v>1110797</v>
      </c>
      <c r="M387" s="28" t="n">
        <v>2062500</v>
      </c>
      <c r="N387" s="28" t="n">
        <v>73260</v>
      </c>
      <c r="O387" s="28" t="n">
        <v>29700</v>
      </c>
      <c r="P387" s="28" t="n">
        <v>21605</v>
      </c>
      <c r="Q387" s="28" t="n">
        <v>3297862</v>
      </c>
      <c r="R387" s="28" t="n">
        <v>0</v>
      </c>
      <c r="S387" s="28">
        <f>Q387-R387</f>
        <v/>
      </c>
      <c r="T387" s="28">
        <f>IF(S387="","",S387*(1+in_GrowthRate)^(YEARFRAC(DATE(2024,8,31),in_AgeToDate)*IF(in_AgeToDate&lt;DATE(2024,8,31),-1,1)+1))</f>
        <v/>
      </c>
      <c r="U387" s="50">
        <f>IF(AND(AND(OR(in_Mode="All Funds",AND(C387&gt;=in_BandFloor,C387&lt;=in_BandCeiling,OR(in_Geography="National",COUNTIFS(lst_GeoPreset,in_Geography,lst_GeoState,B387)&gt;0,AND(in_Geography="Custom",ISNUMBER(SEARCH(B387,SUBSTITUTE(in_CustomStates," ",""))))),OR(AND(D387="Endowment",Inputs!$B$14="Y"),AND(D387="Foundation",Inputs!$B$15="Y"),AND(D387="Healthcare",Inputs!$B$16="Y"),AND(D387="Pension",Inputs!$B$17="Y"),AND(D387="OCIO",Inputs!$B$18="Y"),AND(D387="Other",Inputs!$B$19="Y")))),A387&lt;&gt;in_ClientOrg,NOT(AND(in_ExclHarvard="Y",ISNUMBER(SEARCH("Harvard",A387))))),$AD387="Y",K387&lt;&gt;"",S387&gt;0),"Y","")</f>
        <v/>
      </c>
      <c r="V387" s="30" t="n">
        <v>1</v>
      </c>
      <c r="W387" t="inlineStr"/>
      <c r="X387" s="28">
        <f>IF(L387+M387=0,"",L387+M387)</f>
        <v/>
      </c>
      <c r="Y387" s="38">
        <f>IF(L387=0,"",M387/L387)</f>
        <v/>
      </c>
      <c r="Z387" t="inlineStr">
        <is>
          <t>CIO - Top Investment Executive</t>
        </is>
      </c>
      <c r="AA387" t="inlineStr">
        <is>
          <t>Leadership</t>
        </is>
      </c>
      <c r="AB387" s="50" t="inlineStr">
        <is>
          <t>Y</t>
        </is>
      </c>
      <c r="AC387" s="43">
        <f>HYPERLINK("https://projects.propublica.org/nonprofits/organizations/580566256/202511929349300211/full","view filing")</f>
        <v/>
      </c>
      <c r="AD387" s="50" t="inlineStr"/>
    </row>
    <row r="388">
      <c r="A388" t="inlineStr">
        <is>
          <t>Emory University</t>
        </is>
      </c>
      <c r="B388" s="50" t="inlineStr">
        <is>
          <t>GA</t>
        </is>
      </c>
      <c r="C388" s="52" t="n">
        <v>12</v>
      </c>
      <c r="D388" t="inlineStr">
        <is>
          <t>Endowment</t>
        </is>
      </c>
      <c r="E388" s="50" t="n">
        <v>2023</v>
      </c>
      <c r="F388" s="50" t="inlineStr">
        <is>
          <t>2024-07-10</t>
        </is>
      </c>
      <c r="G388" s="50" t="inlineStr">
        <is>
          <t>2023-08-31</t>
        </is>
      </c>
      <c r="H388" t="inlineStr">
        <is>
          <t>Srinivas Pulavarti</t>
        </is>
      </c>
      <c r="I388" t="inlineStr">
        <is>
          <t>VP-Investments</t>
        </is>
      </c>
      <c r="J388" t="inlineStr">
        <is>
          <t>Director of Investments</t>
        </is>
      </c>
      <c r="K388" t="inlineStr">
        <is>
          <t>Sr Investment Professional</t>
        </is>
      </c>
      <c r="L388" s="28" t="n">
        <v>996130</v>
      </c>
      <c r="M388" s="28" t="n">
        <v>1781250</v>
      </c>
      <c r="N388" s="28" t="n">
        <v>71550</v>
      </c>
      <c r="O388" s="28" t="n">
        <v>27450</v>
      </c>
      <c r="P388" s="28" t="n">
        <v>18754</v>
      </c>
      <c r="Q388" s="28" t="n">
        <v>2895134</v>
      </c>
      <c r="R388" s="28" t="n">
        <v>0</v>
      </c>
      <c r="S388" s="28">
        <f>Q388-R388</f>
        <v/>
      </c>
      <c r="T388" s="28">
        <f>IF(S388="","",S388*(1+in_GrowthRate)^(YEARFRAC(DATE(2023,8,31),in_AgeToDate)*IF(in_AgeToDate&lt;DATE(2023,8,31),-1,1)+1))</f>
        <v/>
      </c>
      <c r="U388" s="50">
        <f>IF(AND(AND(OR(in_Mode="All Funds",AND(C388&gt;=in_BandFloor,C388&lt;=in_BandCeiling,OR(in_Geography="National",COUNTIFS(lst_GeoPreset,in_Geography,lst_GeoState,B388)&gt;0,AND(in_Geography="Custom",ISNUMBER(SEARCH(B388,SUBSTITUTE(in_CustomStates," ",""))))),OR(AND(D388="Endowment",Inputs!$B$14="Y"),AND(D388="Foundation",Inputs!$B$15="Y"),AND(D388="Healthcare",Inputs!$B$16="Y"),AND(D388="Pension",Inputs!$B$17="Y"),AND(D388="OCIO",Inputs!$B$18="Y"),AND(D388="Other",Inputs!$B$19="Y")))),A388&lt;&gt;in_ClientOrg,NOT(AND(in_ExclHarvard="Y",ISNUMBER(SEARCH("Harvard",A388))))),$AD388="Y",K388&lt;&gt;"",S388&gt;0),"Y","")</f>
        <v/>
      </c>
      <c r="V388" s="30" t="n"/>
      <c r="W388" t="inlineStr"/>
      <c r="X388" s="28">
        <f>IF(L388+M388=0,"",L388+M388)</f>
        <v/>
      </c>
      <c r="Y388" s="38">
        <f>IF(L388=0,"",M388/L388)</f>
        <v/>
      </c>
      <c r="Z388" t="inlineStr">
        <is>
          <t>Director &amp; Investment Officer</t>
        </is>
      </c>
      <c r="AA388" t="inlineStr">
        <is>
          <t>Investments</t>
        </is>
      </c>
      <c r="AB388" s="50" t="inlineStr"/>
      <c r="AC388" s="43">
        <f>HYPERLINK("https://projects.propublica.org/nonprofits/organizations/580566256/202431929349300718/full","view filing")</f>
        <v/>
      </c>
      <c r="AD388" s="50" t="inlineStr"/>
    </row>
    <row r="389">
      <c r="A389" t="inlineStr">
        <is>
          <t>Emory University</t>
        </is>
      </c>
      <c r="B389" s="50" t="inlineStr">
        <is>
          <t>GA</t>
        </is>
      </c>
      <c r="C389" s="52" t="n">
        <v>12</v>
      </c>
      <c r="D389" t="inlineStr">
        <is>
          <t>Endowment</t>
        </is>
      </c>
      <c r="E389" s="50" t="n">
        <v>2022</v>
      </c>
      <c r="F389" s="50" t="inlineStr">
        <is>
          <t>2023-07-14</t>
        </is>
      </c>
      <c r="G389" s="50" t="inlineStr">
        <is>
          <t>2022-08-31</t>
        </is>
      </c>
      <c r="H389" t="inlineStr">
        <is>
          <t>Matthew Alan Werner</t>
        </is>
      </c>
      <c r="I389" t="inlineStr">
        <is>
          <t>Investment Manager</t>
        </is>
      </c>
      <c r="J389" t="inlineStr">
        <is>
          <t>Investment Manager</t>
        </is>
      </c>
      <c r="K389" t="inlineStr">
        <is>
          <t>Sr Investment Professional</t>
        </is>
      </c>
      <c r="L389" s="28" t="n">
        <v>396050</v>
      </c>
      <c r="M389" s="28" t="n">
        <v>1515108</v>
      </c>
      <c r="N389" s="28" t="n">
        <v>0</v>
      </c>
      <c r="O389" s="28" t="n">
        <v>26100</v>
      </c>
      <c r="P389" s="28" t="n">
        <v>31190</v>
      </c>
      <c r="Q389" s="28" t="n">
        <v>1968448</v>
      </c>
      <c r="R389" s="28" t="n">
        <v>0</v>
      </c>
      <c r="S389" s="28">
        <f>Q389-R389</f>
        <v/>
      </c>
      <c r="T389" s="28">
        <f>IF(S389="","",S389*(1+in_GrowthRate)^(YEARFRAC(DATE(2022,8,31),in_AgeToDate)*IF(in_AgeToDate&lt;DATE(2022,8,31),-1,1)+1))</f>
        <v/>
      </c>
      <c r="U389" s="50">
        <f>IF(AND(AND(OR(in_Mode="All Funds",AND(C389&gt;=in_BandFloor,C389&lt;=in_BandCeiling,OR(in_Geography="National",COUNTIFS(lst_GeoPreset,in_Geography,lst_GeoState,B389)&gt;0,AND(in_Geography="Custom",ISNUMBER(SEARCH(B389,SUBSTITUTE(in_CustomStates," ",""))))),OR(AND(D389="Endowment",Inputs!$B$14="Y"),AND(D389="Foundation",Inputs!$B$15="Y"),AND(D389="Healthcare",Inputs!$B$16="Y"),AND(D389="Pension",Inputs!$B$17="Y"),AND(D389="OCIO",Inputs!$B$18="Y"),AND(D389="Other",Inputs!$B$19="Y")))),A389&lt;&gt;in_ClientOrg,NOT(AND(in_ExclHarvard="Y",ISNUMBER(SEARCH("Harvard",A389))))),$AD389="Y",K389&lt;&gt;"",S389&gt;0),"Y","")</f>
        <v/>
      </c>
      <c r="V389" s="30" t="n"/>
      <c r="W389" t="inlineStr"/>
      <c r="X389" s="28">
        <f>IF(L389+M389=0,"",L389+M389)</f>
        <v/>
      </c>
      <c r="Y389" s="38">
        <f>IF(L389=0,"",M389/L389)</f>
        <v/>
      </c>
      <c r="Z389" t="inlineStr">
        <is>
          <t>Director &amp; Investment Officer</t>
        </is>
      </c>
      <c r="AA389" t="inlineStr">
        <is>
          <t>Investments</t>
        </is>
      </c>
      <c r="AB389" s="50" t="inlineStr"/>
      <c r="AC389" s="43">
        <f>HYPERLINK("https://projects.propublica.org/nonprofits/organizations/580566256/202341959349300544/full","view filing")</f>
        <v/>
      </c>
      <c r="AD389" s="50" t="inlineStr"/>
    </row>
    <row r="390">
      <c r="A390" t="inlineStr">
        <is>
          <t>Emory University</t>
        </is>
      </c>
      <c r="B390" s="50" t="inlineStr">
        <is>
          <t>GA</t>
        </is>
      </c>
      <c r="C390" s="52" t="n">
        <v>12</v>
      </c>
      <c r="D390" t="inlineStr">
        <is>
          <t>Endowment</t>
        </is>
      </c>
      <c r="E390" s="50" t="n">
        <v>2022</v>
      </c>
      <c r="F390" s="50" t="inlineStr">
        <is>
          <t>2023-07-14</t>
        </is>
      </c>
      <c r="G390" s="50" t="inlineStr">
        <is>
          <t>2022-08-31</t>
        </is>
      </c>
      <c r="H390" t="inlineStr">
        <is>
          <t>Srinivas Pulavarti</t>
        </is>
      </c>
      <c r="I390" t="inlineStr">
        <is>
          <t>VP-Investments</t>
        </is>
      </c>
      <c r="J390" t="inlineStr">
        <is>
          <t>Director of Investments</t>
        </is>
      </c>
      <c r="K390" t="inlineStr">
        <is>
          <t>Sr Investment Professional</t>
        </is>
      </c>
      <c r="L390" s="28" t="n">
        <v>942367</v>
      </c>
      <c r="M390" s="28" t="n">
        <v>2832704</v>
      </c>
      <c r="N390" s="28" t="n">
        <v>1609400</v>
      </c>
      <c r="O390" s="28" t="n">
        <v>2441105</v>
      </c>
      <c r="P390" s="28" t="n">
        <v>28873</v>
      </c>
      <c r="Q390" s="28" t="n">
        <v>7854449</v>
      </c>
      <c r="R390" s="28" t="n">
        <v>0</v>
      </c>
      <c r="S390" s="28">
        <f>Q390-R390</f>
        <v/>
      </c>
      <c r="T390" s="28">
        <f>IF(S390="","",S390*(1+in_GrowthRate)^(YEARFRAC(DATE(2022,8,31),in_AgeToDate)*IF(in_AgeToDate&lt;DATE(2022,8,31),-1,1)+1))</f>
        <v/>
      </c>
      <c r="U390" s="50">
        <f>IF(AND(AND(OR(in_Mode="All Funds",AND(C390&gt;=in_BandFloor,C390&lt;=in_BandCeiling,OR(in_Geography="National",COUNTIFS(lst_GeoPreset,in_Geography,lst_GeoState,B390)&gt;0,AND(in_Geography="Custom",ISNUMBER(SEARCH(B390,SUBSTITUTE(in_CustomStates," ",""))))),OR(AND(D390="Endowment",Inputs!$B$14="Y"),AND(D390="Foundation",Inputs!$B$15="Y"),AND(D390="Healthcare",Inputs!$B$16="Y"),AND(D390="Pension",Inputs!$B$17="Y"),AND(D390="OCIO",Inputs!$B$18="Y"),AND(D390="Other",Inputs!$B$19="Y")))),A390&lt;&gt;in_ClientOrg,NOT(AND(in_ExclHarvard="Y",ISNUMBER(SEARCH("Harvard",A390))))),$AD390="Y",K390&lt;&gt;"",S390&gt;0),"Y","")</f>
        <v/>
      </c>
      <c r="V390" s="30" t="n"/>
      <c r="W390" t="inlineStr"/>
      <c r="X390" s="28">
        <f>IF(L390+M390=0,"",L390+M390)</f>
        <v/>
      </c>
      <c r="Y390" s="38">
        <f>IF(L390=0,"",M390/L390)</f>
        <v/>
      </c>
      <c r="Z390" t="inlineStr">
        <is>
          <t>Director &amp; Investment Officer</t>
        </is>
      </c>
      <c r="AA390" t="inlineStr">
        <is>
          <t>Investments</t>
        </is>
      </c>
      <c r="AB390" s="50" t="inlineStr"/>
      <c r="AC390" s="43">
        <f>HYPERLINK("https://projects.propublica.org/nonprofits/organizations/580566256/202341959349300544/full","view filing")</f>
        <v/>
      </c>
      <c r="AD390" s="50" t="inlineStr"/>
    </row>
    <row r="391">
      <c r="A391" t="inlineStr">
        <is>
          <t>Ewing Marion Kauffman Foundation</t>
        </is>
      </c>
      <c r="B391" s="50" t="inlineStr">
        <is>
          <t>MO</t>
        </is>
      </c>
      <c r="C391" s="52" t="n">
        <v>2.92</v>
      </c>
      <c r="D391" t="inlineStr">
        <is>
          <t>Foundation</t>
        </is>
      </c>
      <c r="E391" s="50" t="n">
        <v>2024</v>
      </c>
      <c r="F391" s="50" t="inlineStr">
        <is>
          <t>2025-11-12</t>
        </is>
      </c>
      <c r="G391" s="50" t="inlineStr">
        <is>
          <t>2024-12-31</t>
        </is>
      </c>
      <c r="H391" t="inlineStr">
        <is>
          <t>Brian Scharf</t>
        </is>
      </c>
      <c r="I391" t="inlineStr">
        <is>
          <t>MANAGING DIRECTOR</t>
        </is>
      </c>
      <c r="J391" t="inlineStr">
        <is>
          <t>Managing Director</t>
        </is>
      </c>
      <c r="K391" t="inlineStr">
        <is>
          <t>Sr Investment Professional</t>
        </is>
      </c>
      <c r="L391" s="28" t="n">
        <v>0</v>
      </c>
      <c r="M391" s="28" t="n">
        <v>0</v>
      </c>
      <c r="N391" s="28" t="n">
        <v>0</v>
      </c>
      <c r="O391" s="28" t="n">
        <v>0</v>
      </c>
      <c r="P391" s="28" t="n">
        <v>0</v>
      </c>
      <c r="Q391" s="28" t="n">
        <v>406759</v>
      </c>
      <c r="R391" s="28" t="n">
        <v>0</v>
      </c>
      <c r="S391" s="28">
        <f>Q391-R391</f>
        <v/>
      </c>
      <c r="T391" s="28">
        <f>IF(S391="","",S391*(1+in_GrowthRate)^(YEARFRAC(DATE(2024,12,31),in_AgeToDate)*IF(in_AgeToDate&lt;DATE(2024,12,31),-1,1)+1))</f>
        <v/>
      </c>
      <c r="U391" s="50">
        <f>IF(AND(AND(OR(in_Mode="All Funds",AND(C391&gt;=in_BandFloor,C391&lt;=in_BandCeiling,OR(in_Geography="National",COUNTIFS(lst_GeoPreset,in_Geography,lst_GeoState,B391)&gt;0,AND(in_Geography="Custom",ISNUMBER(SEARCH(B391,SUBSTITUTE(in_CustomStates," ",""))))),OR(AND(D391="Endowment",Inputs!$B$14="Y"),AND(D391="Foundation",Inputs!$B$15="Y"),AND(D391="Healthcare",Inputs!$B$16="Y"),AND(D391="Pension",Inputs!$B$17="Y"),AND(D391="OCIO",Inputs!$B$18="Y"),AND(D391="Other",Inputs!$B$19="Y")))),A391&lt;&gt;in_ClientOrg,NOT(AND(in_ExclHarvard="Y",ISNUMBER(SEARCH("Harvard",A391))))),$AD391="Y",K391&lt;&gt;"",S391&gt;0),"Y","")</f>
        <v/>
      </c>
      <c r="V391" s="30" t="n">
        <v>0.5005131145685162</v>
      </c>
      <c r="W391" t="inlineStr"/>
      <c r="X391" s="28">
        <f>IF(L391+M391=0,"",L391+M391)</f>
        <v/>
      </c>
      <c r="Y391" s="38">
        <f>IF(L391=0,"",M391/L391)</f>
        <v/>
      </c>
      <c r="Z391" t="inlineStr">
        <is>
          <t>Managing Director</t>
        </is>
      </c>
      <c r="AA391" t="inlineStr">
        <is>
          <t>Investments</t>
        </is>
      </c>
      <c r="AB391" s="50" t="inlineStr"/>
      <c r="AC391" s="43">
        <f>HYPERLINK("https://projects.propublica.org/nonprofits/organizations/436064859/202523169349103332/full","view filing")</f>
        <v/>
      </c>
      <c r="AD391" s="50" t="inlineStr">
        <is>
          <t>Y</t>
        </is>
      </c>
    </row>
    <row r="392">
      <c r="A392" t="inlineStr">
        <is>
          <t>Ewing Marion Kauffman Foundation</t>
        </is>
      </c>
      <c r="B392" s="50" t="inlineStr">
        <is>
          <t>MO</t>
        </is>
      </c>
      <c r="C392" s="52" t="n">
        <v>2.92</v>
      </c>
      <c r="D392" t="inlineStr">
        <is>
          <t>Foundation</t>
        </is>
      </c>
      <c r="E392" s="50" t="n">
        <v>2024</v>
      </c>
      <c r="F392" s="50" t="inlineStr">
        <is>
          <t>2025-11-12</t>
        </is>
      </c>
      <c r="G392" s="50" t="inlineStr">
        <is>
          <t>2024-12-31</t>
        </is>
      </c>
      <c r="H392" t="inlineStr">
        <is>
          <t>Lisa Murray</t>
        </is>
      </c>
      <c r="I392" t="inlineStr">
        <is>
          <t>CHIEF INVESTMENT OFF</t>
        </is>
      </c>
      <c r="J392" t="inlineStr">
        <is>
          <t>CIO</t>
        </is>
      </c>
      <c r="K392" t="inlineStr">
        <is>
          <t>CIO - Top Investment Executive</t>
        </is>
      </c>
      <c r="L392" s="28" t="n">
        <v>0</v>
      </c>
      <c r="M392" s="28" t="n">
        <v>0</v>
      </c>
      <c r="N392" s="28" t="n">
        <v>0</v>
      </c>
      <c r="O392" s="28" t="n">
        <v>0</v>
      </c>
      <c r="P392" s="28" t="n">
        <v>0</v>
      </c>
      <c r="Q392" s="28" t="n">
        <v>812684</v>
      </c>
      <c r="R392" s="28" t="n">
        <v>0</v>
      </c>
      <c r="S392" s="28">
        <f>Q392-R392</f>
        <v/>
      </c>
      <c r="T392" s="28">
        <f>IF(S392="","",S392*(1+in_GrowthRate)^(YEARFRAC(DATE(2024,12,31),in_AgeToDate)*IF(in_AgeToDate&lt;DATE(2024,12,31),-1,1)+1))</f>
        <v/>
      </c>
      <c r="U392" s="50">
        <f>IF(AND(AND(OR(in_Mode="All Funds",AND(C392&gt;=in_BandFloor,C392&lt;=in_BandCeiling,OR(in_Geography="National",COUNTIFS(lst_GeoPreset,in_Geography,lst_GeoState,B392)&gt;0,AND(in_Geography="Custom",ISNUMBER(SEARCH(B392,SUBSTITUTE(in_CustomStates," ",""))))),OR(AND(D392="Endowment",Inputs!$B$14="Y"),AND(D392="Foundation",Inputs!$B$15="Y"),AND(D392="Healthcare",Inputs!$B$16="Y"),AND(D392="Pension",Inputs!$B$17="Y"),AND(D392="OCIO",Inputs!$B$18="Y"),AND(D392="Other",Inputs!$B$19="Y")))),A392&lt;&gt;in_ClientOrg,NOT(AND(in_ExclHarvard="Y",ISNUMBER(SEARCH("Harvard",A392))))),$AD392="Y",K392&lt;&gt;"",S392&gt;0),"Y","")</f>
        <v/>
      </c>
      <c r="V392" s="30" t="n">
        <v>1</v>
      </c>
      <c r="W392" t="inlineStr"/>
      <c r="X392" s="28">
        <f>IF(L392+M392=0,"",L392+M392)</f>
        <v/>
      </c>
      <c r="Y392" s="38">
        <f>IF(L392=0,"",M392/L392)</f>
        <v/>
      </c>
      <c r="Z392" t="inlineStr">
        <is>
          <t>CIO - Top Investment Executive</t>
        </is>
      </c>
      <c r="AA392" t="inlineStr">
        <is>
          <t>Leadership</t>
        </is>
      </c>
      <c r="AB392" s="50" t="inlineStr">
        <is>
          <t>Y</t>
        </is>
      </c>
      <c r="AC392" s="43">
        <f>HYPERLINK("https://projects.propublica.org/nonprofits/organizations/436064859/202523169349103332/full","view filing")</f>
        <v/>
      </c>
      <c r="AD392" s="50" t="inlineStr">
        <is>
          <t>Y</t>
        </is>
      </c>
    </row>
    <row r="393">
      <c r="A393" t="inlineStr">
        <is>
          <t>Ewing Marion Kauffman Foundation</t>
        </is>
      </c>
      <c r="B393" s="50" t="inlineStr">
        <is>
          <t>MO</t>
        </is>
      </c>
      <c r="C393" s="52" t="n">
        <v>2.92</v>
      </c>
      <c r="D393" t="inlineStr">
        <is>
          <t>Foundation</t>
        </is>
      </c>
      <c r="E393" s="50" t="n">
        <v>2023</v>
      </c>
      <c r="F393" s="50" t="inlineStr">
        <is>
          <t>2024-11-15</t>
        </is>
      </c>
      <c r="G393" s="50" t="inlineStr">
        <is>
          <t>2023-12-31</t>
        </is>
      </c>
      <c r="H393" t="inlineStr">
        <is>
          <t>Brian Scharf</t>
        </is>
      </c>
      <c r="I393" t="inlineStr">
        <is>
          <t>MANAGING DIRECTOR</t>
        </is>
      </c>
      <c r="J393" t="inlineStr">
        <is>
          <t>Managing Director</t>
        </is>
      </c>
      <c r="K393" t="inlineStr">
        <is>
          <t>Sr Investment Professional</t>
        </is>
      </c>
      <c r="L393" s="28" t="n">
        <v>0</v>
      </c>
      <c r="M393" s="28" t="n">
        <v>0</v>
      </c>
      <c r="N393" s="28" t="n">
        <v>0</v>
      </c>
      <c r="O393" s="28" t="n">
        <v>0</v>
      </c>
      <c r="P393" s="28" t="n">
        <v>0</v>
      </c>
      <c r="Q393" s="28" t="n">
        <v>413410</v>
      </c>
      <c r="R393" s="28" t="n">
        <v>0</v>
      </c>
      <c r="S393" s="28">
        <f>Q393-R393</f>
        <v/>
      </c>
      <c r="T393" s="28">
        <f>IF(S393="","",S393*(1+in_GrowthRate)^(YEARFRAC(DATE(2023,12,31),in_AgeToDate)*IF(in_AgeToDate&lt;DATE(2023,12,31),-1,1)+1))</f>
        <v/>
      </c>
      <c r="U393" s="50">
        <f>IF(AND(AND(OR(in_Mode="All Funds",AND(C393&gt;=in_BandFloor,C393&lt;=in_BandCeiling,OR(in_Geography="National",COUNTIFS(lst_GeoPreset,in_Geography,lst_GeoState,B393)&gt;0,AND(in_Geography="Custom",ISNUMBER(SEARCH(B393,SUBSTITUTE(in_CustomStates," ",""))))),OR(AND(D393="Endowment",Inputs!$B$14="Y"),AND(D393="Foundation",Inputs!$B$15="Y"),AND(D393="Healthcare",Inputs!$B$16="Y"),AND(D393="Pension",Inputs!$B$17="Y"),AND(D393="OCIO",Inputs!$B$18="Y"),AND(D393="Other",Inputs!$B$19="Y")))),A393&lt;&gt;in_ClientOrg,NOT(AND(in_ExclHarvard="Y",ISNUMBER(SEARCH("Harvard",A393))))),$AD393="Y",K393&lt;&gt;"",S393&gt;0),"Y","")</f>
        <v/>
      </c>
      <c r="V393" s="30" t="n">
        <v>0.49667688670178</v>
      </c>
      <c r="W393" t="inlineStr"/>
      <c r="X393" s="28">
        <f>IF(L393+M393=0,"",L393+M393)</f>
        <v/>
      </c>
      <c r="Y393" s="38">
        <f>IF(L393=0,"",M393/L393)</f>
        <v/>
      </c>
      <c r="Z393" t="inlineStr">
        <is>
          <t>Managing Director</t>
        </is>
      </c>
      <c r="AA393" t="inlineStr">
        <is>
          <t>Investments</t>
        </is>
      </c>
      <c r="AB393" s="50" t="inlineStr"/>
      <c r="AC393" s="43">
        <f>HYPERLINK("https://projects.propublica.org/nonprofits/organizations/436064859/202443209349101644/full","view filing")</f>
        <v/>
      </c>
      <c r="AD393" s="50" t="inlineStr"/>
    </row>
    <row r="394">
      <c r="A394" t="inlineStr">
        <is>
          <t>Ewing Marion Kauffman Foundation</t>
        </is>
      </c>
      <c r="B394" s="50" t="inlineStr">
        <is>
          <t>MO</t>
        </is>
      </c>
      <c r="C394" s="52" t="n">
        <v>2.92</v>
      </c>
      <c r="D394" t="inlineStr">
        <is>
          <t>Foundation</t>
        </is>
      </c>
      <c r="E394" s="50" t="n">
        <v>2023</v>
      </c>
      <c r="F394" s="50" t="inlineStr">
        <is>
          <t>2024-11-15</t>
        </is>
      </c>
      <c r="G394" s="50" t="inlineStr">
        <is>
          <t>2023-12-31</t>
        </is>
      </c>
      <c r="H394" t="inlineStr">
        <is>
          <t>Lisa Murray</t>
        </is>
      </c>
      <c r="I394" t="inlineStr">
        <is>
          <t>CHIEF INVESTMENT OFF</t>
        </is>
      </c>
      <c r="J394" t="inlineStr">
        <is>
          <t>CIO</t>
        </is>
      </c>
      <c r="K394" t="inlineStr">
        <is>
          <t>CIO - Top Investment Executive</t>
        </is>
      </c>
      <c r="L394" s="28" t="n">
        <v>0</v>
      </c>
      <c r="M394" s="28" t="n">
        <v>0</v>
      </c>
      <c r="N394" s="28" t="n">
        <v>0</v>
      </c>
      <c r="O394" s="28" t="n">
        <v>0</v>
      </c>
      <c r="P394" s="28" t="n">
        <v>0</v>
      </c>
      <c r="Q394" s="28" t="n">
        <v>832352</v>
      </c>
      <c r="R394" s="28" t="n">
        <v>0</v>
      </c>
      <c r="S394" s="28">
        <f>Q394-R394</f>
        <v/>
      </c>
      <c r="T394" s="28">
        <f>IF(S394="","",S394*(1+in_GrowthRate)^(YEARFRAC(DATE(2023,12,31),in_AgeToDate)*IF(in_AgeToDate&lt;DATE(2023,12,31),-1,1)+1))</f>
        <v/>
      </c>
      <c r="U394" s="50">
        <f>IF(AND(AND(OR(in_Mode="All Funds",AND(C394&gt;=in_BandFloor,C394&lt;=in_BandCeiling,OR(in_Geography="National",COUNTIFS(lst_GeoPreset,in_Geography,lst_GeoState,B394)&gt;0,AND(in_Geography="Custom",ISNUMBER(SEARCH(B394,SUBSTITUTE(in_CustomStates," ",""))))),OR(AND(D394="Endowment",Inputs!$B$14="Y"),AND(D394="Foundation",Inputs!$B$15="Y"),AND(D394="Healthcare",Inputs!$B$16="Y"),AND(D394="Pension",Inputs!$B$17="Y"),AND(D394="OCIO",Inputs!$B$18="Y"),AND(D394="Other",Inputs!$B$19="Y")))),A394&lt;&gt;in_ClientOrg,NOT(AND(in_ExclHarvard="Y",ISNUMBER(SEARCH("Harvard",A394))))),$AD394="Y",K394&lt;&gt;"",S394&gt;0),"Y","")</f>
        <v/>
      </c>
      <c r="V394" s="30" t="n">
        <v>1</v>
      </c>
      <c r="W394" t="inlineStr"/>
      <c r="X394" s="28">
        <f>IF(L394+M394=0,"",L394+M394)</f>
        <v/>
      </c>
      <c r="Y394" s="38">
        <f>IF(L394=0,"",M394/L394)</f>
        <v/>
      </c>
      <c r="Z394" t="inlineStr">
        <is>
          <t>CIO - Top Investment Executive</t>
        </is>
      </c>
      <c r="AA394" t="inlineStr">
        <is>
          <t>Leadership</t>
        </is>
      </c>
      <c r="AB394" s="50" t="inlineStr">
        <is>
          <t>Y</t>
        </is>
      </c>
      <c r="AC394" s="43">
        <f>HYPERLINK("https://projects.propublica.org/nonprofits/organizations/436064859/202443209349101644/full","view filing")</f>
        <v/>
      </c>
      <c r="AD394" s="50" t="inlineStr"/>
    </row>
    <row r="395">
      <c r="A395" t="inlineStr">
        <is>
          <t>Ewing Marion Kauffman Foundation</t>
        </is>
      </c>
      <c r="B395" s="50" t="inlineStr">
        <is>
          <t>MO</t>
        </is>
      </c>
      <c r="C395" s="52" t="n">
        <v>2.92</v>
      </c>
      <c r="D395" t="inlineStr">
        <is>
          <t>Foundation</t>
        </is>
      </c>
      <c r="E395" s="50" t="n">
        <v>2022</v>
      </c>
      <c r="F395" s="50" t="inlineStr">
        <is>
          <t>2023-11-15</t>
        </is>
      </c>
      <c r="G395" s="50" t="inlineStr">
        <is>
          <t>2022-12-31</t>
        </is>
      </c>
      <c r="H395" t="inlineStr">
        <is>
          <t>Brian Scharf</t>
        </is>
      </c>
      <c r="I395" t="inlineStr">
        <is>
          <t>MANAGING DIRECTOR</t>
        </is>
      </c>
      <c r="J395" t="inlineStr">
        <is>
          <t>Managing Director</t>
        </is>
      </c>
      <c r="K395" t="inlineStr">
        <is>
          <t>Sr Investment Professional</t>
        </is>
      </c>
      <c r="L395" s="28" t="n">
        <v>0</v>
      </c>
      <c r="M395" s="28" t="n">
        <v>0</v>
      </c>
      <c r="N395" s="28" t="n">
        <v>0</v>
      </c>
      <c r="O395" s="28" t="n">
        <v>0</v>
      </c>
      <c r="P395" s="28" t="n">
        <v>0</v>
      </c>
      <c r="Q395" s="28" t="n">
        <v>429713</v>
      </c>
      <c r="R395" s="28" t="n">
        <v>0</v>
      </c>
      <c r="S395" s="28">
        <f>Q395-R395</f>
        <v/>
      </c>
      <c r="T395" s="28">
        <f>IF(S395="","",S395*(1+in_GrowthRate)^(YEARFRAC(DATE(2022,12,31),in_AgeToDate)*IF(in_AgeToDate&lt;DATE(2022,12,31),-1,1)+1))</f>
        <v/>
      </c>
      <c r="U395" s="50">
        <f>IF(AND(AND(OR(in_Mode="All Funds",AND(C395&gt;=in_BandFloor,C395&lt;=in_BandCeiling,OR(in_Geography="National",COUNTIFS(lst_GeoPreset,in_Geography,lst_GeoState,B395)&gt;0,AND(in_Geography="Custom",ISNUMBER(SEARCH(B395,SUBSTITUTE(in_CustomStates," ",""))))),OR(AND(D395="Endowment",Inputs!$B$14="Y"),AND(D395="Foundation",Inputs!$B$15="Y"),AND(D395="Healthcare",Inputs!$B$16="Y"),AND(D395="Pension",Inputs!$B$17="Y"),AND(D395="OCIO",Inputs!$B$18="Y"),AND(D395="Other",Inputs!$B$19="Y")))),A395&lt;&gt;in_ClientOrg,NOT(AND(in_ExclHarvard="Y",ISNUMBER(SEARCH("Harvard",A395))))),$AD395="Y",K395&lt;&gt;"",S395&gt;0),"Y","")</f>
        <v/>
      </c>
      <c r="V395" s="30" t="n">
        <v>0.4959438170476251</v>
      </c>
      <c r="W395" t="inlineStr"/>
      <c r="X395" s="28">
        <f>IF(L395+M395=0,"",L395+M395)</f>
        <v/>
      </c>
      <c r="Y395" s="38">
        <f>IF(L395=0,"",M395/L395)</f>
        <v/>
      </c>
      <c r="Z395" t="inlineStr">
        <is>
          <t>Managing Director</t>
        </is>
      </c>
      <c r="AA395" t="inlineStr">
        <is>
          <t>Investments</t>
        </is>
      </c>
      <c r="AB395" s="50" t="inlineStr"/>
      <c r="AC395" s="43">
        <f>HYPERLINK("https://projects.propublica.org/nonprofits/organizations/436064859/202303199349101530/full","view filing")</f>
        <v/>
      </c>
      <c r="AD395" s="50" t="inlineStr"/>
    </row>
    <row r="396">
      <c r="A396" t="inlineStr">
        <is>
          <t>Ewing Marion Kauffman Foundation</t>
        </is>
      </c>
      <c r="B396" s="50" t="inlineStr">
        <is>
          <t>MO</t>
        </is>
      </c>
      <c r="C396" s="52" t="n">
        <v>2.92</v>
      </c>
      <c r="D396" t="inlineStr">
        <is>
          <t>Foundation</t>
        </is>
      </c>
      <c r="E396" s="50" t="n">
        <v>2022</v>
      </c>
      <c r="F396" s="50" t="inlineStr">
        <is>
          <t>2023-11-15</t>
        </is>
      </c>
      <c r="G396" s="50" t="inlineStr">
        <is>
          <t>2022-12-31</t>
        </is>
      </c>
      <c r="H396" t="inlineStr">
        <is>
          <t>Lisa Murray</t>
        </is>
      </c>
      <c r="I396" t="inlineStr">
        <is>
          <t>CHIEF INVESTMENT OFF</t>
        </is>
      </c>
      <c r="J396" t="inlineStr">
        <is>
          <t>CIO</t>
        </is>
      </c>
      <c r="K396" t="inlineStr">
        <is>
          <t>CIO - Top Investment Executive</t>
        </is>
      </c>
      <c r="L396" s="28" t="n">
        <v>0</v>
      </c>
      <c r="M396" s="28" t="n">
        <v>0</v>
      </c>
      <c r="N396" s="28" t="n">
        <v>0</v>
      </c>
      <c r="O396" s="28" t="n">
        <v>0</v>
      </c>
      <c r="P396" s="28" t="n">
        <v>0</v>
      </c>
      <c r="Q396" s="28" t="n">
        <v>866455</v>
      </c>
      <c r="R396" s="28" t="n">
        <v>0</v>
      </c>
      <c r="S396" s="28">
        <f>Q396-R396</f>
        <v/>
      </c>
      <c r="T396" s="28">
        <f>IF(S396="","",S396*(1+in_GrowthRate)^(YEARFRAC(DATE(2022,12,31),in_AgeToDate)*IF(in_AgeToDate&lt;DATE(2022,12,31),-1,1)+1))</f>
        <v/>
      </c>
      <c r="U396" s="50">
        <f>IF(AND(AND(OR(in_Mode="All Funds",AND(C396&gt;=in_BandFloor,C396&lt;=in_BandCeiling,OR(in_Geography="National",COUNTIFS(lst_GeoPreset,in_Geography,lst_GeoState,B396)&gt;0,AND(in_Geography="Custom",ISNUMBER(SEARCH(B396,SUBSTITUTE(in_CustomStates," ",""))))),OR(AND(D396="Endowment",Inputs!$B$14="Y"),AND(D396="Foundation",Inputs!$B$15="Y"),AND(D396="Healthcare",Inputs!$B$16="Y"),AND(D396="Pension",Inputs!$B$17="Y"),AND(D396="OCIO",Inputs!$B$18="Y"),AND(D396="Other",Inputs!$B$19="Y")))),A396&lt;&gt;in_ClientOrg,NOT(AND(in_ExclHarvard="Y",ISNUMBER(SEARCH("Harvard",A396))))),$AD396="Y",K396&lt;&gt;"",S396&gt;0),"Y","")</f>
        <v/>
      </c>
      <c r="V396" s="30" t="n">
        <v>1</v>
      </c>
      <c r="W396" t="inlineStr"/>
      <c r="X396" s="28">
        <f>IF(L396+M396=0,"",L396+M396)</f>
        <v/>
      </c>
      <c r="Y396" s="38">
        <f>IF(L396=0,"",M396/L396)</f>
        <v/>
      </c>
      <c r="Z396" t="inlineStr">
        <is>
          <t>CIO - Top Investment Executive</t>
        </is>
      </c>
      <c r="AA396" t="inlineStr">
        <is>
          <t>Leadership</t>
        </is>
      </c>
      <c r="AB396" s="50" t="inlineStr">
        <is>
          <t>Y</t>
        </is>
      </c>
      <c r="AC396" s="43">
        <f>HYPERLINK("https://projects.propublica.org/nonprofits/organizations/436064859/202303199349101530/full","view filing")</f>
        <v/>
      </c>
      <c r="AD396" s="50" t="inlineStr"/>
    </row>
    <row r="397">
      <c r="A397" t="inlineStr">
        <is>
          <t>Ford Foundation</t>
        </is>
      </c>
      <c r="B397" s="50" t="inlineStr">
        <is>
          <t>NY</t>
        </is>
      </c>
      <c r="C397" s="52" t="n">
        <v>14.37</v>
      </c>
      <c r="D397" t="inlineStr">
        <is>
          <t>Foundation</t>
        </is>
      </c>
      <c r="E397" s="50" t="n">
        <v>2024</v>
      </c>
      <c r="F397" s="50" t="inlineStr">
        <is>
          <t>2025-11-17</t>
        </is>
      </c>
      <c r="G397" s="50" t="inlineStr">
        <is>
          <t>2024-12-31</t>
        </is>
      </c>
      <c r="H397" t="inlineStr">
        <is>
          <t>Eric W Doppstadt</t>
        </is>
      </c>
      <c r="I397" t="inlineStr">
        <is>
          <t>VP &amp; CHIEF INVESTMENT OFFICER</t>
        </is>
      </c>
      <c r="J397" t="inlineStr">
        <is>
          <t>CIO</t>
        </is>
      </c>
      <c r="K397" t="inlineStr">
        <is>
          <t>CIO - Top Investment Executive</t>
        </is>
      </c>
      <c r="L397" s="28" t="n">
        <v>0</v>
      </c>
      <c r="M397" s="28" t="n">
        <v>0</v>
      </c>
      <c r="N397" s="28" t="n">
        <v>0</v>
      </c>
      <c r="O397" s="28" t="n">
        <v>0</v>
      </c>
      <c r="P397" s="28" t="n">
        <v>123888</v>
      </c>
      <c r="Q397" s="28" t="n">
        <v>4897822</v>
      </c>
      <c r="R397" s="28" t="n">
        <v>0</v>
      </c>
      <c r="S397" s="28">
        <f>Q397-R397</f>
        <v/>
      </c>
      <c r="T397" s="28">
        <f>IF(S397="","",S397*(1+in_GrowthRate)^(YEARFRAC(DATE(2024,12,31),in_AgeToDate)*IF(in_AgeToDate&lt;DATE(2024,12,31),-1,1)+1))</f>
        <v/>
      </c>
      <c r="U397" s="50">
        <f>IF(AND(AND(OR(in_Mode="All Funds",AND(C397&gt;=in_BandFloor,C397&lt;=in_BandCeiling,OR(in_Geography="National",COUNTIFS(lst_GeoPreset,in_Geography,lst_GeoState,B397)&gt;0,AND(in_Geography="Custom",ISNUMBER(SEARCH(B397,SUBSTITUTE(in_CustomStates," ",""))))),OR(AND(D397="Endowment",Inputs!$B$14="Y"),AND(D397="Foundation",Inputs!$B$15="Y"),AND(D397="Healthcare",Inputs!$B$16="Y"),AND(D397="Pension",Inputs!$B$17="Y"),AND(D397="OCIO",Inputs!$B$18="Y"),AND(D397="Other",Inputs!$B$19="Y")))),A397&lt;&gt;in_ClientOrg,NOT(AND(in_ExclHarvard="Y",ISNUMBER(SEARCH("Harvard",A397))))),$AD397="Y",K397&lt;&gt;"",S397&gt;0),"Y","")</f>
        <v/>
      </c>
      <c r="V397" s="30" t="n">
        <v>1</v>
      </c>
      <c r="W397" t="inlineStr"/>
      <c r="X397" s="28">
        <f>IF(L397+M397=0,"",L397+M397)</f>
        <v/>
      </c>
      <c r="Y397" s="38">
        <f>IF(L397=0,"",M397/L397)</f>
        <v/>
      </c>
      <c r="Z397" t="inlineStr">
        <is>
          <t>CIO - Top Investment Executive</t>
        </is>
      </c>
      <c r="AA397" t="inlineStr">
        <is>
          <t>Leadership</t>
        </is>
      </c>
      <c r="AB397" s="50" t="inlineStr">
        <is>
          <t>Y</t>
        </is>
      </c>
      <c r="AC397" s="43">
        <f>HYPERLINK("https://projects.propublica.org/nonprofits/organizations/131684331/202513219349106006/full","view filing")</f>
        <v/>
      </c>
      <c r="AD397" s="50" t="inlineStr">
        <is>
          <t>Y</t>
        </is>
      </c>
    </row>
    <row r="398">
      <c r="A398" t="inlineStr">
        <is>
          <t>Ford Foundation</t>
        </is>
      </c>
      <c r="B398" s="50" t="inlineStr">
        <is>
          <t>NY</t>
        </is>
      </c>
      <c r="C398" s="52" t="n">
        <v>14.37</v>
      </c>
      <c r="D398" t="inlineStr">
        <is>
          <t>Foundation</t>
        </is>
      </c>
      <c r="E398" s="50" t="n">
        <v>2023</v>
      </c>
      <c r="F398" s="50" t="inlineStr">
        <is>
          <t>2024-11-14</t>
        </is>
      </c>
      <c r="G398" s="50" t="inlineStr">
        <is>
          <t>2023-12-31</t>
        </is>
      </c>
      <c r="H398" t="inlineStr">
        <is>
          <t>Eric W Doppstadt</t>
        </is>
      </c>
      <c r="I398" t="inlineStr">
        <is>
          <t>VP &amp; CHIEF INVESTMENT OFFICER</t>
        </is>
      </c>
      <c r="J398" t="inlineStr">
        <is>
          <t>CIO</t>
        </is>
      </c>
      <c r="K398" t="inlineStr">
        <is>
          <t>CIO - Top Investment Executive</t>
        </is>
      </c>
      <c r="L398" s="28" t="n">
        <v>0</v>
      </c>
      <c r="M398" s="28" t="n">
        <v>0</v>
      </c>
      <c r="N398" s="28" t="n">
        <v>0</v>
      </c>
      <c r="O398" s="28" t="n">
        <v>0</v>
      </c>
      <c r="P398" s="28" t="n">
        <v>116328</v>
      </c>
      <c r="Q398" s="28" t="n">
        <v>4660245</v>
      </c>
      <c r="R398" s="28" t="n">
        <v>0</v>
      </c>
      <c r="S398" s="28">
        <f>Q398-R398</f>
        <v/>
      </c>
      <c r="T398" s="28">
        <f>IF(S398="","",S398*(1+in_GrowthRate)^(YEARFRAC(DATE(2023,12,31),in_AgeToDate)*IF(in_AgeToDate&lt;DATE(2023,12,31),-1,1)+1))</f>
        <v/>
      </c>
      <c r="U398" s="50">
        <f>IF(AND(AND(OR(in_Mode="All Funds",AND(C398&gt;=in_BandFloor,C398&lt;=in_BandCeiling,OR(in_Geography="National",COUNTIFS(lst_GeoPreset,in_Geography,lst_GeoState,B398)&gt;0,AND(in_Geography="Custom",ISNUMBER(SEARCH(B398,SUBSTITUTE(in_CustomStates," ",""))))),OR(AND(D398="Endowment",Inputs!$B$14="Y"),AND(D398="Foundation",Inputs!$B$15="Y"),AND(D398="Healthcare",Inputs!$B$16="Y"),AND(D398="Pension",Inputs!$B$17="Y"),AND(D398="OCIO",Inputs!$B$18="Y"),AND(D398="Other",Inputs!$B$19="Y")))),A398&lt;&gt;in_ClientOrg,NOT(AND(in_ExclHarvard="Y",ISNUMBER(SEARCH("Harvard",A398))))),$AD398="Y",K398&lt;&gt;"",S398&gt;0),"Y","")</f>
        <v/>
      </c>
      <c r="V398" s="30" t="n">
        <v>1</v>
      </c>
      <c r="W398" t="inlineStr"/>
      <c r="X398" s="28">
        <f>IF(L398+M398=0,"",L398+M398)</f>
        <v/>
      </c>
      <c r="Y398" s="38">
        <f>IF(L398=0,"",M398/L398)</f>
        <v/>
      </c>
      <c r="Z398" t="inlineStr">
        <is>
          <t>CIO - Top Investment Executive</t>
        </is>
      </c>
      <c r="AA398" t="inlineStr">
        <is>
          <t>Leadership</t>
        </is>
      </c>
      <c r="AB398" s="50" t="inlineStr">
        <is>
          <t>Y</t>
        </is>
      </c>
      <c r="AC398" s="43">
        <f>HYPERLINK("https://projects.propublica.org/nonprofits/organizations/131684331/202423199349105557/full","view filing")</f>
        <v/>
      </c>
      <c r="AD398" s="50" t="inlineStr"/>
    </row>
    <row r="399">
      <c r="A399" t="inlineStr">
        <is>
          <t>Ford Foundation</t>
        </is>
      </c>
      <c r="B399" s="50" t="inlineStr">
        <is>
          <t>NY</t>
        </is>
      </c>
      <c r="C399" s="52" t="n">
        <v>14.37</v>
      </c>
      <c r="D399" t="inlineStr">
        <is>
          <t>Foundation</t>
        </is>
      </c>
      <c r="E399" s="50" t="n">
        <v>2022</v>
      </c>
      <c r="F399" s="50" t="inlineStr">
        <is>
          <t>2023-11-15</t>
        </is>
      </c>
      <c r="G399" s="50" t="inlineStr">
        <is>
          <t>2022-12-31</t>
        </is>
      </c>
      <c r="H399" t="inlineStr">
        <is>
          <t>Eric W Doppstadt</t>
        </is>
      </c>
      <c r="I399" t="inlineStr">
        <is>
          <t>VP &amp; CHIEF INVESTMENT OFFICER</t>
        </is>
      </c>
      <c r="J399" t="inlineStr">
        <is>
          <t>CIO</t>
        </is>
      </c>
      <c r="K399" t="inlineStr">
        <is>
          <t>CIO - Top Investment Executive</t>
        </is>
      </c>
      <c r="L399" s="28" t="n">
        <v>0</v>
      </c>
      <c r="M399" s="28" t="n">
        <v>0</v>
      </c>
      <c r="N399" s="28" t="n">
        <v>0</v>
      </c>
      <c r="O399" s="28" t="n">
        <v>0</v>
      </c>
      <c r="P399" s="28" t="n">
        <v>106304</v>
      </c>
      <c r="Q399" s="28" t="n">
        <v>4560890</v>
      </c>
      <c r="R399" s="28" t="n">
        <v>0</v>
      </c>
      <c r="S399" s="28">
        <f>Q399-R399</f>
        <v/>
      </c>
      <c r="T399" s="28">
        <f>IF(S399="","",S399*(1+in_GrowthRate)^(YEARFRAC(DATE(2022,12,31),in_AgeToDate)*IF(in_AgeToDate&lt;DATE(2022,12,31),-1,1)+1))</f>
        <v/>
      </c>
      <c r="U399" s="50">
        <f>IF(AND(AND(OR(in_Mode="All Funds",AND(C399&gt;=in_BandFloor,C399&lt;=in_BandCeiling,OR(in_Geography="National",COUNTIFS(lst_GeoPreset,in_Geography,lst_GeoState,B399)&gt;0,AND(in_Geography="Custom",ISNUMBER(SEARCH(B399,SUBSTITUTE(in_CustomStates," ",""))))),OR(AND(D399="Endowment",Inputs!$B$14="Y"),AND(D399="Foundation",Inputs!$B$15="Y"),AND(D399="Healthcare",Inputs!$B$16="Y"),AND(D399="Pension",Inputs!$B$17="Y"),AND(D399="OCIO",Inputs!$B$18="Y"),AND(D399="Other",Inputs!$B$19="Y")))),A399&lt;&gt;in_ClientOrg,NOT(AND(in_ExclHarvard="Y",ISNUMBER(SEARCH("Harvard",A399))))),$AD399="Y",K399&lt;&gt;"",S399&gt;0),"Y","")</f>
        <v/>
      </c>
      <c r="V399" s="30" t="n">
        <v>1</v>
      </c>
      <c r="W399" t="inlineStr"/>
      <c r="X399" s="28">
        <f>IF(L399+M399=0,"",L399+M399)</f>
        <v/>
      </c>
      <c r="Y399" s="38">
        <f>IF(L399=0,"",M399/L399)</f>
        <v/>
      </c>
      <c r="Z399" t="inlineStr">
        <is>
          <t>CIO - Top Investment Executive</t>
        </is>
      </c>
      <c r="AA399" t="inlineStr">
        <is>
          <t>Leadership</t>
        </is>
      </c>
      <c r="AB399" s="50" t="inlineStr">
        <is>
          <t>Y</t>
        </is>
      </c>
      <c r="AC399" s="43">
        <f>HYPERLINK("https://projects.propublica.org/nonprofits/organizations/131684331/202343199349104934/full","view filing")</f>
        <v/>
      </c>
      <c r="AD399" s="50" t="inlineStr"/>
    </row>
    <row r="400">
      <c r="A400" t="inlineStr">
        <is>
          <t>Fordham University</t>
        </is>
      </c>
      <c r="B400" s="50" t="inlineStr">
        <is>
          <t>NY</t>
        </is>
      </c>
      <c r="C400" s="52" t="n">
        <v>1.05</v>
      </c>
      <c r="D400" t="inlineStr">
        <is>
          <t>Endowment</t>
        </is>
      </c>
      <c r="E400" s="50" t="n">
        <v>2025</v>
      </c>
      <c r="F400" s="50" t="inlineStr">
        <is>
          <t>2026-05-13</t>
        </is>
      </c>
      <c r="G400" s="50" t="inlineStr">
        <is>
          <t>2025-06-30</t>
        </is>
      </c>
      <c r="H400" t="inlineStr">
        <is>
          <t>Geeta Palshikar</t>
        </is>
      </c>
      <c r="I400" t="inlineStr">
        <is>
          <t>CHIEF INVESTMENT OFFICER</t>
        </is>
      </c>
      <c r="J400" t="inlineStr">
        <is>
          <t>CIO</t>
        </is>
      </c>
      <c r="K400" t="inlineStr">
        <is>
          <t>CIO - Top Investment Executive</t>
        </is>
      </c>
      <c r="L400" s="28" t="n">
        <v>465360</v>
      </c>
      <c r="M400" s="28" t="n">
        <v>116044</v>
      </c>
      <c r="N400" s="28" t="n">
        <v>1430</v>
      </c>
      <c r="O400" s="28" t="n">
        <v>37950</v>
      </c>
      <c r="P400" s="28" t="n">
        <v>49557</v>
      </c>
      <c r="Q400" s="28" t="n">
        <v>670341</v>
      </c>
      <c r="R400" s="28" t="n">
        <v>0</v>
      </c>
      <c r="S400" s="28">
        <f>Q400-R400</f>
        <v/>
      </c>
      <c r="T400" s="28">
        <f>IF(S400="","",S400*(1+in_GrowthRate)^(YEARFRAC(DATE(2025,6,30),in_AgeToDate)*IF(in_AgeToDate&lt;DATE(2025,6,30),-1,1)+1))</f>
        <v/>
      </c>
      <c r="U400" s="50">
        <f>IF(AND(AND(OR(in_Mode="All Funds",AND(C400&gt;=in_BandFloor,C400&lt;=in_BandCeiling,OR(in_Geography="National",COUNTIFS(lst_GeoPreset,in_Geography,lst_GeoState,B400)&gt;0,AND(in_Geography="Custom",ISNUMBER(SEARCH(B400,SUBSTITUTE(in_CustomStates," ",""))))),OR(AND(D400="Endowment",Inputs!$B$14="Y"),AND(D400="Foundation",Inputs!$B$15="Y"),AND(D400="Healthcare",Inputs!$B$16="Y"),AND(D400="Pension",Inputs!$B$17="Y"),AND(D400="OCIO",Inputs!$B$18="Y"),AND(D400="Other",Inputs!$B$19="Y")))),A400&lt;&gt;in_ClientOrg,NOT(AND(in_ExclHarvard="Y",ISNUMBER(SEARCH("Harvard",A400))))),$AD400="Y",K400&lt;&gt;"",S400&gt;0),"Y","")</f>
        <v/>
      </c>
      <c r="V400" s="30" t="n">
        <v>1</v>
      </c>
      <c r="W400" t="inlineStr"/>
      <c r="X400" s="28">
        <f>IF(L400+M400=0,"",L400+M400)</f>
        <v/>
      </c>
      <c r="Y400" s="38">
        <f>IF(L400=0,"",M400/L400)</f>
        <v/>
      </c>
      <c r="Z400" t="inlineStr">
        <is>
          <t>CIO - Top Investment Executive</t>
        </is>
      </c>
      <c r="AA400" t="inlineStr">
        <is>
          <t>Leadership</t>
        </is>
      </c>
      <c r="AB400" s="50" t="inlineStr">
        <is>
          <t>Y</t>
        </is>
      </c>
      <c r="AC400" s="43">
        <f>HYPERLINK("https://projects.propublica.org/nonprofits/organizations/131740451/202631339349309958/full","view filing")</f>
        <v/>
      </c>
      <c r="AD400" s="50" t="inlineStr">
        <is>
          <t>Y</t>
        </is>
      </c>
    </row>
    <row r="401">
      <c r="A401" t="inlineStr">
        <is>
          <t>Fordham University</t>
        </is>
      </c>
      <c r="B401" s="50" t="inlineStr">
        <is>
          <t>NY</t>
        </is>
      </c>
      <c r="C401" s="52" t="n">
        <v>1.05</v>
      </c>
      <c r="D401" t="inlineStr">
        <is>
          <t>Endowment</t>
        </is>
      </c>
      <c r="E401" s="50" t="n">
        <v>2024</v>
      </c>
      <c r="F401" s="50" t="inlineStr">
        <is>
          <t>2025-05-14</t>
        </is>
      </c>
      <c r="G401" s="50" t="inlineStr">
        <is>
          <t>2024-06-30</t>
        </is>
      </c>
      <c r="H401" t="inlineStr">
        <is>
          <t>Geeta Palshikar</t>
        </is>
      </c>
      <c r="I401" t="inlineStr">
        <is>
          <t>CHIEF INVESTMENT OFFICER</t>
        </is>
      </c>
      <c r="J401" t="inlineStr">
        <is>
          <t>CIO</t>
        </is>
      </c>
      <c r="K401" t="inlineStr">
        <is>
          <t>CIO - Top Investment Executive</t>
        </is>
      </c>
      <c r="L401" s="28" t="n">
        <v>511721</v>
      </c>
      <c r="M401" s="28" t="n">
        <v>67500</v>
      </c>
      <c r="N401" s="28" t="n">
        <v>9467</v>
      </c>
      <c r="O401" s="28" t="n">
        <v>52800</v>
      </c>
      <c r="P401" s="28" t="n">
        <v>48409</v>
      </c>
      <c r="Q401" s="28" t="n">
        <v>689897</v>
      </c>
      <c r="R401" s="28" t="n">
        <v>0</v>
      </c>
      <c r="S401" s="28">
        <f>Q401-R401</f>
        <v/>
      </c>
      <c r="T401" s="28">
        <f>IF(S401="","",S401*(1+in_GrowthRate)^(YEARFRAC(DATE(2024,6,30),in_AgeToDate)*IF(in_AgeToDate&lt;DATE(2024,6,30),-1,1)+1))</f>
        <v/>
      </c>
      <c r="U401" s="50">
        <f>IF(AND(AND(OR(in_Mode="All Funds",AND(C401&gt;=in_BandFloor,C401&lt;=in_BandCeiling,OR(in_Geography="National",COUNTIFS(lst_GeoPreset,in_Geography,lst_GeoState,B401)&gt;0,AND(in_Geography="Custom",ISNUMBER(SEARCH(B401,SUBSTITUTE(in_CustomStates," ",""))))),OR(AND(D401="Endowment",Inputs!$B$14="Y"),AND(D401="Foundation",Inputs!$B$15="Y"),AND(D401="Healthcare",Inputs!$B$16="Y"),AND(D401="Pension",Inputs!$B$17="Y"),AND(D401="OCIO",Inputs!$B$18="Y"),AND(D401="Other",Inputs!$B$19="Y")))),A401&lt;&gt;in_ClientOrg,NOT(AND(in_ExclHarvard="Y",ISNUMBER(SEARCH("Harvard",A401))))),$AD401="Y",K401&lt;&gt;"",S401&gt;0),"Y","")</f>
        <v/>
      </c>
      <c r="V401" s="30" t="n">
        <v>1</v>
      </c>
      <c r="W401" t="inlineStr"/>
      <c r="X401" s="28">
        <f>IF(L401+M401=0,"",L401+M401)</f>
        <v/>
      </c>
      <c r="Y401" s="38">
        <f>IF(L401=0,"",M401/L401)</f>
        <v/>
      </c>
      <c r="Z401" t="inlineStr">
        <is>
          <t>CIO - Top Investment Executive</t>
        </is>
      </c>
      <c r="AA401" t="inlineStr">
        <is>
          <t>Leadership</t>
        </is>
      </c>
      <c r="AB401" s="50" t="inlineStr">
        <is>
          <t>Y</t>
        </is>
      </c>
      <c r="AC401" s="43">
        <f>HYPERLINK("https://projects.propublica.org/nonprofits/organizations/131740451/202531349349302818/full","view filing")</f>
        <v/>
      </c>
      <c r="AD401" s="50" t="inlineStr"/>
    </row>
    <row r="402">
      <c r="A402" t="inlineStr">
        <is>
          <t>Freed-hardeman University</t>
        </is>
      </c>
      <c r="B402" s="50" t="inlineStr">
        <is>
          <t>TN</t>
        </is>
      </c>
      <c r="C402" s="52" t="n">
        <v>0.1</v>
      </c>
      <c r="D402" t="inlineStr">
        <is>
          <t>Endowment</t>
        </is>
      </c>
      <c r="E402" s="50" t="n">
        <v>2025</v>
      </c>
      <c r="F402" s="50" t="inlineStr">
        <is>
          <t>2026-06-08</t>
        </is>
      </c>
      <c r="G402" s="50" t="inlineStr">
        <is>
          <t>2025-05-31</t>
        </is>
      </c>
      <c r="H402" t="inlineStr">
        <is>
          <t>Jerry A Satterfield</t>
        </is>
      </c>
      <c r="I402" t="inlineStr">
        <is>
          <t>CHIEF INVESTMENT OFFICER</t>
        </is>
      </c>
      <c r="J402" t="inlineStr">
        <is>
          <t>CIO</t>
        </is>
      </c>
      <c r="K402" t="inlineStr">
        <is>
          <t>CIO - Top Investment Executive</t>
        </is>
      </c>
      <c r="L402" s="28" t="n">
        <v>0</v>
      </c>
      <c r="M402" s="28" t="n">
        <v>0</v>
      </c>
      <c r="N402" s="28" t="n">
        <v>0</v>
      </c>
      <c r="O402" s="28" t="n">
        <v>0</v>
      </c>
      <c r="P402" s="28" t="n">
        <v>0</v>
      </c>
      <c r="Q402" s="28" t="n">
        <v>154500</v>
      </c>
      <c r="R402" s="28" t="n">
        <v>0</v>
      </c>
      <c r="S402" s="28">
        <f>Q402-R402</f>
        <v/>
      </c>
      <c r="T402" s="28">
        <f>IF(S402="","",S402*(1+in_GrowthRate)^(YEARFRAC(DATE(2025,5,31),in_AgeToDate)*IF(in_AgeToDate&lt;DATE(2025,5,31),-1,1)+1))</f>
        <v/>
      </c>
      <c r="U402" s="50">
        <f>IF(AND(AND(OR(in_Mode="All Funds",AND(C402&gt;=in_BandFloor,C402&lt;=in_BandCeiling,OR(in_Geography="National",COUNTIFS(lst_GeoPreset,in_Geography,lst_GeoState,B402)&gt;0,AND(in_Geography="Custom",ISNUMBER(SEARCH(B402,SUBSTITUTE(in_CustomStates," ",""))))),OR(AND(D402="Endowment",Inputs!$B$14="Y"),AND(D402="Foundation",Inputs!$B$15="Y"),AND(D402="Healthcare",Inputs!$B$16="Y"),AND(D402="Pension",Inputs!$B$17="Y"),AND(D402="OCIO",Inputs!$B$18="Y"),AND(D402="Other",Inputs!$B$19="Y")))),A402&lt;&gt;in_ClientOrg,NOT(AND(in_ExclHarvard="Y",ISNUMBER(SEARCH("Harvard",A402))))),$AD402="Y",K402&lt;&gt;"",S402&gt;0),"Y","")</f>
        <v/>
      </c>
      <c r="V402" s="30" t="n">
        <v>1</v>
      </c>
      <c r="W402" t="inlineStr"/>
      <c r="X402" s="28">
        <f>IF(L402+M402=0,"",L402+M402)</f>
        <v/>
      </c>
      <c r="Y402" s="38">
        <f>IF(L402=0,"",M402/L402)</f>
        <v/>
      </c>
      <c r="Z402" t="inlineStr">
        <is>
          <t>CIO - Top Investment Executive</t>
        </is>
      </c>
      <c r="AA402" t="inlineStr">
        <is>
          <t>Leadership</t>
        </is>
      </c>
      <c r="AB402" s="50" t="inlineStr">
        <is>
          <t>Y</t>
        </is>
      </c>
      <c r="AC402" s="43">
        <f>HYPERLINK("https://projects.propublica.org/nonprofits/organizations/620518288/202601599349300730/full","view filing")</f>
        <v/>
      </c>
      <c r="AD402" s="50" t="inlineStr">
        <is>
          <t>Y</t>
        </is>
      </c>
    </row>
    <row r="403">
      <c r="A403" t="inlineStr">
        <is>
          <t>Freed-hardeman University</t>
        </is>
      </c>
      <c r="B403" s="50" t="inlineStr">
        <is>
          <t>TN</t>
        </is>
      </c>
      <c r="C403" s="52" t="n">
        <v>0.1</v>
      </c>
      <c r="D403" t="inlineStr">
        <is>
          <t>Endowment</t>
        </is>
      </c>
      <c r="E403" s="50" t="n">
        <v>2024</v>
      </c>
      <c r="F403" s="50" t="inlineStr">
        <is>
          <t>2025-04-14</t>
        </is>
      </c>
      <c r="G403" s="50" t="inlineStr">
        <is>
          <t>2024-05-31</t>
        </is>
      </c>
      <c r="H403" t="inlineStr">
        <is>
          <t>Jerry A Satterfield</t>
        </is>
      </c>
      <c r="I403" t="inlineStr">
        <is>
          <t>CHIEF INVESTMENT OFFICER</t>
        </is>
      </c>
      <c r="J403" t="inlineStr">
        <is>
          <t>CIO</t>
        </is>
      </c>
      <c r="K403" t="inlineStr">
        <is>
          <t>CIO - Top Investment Executive</t>
        </is>
      </c>
      <c r="L403" s="28" t="n">
        <v>0</v>
      </c>
      <c r="M403" s="28" t="n">
        <v>0</v>
      </c>
      <c r="N403" s="28" t="n">
        <v>0</v>
      </c>
      <c r="O403" s="28" t="n">
        <v>0</v>
      </c>
      <c r="P403" s="28" t="n">
        <v>0</v>
      </c>
      <c r="Q403" s="28" t="n">
        <v>155567</v>
      </c>
      <c r="R403" s="28" t="n">
        <v>0</v>
      </c>
      <c r="S403" s="28">
        <f>Q403-R403</f>
        <v/>
      </c>
      <c r="T403" s="28">
        <f>IF(S403="","",S403*(1+in_GrowthRate)^(YEARFRAC(DATE(2024,5,31),in_AgeToDate)*IF(in_AgeToDate&lt;DATE(2024,5,31),-1,1)+1))</f>
        <v/>
      </c>
      <c r="U403" s="50">
        <f>IF(AND(AND(OR(in_Mode="All Funds",AND(C403&gt;=in_BandFloor,C403&lt;=in_BandCeiling,OR(in_Geography="National",COUNTIFS(lst_GeoPreset,in_Geography,lst_GeoState,B403)&gt;0,AND(in_Geography="Custom",ISNUMBER(SEARCH(B403,SUBSTITUTE(in_CustomStates," ",""))))),OR(AND(D403="Endowment",Inputs!$B$14="Y"),AND(D403="Foundation",Inputs!$B$15="Y"),AND(D403="Healthcare",Inputs!$B$16="Y"),AND(D403="Pension",Inputs!$B$17="Y"),AND(D403="OCIO",Inputs!$B$18="Y"),AND(D403="Other",Inputs!$B$19="Y")))),A403&lt;&gt;in_ClientOrg,NOT(AND(in_ExclHarvard="Y",ISNUMBER(SEARCH("Harvard",A403))))),$AD403="Y",K403&lt;&gt;"",S403&gt;0),"Y","")</f>
        <v/>
      </c>
      <c r="V403" s="30" t="n">
        <v>1</v>
      </c>
      <c r="W403" t="inlineStr"/>
      <c r="X403" s="28">
        <f>IF(L403+M403=0,"",L403+M403)</f>
        <v/>
      </c>
      <c r="Y403" s="38">
        <f>IF(L403=0,"",M403/L403)</f>
        <v/>
      </c>
      <c r="Z403" t="inlineStr">
        <is>
          <t>CIO - Top Investment Executive</t>
        </is>
      </c>
      <c r="AA403" t="inlineStr">
        <is>
          <t>Leadership</t>
        </is>
      </c>
      <c r="AB403" s="50" t="inlineStr">
        <is>
          <t>Y</t>
        </is>
      </c>
      <c r="AC403" s="43">
        <f>HYPERLINK("https://projects.propublica.org/nonprofits/organizations/620518288/202511049349301026/full","view filing")</f>
        <v/>
      </c>
      <c r="AD403" s="50" t="inlineStr"/>
    </row>
    <row r="404">
      <c r="A404" t="inlineStr">
        <is>
          <t>Freed-hardeman University</t>
        </is>
      </c>
      <c r="B404" s="50" t="inlineStr">
        <is>
          <t>TN</t>
        </is>
      </c>
      <c r="C404" s="52" t="n">
        <v>0.1</v>
      </c>
      <c r="D404" t="inlineStr">
        <is>
          <t>Endowment</t>
        </is>
      </c>
      <c r="E404" s="50" t="n">
        <v>2023</v>
      </c>
      <c r="F404" s="50" t="inlineStr">
        <is>
          <t>2024-04-24</t>
        </is>
      </c>
      <c r="G404" s="50" t="inlineStr">
        <is>
          <t>2023-05-31</t>
        </is>
      </c>
      <c r="H404" t="inlineStr">
        <is>
          <t>Jerry A Satterfield</t>
        </is>
      </c>
      <c r="I404" t="inlineStr">
        <is>
          <t>CHIEF INVESTMENT OFFICER</t>
        </is>
      </c>
      <c r="J404" t="inlineStr">
        <is>
          <t>CIO</t>
        </is>
      </c>
      <c r="K404" t="inlineStr">
        <is>
          <t>CIO - Top Investment Executive</t>
        </is>
      </c>
      <c r="L404" s="28" t="n">
        <v>0</v>
      </c>
      <c r="M404" s="28" t="n">
        <v>0</v>
      </c>
      <c r="N404" s="28" t="n">
        <v>0</v>
      </c>
      <c r="O404" s="28" t="n">
        <v>0</v>
      </c>
      <c r="P404" s="28" t="n">
        <v>0</v>
      </c>
      <c r="Q404" s="28" t="n">
        <v>147182</v>
      </c>
      <c r="R404" s="28" t="n">
        <v>0</v>
      </c>
      <c r="S404" s="28">
        <f>Q404-R404</f>
        <v/>
      </c>
      <c r="T404" s="28">
        <f>IF(S404="","",S404*(1+in_GrowthRate)^(YEARFRAC(DATE(2023,5,31),in_AgeToDate)*IF(in_AgeToDate&lt;DATE(2023,5,31),-1,1)+1))</f>
        <v/>
      </c>
      <c r="U404" s="50">
        <f>IF(AND(AND(OR(in_Mode="All Funds",AND(C404&gt;=in_BandFloor,C404&lt;=in_BandCeiling,OR(in_Geography="National",COUNTIFS(lst_GeoPreset,in_Geography,lst_GeoState,B404)&gt;0,AND(in_Geography="Custom",ISNUMBER(SEARCH(B404,SUBSTITUTE(in_CustomStates," ",""))))),OR(AND(D404="Endowment",Inputs!$B$14="Y"),AND(D404="Foundation",Inputs!$B$15="Y"),AND(D404="Healthcare",Inputs!$B$16="Y"),AND(D404="Pension",Inputs!$B$17="Y"),AND(D404="OCIO",Inputs!$B$18="Y"),AND(D404="Other",Inputs!$B$19="Y")))),A404&lt;&gt;in_ClientOrg,NOT(AND(in_ExclHarvard="Y",ISNUMBER(SEARCH("Harvard",A404))))),$AD404="Y",K404&lt;&gt;"",S404&gt;0),"Y","")</f>
        <v/>
      </c>
      <c r="V404" s="30" t="n">
        <v>1</v>
      </c>
      <c r="W404" t="inlineStr"/>
      <c r="X404" s="28">
        <f>IF(L404+M404=0,"",L404+M404)</f>
        <v/>
      </c>
      <c r="Y404" s="38">
        <f>IF(L404=0,"",M404/L404)</f>
        <v/>
      </c>
      <c r="Z404" t="inlineStr">
        <is>
          <t>CIO - Top Investment Executive</t>
        </is>
      </c>
      <c r="AA404" t="inlineStr">
        <is>
          <t>Leadership</t>
        </is>
      </c>
      <c r="AB404" s="50" t="inlineStr">
        <is>
          <t>Y</t>
        </is>
      </c>
      <c r="AC404" s="43">
        <f>HYPERLINK("https://projects.propublica.org/nonprofits/organizations/620518288/202411159349301741/full","view filing")</f>
        <v/>
      </c>
      <c r="AD404" s="50" t="inlineStr"/>
    </row>
    <row r="405">
      <c r="A405" t="inlineStr">
        <is>
          <t>Freed-hardeman University</t>
        </is>
      </c>
      <c r="B405" s="50" t="inlineStr">
        <is>
          <t>TN</t>
        </is>
      </c>
      <c r="C405" s="52" t="n">
        <v>0.1</v>
      </c>
      <c r="D405" t="inlineStr">
        <is>
          <t>Endowment</t>
        </is>
      </c>
      <c r="E405" s="50" t="n">
        <v>2022</v>
      </c>
      <c r="F405" s="50" t="inlineStr">
        <is>
          <t>2023-04-18</t>
        </is>
      </c>
      <c r="G405" s="50" t="inlineStr">
        <is>
          <t>2022-05-31</t>
        </is>
      </c>
      <c r="H405" t="inlineStr">
        <is>
          <t>Jerry A Satterfield</t>
        </is>
      </c>
      <c r="I405" t="inlineStr">
        <is>
          <t>CHIEF INVESTMENT OFFICER</t>
        </is>
      </c>
      <c r="J405" t="inlineStr">
        <is>
          <t>CIO</t>
        </is>
      </c>
      <c r="K405" t="inlineStr">
        <is>
          <t>CIO - Top Investment Executive</t>
        </is>
      </c>
      <c r="L405" s="28" t="n">
        <v>0</v>
      </c>
      <c r="M405" s="28" t="n">
        <v>0</v>
      </c>
      <c r="N405" s="28" t="n">
        <v>0</v>
      </c>
      <c r="O405" s="28" t="n">
        <v>0</v>
      </c>
      <c r="P405" s="28" t="n">
        <v>0</v>
      </c>
      <c r="Q405" s="28" t="n">
        <v>144881</v>
      </c>
      <c r="R405" s="28" t="n">
        <v>0</v>
      </c>
      <c r="S405" s="28">
        <f>Q405-R405</f>
        <v/>
      </c>
      <c r="T405" s="28">
        <f>IF(S405="","",S405*(1+in_GrowthRate)^(YEARFRAC(DATE(2022,5,31),in_AgeToDate)*IF(in_AgeToDate&lt;DATE(2022,5,31),-1,1)+1))</f>
        <v/>
      </c>
      <c r="U405" s="50">
        <f>IF(AND(AND(OR(in_Mode="All Funds",AND(C405&gt;=in_BandFloor,C405&lt;=in_BandCeiling,OR(in_Geography="National",COUNTIFS(lst_GeoPreset,in_Geography,lst_GeoState,B405)&gt;0,AND(in_Geography="Custom",ISNUMBER(SEARCH(B405,SUBSTITUTE(in_CustomStates," ",""))))),OR(AND(D405="Endowment",Inputs!$B$14="Y"),AND(D405="Foundation",Inputs!$B$15="Y"),AND(D405="Healthcare",Inputs!$B$16="Y"),AND(D405="Pension",Inputs!$B$17="Y"),AND(D405="OCIO",Inputs!$B$18="Y"),AND(D405="Other",Inputs!$B$19="Y")))),A405&lt;&gt;in_ClientOrg,NOT(AND(in_ExclHarvard="Y",ISNUMBER(SEARCH("Harvard",A405))))),$AD405="Y",K405&lt;&gt;"",S405&gt;0),"Y","")</f>
        <v/>
      </c>
      <c r="V405" s="30" t="n">
        <v>1</v>
      </c>
      <c r="W405" t="inlineStr"/>
      <c r="X405" s="28">
        <f>IF(L405+M405=0,"",L405+M405)</f>
        <v/>
      </c>
      <c r="Y405" s="38">
        <f>IF(L405=0,"",M405/L405)</f>
        <v/>
      </c>
      <c r="Z405" t="inlineStr">
        <is>
          <t>CIO - Top Investment Executive</t>
        </is>
      </c>
      <c r="AA405" t="inlineStr">
        <is>
          <t>Leadership</t>
        </is>
      </c>
      <c r="AB405" s="50" t="inlineStr">
        <is>
          <t>Y</t>
        </is>
      </c>
      <c r="AC405" s="43">
        <f>HYPERLINK("https://projects.propublica.org/nonprofits/organizations/620518288/202331089349300618/full","view filing")</f>
        <v/>
      </c>
      <c r="AD405" s="50" t="inlineStr"/>
    </row>
    <row r="406">
      <c r="A406" t="inlineStr">
        <is>
          <t>Freedom Together Foundation</t>
        </is>
      </c>
      <c r="B406" s="50" t="inlineStr">
        <is>
          <t>NY</t>
        </is>
      </c>
      <c r="C406" s="52" t="n">
        <v>4.05</v>
      </c>
      <c r="D406" t="inlineStr">
        <is>
          <t>Foundation</t>
        </is>
      </c>
      <c r="E406" s="50" t="n">
        <v>2024</v>
      </c>
      <c r="F406" s="50" t="inlineStr">
        <is>
          <t>2025-11-17</t>
        </is>
      </c>
      <c r="G406" s="50" t="inlineStr">
        <is>
          <t>2024-12-31</t>
        </is>
      </c>
      <c r="H406" t="inlineStr">
        <is>
          <t>Gerald C Mcnamara</t>
        </is>
      </c>
      <c r="I406" t="inlineStr">
        <is>
          <t>CIO</t>
        </is>
      </c>
      <c r="J406" t="inlineStr">
        <is>
          <t>CIO</t>
        </is>
      </c>
      <c r="K406" t="inlineStr">
        <is>
          <t>CIO - Top Investment Executive</t>
        </is>
      </c>
      <c r="L406" s="28" t="n">
        <v>0</v>
      </c>
      <c r="M406" s="28" t="n">
        <v>0</v>
      </c>
      <c r="N406" s="28" t="n">
        <v>0</v>
      </c>
      <c r="O406" s="28" t="n">
        <v>0</v>
      </c>
      <c r="P406" s="28" t="n">
        <v>78818</v>
      </c>
      <c r="Q406" s="28" t="n">
        <v>1287470</v>
      </c>
      <c r="R406" s="28" t="n">
        <v>0</v>
      </c>
      <c r="S406" s="28">
        <f>Q406-R406</f>
        <v/>
      </c>
      <c r="T406" s="28">
        <f>IF(S406="","",S406*(1+in_GrowthRate)^(YEARFRAC(DATE(2024,12,31),in_AgeToDate)*IF(in_AgeToDate&lt;DATE(2024,12,31),-1,1)+1))</f>
        <v/>
      </c>
      <c r="U406" s="50">
        <f>IF(AND(AND(OR(in_Mode="All Funds",AND(C406&gt;=in_BandFloor,C406&lt;=in_BandCeiling,OR(in_Geography="National",COUNTIFS(lst_GeoPreset,in_Geography,lst_GeoState,B406)&gt;0,AND(in_Geography="Custom",ISNUMBER(SEARCH(B406,SUBSTITUTE(in_CustomStates," ",""))))),OR(AND(D406="Endowment",Inputs!$B$14="Y"),AND(D406="Foundation",Inputs!$B$15="Y"),AND(D406="Healthcare",Inputs!$B$16="Y"),AND(D406="Pension",Inputs!$B$17="Y"),AND(D406="OCIO",Inputs!$B$18="Y"),AND(D406="Other",Inputs!$B$19="Y")))),A406&lt;&gt;in_ClientOrg,NOT(AND(in_ExclHarvard="Y",ISNUMBER(SEARCH("Harvard",A406))))),$AD406="Y",K406&lt;&gt;"",S406&gt;0),"Y","")</f>
        <v/>
      </c>
      <c r="V406" s="30" t="n">
        <v>1</v>
      </c>
      <c r="W406" t="inlineStr"/>
      <c r="X406" s="28">
        <f>IF(L406+M406=0,"",L406+M406)</f>
        <v/>
      </c>
      <c r="Y406" s="38">
        <f>IF(L406=0,"",M406/L406)</f>
        <v/>
      </c>
      <c r="Z406" t="inlineStr">
        <is>
          <t>CIO - Top Investment Executive</t>
        </is>
      </c>
      <c r="AA406" t="inlineStr">
        <is>
          <t>Leadership</t>
        </is>
      </c>
      <c r="AB406" s="50" t="inlineStr">
        <is>
          <t>Y</t>
        </is>
      </c>
      <c r="AC406" s="43">
        <f>HYPERLINK("https://projects.propublica.org/nonprofits/organizations/900747216/202513219349101966/full","view filing")</f>
        <v/>
      </c>
      <c r="AD406" s="50" t="inlineStr">
        <is>
          <t>Y</t>
        </is>
      </c>
    </row>
    <row r="407">
      <c r="A407" t="inlineStr">
        <is>
          <t>Freedom Together Foundation</t>
        </is>
      </c>
      <c r="B407" s="50" t="inlineStr">
        <is>
          <t>NY</t>
        </is>
      </c>
      <c r="C407" s="52" t="n">
        <v>4.05</v>
      </c>
      <c r="D407" t="inlineStr">
        <is>
          <t>Foundation</t>
        </is>
      </c>
      <c r="E407" s="50" t="n">
        <v>2024</v>
      </c>
      <c r="F407" s="50" t="inlineStr">
        <is>
          <t>2025-11-17</t>
        </is>
      </c>
      <c r="G407" s="50" t="inlineStr">
        <is>
          <t>2024-12-31</t>
        </is>
      </c>
      <c r="H407" t="inlineStr">
        <is>
          <t>William W Ribbecke</t>
        </is>
      </c>
      <c r="I407" t="inlineStr">
        <is>
          <t>SVP, INVESTMENTS</t>
        </is>
      </c>
      <c r="J407" t="inlineStr">
        <is>
          <t>Director of Investments</t>
        </is>
      </c>
      <c r="K407" t="inlineStr">
        <is>
          <t>Sr Investment Professional</t>
        </is>
      </c>
      <c r="L407" s="28" t="n">
        <v>0</v>
      </c>
      <c r="M407" s="28" t="n">
        <v>0</v>
      </c>
      <c r="N407" s="28" t="n">
        <v>0</v>
      </c>
      <c r="O407" s="28" t="n">
        <v>0</v>
      </c>
      <c r="P407" s="28" t="n">
        <v>0</v>
      </c>
      <c r="Q407" s="28" t="n">
        <v>476730</v>
      </c>
      <c r="R407" s="28" t="n">
        <v>0</v>
      </c>
      <c r="S407" s="28">
        <f>Q407-R407</f>
        <v/>
      </c>
      <c r="T407" s="28">
        <f>IF(S407="","",S407*(1+in_GrowthRate)^(YEARFRAC(DATE(2024,12,31),in_AgeToDate)*IF(in_AgeToDate&lt;DATE(2024,12,31),-1,1)+1))</f>
        <v/>
      </c>
      <c r="U407" s="50">
        <f>IF(AND(AND(OR(in_Mode="All Funds",AND(C407&gt;=in_BandFloor,C407&lt;=in_BandCeiling,OR(in_Geography="National",COUNTIFS(lst_GeoPreset,in_Geography,lst_GeoState,B407)&gt;0,AND(in_Geography="Custom",ISNUMBER(SEARCH(B407,SUBSTITUTE(in_CustomStates," ",""))))),OR(AND(D407="Endowment",Inputs!$B$14="Y"),AND(D407="Foundation",Inputs!$B$15="Y"),AND(D407="Healthcare",Inputs!$B$16="Y"),AND(D407="Pension",Inputs!$B$17="Y"),AND(D407="OCIO",Inputs!$B$18="Y"),AND(D407="Other",Inputs!$B$19="Y")))),A407&lt;&gt;in_ClientOrg,NOT(AND(in_ExclHarvard="Y",ISNUMBER(SEARCH("Harvard",A407))))),$AD407="Y",K407&lt;&gt;"",S407&gt;0),"Y","")</f>
        <v/>
      </c>
      <c r="V407" s="30" t="n">
        <v>0.3702843561403372</v>
      </c>
      <c r="W407" t="inlineStr"/>
      <c r="X407" s="28">
        <f>IF(L407+M407=0,"",L407+M407)</f>
        <v/>
      </c>
      <c r="Y407" s="38">
        <f>IF(L407=0,"",M407/L407)</f>
        <v/>
      </c>
      <c r="Z407" t="inlineStr">
        <is>
          <t>Director &amp; Investment Officer</t>
        </is>
      </c>
      <c r="AA407" t="inlineStr">
        <is>
          <t>Investments</t>
        </is>
      </c>
      <c r="AB407" s="50" t="inlineStr"/>
      <c r="AC407" s="43">
        <f>HYPERLINK("https://projects.propublica.org/nonprofits/organizations/900747216/202513219349101966/full","view filing")</f>
        <v/>
      </c>
      <c r="AD407" s="50" t="inlineStr">
        <is>
          <t>Y</t>
        </is>
      </c>
    </row>
    <row r="408">
      <c r="A408" t="inlineStr">
        <is>
          <t>Freedom Together Foundation</t>
        </is>
      </c>
      <c r="B408" s="50" t="inlineStr">
        <is>
          <t>NY</t>
        </is>
      </c>
      <c r="C408" s="52" t="n">
        <v>4.05</v>
      </c>
      <c r="D408" t="inlineStr">
        <is>
          <t>Foundation</t>
        </is>
      </c>
      <c r="E408" s="50" t="n">
        <v>2023</v>
      </c>
      <c r="F408" s="50" t="inlineStr">
        <is>
          <t>2024-11-13</t>
        </is>
      </c>
      <c r="G408" s="50" t="inlineStr">
        <is>
          <t>2023-12-31</t>
        </is>
      </c>
      <c r="H408" t="inlineStr">
        <is>
          <t>Gerald C Mcnamara</t>
        </is>
      </c>
      <c r="I408" t="inlineStr">
        <is>
          <t>CIO</t>
        </is>
      </c>
      <c r="J408" t="inlineStr">
        <is>
          <t>CIO</t>
        </is>
      </c>
      <c r="K408" t="inlineStr">
        <is>
          <t>CIO - Top Investment Executive</t>
        </is>
      </c>
      <c r="L408" s="28" t="n">
        <v>0</v>
      </c>
      <c r="M408" s="28" t="n">
        <v>0</v>
      </c>
      <c r="N408" s="28" t="n">
        <v>0</v>
      </c>
      <c r="O408" s="28" t="n">
        <v>0</v>
      </c>
      <c r="P408" s="28" t="n">
        <v>74029</v>
      </c>
      <c r="Q408" s="28" t="n">
        <v>1511363</v>
      </c>
      <c r="R408" s="28" t="n">
        <v>0</v>
      </c>
      <c r="S408" s="28">
        <f>Q408-R408</f>
        <v/>
      </c>
      <c r="T408" s="28">
        <f>IF(S408="","",S408*(1+in_GrowthRate)^(YEARFRAC(DATE(2023,12,31),in_AgeToDate)*IF(in_AgeToDate&lt;DATE(2023,12,31),-1,1)+1))</f>
        <v/>
      </c>
      <c r="U408" s="50">
        <f>IF(AND(AND(OR(in_Mode="All Funds",AND(C408&gt;=in_BandFloor,C408&lt;=in_BandCeiling,OR(in_Geography="National",COUNTIFS(lst_GeoPreset,in_Geography,lst_GeoState,B408)&gt;0,AND(in_Geography="Custom",ISNUMBER(SEARCH(B408,SUBSTITUTE(in_CustomStates," ",""))))),OR(AND(D408="Endowment",Inputs!$B$14="Y"),AND(D408="Foundation",Inputs!$B$15="Y"),AND(D408="Healthcare",Inputs!$B$16="Y"),AND(D408="Pension",Inputs!$B$17="Y"),AND(D408="OCIO",Inputs!$B$18="Y"),AND(D408="Other",Inputs!$B$19="Y")))),A408&lt;&gt;in_ClientOrg,NOT(AND(in_ExclHarvard="Y",ISNUMBER(SEARCH("Harvard",A408))))),$AD408="Y",K408&lt;&gt;"",S408&gt;0),"Y","")</f>
        <v/>
      </c>
      <c r="V408" s="30" t="n">
        <v>1</v>
      </c>
      <c r="W408" t="inlineStr"/>
      <c r="X408" s="28">
        <f>IF(L408+M408=0,"",L408+M408)</f>
        <v/>
      </c>
      <c r="Y408" s="38">
        <f>IF(L408=0,"",M408/L408)</f>
        <v/>
      </c>
      <c r="Z408" t="inlineStr">
        <is>
          <t>CIO - Top Investment Executive</t>
        </is>
      </c>
      <c r="AA408" t="inlineStr">
        <is>
          <t>Leadership</t>
        </is>
      </c>
      <c r="AB408" s="50" t="inlineStr">
        <is>
          <t>Y</t>
        </is>
      </c>
      <c r="AC408" s="43">
        <f>HYPERLINK("https://projects.propublica.org/nonprofits/organizations/900747216/202443189349104054/full","view filing")</f>
        <v/>
      </c>
      <c r="AD408" s="50" t="inlineStr"/>
    </row>
    <row r="409">
      <c r="A409" t="inlineStr">
        <is>
          <t>Freedom Together Foundation</t>
        </is>
      </c>
      <c r="B409" s="50" t="inlineStr">
        <is>
          <t>NY</t>
        </is>
      </c>
      <c r="C409" s="52" t="n">
        <v>4.05</v>
      </c>
      <c r="D409" t="inlineStr">
        <is>
          <t>Foundation</t>
        </is>
      </c>
      <c r="E409" s="50" t="n">
        <v>2023</v>
      </c>
      <c r="F409" s="50" t="inlineStr">
        <is>
          <t>2024-11-13</t>
        </is>
      </c>
      <c r="G409" s="50" t="inlineStr">
        <is>
          <t>2023-12-31</t>
        </is>
      </c>
      <c r="H409" t="inlineStr">
        <is>
          <t>William W Ribbecke</t>
        </is>
      </c>
      <c r="I409" t="inlineStr">
        <is>
          <t>SVP, INVESTMENTS</t>
        </is>
      </c>
      <c r="J409" t="inlineStr">
        <is>
          <t>Director of Investments</t>
        </is>
      </c>
      <c r="K409" t="inlineStr">
        <is>
          <t>Sr Investment Professional</t>
        </is>
      </c>
      <c r="L409" s="28" t="n">
        <v>0</v>
      </c>
      <c r="M409" s="28" t="n">
        <v>0</v>
      </c>
      <c r="N409" s="28" t="n">
        <v>0</v>
      </c>
      <c r="O409" s="28" t="n">
        <v>0</v>
      </c>
      <c r="P409" s="28" t="n">
        <v>0</v>
      </c>
      <c r="Q409" s="28" t="n">
        <v>525430</v>
      </c>
      <c r="R409" s="28" t="n">
        <v>0</v>
      </c>
      <c r="S409" s="28">
        <f>Q409-R409</f>
        <v/>
      </c>
      <c r="T409" s="28">
        <f>IF(S409="","",S409*(1+in_GrowthRate)^(YEARFRAC(DATE(2023,12,31),in_AgeToDate)*IF(in_AgeToDate&lt;DATE(2023,12,31),-1,1)+1))</f>
        <v/>
      </c>
      <c r="U409" s="50">
        <f>IF(AND(AND(OR(in_Mode="All Funds",AND(C409&gt;=in_BandFloor,C409&lt;=in_BandCeiling,OR(in_Geography="National",COUNTIFS(lst_GeoPreset,in_Geography,lst_GeoState,B409)&gt;0,AND(in_Geography="Custom",ISNUMBER(SEARCH(B409,SUBSTITUTE(in_CustomStates," ",""))))),OR(AND(D409="Endowment",Inputs!$B$14="Y"),AND(D409="Foundation",Inputs!$B$15="Y"),AND(D409="Healthcare",Inputs!$B$16="Y"),AND(D409="Pension",Inputs!$B$17="Y"),AND(D409="OCIO",Inputs!$B$18="Y"),AND(D409="Other",Inputs!$B$19="Y")))),A409&lt;&gt;in_ClientOrg,NOT(AND(in_ExclHarvard="Y",ISNUMBER(SEARCH("Harvard",A409))))),$AD409="Y",K409&lt;&gt;"",S409&gt;0),"Y","")</f>
        <v/>
      </c>
      <c r="V409" s="30" t="n">
        <v>0.3476530787110708</v>
      </c>
      <c r="W409" t="inlineStr"/>
      <c r="X409" s="28">
        <f>IF(L409+M409=0,"",L409+M409)</f>
        <v/>
      </c>
      <c r="Y409" s="38">
        <f>IF(L409=0,"",M409/L409)</f>
        <v/>
      </c>
      <c r="Z409" t="inlineStr">
        <is>
          <t>Director &amp; Investment Officer</t>
        </is>
      </c>
      <c r="AA409" t="inlineStr">
        <is>
          <t>Investments</t>
        </is>
      </c>
      <c r="AB409" s="50" t="inlineStr"/>
      <c r="AC409" s="43">
        <f>HYPERLINK("https://projects.propublica.org/nonprofits/organizations/900747216/202443189349104054/full","view filing")</f>
        <v/>
      </c>
      <c r="AD409" s="50" t="inlineStr"/>
    </row>
    <row r="410">
      <c r="A410" t="inlineStr">
        <is>
          <t>Freedom Together Foundation</t>
        </is>
      </c>
      <c r="B410" s="50" t="inlineStr">
        <is>
          <t>NY</t>
        </is>
      </c>
      <c r="C410" s="52" t="n">
        <v>4.05</v>
      </c>
      <c r="D410" t="inlineStr">
        <is>
          <t>Foundation</t>
        </is>
      </c>
      <c r="E410" s="50" t="n">
        <v>2022</v>
      </c>
      <c r="F410" s="50" t="inlineStr">
        <is>
          <t>2024-06-13</t>
        </is>
      </c>
      <c r="G410" s="50" t="inlineStr">
        <is>
          <t>2022-12-31</t>
        </is>
      </c>
      <c r="H410" t="inlineStr">
        <is>
          <t>Gerald C Mcnamara</t>
        </is>
      </c>
      <c r="I410" t="inlineStr">
        <is>
          <t>CIO</t>
        </is>
      </c>
      <c r="J410" t="inlineStr">
        <is>
          <t>CIO</t>
        </is>
      </c>
      <c r="K410" t="inlineStr">
        <is>
          <t>CIO - Top Investment Executive</t>
        </is>
      </c>
      <c r="L410" s="28" t="n">
        <v>0</v>
      </c>
      <c r="M410" s="28" t="n">
        <v>0</v>
      </c>
      <c r="N410" s="28" t="n">
        <v>0</v>
      </c>
      <c r="O410" s="28" t="n">
        <v>0</v>
      </c>
      <c r="P410" s="28" t="n">
        <v>71138</v>
      </c>
      <c r="Q410" s="28" t="n">
        <v>1404472</v>
      </c>
      <c r="R410" s="28" t="n">
        <v>0</v>
      </c>
      <c r="S410" s="28">
        <f>Q410-R410</f>
        <v/>
      </c>
      <c r="T410" s="28">
        <f>IF(S410="","",S410*(1+in_GrowthRate)^(YEARFRAC(DATE(2022,12,31),in_AgeToDate)*IF(in_AgeToDate&lt;DATE(2022,12,31),-1,1)+1))</f>
        <v/>
      </c>
      <c r="U410" s="50">
        <f>IF(AND(AND(OR(in_Mode="All Funds",AND(C410&gt;=in_BandFloor,C410&lt;=in_BandCeiling,OR(in_Geography="National",COUNTIFS(lst_GeoPreset,in_Geography,lst_GeoState,B410)&gt;0,AND(in_Geography="Custom",ISNUMBER(SEARCH(B410,SUBSTITUTE(in_CustomStates," ",""))))),OR(AND(D410="Endowment",Inputs!$B$14="Y"),AND(D410="Foundation",Inputs!$B$15="Y"),AND(D410="Healthcare",Inputs!$B$16="Y"),AND(D410="Pension",Inputs!$B$17="Y"),AND(D410="OCIO",Inputs!$B$18="Y"),AND(D410="Other",Inputs!$B$19="Y")))),A410&lt;&gt;in_ClientOrg,NOT(AND(in_ExclHarvard="Y",ISNUMBER(SEARCH("Harvard",A410))))),$AD410="Y",K410&lt;&gt;"",S410&gt;0),"Y","")</f>
        <v/>
      </c>
      <c r="V410" s="30" t="n">
        <v>1</v>
      </c>
      <c r="W410" t="inlineStr"/>
      <c r="X410" s="28">
        <f>IF(L410+M410=0,"",L410+M410)</f>
        <v/>
      </c>
      <c r="Y410" s="38">
        <f>IF(L410=0,"",M410/L410)</f>
        <v/>
      </c>
      <c r="Z410" t="inlineStr">
        <is>
          <t>CIO - Top Investment Executive</t>
        </is>
      </c>
      <c r="AA410" t="inlineStr">
        <is>
          <t>Leadership</t>
        </is>
      </c>
      <c r="AB410" s="50" t="inlineStr">
        <is>
          <t>Y</t>
        </is>
      </c>
      <c r="AC410" s="43">
        <f>HYPERLINK("https://projects.propublica.org/nonprofits/organizations/900747216/202441659349100914/full","view filing")</f>
        <v/>
      </c>
      <c r="AD410" s="50" t="inlineStr"/>
    </row>
    <row r="411">
      <c r="A411" t="inlineStr">
        <is>
          <t>Freedom Together Foundation</t>
        </is>
      </c>
      <c r="B411" s="50" t="inlineStr">
        <is>
          <t>NY</t>
        </is>
      </c>
      <c r="C411" s="52" t="n">
        <v>4.05</v>
      </c>
      <c r="D411" t="inlineStr">
        <is>
          <t>Foundation</t>
        </is>
      </c>
      <c r="E411" s="50" t="n">
        <v>2022</v>
      </c>
      <c r="F411" s="50" t="inlineStr">
        <is>
          <t>2024-06-13</t>
        </is>
      </c>
      <c r="G411" s="50" t="inlineStr">
        <is>
          <t>2022-12-31</t>
        </is>
      </c>
      <c r="H411" t="inlineStr">
        <is>
          <t>William W Ribbecke</t>
        </is>
      </c>
      <c r="I411" t="inlineStr">
        <is>
          <t>VP, INVESTMENTS</t>
        </is>
      </c>
      <c r="J411" t="inlineStr">
        <is>
          <t>Director of Investments</t>
        </is>
      </c>
      <c r="K411" t="inlineStr">
        <is>
          <t>Sr Investment Professional</t>
        </is>
      </c>
      <c r="L411" s="28" t="n">
        <v>0</v>
      </c>
      <c r="M411" s="28" t="n">
        <v>0</v>
      </c>
      <c r="N411" s="28" t="n">
        <v>0</v>
      </c>
      <c r="O411" s="28" t="n">
        <v>0</v>
      </c>
      <c r="P411" s="28" t="n">
        <v>0</v>
      </c>
      <c r="Q411" s="28" t="n">
        <v>447353</v>
      </c>
      <c r="R411" s="28" t="n">
        <v>0</v>
      </c>
      <c r="S411" s="28">
        <f>Q411-R411</f>
        <v/>
      </c>
      <c r="T411" s="28">
        <f>IF(S411="","",S411*(1+in_GrowthRate)^(YEARFRAC(DATE(2022,12,31),in_AgeToDate)*IF(in_AgeToDate&lt;DATE(2022,12,31),-1,1)+1))</f>
        <v/>
      </c>
      <c r="U411" s="50">
        <f>IF(AND(AND(OR(in_Mode="All Funds",AND(C411&gt;=in_BandFloor,C411&lt;=in_BandCeiling,OR(in_Geography="National",COUNTIFS(lst_GeoPreset,in_Geography,lst_GeoState,B411)&gt;0,AND(in_Geography="Custom",ISNUMBER(SEARCH(B411,SUBSTITUTE(in_CustomStates," ",""))))),OR(AND(D411="Endowment",Inputs!$B$14="Y"),AND(D411="Foundation",Inputs!$B$15="Y"),AND(D411="Healthcare",Inputs!$B$16="Y"),AND(D411="Pension",Inputs!$B$17="Y"),AND(D411="OCIO",Inputs!$B$18="Y"),AND(D411="Other",Inputs!$B$19="Y")))),A411&lt;&gt;in_ClientOrg,NOT(AND(in_ExclHarvard="Y",ISNUMBER(SEARCH("Harvard",A411))))),$AD411="Y",K411&lt;&gt;"",S411&gt;0),"Y","")</f>
        <v/>
      </c>
      <c r="V411" s="30" t="n">
        <v>0.3185204119412847</v>
      </c>
      <c r="W411" t="inlineStr"/>
      <c r="X411" s="28">
        <f>IF(L411+M411=0,"",L411+M411)</f>
        <v/>
      </c>
      <c r="Y411" s="38">
        <f>IF(L411=0,"",M411/L411)</f>
        <v/>
      </c>
      <c r="Z411" t="inlineStr">
        <is>
          <t>Director &amp; Investment Officer</t>
        </is>
      </c>
      <c r="AA411" t="inlineStr">
        <is>
          <t>Investments</t>
        </is>
      </c>
      <c r="AB411" s="50" t="inlineStr"/>
      <c r="AC411" s="43">
        <f>HYPERLINK("https://projects.propublica.org/nonprofits/organizations/900747216/202441659349100914/full","view filing")</f>
        <v/>
      </c>
      <c r="AD411" s="50" t="inlineStr"/>
    </row>
    <row r="412">
      <c r="A412" t="inlineStr">
        <is>
          <t>Freedom Together Foundation</t>
        </is>
      </c>
      <c r="B412" s="50" t="inlineStr">
        <is>
          <t>NY</t>
        </is>
      </c>
      <c r="C412" s="52" t="n">
        <v>4.05</v>
      </c>
      <c r="D412" t="inlineStr">
        <is>
          <t>Foundation</t>
        </is>
      </c>
      <c r="E412" s="50" t="n">
        <v>2022</v>
      </c>
      <c r="F412" s="50" t="inlineStr">
        <is>
          <t>2024-06-13</t>
        </is>
      </c>
      <c r="G412" s="50" t="inlineStr">
        <is>
          <t>2022-12-31</t>
        </is>
      </c>
      <c r="H412" t="inlineStr">
        <is>
          <t>Yvonne C Yu</t>
        </is>
      </c>
      <c r="I412" t="inlineStr">
        <is>
          <t>VP, INVESTMENT OPERA</t>
        </is>
      </c>
      <c r="J412" t="inlineStr">
        <is>
          <t>Director of Investments</t>
        </is>
      </c>
      <c r="K412" t="inlineStr">
        <is>
          <t>Sr Investment Professional</t>
        </is>
      </c>
      <c r="L412" s="28" t="n">
        <v>0</v>
      </c>
      <c r="M412" s="28" t="n">
        <v>0</v>
      </c>
      <c r="N412" s="28" t="n">
        <v>0</v>
      </c>
      <c r="O412" s="28" t="n">
        <v>0</v>
      </c>
      <c r="P412" s="28" t="n">
        <v>0</v>
      </c>
      <c r="Q412" s="28" t="n">
        <v>359821</v>
      </c>
      <c r="R412" s="28" t="n">
        <v>0</v>
      </c>
      <c r="S412" s="28">
        <f>Q412-R412</f>
        <v/>
      </c>
      <c r="T412" s="28">
        <f>IF(S412="","",S412*(1+in_GrowthRate)^(YEARFRAC(DATE(2022,12,31),in_AgeToDate)*IF(in_AgeToDate&lt;DATE(2022,12,31),-1,1)+1))</f>
        <v/>
      </c>
      <c r="U412" s="50">
        <f>IF(AND(AND(OR(in_Mode="All Funds",AND(C412&gt;=in_BandFloor,C412&lt;=in_BandCeiling,OR(in_Geography="National",COUNTIFS(lst_GeoPreset,in_Geography,lst_GeoState,B412)&gt;0,AND(in_Geography="Custom",ISNUMBER(SEARCH(B412,SUBSTITUTE(in_CustomStates," ",""))))),OR(AND(D412="Endowment",Inputs!$B$14="Y"),AND(D412="Foundation",Inputs!$B$15="Y"),AND(D412="Healthcare",Inputs!$B$16="Y"),AND(D412="Pension",Inputs!$B$17="Y"),AND(D412="OCIO",Inputs!$B$18="Y"),AND(D412="Other",Inputs!$B$19="Y")))),A412&lt;&gt;in_ClientOrg,NOT(AND(in_ExclHarvard="Y",ISNUMBER(SEARCH("Harvard",A412))))),$AD412="Y",K412&lt;&gt;"",S412&gt;0),"Y","")</f>
        <v/>
      </c>
      <c r="V412" s="30" t="n">
        <v>0.2561966347495714</v>
      </c>
      <c r="W412" t="inlineStr"/>
      <c r="X412" s="28">
        <f>IF(L412+M412=0,"",L412+M412)</f>
        <v/>
      </c>
      <c r="Y412" s="38">
        <f>IF(L412=0,"",M412/L412)</f>
        <v/>
      </c>
      <c r="Z412" t="inlineStr">
        <is>
          <t>Director &amp; Investment Officer</t>
        </is>
      </c>
      <c r="AA412" t="inlineStr">
        <is>
          <t>Investments</t>
        </is>
      </c>
      <c r="AB412" s="50" t="inlineStr"/>
      <c r="AC412" s="43">
        <f>HYPERLINK("https://projects.propublica.org/nonprofits/organizations/900747216/202441659349100914/full","view filing")</f>
        <v/>
      </c>
      <c r="AD412" s="50" t="inlineStr"/>
    </row>
    <row r="413">
      <c r="A413" t="inlineStr">
        <is>
          <t>Furman University</t>
        </is>
      </c>
      <c r="B413" s="50" t="inlineStr">
        <is>
          <t>SC</t>
        </is>
      </c>
      <c r="C413" s="52" t="n">
        <v>0.89</v>
      </c>
      <c r="D413" t="inlineStr">
        <is>
          <t>Endowment</t>
        </is>
      </c>
      <c r="E413" s="50" t="n">
        <v>2025</v>
      </c>
      <c r="F413" s="50" t="inlineStr">
        <is>
          <t>2026-05-14</t>
        </is>
      </c>
      <c r="G413" s="50" t="inlineStr">
        <is>
          <t>2025-06-30</t>
        </is>
      </c>
      <c r="H413" t="inlineStr">
        <is>
          <t>Austin Johnk</t>
        </is>
      </c>
      <c r="I413" t="inlineStr">
        <is>
          <t>DIRECTOR OF INVESTMENTS</t>
        </is>
      </c>
      <c r="J413" t="inlineStr">
        <is>
          <t>Director of Investments</t>
        </is>
      </c>
      <c r="K413" t="inlineStr">
        <is>
          <t>Sr Investment Professional</t>
        </is>
      </c>
      <c r="L413" s="28" t="n">
        <v>171611</v>
      </c>
      <c r="M413" s="28" t="n">
        <v>35613</v>
      </c>
      <c r="N413" s="28" t="n">
        <v>3052</v>
      </c>
      <c r="O413" s="28" t="n">
        <v>11211</v>
      </c>
      <c r="P413" s="28" t="n">
        <v>36143</v>
      </c>
      <c r="Q413" s="28" t="n">
        <v>257630</v>
      </c>
      <c r="R413" s="28" t="n">
        <v>0</v>
      </c>
      <c r="S413" s="28">
        <f>Q413-R413</f>
        <v/>
      </c>
      <c r="T413" s="28">
        <f>IF(S413="","",S413*(1+in_GrowthRate)^(YEARFRAC(DATE(2025,6,30),in_AgeToDate)*IF(in_AgeToDate&lt;DATE(2025,6,30),-1,1)+1))</f>
        <v/>
      </c>
      <c r="U413" s="50">
        <f>IF(AND(AND(OR(in_Mode="All Funds",AND(C413&gt;=in_BandFloor,C413&lt;=in_BandCeiling,OR(in_Geography="National",COUNTIFS(lst_GeoPreset,in_Geography,lst_GeoState,B413)&gt;0,AND(in_Geography="Custom",ISNUMBER(SEARCH(B413,SUBSTITUTE(in_CustomStates," ",""))))),OR(AND(D413="Endowment",Inputs!$B$14="Y"),AND(D413="Foundation",Inputs!$B$15="Y"),AND(D413="Healthcare",Inputs!$B$16="Y"),AND(D413="Pension",Inputs!$B$17="Y"),AND(D413="OCIO",Inputs!$B$18="Y"),AND(D413="Other",Inputs!$B$19="Y")))),A413&lt;&gt;in_ClientOrg,NOT(AND(in_ExclHarvard="Y",ISNUMBER(SEARCH("Harvard",A413))))),$AD413="Y",K413&lt;&gt;"",S413&gt;0),"Y","")</f>
        <v/>
      </c>
      <c r="V413" s="30" t="n">
        <v>0.6668409500341664</v>
      </c>
      <c r="W413" t="inlineStr"/>
      <c r="X413" s="28">
        <f>IF(L413+M413=0,"",L413+M413)</f>
        <v/>
      </c>
      <c r="Y413" s="38">
        <f>IF(L413=0,"",M413/L413)</f>
        <v/>
      </c>
      <c r="Z413" t="inlineStr">
        <is>
          <t>Director &amp; Investment Officer</t>
        </is>
      </c>
      <c r="AA413" t="inlineStr">
        <is>
          <t>Investments</t>
        </is>
      </c>
      <c r="AB413" s="50" t="inlineStr"/>
      <c r="AC413" s="43">
        <f>HYPERLINK("https://projects.propublica.org/nonprofits/organizations/570314395/202641349349303494/full","view filing")</f>
        <v/>
      </c>
      <c r="AD413" s="50" t="inlineStr">
        <is>
          <t>Y</t>
        </is>
      </c>
    </row>
    <row r="414">
      <c r="A414" t="inlineStr">
        <is>
          <t>Furman University</t>
        </is>
      </c>
      <c r="B414" s="50" t="inlineStr">
        <is>
          <t>SC</t>
        </is>
      </c>
      <c r="C414" s="52" t="n">
        <v>0.89</v>
      </c>
      <c r="D414" t="inlineStr">
        <is>
          <t>Endowment</t>
        </is>
      </c>
      <c r="E414" s="50" t="n">
        <v>2025</v>
      </c>
      <c r="F414" s="50" t="inlineStr">
        <is>
          <t>2026-05-14</t>
        </is>
      </c>
      <c r="G414" s="50" t="inlineStr">
        <is>
          <t>2025-06-30</t>
        </is>
      </c>
      <c r="H414" t="inlineStr">
        <is>
          <t>Robert Kenney</t>
        </is>
      </c>
      <c r="I414" t="inlineStr">
        <is>
          <t>CHIEF INVESTMENT OFFICER</t>
        </is>
      </c>
      <c r="J414" t="inlineStr">
        <is>
          <t>CIO</t>
        </is>
      </c>
      <c r="K414" t="inlineStr">
        <is>
          <t>CIO - Top Investment Executive</t>
        </is>
      </c>
      <c r="L414" s="28" t="n">
        <v>257399</v>
      </c>
      <c r="M414" s="28" t="n">
        <v>58300</v>
      </c>
      <c r="N414" s="28" t="n">
        <v>2144</v>
      </c>
      <c r="O414" s="28" t="n">
        <v>35855</v>
      </c>
      <c r="P414" s="28" t="n">
        <v>32646</v>
      </c>
      <c r="Q414" s="28" t="n">
        <v>386344</v>
      </c>
      <c r="R414" s="28" t="n">
        <v>0</v>
      </c>
      <c r="S414" s="28">
        <f>Q414-R414</f>
        <v/>
      </c>
      <c r="T414" s="28">
        <f>IF(S414="","",S414*(1+in_GrowthRate)^(YEARFRAC(DATE(2025,6,30),in_AgeToDate)*IF(in_AgeToDate&lt;DATE(2025,6,30),-1,1)+1))</f>
        <v/>
      </c>
      <c r="U414" s="50">
        <f>IF(AND(AND(OR(in_Mode="All Funds",AND(C414&gt;=in_BandFloor,C414&lt;=in_BandCeiling,OR(in_Geography="National",COUNTIFS(lst_GeoPreset,in_Geography,lst_GeoState,B414)&gt;0,AND(in_Geography="Custom",ISNUMBER(SEARCH(B414,SUBSTITUTE(in_CustomStates," ",""))))),OR(AND(D414="Endowment",Inputs!$B$14="Y"),AND(D414="Foundation",Inputs!$B$15="Y"),AND(D414="Healthcare",Inputs!$B$16="Y"),AND(D414="Pension",Inputs!$B$17="Y"),AND(D414="OCIO",Inputs!$B$18="Y"),AND(D414="Other",Inputs!$B$19="Y")))),A414&lt;&gt;in_ClientOrg,NOT(AND(in_ExclHarvard="Y",ISNUMBER(SEARCH("Harvard",A414))))),$AD414="Y",K414&lt;&gt;"",S414&gt;0),"Y","")</f>
        <v/>
      </c>
      <c r="V414" s="30" t="n">
        <v>1</v>
      </c>
      <c r="W414" t="inlineStr"/>
      <c r="X414" s="28">
        <f>IF(L414+M414=0,"",L414+M414)</f>
        <v/>
      </c>
      <c r="Y414" s="38">
        <f>IF(L414=0,"",M414/L414)</f>
        <v/>
      </c>
      <c r="Z414" t="inlineStr">
        <is>
          <t>CIO - Top Investment Executive</t>
        </is>
      </c>
      <c r="AA414" t="inlineStr">
        <is>
          <t>Leadership</t>
        </is>
      </c>
      <c r="AB414" s="50" t="inlineStr">
        <is>
          <t>Y</t>
        </is>
      </c>
      <c r="AC414" s="43">
        <f>HYPERLINK("https://projects.propublica.org/nonprofits/organizations/570314395/202641349349303494/full","view filing")</f>
        <v/>
      </c>
      <c r="AD414" s="50" t="inlineStr">
        <is>
          <t>Y</t>
        </is>
      </c>
    </row>
    <row r="415">
      <c r="A415" t="inlineStr">
        <is>
          <t>Furman University</t>
        </is>
      </c>
      <c r="B415" s="50" t="inlineStr">
        <is>
          <t>SC</t>
        </is>
      </c>
      <c r="C415" s="52" t="n">
        <v>0.89</v>
      </c>
      <c r="D415" t="inlineStr">
        <is>
          <t>Endowment</t>
        </is>
      </c>
      <c r="E415" s="50" t="n">
        <v>2024</v>
      </c>
      <c r="F415" s="50" t="inlineStr">
        <is>
          <t>2025-05-13</t>
        </is>
      </c>
      <c r="G415" s="50" t="inlineStr">
        <is>
          <t>2024-06-30</t>
        </is>
      </c>
      <c r="H415" t="inlineStr">
        <is>
          <t>Robert Kenney</t>
        </is>
      </c>
      <c r="I415" t="inlineStr">
        <is>
          <t>CHIEF INVESTMENT OFFICER</t>
        </is>
      </c>
      <c r="J415" t="inlineStr">
        <is>
          <t>CIO</t>
        </is>
      </c>
      <c r="K415" t="inlineStr">
        <is>
          <t>CIO - Top Investment Executive</t>
        </is>
      </c>
      <c r="L415" s="28" t="n">
        <v>232786</v>
      </c>
      <c r="M415" s="28" t="n">
        <v>59063</v>
      </c>
      <c r="N415" s="28" t="n">
        <v>377</v>
      </c>
      <c r="O415" s="28" t="n">
        <v>32181</v>
      </c>
      <c r="P415" s="28" t="n">
        <v>29230</v>
      </c>
      <c r="Q415" s="28" t="n">
        <v>353637</v>
      </c>
      <c r="R415" s="28" t="n">
        <v>0</v>
      </c>
      <c r="S415" s="28">
        <f>Q415-R415</f>
        <v/>
      </c>
      <c r="T415" s="28">
        <f>IF(S415="","",S415*(1+in_GrowthRate)^(YEARFRAC(DATE(2024,6,30),in_AgeToDate)*IF(in_AgeToDate&lt;DATE(2024,6,30),-1,1)+1))</f>
        <v/>
      </c>
      <c r="U415" s="50">
        <f>IF(AND(AND(OR(in_Mode="All Funds",AND(C415&gt;=in_BandFloor,C415&lt;=in_BandCeiling,OR(in_Geography="National",COUNTIFS(lst_GeoPreset,in_Geography,lst_GeoState,B415)&gt;0,AND(in_Geography="Custom",ISNUMBER(SEARCH(B415,SUBSTITUTE(in_CustomStates," ",""))))),OR(AND(D415="Endowment",Inputs!$B$14="Y"),AND(D415="Foundation",Inputs!$B$15="Y"),AND(D415="Healthcare",Inputs!$B$16="Y"),AND(D415="Pension",Inputs!$B$17="Y"),AND(D415="OCIO",Inputs!$B$18="Y"),AND(D415="Other",Inputs!$B$19="Y")))),A415&lt;&gt;in_ClientOrg,NOT(AND(in_ExclHarvard="Y",ISNUMBER(SEARCH("Harvard",A415))))),$AD415="Y",K415&lt;&gt;"",S415&gt;0),"Y","")</f>
        <v/>
      </c>
      <c r="V415" s="30" t="n">
        <v>1</v>
      </c>
      <c r="W415" t="inlineStr"/>
      <c r="X415" s="28">
        <f>IF(L415+M415=0,"",L415+M415)</f>
        <v/>
      </c>
      <c r="Y415" s="38">
        <f>IF(L415=0,"",M415/L415)</f>
        <v/>
      </c>
      <c r="Z415" t="inlineStr">
        <is>
          <t>CIO - Top Investment Executive</t>
        </is>
      </c>
      <c r="AA415" t="inlineStr">
        <is>
          <t>Leadership</t>
        </is>
      </c>
      <c r="AB415" s="50" t="inlineStr">
        <is>
          <t>Y</t>
        </is>
      </c>
      <c r="AC415" s="43">
        <f>HYPERLINK("https://projects.propublica.org/nonprofits/organizations/570314395/202521339349310007/full","view filing")</f>
        <v/>
      </c>
      <c r="AD415" s="50" t="inlineStr"/>
    </row>
    <row r="416">
      <c r="A416" t="inlineStr">
        <is>
          <t>Furman University</t>
        </is>
      </c>
      <c r="B416" s="50" t="inlineStr">
        <is>
          <t>SC</t>
        </is>
      </c>
      <c r="C416" s="52" t="n">
        <v>0.89</v>
      </c>
      <c r="D416" t="inlineStr">
        <is>
          <t>Endowment</t>
        </is>
      </c>
      <c r="E416" s="50" t="n">
        <v>2023</v>
      </c>
      <c r="F416" s="50" t="inlineStr">
        <is>
          <t>2024-05-15</t>
        </is>
      </c>
      <c r="G416" s="50" t="inlineStr">
        <is>
          <t>2023-06-30</t>
        </is>
      </c>
      <c r="H416" t="inlineStr">
        <is>
          <t>Robert Kenney</t>
        </is>
      </c>
      <c r="I416" t="inlineStr">
        <is>
          <t>CHIEF INVESTMENT OFFICER</t>
        </is>
      </c>
      <c r="J416" t="inlineStr">
        <is>
          <t>CIO</t>
        </is>
      </c>
      <c r="K416" t="inlineStr">
        <is>
          <t>CIO - Top Investment Executive</t>
        </is>
      </c>
      <c r="L416" s="28" t="n">
        <v>199107</v>
      </c>
      <c r="M416" s="28" t="n">
        <v>70875</v>
      </c>
      <c r="N416" s="28" t="n">
        <v>3508</v>
      </c>
      <c r="O416" s="28" t="n">
        <v>28558</v>
      </c>
      <c r="P416" s="28" t="n">
        <v>27506</v>
      </c>
      <c r="Q416" s="28" t="n">
        <v>329554</v>
      </c>
      <c r="R416" s="28" t="n">
        <v>0</v>
      </c>
      <c r="S416" s="28">
        <f>Q416-R416</f>
        <v/>
      </c>
      <c r="T416" s="28">
        <f>IF(S416="","",S416*(1+in_GrowthRate)^(YEARFRAC(DATE(2023,6,30),in_AgeToDate)*IF(in_AgeToDate&lt;DATE(2023,6,30),-1,1)+1))</f>
        <v/>
      </c>
      <c r="U416" s="50">
        <f>IF(AND(AND(OR(in_Mode="All Funds",AND(C416&gt;=in_BandFloor,C416&lt;=in_BandCeiling,OR(in_Geography="National",COUNTIFS(lst_GeoPreset,in_Geography,lst_GeoState,B416)&gt;0,AND(in_Geography="Custom",ISNUMBER(SEARCH(B416,SUBSTITUTE(in_CustomStates," ",""))))),OR(AND(D416="Endowment",Inputs!$B$14="Y"),AND(D416="Foundation",Inputs!$B$15="Y"),AND(D416="Healthcare",Inputs!$B$16="Y"),AND(D416="Pension",Inputs!$B$17="Y"),AND(D416="OCIO",Inputs!$B$18="Y"),AND(D416="Other",Inputs!$B$19="Y")))),A416&lt;&gt;in_ClientOrg,NOT(AND(in_ExclHarvard="Y",ISNUMBER(SEARCH("Harvard",A416))))),$AD416="Y",K416&lt;&gt;"",S416&gt;0),"Y","")</f>
        <v/>
      </c>
      <c r="V416" s="30" t="n">
        <v>1</v>
      </c>
      <c r="W416" t="inlineStr"/>
      <c r="X416" s="28">
        <f>IF(L416+M416=0,"",L416+M416)</f>
        <v/>
      </c>
      <c r="Y416" s="38">
        <f>IF(L416=0,"",M416/L416)</f>
        <v/>
      </c>
      <c r="Z416" t="inlineStr">
        <is>
          <t>CIO - Top Investment Executive</t>
        </is>
      </c>
      <c r="AA416" t="inlineStr">
        <is>
          <t>Leadership</t>
        </is>
      </c>
      <c r="AB416" s="50" t="inlineStr">
        <is>
          <t>Y</t>
        </is>
      </c>
      <c r="AC416" s="43">
        <f>HYPERLINK("https://projects.propublica.org/nonprofits/organizations/570314395/202421369349305782/full","view filing")</f>
        <v/>
      </c>
      <c r="AD416" s="50" t="inlineStr"/>
    </row>
    <row r="417">
      <c r="A417" t="inlineStr">
        <is>
          <t>Furman University</t>
        </is>
      </c>
      <c r="B417" s="50" t="inlineStr">
        <is>
          <t>SC</t>
        </is>
      </c>
      <c r="C417" s="52" t="n">
        <v>0.89</v>
      </c>
      <c r="D417" t="inlineStr">
        <is>
          <t>Endowment</t>
        </is>
      </c>
      <c r="E417" s="50" t="n">
        <v>2022</v>
      </c>
      <c r="F417" s="50" t="inlineStr">
        <is>
          <t>2023-05-15</t>
        </is>
      </c>
      <c r="G417" s="50" t="inlineStr">
        <is>
          <t>2022-06-30</t>
        </is>
      </c>
      <c r="H417" t="inlineStr">
        <is>
          <t>Kristopher N Kapoor</t>
        </is>
      </c>
      <c r="I417" t="inlineStr">
        <is>
          <t>CHIEF INVESTMENT OFFICER</t>
        </is>
      </c>
      <c r="J417" t="inlineStr">
        <is>
          <t>CIO</t>
        </is>
      </c>
      <c r="K417" t="inlineStr">
        <is>
          <t>CIO - Top Investment Executive</t>
        </is>
      </c>
      <c r="L417" s="28" t="n">
        <v>189098</v>
      </c>
      <c r="M417" s="28" t="n">
        <v>51919</v>
      </c>
      <c r="N417" s="28" t="n">
        <v>6241</v>
      </c>
      <c r="O417" s="28" t="n">
        <v>25324</v>
      </c>
      <c r="P417" s="28" t="n">
        <v>16836</v>
      </c>
      <c r="Q417" s="28" t="n">
        <v>289418</v>
      </c>
      <c r="R417" s="28" t="n">
        <v>0</v>
      </c>
      <c r="S417" s="28">
        <f>Q417-R417</f>
        <v/>
      </c>
      <c r="T417" s="28">
        <f>IF(S417="","",S417*(1+in_GrowthRate)^(YEARFRAC(DATE(2022,6,30),in_AgeToDate)*IF(in_AgeToDate&lt;DATE(2022,6,30),-1,1)+1))</f>
        <v/>
      </c>
      <c r="U417" s="50">
        <f>IF(AND(AND(OR(in_Mode="All Funds",AND(C417&gt;=in_BandFloor,C417&lt;=in_BandCeiling,OR(in_Geography="National",COUNTIFS(lst_GeoPreset,in_Geography,lst_GeoState,B417)&gt;0,AND(in_Geography="Custom",ISNUMBER(SEARCH(B417,SUBSTITUTE(in_CustomStates," ",""))))),OR(AND(D417="Endowment",Inputs!$B$14="Y"),AND(D417="Foundation",Inputs!$B$15="Y"),AND(D417="Healthcare",Inputs!$B$16="Y"),AND(D417="Pension",Inputs!$B$17="Y"),AND(D417="OCIO",Inputs!$B$18="Y"),AND(D417="Other",Inputs!$B$19="Y")))),A417&lt;&gt;in_ClientOrg,NOT(AND(in_ExclHarvard="Y",ISNUMBER(SEARCH("Harvard",A417))))),$AD417="Y",K417&lt;&gt;"",S417&gt;0),"Y","")</f>
        <v/>
      </c>
      <c r="V417" s="30" t="n">
        <v>1</v>
      </c>
      <c r="W417" t="inlineStr"/>
      <c r="X417" s="28">
        <f>IF(L417+M417=0,"",L417+M417)</f>
        <v/>
      </c>
      <c r="Y417" s="38">
        <f>IF(L417=0,"",M417/L417)</f>
        <v/>
      </c>
      <c r="Z417" t="inlineStr">
        <is>
          <t>CIO - Top Investment Executive</t>
        </is>
      </c>
      <c r="AA417" t="inlineStr">
        <is>
          <t>Leadership</t>
        </is>
      </c>
      <c r="AB417" s="50" t="inlineStr">
        <is>
          <t>Y</t>
        </is>
      </c>
      <c r="AC417" s="43">
        <f>HYPERLINK("https://projects.propublica.org/nonprofits/organizations/570314395/202311359349303801/full","view filing")</f>
        <v/>
      </c>
      <c r="AD417" s="50" t="inlineStr"/>
    </row>
    <row r="418">
      <c r="A418" t="inlineStr">
        <is>
          <t>Geisinger System Services</t>
        </is>
      </c>
      <c r="B418" s="50" t="inlineStr">
        <is>
          <t>PA</t>
        </is>
      </c>
      <c r="C418" s="52" t="n">
        <v>2.65</v>
      </c>
      <c r="D418" t="inlineStr">
        <is>
          <t>Healthcare</t>
        </is>
      </c>
      <c r="E418" s="50" t="n">
        <v>2024</v>
      </c>
      <c r="F418" s="50" t="inlineStr">
        <is>
          <t>2025-11-17</t>
        </is>
      </c>
      <c r="G418" s="50" t="inlineStr">
        <is>
          <t>2024-12-31</t>
        </is>
      </c>
      <c r="H418" t="inlineStr">
        <is>
          <t>Danielle Villarreal</t>
        </is>
      </c>
      <c r="I418" t="inlineStr">
        <is>
          <t>MANAGING DIRECTOR, INVESTMENTS</t>
        </is>
      </c>
      <c r="J418" t="inlineStr">
        <is>
          <t>Managing Director</t>
        </is>
      </c>
      <c r="K418" t="inlineStr">
        <is>
          <t>Sr Investment Professional</t>
        </is>
      </c>
      <c r="L418" s="28" t="n">
        <v>151635</v>
      </c>
      <c r="M418" s="28" t="n">
        <v>286730</v>
      </c>
      <c r="N418" s="28" t="n">
        <v>102176</v>
      </c>
      <c r="O418" s="28" t="n">
        <v>24306</v>
      </c>
      <c r="P418" s="28" t="n">
        <v>11780</v>
      </c>
      <c r="Q418" s="28" t="n">
        <v>576627</v>
      </c>
      <c r="R418" s="28" t="n">
        <v>0</v>
      </c>
      <c r="S418" s="28">
        <f>Q418-R418</f>
        <v/>
      </c>
      <c r="T418" s="28">
        <f>IF(S418="","",S418*(1+in_GrowthRate)^(YEARFRAC(DATE(2024,12,31),in_AgeToDate)*IF(in_AgeToDate&lt;DATE(2024,12,31),-1,1)+1))</f>
        <v/>
      </c>
      <c r="U418" s="50">
        <f>IF(AND(AND(OR(in_Mode="All Funds",AND(C418&gt;=in_BandFloor,C418&lt;=in_BandCeiling,OR(in_Geography="National",COUNTIFS(lst_GeoPreset,in_Geography,lst_GeoState,B418)&gt;0,AND(in_Geography="Custom",ISNUMBER(SEARCH(B418,SUBSTITUTE(in_CustomStates," ",""))))),OR(AND(D418="Endowment",Inputs!$B$14="Y"),AND(D418="Foundation",Inputs!$B$15="Y"),AND(D418="Healthcare",Inputs!$B$16="Y"),AND(D418="Pension",Inputs!$B$17="Y"),AND(D418="OCIO",Inputs!$B$18="Y"),AND(D418="Other",Inputs!$B$19="Y")))),A418&lt;&gt;in_ClientOrg,NOT(AND(in_ExclHarvard="Y",ISNUMBER(SEARCH("Harvard",A418))))),$AD418="Y",K418&lt;&gt;"",S418&gt;0),"Y","")</f>
        <v/>
      </c>
      <c r="V418" s="30" t="n">
        <v>0.2874935683430855</v>
      </c>
      <c r="W418" t="inlineStr"/>
      <c r="X418" s="28">
        <f>IF(L418+M418=0,"",L418+M418)</f>
        <v/>
      </c>
      <c r="Y418" s="38">
        <f>IF(L418=0,"",M418/L418)</f>
        <v/>
      </c>
      <c r="Z418" t="inlineStr">
        <is>
          <t>Managing Director</t>
        </is>
      </c>
      <c r="AA418" t="inlineStr">
        <is>
          <t>Investments</t>
        </is>
      </c>
      <c r="AB418" s="50" t="inlineStr"/>
      <c r="AC418" s="43">
        <f>HYPERLINK("https://projects.propublica.org/nonprofits/organizations/232164794/202513219349322231/full","view filing")</f>
        <v/>
      </c>
      <c r="AD418" s="50" t="inlineStr">
        <is>
          <t>Y</t>
        </is>
      </c>
    </row>
    <row r="419">
      <c r="A419" t="inlineStr">
        <is>
          <t>Geisinger System Services</t>
        </is>
      </c>
      <c r="B419" s="50" t="inlineStr">
        <is>
          <t>PA</t>
        </is>
      </c>
      <c r="C419" s="52" t="n">
        <v>2.65</v>
      </c>
      <c r="D419" t="inlineStr">
        <is>
          <t>Healthcare</t>
        </is>
      </c>
      <c r="E419" s="50" t="n">
        <v>2024</v>
      </c>
      <c r="F419" s="50" t="inlineStr">
        <is>
          <t>2025-11-17</t>
        </is>
      </c>
      <c r="G419" s="50" t="inlineStr">
        <is>
          <t>2024-12-31</t>
        </is>
      </c>
      <c r="H419" t="inlineStr">
        <is>
          <t>Gregory G Schuler Cfa</t>
        </is>
      </c>
      <c r="I419" t="inlineStr">
        <is>
          <t>CHIEF INVESTMENT OFFICER</t>
        </is>
      </c>
      <c r="J419" t="inlineStr">
        <is>
          <t>CIO</t>
        </is>
      </c>
      <c r="K419" t="inlineStr">
        <is>
          <t>CIO - Top Investment Executive</t>
        </is>
      </c>
      <c r="L419" s="28" t="n">
        <v>422443</v>
      </c>
      <c r="M419" s="28" t="n">
        <v>1416916</v>
      </c>
      <c r="N419" s="28" t="n">
        <v>140204</v>
      </c>
      <c r="O419" s="28" t="n">
        <v>24306</v>
      </c>
      <c r="P419" s="28" t="n">
        <v>1835</v>
      </c>
      <c r="Q419" s="28" t="n">
        <v>2005704</v>
      </c>
      <c r="R419" s="28" t="n">
        <v>0</v>
      </c>
      <c r="S419" s="28">
        <f>Q419-R419</f>
        <v/>
      </c>
      <c r="T419" s="28">
        <f>IF(S419="","",S419*(1+in_GrowthRate)^(YEARFRAC(DATE(2024,12,31),in_AgeToDate)*IF(in_AgeToDate&lt;DATE(2024,12,31),-1,1)+1))</f>
        <v/>
      </c>
      <c r="U419" s="50">
        <f>IF(AND(AND(OR(in_Mode="All Funds",AND(C419&gt;=in_BandFloor,C419&lt;=in_BandCeiling,OR(in_Geography="National",COUNTIFS(lst_GeoPreset,in_Geography,lst_GeoState,B419)&gt;0,AND(in_Geography="Custom",ISNUMBER(SEARCH(B419,SUBSTITUTE(in_CustomStates," ",""))))),OR(AND(D419="Endowment",Inputs!$B$14="Y"),AND(D419="Foundation",Inputs!$B$15="Y"),AND(D419="Healthcare",Inputs!$B$16="Y"),AND(D419="Pension",Inputs!$B$17="Y"),AND(D419="OCIO",Inputs!$B$18="Y"),AND(D419="Other",Inputs!$B$19="Y")))),A419&lt;&gt;in_ClientOrg,NOT(AND(in_ExclHarvard="Y",ISNUMBER(SEARCH("Harvard",A419))))),$AD419="Y",K419&lt;&gt;"",S419&gt;0),"Y","")</f>
        <v/>
      </c>
      <c r="V419" s="30" t="n">
        <v>1</v>
      </c>
      <c r="W419" t="inlineStr"/>
      <c r="X419" s="28">
        <f>IF(L419+M419=0,"",L419+M419)</f>
        <v/>
      </c>
      <c r="Y419" s="38">
        <f>IF(L419=0,"",M419/L419)</f>
        <v/>
      </c>
      <c r="Z419" t="inlineStr">
        <is>
          <t>CIO - Top Investment Executive</t>
        </is>
      </c>
      <c r="AA419" t="inlineStr">
        <is>
          <t>Leadership</t>
        </is>
      </c>
      <c r="AB419" s="50" t="inlineStr">
        <is>
          <t>Y</t>
        </is>
      </c>
      <c r="AC419" s="43">
        <f>HYPERLINK("https://projects.propublica.org/nonprofits/organizations/232164794/202513219349322231/full","view filing")</f>
        <v/>
      </c>
      <c r="AD419" s="50" t="inlineStr">
        <is>
          <t>Y</t>
        </is>
      </c>
    </row>
    <row r="420">
      <c r="A420" t="inlineStr">
        <is>
          <t>Geisinger System Services</t>
        </is>
      </c>
      <c r="B420" s="50" t="inlineStr">
        <is>
          <t>PA</t>
        </is>
      </c>
      <c r="C420" s="52" t="n">
        <v>2.65</v>
      </c>
      <c r="D420" t="inlineStr">
        <is>
          <t>Healthcare</t>
        </is>
      </c>
      <c r="E420" s="50" t="n">
        <v>2024</v>
      </c>
      <c r="F420" s="50" t="inlineStr">
        <is>
          <t>2025-11-17</t>
        </is>
      </c>
      <c r="G420" s="50" t="inlineStr">
        <is>
          <t>2024-12-31</t>
        </is>
      </c>
      <c r="H420" t="inlineStr">
        <is>
          <t>Michael Lima Cfa</t>
        </is>
      </c>
      <c r="I420" t="inlineStr">
        <is>
          <t>DEPUTY CIO</t>
        </is>
      </c>
      <c r="J420" t="inlineStr">
        <is>
          <t>Deputy CIO</t>
        </is>
      </c>
      <c r="K420" t="inlineStr">
        <is>
          <t>Sr Investment Professional</t>
        </is>
      </c>
      <c r="L420" s="28" t="n">
        <v>240624</v>
      </c>
      <c r="M420" s="28" t="n">
        <v>553578</v>
      </c>
      <c r="N420" s="28" t="n">
        <v>183052</v>
      </c>
      <c r="O420" s="28" t="n">
        <v>24306</v>
      </c>
      <c r="P420" s="28" t="n">
        <v>32906</v>
      </c>
      <c r="Q420" s="28" t="n">
        <v>1034466</v>
      </c>
      <c r="R420" s="28" t="n">
        <v>0</v>
      </c>
      <c r="S420" s="28">
        <f>Q420-R420</f>
        <v/>
      </c>
      <c r="T420" s="28">
        <f>IF(S420="","",S420*(1+in_GrowthRate)^(YEARFRAC(DATE(2024,12,31),in_AgeToDate)*IF(in_AgeToDate&lt;DATE(2024,12,31),-1,1)+1))</f>
        <v/>
      </c>
      <c r="U420" s="50">
        <f>IF(AND(AND(OR(in_Mode="All Funds",AND(C420&gt;=in_BandFloor,C420&lt;=in_BandCeiling,OR(in_Geography="National",COUNTIFS(lst_GeoPreset,in_Geography,lst_GeoState,B420)&gt;0,AND(in_Geography="Custom",ISNUMBER(SEARCH(B420,SUBSTITUTE(in_CustomStates," ",""))))),OR(AND(D420="Endowment",Inputs!$B$14="Y"),AND(D420="Foundation",Inputs!$B$15="Y"),AND(D420="Healthcare",Inputs!$B$16="Y"),AND(D420="Pension",Inputs!$B$17="Y"),AND(D420="OCIO",Inputs!$B$18="Y"),AND(D420="Other",Inputs!$B$19="Y")))),A420&lt;&gt;in_ClientOrg,NOT(AND(in_ExclHarvard="Y",ISNUMBER(SEARCH("Harvard",A420))))),$AD420="Y",K420&lt;&gt;"",S420&gt;0),"Y","")</f>
        <v/>
      </c>
      <c r="V420" s="30" t="n">
        <v>0.5157620466429742</v>
      </c>
      <c r="W420" t="inlineStr"/>
      <c r="X420" s="28">
        <f>IF(L420+M420=0,"",L420+M420)</f>
        <v/>
      </c>
      <c r="Y420" s="38">
        <f>IF(L420=0,"",M420/L420)</f>
        <v/>
      </c>
      <c r="Z420" t="inlineStr">
        <is>
          <t>Deputy CIO</t>
        </is>
      </c>
      <c r="AA420" t="inlineStr">
        <is>
          <t>Leadership</t>
        </is>
      </c>
      <c r="AB420" s="50" t="inlineStr"/>
      <c r="AC420" s="43">
        <f>HYPERLINK("https://projects.propublica.org/nonprofits/organizations/232164794/202513219349322231/full","view filing")</f>
        <v/>
      </c>
      <c r="AD420" s="50" t="inlineStr">
        <is>
          <t>Y</t>
        </is>
      </c>
    </row>
    <row r="421">
      <c r="A421" t="inlineStr">
        <is>
          <t>Geisinger System Services</t>
        </is>
      </c>
      <c r="B421" s="50" t="inlineStr">
        <is>
          <t>PA</t>
        </is>
      </c>
      <c r="C421" s="52" t="n">
        <v>2.65</v>
      </c>
      <c r="D421" t="inlineStr">
        <is>
          <t>Healthcare</t>
        </is>
      </c>
      <c r="E421" s="50" t="n">
        <v>2023</v>
      </c>
      <c r="F421" s="50" t="inlineStr">
        <is>
          <t>2024-11-15</t>
        </is>
      </c>
      <c r="G421" s="50" t="inlineStr">
        <is>
          <t>2023-12-31</t>
        </is>
      </c>
      <c r="H421" t="inlineStr">
        <is>
          <t>Michael Lima Cfa</t>
        </is>
      </c>
      <c r="I421" t="inlineStr">
        <is>
          <t>DEPUTY CIO</t>
        </is>
      </c>
      <c r="J421" t="inlineStr">
        <is>
          <t>Deputy CIO</t>
        </is>
      </c>
      <c r="K421" t="inlineStr">
        <is>
          <t>Sr Investment Professional</t>
        </is>
      </c>
      <c r="L421" s="28" t="n">
        <v>343185</v>
      </c>
      <c r="M421" s="28" t="n">
        <v>325000</v>
      </c>
      <c r="N421" s="28" t="n">
        <v>49734</v>
      </c>
      <c r="O421" s="28" t="n">
        <v>23292</v>
      </c>
      <c r="P421" s="28" t="n">
        <v>39000</v>
      </c>
      <c r="Q421" s="28" t="n">
        <v>780211</v>
      </c>
      <c r="R421" s="28" t="n">
        <v>0</v>
      </c>
      <c r="S421" s="28">
        <f>Q421-R421</f>
        <v/>
      </c>
      <c r="T421" s="28">
        <f>IF(S421="","",S421*(1+in_GrowthRate)^(YEARFRAC(DATE(2023,12,31),in_AgeToDate)*IF(in_AgeToDate&lt;DATE(2023,12,31),-1,1)+1))</f>
        <v/>
      </c>
      <c r="U421" s="50">
        <f>IF(AND(AND(OR(in_Mode="All Funds",AND(C421&gt;=in_BandFloor,C421&lt;=in_BandCeiling,OR(in_Geography="National",COUNTIFS(lst_GeoPreset,in_Geography,lst_GeoState,B421)&gt;0,AND(in_Geography="Custom",ISNUMBER(SEARCH(B421,SUBSTITUTE(in_CustomStates," ",""))))),OR(AND(D421="Endowment",Inputs!$B$14="Y"),AND(D421="Foundation",Inputs!$B$15="Y"),AND(D421="Healthcare",Inputs!$B$16="Y"),AND(D421="Pension",Inputs!$B$17="Y"),AND(D421="OCIO",Inputs!$B$18="Y"),AND(D421="Other",Inputs!$B$19="Y")))),A421&lt;&gt;in_ClientOrg,NOT(AND(in_ExclHarvard="Y",ISNUMBER(SEARCH("Harvard",A421))))),$AD421="Y",K421&lt;&gt;"",S421&gt;0),"Y","")</f>
        <v/>
      </c>
      <c r="V421" s="30" t="n"/>
      <c r="W421" t="inlineStr"/>
      <c r="X421" s="28">
        <f>IF(L421+M421=0,"",L421+M421)</f>
        <v/>
      </c>
      <c r="Y421" s="38">
        <f>IF(L421=0,"",M421/L421)</f>
        <v/>
      </c>
      <c r="Z421" t="inlineStr">
        <is>
          <t>Deputy CIO</t>
        </is>
      </c>
      <c r="AA421" t="inlineStr">
        <is>
          <t>Leadership</t>
        </is>
      </c>
      <c r="AB421" s="50" t="inlineStr"/>
      <c r="AC421" s="43">
        <f>HYPERLINK("https://projects.propublica.org/nonprofits/organizations/232164794/202413209349310141/full","view filing")</f>
        <v/>
      </c>
      <c r="AD421" s="50" t="inlineStr"/>
    </row>
    <row r="422">
      <c r="A422" t="inlineStr">
        <is>
          <t>Geisinger System Services</t>
        </is>
      </c>
      <c r="B422" s="50" t="inlineStr">
        <is>
          <t>PA</t>
        </is>
      </c>
      <c r="C422" s="52" t="n">
        <v>2.65</v>
      </c>
      <c r="D422" t="inlineStr">
        <is>
          <t>Healthcare</t>
        </is>
      </c>
      <c r="E422" s="50" t="n">
        <v>2022</v>
      </c>
      <c r="F422" s="50" t="inlineStr">
        <is>
          <t>2023-11-14</t>
        </is>
      </c>
      <c r="G422" s="50" t="inlineStr">
        <is>
          <t>2022-12-31</t>
        </is>
      </c>
      <c r="H422" t="inlineStr">
        <is>
          <t>John M Kravitz</t>
        </is>
      </c>
      <c r="I422" t="inlineStr">
        <is>
          <t>CIO</t>
        </is>
      </c>
      <c r="J422" t="inlineStr">
        <is>
          <t>CIO</t>
        </is>
      </c>
      <c r="K422" t="inlineStr">
        <is>
          <t>CIO - Top Investment Executive</t>
        </is>
      </c>
      <c r="L422" s="28" t="n">
        <v>581100</v>
      </c>
      <c r="M422" s="28" t="n">
        <v>0</v>
      </c>
      <c r="N422" s="28" t="n">
        <v>106214</v>
      </c>
      <c r="O422" s="28" t="n">
        <v>96570</v>
      </c>
      <c r="P422" s="28" t="n">
        <v>21589</v>
      </c>
      <c r="Q422" s="28" t="n">
        <v>805473</v>
      </c>
      <c r="R422" s="28" t="n">
        <v>77696</v>
      </c>
      <c r="S422" s="28">
        <f>Q422-R422</f>
        <v/>
      </c>
      <c r="T422" s="28">
        <f>IF(S422="","",S422*(1+in_GrowthRate)^(YEARFRAC(DATE(2022,12,31),in_AgeToDate)*IF(in_AgeToDate&lt;DATE(2022,12,31),-1,1)+1))</f>
        <v/>
      </c>
      <c r="U422" s="50">
        <f>IF(AND(AND(OR(in_Mode="All Funds",AND(C422&gt;=in_BandFloor,C422&lt;=in_BandCeiling,OR(in_Geography="National",COUNTIFS(lst_GeoPreset,in_Geography,lst_GeoState,B422)&gt;0,AND(in_Geography="Custom",ISNUMBER(SEARCH(B422,SUBSTITUTE(in_CustomStates," ",""))))),OR(AND(D422="Endowment",Inputs!$B$14="Y"),AND(D422="Foundation",Inputs!$B$15="Y"),AND(D422="Healthcare",Inputs!$B$16="Y"),AND(D422="Pension",Inputs!$B$17="Y"),AND(D422="OCIO",Inputs!$B$18="Y"),AND(D422="Other",Inputs!$B$19="Y")))),A422&lt;&gt;in_ClientOrg,NOT(AND(in_ExclHarvard="Y",ISNUMBER(SEARCH("Harvard",A422))))),$AD422="Y",K422&lt;&gt;"",S422&gt;0),"Y","")</f>
        <v/>
      </c>
      <c r="V422" s="30" t="n">
        <v>1</v>
      </c>
      <c r="W422" t="inlineStr"/>
      <c r="X422" s="28">
        <f>IF(L422+M422=0,"",L422+M422)</f>
        <v/>
      </c>
      <c r="Y422" s="38">
        <f>IF(L422=0,"",M422/L422)</f>
        <v/>
      </c>
      <c r="Z422" t="inlineStr">
        <is>
          <t>CIO - Top Investment Executive</t>
        </is>
      </c>
      <c r="AA422" t="inlineStr">
        <is>
          <t>Leadership</t>
        </is>
      </c>
      <c r="AB422" s="50" t="inlineStr">
        <is>
          <t>Y</t>
        </is>
      </c>
      <c r="AC422" s="43">
        <f>HYPERLINK("https://projects.propublica.org/nonprofits/organizations/232164794/202313189349305031/full","view filing")</f>
        <v/>
      </c>
      <c r="AD422" s="50" t="inlineStr"/>
    </row>
    <row r="423">
      <c r="A423" t="inlineStr">
        <is>
          <t>Geisinger System Services</t>
        </is>
      </c>
      <c r="B423" s="50" t="inlineStr">
        <is>
          <t>PA</t>
        </is>
      </c>
      <c r="C423" s="52" t="n">
        <v>2.65</v>
      </c>
      <c r="D423" t="inlineStr">
        <is>
          <t>Healthcare</t>
        </is>
      </c>
      <c r="E423" s="50" t="n">
        <v>2022</v>
      </c>
      <c r="F423" s="50" t="inlineStr">
        <is>
          <t>2023-11-14</t>
        </is>
      </c>
      <c r="G423" s="50" t="inlineStr">
        <is>
          <t>2022-12-31</t>
        </is>
      </c>
      <c r="H423" t="inlineStr">
        <is>
          <t>Michael Lima</t>
        </is>
      </c>
      <c r="I423" t="inlineStr">
        <is>
          <t>DEPUTY CIO</t>
        </is>
      </c>
      <c r="J423" t="inlineStr">
        <is>
          <t>Deputy CIO</t>
        </is>
      </c>
      <c r="K423" t="inlineStr">
        <is>
          <t>Sr Investment Professional</t>
        </is>
      </c>
      <c r="L423" s="28" t="n">
        <v>216236</v>
      </c>
      <c r="M423" s="28" t="n">
        <v>210137</v>
      </c>
      <c r="N423" s="28" t="n">
        <v>29203</v>
      </c>
      <c r="O423" s="28" t="n">
        <v>21570</v>
      </c>
      <c r="P423" s="28" t="n">
        <v>24272</v>
      </c>
      <c r="Q423" s="28" t="n">
        <v>501418</v>
      </c>
      <c r="R423" s="28" t="n">
        <v>0</v>
      </c>
      <c r="S423" s="28">
        <f>Q423-R423</f>
        <v/>
      </c>
      <c r="T423" s="28">
        <f>IF(S423="","",S423*(1+in_GrowthRate)^(YEARFRAC(DATE(2022,12,31),in_AgeToDate)*IF(in_AgeToDate&lt;DATE(2022,12,31),-1,1)+1))</f>
        <v/>
      </c>
      <c r="U423" s="50">
        <f>IF(AND(AND(OR(in_Mode="All Funds",AND(C423&gt;=in_BandFloor,C423&lt;=in_BandCeiling,OR(in_Geography="National",COUNTIFS(lst_GeoPreset,in_Geography,lst_GeoState,B423)&gt;0,AND(in_Geography="Custom",ISNUMBER(SEARCH(B423,SUBSTITUTE(in_CustomStates," ",""))))),OR(AND(D423="Endowment",Inputs!$B$14="Y"),AND(D423="Foundation",Inputs!$B$15="Y"),AND(D423="Healthcare",Inputs!$B$16="Y"),AND(D423="Pension",Inputs!$B$17="Y"),AND(D423="OCIO",Inputs!$B$18="Y"),AND(D423="Other",Inputs!$B$19="Y")))),A423&lt;&gt;in_ClientOrg,NOT(AND(in_ExclHarvard="Y",ISNUMBER(SEARCH("Harvard",A423))))),$AD423="Y",K423&lt;&gt;"",S423&gt;0),"Y","")</f>
        <v/>
      </c>
      <c r="V423" s="30" t="n">
        <v>0.6889720340159142</v>
      </c>
      <c r="W423" t="inlineStr"/>
      <c r="X423" s="28">
        <f>IF(L423+M423=0,"",L423+M423)</f>
        <v/>
      </c>
      <c r="Y423" s="38">
        <f>IF(L423=0,"",M423/L423)</f>
        <v/>
      </c>
      <c r="Z423" t="inlineStr">
        <is>
          <t>Deputy CIO</t>
        </is>
      </c>
      <c r="AA423" t="inlineStr">
        <is>
          <t>Leadership</t>
        </is>
      </c>
      <c r="AB423" s="50" t="inlineStr"/>
      <c r="AC423" s="43">
        <f>HYPERLINK("https://projects.propublica.org/nonprofits/organizations/232164794/202313189349305031/full","view filing")</f>
        <v/>
      </c>
      <c r="AD423" s="50" t="inlineStr"/>
    </row>
    <row r="424">
      <c r="A424" t="inlineStr">
        <is>
          <t>Georgetown University</t>
        </is>
      </c>
      <c r="B424" s="50" t="inlineStr">
        <is>
          <t>DC</t>
        </is>
      </c>
      <c r="C424" s="52" t="n">
        <v>3.95</v>
      </c>
      <c r="D424" t="inlineStr">
        <is>
          <t>Endowment</t>
        </is>
      </c>
      <c r="E424" s="50" t="n">
        <v>2025</v>
      </c>
      <c r="F424" s="50" t="inlineStr">
        <is>
          <t>2026-05-15</t>
        </is>
      </c>
      <c r="G424" s="50" t="inlineStr">
        <is>
          <t>2025-06-30</t>
        </is>
      </c>
      <c r="H424" t="inlineStr">
        <is>
          <t>Christopher Gill</t>
        </is>
      </c>
      <c r="I424" t="inlineStr">
        <is>
          <t>MANAGING DIRECTOR OF PUBLIC INVESTMENTS</t>
        </is>
      </c>
      <c r="J424" t="inlineStr">
        <is>
          <t>Managing Director</t>
        </is>
      </c>
      <c r="K424" t="inlineStr">
        <is>
          <t>Sr Investment Professional</t>
        </is>
      </c>
      <c r="L424" s="28" t="n">
        <v>415516</v>
      </c>
      <c r="M424" s="28" t="n">
        <v>875000</v>
      </c>
      <c r="N424" s="28" t="n">
        <v>0</v>
      </c>
      <c r="O424" s="28" t="n">
        <v>22500</v>
      </c>
      <c r="P424" s="28" t="n">
        <v>33291</v>
      </c>
      <c r="Q424" s="28" t="n">
        <v>1346307</v>
      </c>
      <c r="R424" s="28" t="n">
        <v>0</v>
      </c>
      <c r="S424" s="28">
        <f>Q424-R424</f>
        <v/>
      </c>
      <c r="T424" s="28">
        <f>IF(S424="","",S424*(1+in_GrowthRate)^(YEARFRAC(DATE(2025,6,30),in_AgeToDate)*IF(in_AgeToDate&lt;DATE(2025,6,30),-1,1)+1))</f>
        <v/>
      </c>
      <c r="U424" s="50">
        <f>IF(AND(AND(OR(in_Mode="All Funds",AND(C424&gt;=in_BandFloor,C424&lt;=in_BandCeiling,OR(in_Geography="National",COUNTIFS(lst_GeoPreset,in_Geography,lst_GeoState,B424)&gt;0,AND(in_Geography="Custom",ISNUMBER(SEARCH(B424,SUBSTITUTE(in_CustomStates," ",""))))),OR(AND(D424="Endowment",Inputs!$B$14="Y"),AND(D424="Foundation",Inputs!$B$15="Y"),AND(D424="Healthcare",Inputs!$B$16="Y"),AND(D424="Pension",Inputs!$B$17="Y"),AND(D424="OCIO",Inputs!$B$18="Y"),AND(D424="Other",Inputs!$B$19="Y")))),A424&lt;&gt;in_ClientOrg,NOT(AND(in_ExclHarvard="Y",ISNUMBER(SEARCH("Harvard",A424))))),$AD424="Y",K424&lt;&gt;"",S424&gt;0),"Y","")</f>
        <v/>
      </c>
      <c r="V424" s="30" t="n">
        <v>0.76404246335589</v>
      </c>
      <c r="W424" t="inlineStr"/>
      <c r="X424" s="28">
        <f>IF(L424+M424=0,"",L424+M424)</f>
        <v/>
      </c>
      <c r="Y424" s="38">
        <f>IF(L424=0,"",M424/L424)</f>
        <v/>
      </c>
      <c r="Z424" t="inlineStr">
        <is>
          <t>Managing Director</t>
        </is>
      </c>
      <c r="AA424" t="inlineStr">
        <is>
          <t>Investments</t>
        </is>
      </c>
      <c r="AB424" s="50" t="inlineStr"/>
      <c r="AC424" s="43">
        <f>HYPERLINK("https://projects.propublica.org/nonprofits/organizations/530196603/202601359349300020/full","view filing")</f>
        <v/>
      </c>
      <c r="AD424" s="50" t="inlineStr">
        <is>
          <t>Y</t>
        </is>
      </c>
    </row>
    <row r="425">
      <c r="A425" t="inlineStr">
        <is>
          <t>Georgetown University</t>
        </is>
      </c>
      <c r="B425" s="50" t="inlineStr">
        <is>
          <t>DC</t>
        </is>
      </c>
      <c r="C425" s="52" t="n">
        <v>3.95</v>
      </c>
      <c r="D425" t="inlineStr">
        <is>
          <t>Endowment</t>
        </is>
      </c>
      <c r="E425" s="50" t="n">
        <v>2025</v>
      </c>
      <c r="F425" s="50" t="inlineStr">
        <is>
          <t>2026-05-15</t>
        </is>
      </c>
      <c r="G425" s="50" t="inlineStr">
        <is>
          <t>2025-06-30</t>
        </is>
      </c>
      <c r="H425" t="inlineStr">
        <is>
          <t>Michael K Barry</t>
        </is>
      </c>
      <c r="I425" t="inlineStr">
        <is>
          <t>CHIEF INVESTMENT OFFICER</t>
        </is>
      </c>
      <c r="J425" t="inlineStr">
        <is>
          <t>CIO</t>
        </is>
      </c>
      <c r="K425" t="inlineStr">
        <is>
          <t>CIO - Top Investment Executive</t>
        </is>
      </c>
      <c r="L425" s="28" t="n">
        <v>661939</v>
      </c>
      <c r="M425" s="28" t="n">
        <v>1047554</v>
      </c>
      <c r="N425" s="28" t="n">
        <v>0</v>
      </c>
      <c r="O425" s="28" t="n">
        <v>22500</v>
      </c>
      <c r="P425" s="28" t="n">
        <v>30091</v>
      </c>
      <c r="Q425" s="28" t="n">
        <v>1762084</v>
      </c>
      <c r="R425" s="28" t="n">
        <v>0</v>
      </c>
      <c r="S425" s="28">
        <f>Q425-R425</f>
        <v/>
      </c>
      <c r="T425" s="28">
        <f>IF(S425="","",S425*(1+in_GrowthRate)^(YEARFRAC(DATE(2025,6,30),in_AgeToDate)*IF(in_AgeToDate&lt;DATE(2025,6,30),-1,1)+1))</f>
        <v/>
      </c>
      <c r="U425" s="50">
        <f>IF(AND(AND(OR(in_Mode="All Funds",AND(C425&gt;=in_BandFloor,C425&lt;=in_BandCeiling,OR(in_Geography="National",COUNTIFS(lst_GeoPreset,in_Geography,lst_GeoState,B425)&gt;0,AND(in_Geography="Custom",ISNUMBER(SEARCH(B425,SUBSTITUTE(in_CustomStates," ",""))))),OR(AND(D425="Endowment",Inputs!$B$14="Y"),AND(D425="Foundation",Inputs!$B$15="Y"),AND(D425="Healthcare",Inputs!$B$16="Y"),AND(D425="Pension",Inputs!$B$17="Y"),AND(D425="OCIO",Inputs!$B$18="Y"),AND(D425="Other",Inputs!$B$19="Y")))),A425&lt;&gt;in_ClientOrg,NOT(AND(in_ExclHarvard="Y",ISNUMBER(SEARCH("Harvard",A425))))),$AD425="Y",K425&lt;&gt;"",S425&gt;0),"Y","")</f>
        <v/>
      </c>
      <c r="V425" s="30" t="n">
        <v>1</v>
      </c>
      <c r="W425" t="inlineStr"/>
      <c r="X425" s="28">
        <f>IF(L425+M425=0,"",L425+M425)</f>
        <v/>
      </c>
      <c r="Y425" s="38">
        <f>IF(L425=0,"",M425/L425)</f>
        <v/>
      </c>
      <c r="Z425" t="inlineStr">
        <is>
          <t>CIO - Top Investment Executive</t>
        </is>
      </c>
      <c r="AA425" t="inlineStr">
        <is>
          <t>Leadership</t>
        </is>
      </c>
      <c r="AB425" s="50" t="inlineStr">
        <is>
          <t>Y</t>
        </is>
      </c>
      <c r="AC425" s="43">
        <f>HYPERLINK("https://projects.propublica.org/nonprofits/organizations/530196603/202601359349300020/full","view filing")</f>
        <v/>
      </c>
      <c r="AD425" s="50" t="inlineStr">
        <is>
          <t>Y</t>
        </is>
      </c>
    </row>
    <row r="426">
      <c r="A426" t="inlineStr">
        <is>
          <t>Georgetown University</t>
        </is>
      </c>
      <c r="B426" s="50" t="inlineStr">
        <is>
          <t>DC</t>
        </is>
      </c>
      <c r="C426" s="52" t="n">
        <v>3.95</v>
      </c>
      <c r="D426" t="inlineStr">
        <is>
          <t>Endowment</t>
        </is>
      </c>
      <c r="E426" s="50" t="n">
        <v>2024</v>
      </c>
      <c r="F426" s="50" t="inlineStr">
        <is>
          <t>2025-05-15</t>
        </is>
      </c>
      <c r="G426" s="50" t="inlineStr">
        <is>
          <t>2024-06-30</t>
        </is>
      </c>
      <c r="H426" t="inlineStr">
        <is>
          <t>Christopher Gill</t>
        </is>
      </c>
      <c r="I426" t="inlineStr">
        <is>
          <t>Managing Director of Public Investments</t>
        </is>
      </c>
      <c r="J426" t="inlineStr">
        <is>
          <t>Managing Director</t>
        </is>
      </c>
      <c r="K426" t="inlineStr">
        <is>
          <t>Sr Investment Professional</t>
        </is>
      </c>
      <c r="L426" s="28" t="n">
        <v>399100</v>
      </c>
      <c r="M426" s="28" t="n">
        <v>585000</v>
      </c>
      <c r="N426" s="28" t="n">
        <v>0</v>
      </c>
      <c r="O426" s="28" t="n">
        <v>20000</v>
      </c>
      <c r="P426" s="28" t="n">
        <v>36452</v>
      </c>
      <c r="Q426" s="28" t="n">
        <v>1040552</v>
      </c>
      <c r="R426" s="28" t="n">
        <v>0</v>
      </c>
      <c r="S426" s="28">
        <f>Q426-R426</f>
        <v/>
      </c>
      <c r="T426" s="28">
        <f>IF(S426="","",S426*(1+in_GrowthRate)^(YEARFRAC(DATE(2024,6,30),in_AgeToDate)*IF(in_AgeToDate&lt;DATE(2024,6,30),-1,1)+1))</f>
        <v/>
      </c>
      <c r="U426" s="50">
        <f>IF(AND(AND(OR(in_Mode="All Funds",AND(C426&gt;=in_BandFloor,C426&lt;=in_BandCeiling,OR(in_Geography="National",COUNTIFS(lst_GeoPreset,in_Geography,lst_GeoState,B426)&gt;0,AND(in_Geography="Custom",ISNUMBER(SEARCH(B426,SUBSTITUTE(in_CustomStates," ",""))))),OR(AND(D426="Endowment",Inputs!$B$14="Y"),AND(D426="Foundation",Inputs!$B$15="Y"),AND(D426="Healthcare",Inputs!$B$16="Y"),AND(D426="Pension",Inputs!$B$17="Y"),AND(D426="OCIO",Inputs!$B$18="Y"),AND(D426="Other",Inputs!$B$19="Y")))),A426&lt;&gt;in_ClientOrg,NOT(AND(in_ExclHarvard="Y",ISNUMBER(SEARCH("Harvard",A426))))),$AD426="Y",K426&lt;&gt;"",S426&gt;0),"Y","")</f>
        <v/>
      </c>
      <c r="V426" s="30" t="n">
        <v>0.5690212012008727</v>
      </c>
      <c r="W426" t="inlineStr"/>
      <c r="X426" s="28">
        <f>IF(L426+M426=0,"",L426+M426)</f>
        <v/>
      </c>
      <c r="Y426" s="38">
        <f>IF(L426=0,"",M426/L426)</f>
        <v/>
      </c>
      <c r="Z426" t="inlineStr">
        <is>
          <t>Managing Director</t>
        </is>
      </c>
      <c r="AA426" t="inlineStr">
        <is>
          <t>Investments</t>
        </is>
      </c>
      <c r="AB426" s="50" t="inlineStr"/>
      <c r="AC426" s="43">
        <f>HYPERLINK("https://projects.propublica.org/nonprofits/organizations/530196603/202541359349301409/full","view filing")</f>
        <v/>
      </c>
      <c r="AD426" s="50" t="inlineStr"/>
    </row>
    <row r="427">
      <c r="A427" t="inlineStr">
        <is>
          <t>Georgetown University</t>
        </is>
      </c>
      <c r="B427" s="50" t="inlineStr">
        <is>
          <t>DC</t>
        </is>
      </c>
      <c r="C427" s="52" t="n">
        <v>3.95</v>
      </c>
      <c r="D427" t="inlineStr">
        <is>
          <t>Endowment</t>
        </is>
      </c>
      <c r="E427" s="50" t="n">
        <v>2024</v>
      </c>
      <c r="F427" s="50" t="inlineStr">
        <is>
          <t>2025-05-15</t>
        </is>
      </c>
      <c r="G427" s="50" t="inlineStr">
        <is>
          <t>2024-06-30</t>
        </is>
      </c>
      <c r="H427" t="inlineStr">
        <is>
          <t>Michael K Barry</t>
        </is>
      </c>
      <c r="I427" t="inlineStr">
        <is>
          <t>Chief Investment Officer</t>
        </is>
      </c>
      <c r="J427" t="inlineStr">
        <is>
          <t>CIO</t>
        </is>
      </c>
      <c r="K427" t="inlineStr">
        <is>
          <t>CIO - Top Investment Executive</t>
        </is>
      </c>
      <c r="L427" s="28" t="n">
        <v>624093</v>
      </c>
      <c r="M427" s="28" t="n">
        <v>1156510</v>
      </c>
      <c r="N427" s="28" t="n">
        <v>0</v>
      </c>
      <c r="O427" s="28" t="n">
        <v>20000</v>
      </c>
      <c r="P427" s="28" t="n">
        <v>28067</v>
      </c>
      <c r="Q427" s="28" t="n">
        <v>1828670</v>
      </c>
      <c r="R427" s="28" t="n">
        <v>0</v>
      </c>
      <c r="S427" s="28">
        <f>Q427-R427</f>
        <v/>
      </c>
      <c r="T427" s="28">
        <f>IF(S427="","",S427*(1+in_GrowthRate)^(YEARFRAC(DATE(2024,6,30),in_AgeToDate)*IF(in_AgeToDate&lt;DATE(2024,6,30),-1,1)+1))</f>
        <v/>
      </c>
      <c r="U427" s="50">
        <f>IF(AND(AND(OR(in_Mode="All Funds",AND(C427&gt;=in_BandFloor,C427&lt;=in_BandCeiling,OR(in_Geography="National",COUNTIFS(lst_GeoPreset,in_Geography,lst_GeoState,B427)&gt;0,AND(in_Geography="Custom",ISNUMBER(SEARCH(B427,SUBSTITUTE(in_CustomStates," ",""))))),OR(AND(D427="Endowment",Inputs!$B$14="Y"),AND(D427="Foundation",Inputs!$B$15="Y"),AND(D427="Healthcare",Inputs!$B$16="Y"),AND(D427="Pension",Inputs!$B$17="Y"),AND(D427="OCIO",Inputs!$B$18="Y"),AND(D427="Other",Inputs!$B$19="Y")))),A427&lt;&gt;in_ClientOrg,NOT(AND(in_ExclHarvard="Y",ISNUMBER(SEARCH("Harvard",A427))))),$AD427="Y",K427&lt;&gt;"",S427&gt;0),"Y","")</f>
        <v/>
      </c>
      <c r="V427" s="30" t="n">
        <v>1</v>
      </c>
      <c r="W427" t="inlineStr"/>
      <c r="X427" s="28">
        <f>IF(L427+M427=0,"",L427+M427)</f>
        <v/>
      </c>
      <c r="Y427" s="38">
        <f>IF(L427=0,"",M427/L427)</f>
        <v/>
      </c>
      <c r="Z427" t="inlineStr">
        <is>
          <t>CIO - Top Investment Executive</t>
        </is>
      </c>
      <c r="AA427" t="inlineStr">
        <is>
          <t>Leadership</t>
        </is>
      </c>
      <c r="AB427" s="50" t="inlineStr">
        <is>
          <t>Y</t>
        </is>
      </c>
      <c r="AC427" s="43">
        <f>HYPERLINK("https://projects.propublica.org/nonprofits/organizations/530196603/202541359349301409/full","view filing")</f>
        <v/>
      </c>
      <c r="AD427" s="50" t="inlineStr"/>
    </row>
    <row r="428">
      <c r="A428" t="inlineStr">
        <is>
          <t>Georgetown University</t>
        </is>
      </c>
      <c r="B428" s="50" t="inlineStr">
        <is>
          <t>DC</t>
        </is>
      </c>
      <c r="C428" s="52" t="n">
        <v>3.95</v>
      </c>
      <c r="D428" t="inlineStr">
        <is>
          <t>Endowment</t>
        </is>
      </c>
      <c r="E428" s="50" t="n">
        <v>2023</v>
      </c>
      <c r="F428" s="50" t="inlineStr">
        <is>
          <t>2024-05-15</t>
        </is>
      </c>
      <c r="G428" s="50" t="inlineStr">
        <is>
          <t>2023-06-30</t>
        </is>
      </c>
      <c r="H428" t="inlineStr">
        <is>
          <t>Christopher Gill</t>
        </is>
      </c>
      <c r="I428" t="inlineStr">
        <is>
          <t>Managing Director of Public Investments</t>
        </is>
      </c>
      <c r="J428" t="inlineStr">
        <is>
          <t>Managing Director</t>
        </is>
      </c>
      <c r="K428" t="inlineStr">
        <is>
          <t>Sr Investment Professional</t>
        </is>
      </c>
      <c r="L428" s="28" t="n">
        <v>394381</v>
      </c>
      <c r="M428" s="28" t="n">
        <v>900000</v>
      </c>
      <c r="N428" s="28" t="n">
        <v>0</v>
      </c>
      <c r="O428" s="28" t="n">
        <v>20000</v>
      </c>
      <c r="P428" s="28" t="n">
        <v>27554</v>
      </c>
      <c r="Q428" s="28" t="n">
        <v>1341935</v>
      </c>
      <c r="R428" s="28" t="n">
        <v>0</v>
      </c>
      <c r="S428" s="28">
        <f>Q428-R428</f>
        <v/>
      </c>
      <c r="T428" s="28">
        <f>IF(S428="","",S428*(1+in_GrowthRate)^(YEARFRAC(DATE(2023,6,30),in_AgeToDate)*IF(in_AgeToDate&lt;DATE(2023,6,30),-1,1)+1))</f>
        <v/>
      </c>
      <c r="U428" s="50">
        <f>IF(AND(AND(OR(in_Mode="All Funds",AND(C428&gt;=in_BandFloor,C428&lt;=in_BandCeiling,OR(in_Geography="National",COUNTIFS(lst_GeoPreset,in_Geography,lst_GeoState,B428)&gt;0,AND(in_Geography="Custom",ISNUMBER(SEARCH(B428,SUBSTITUTE(in_CustomStates," ",""))))),OR(AND(D428="Endowment",Inputs!$B$14="Y"),AND(D428="Foundation",Inputs!$B$15="Y"),AND(D428="Healthcare",Inputs!$B$16="Y"),AND(D428="Pension",Inputs!$B$17="Y"),AND(D428="OCIO",Inputs!$B$18="Y"),AND(D428="Other",Inputs!$B$19="Y")))),A428&lt;&gt;in_ClientOrg,NOT(AND(in_ExclHarvard="Y",ISNUMBER(SEARCH("Harvard",A428))))),$AD428="Y",K428&lt;&gt;"",S428&gt;0),"Y","")</f>
        <v/>
      </c>
      <c r="V428" s="30" t="n">
        <v>0.8113300290085695</v>
      </c>
      <c r="W428" t="inlineStr"/>
      <c r="X428" s="28">
        <f>IF(L428+M428=0,"",L428+M428)</f>
        <v/>
      </c>
      <c r="Y428" s="38">
        <f>IF(L428=0,"",M428/L428)</f>
        <v/>
      </c>
      <c r="Z428" t="inlineStr">
        <is>
          <t>Managing Director</t>
        </is>
      </c>
      <c r="AA428" t="inlineStr">
        <is>
          <t>Investments</t>
        </is>
      </c>
      <c r="AB428" s="50" t="inlineStr"/>
      <c r="AC428" s="43">
        <f>HYPERLINK("https://projects.propublica.org/nonprofits/organizations/530196603/202411369349310111/full","view filing")</f>
        <v/>
      </c>
      <c r="AD428" s="50" t="inlineStr"/>
    </row>
    <row r="429">
      <c r="A429" t="inlineStr">
        <is>
          <t>Georgetown University</t>
        </is>
      </c>
      <c r="B429" s="50" t="inlineStr">
        <is>
          <t>DC</t>
        </is>
      </c>
      <c r="C429" s="52" t="n">
        <v>3.95</v>
      </c>
      <c r="D429" t="inlineStr">
        <is>
          <t>Endowment</t>
        </is>
      </c>
      <c r="E429" s="50" t="n">
        <v>2023</v>
      </c>
      <c r="F429" s="50" t="inlineStr">
        <is>
          <t>2024-05-15</t>
        </is>
      </c>
      <c r="G429" s="50" t="inlineStr">
        <is>
          <t>2023-06-30</t>
        </is>
      </c>
      <c r="H429" t="inlineStr">
        <is>
          <t>Eduard B Vangelder</t>
        </is>
      </c>
      <c r="I429" t="inlineStr">
        <is>
          <t>Director of Private Investments</t>
        </is>
      </c>
      <c r="J429" t="inlineStr">
        <is>
          <t>Investment Manager</t>
        </is>
      </c>
      <c r="K429" t="inlineStr">
        <is>
          <t>Sr Investment Professional</t>
        </is>
      </c>
      <c r="L429" s="28" t="n">
        <v>397737</v>
      </c>
      <c r="M429" s="28" t="n">
        <v>400000</v>
      </c>
      <c r="N429" s="28" t="n">
        <v>0</v>
      </c>
      <c r="O429" s="28" t="n">
        <v>20000</v>
      </c>
      <c r="P429" s="28" t="n">
        <v>22562</v>
      </c>
      <c r="Q429" s="28" t="n">
        <v>840299</v>
      </c>
      <c r="R429" s="28" t="n">
        <v>0</v>
      </c>
      <c r="S429" s="28">
        <f>Q429-R429</f>
        <v/>
      </c>
      <c r="T429" s="28">
        <f>IF(S429="","",S429*(1+in_GrowthRate)^(YEARFRAC(DATE(2023,6,30),in_AgeToDate)*IF(in_AgeToDate&lt;DATE(2023,6,30),-1,1)+1))</f>
        <v/>
      </c>
      <c r="U429" s="50">
        <f>IF(AND(AND(OR(in_Mode="All Funds",AND(C429&gt;=in_BandFloor,C429&lt;=in_BandCeiling,OR(in_Geography="National",COUNTIFS(lst_GeoPreset,in_Geography,lst_GeoState,B429)&gt;0,AND(in_Geography="Custom",ISNUMBER(SEARCH(B429,SUBSTITUTE(in_CustomStates," ",""))))),OR(AND(D429="Endowment",Inputs!$B$14="Y"),AND(D429="Foundation",Inputs!$B$15="Y"),AND(D429="Healthcare",Inputs!$B$16="Y"),AND(D429="Pension",Inputs!$B$17="Y"),AND(D429="OCIO",Inputs!$B$18="Y"),AND(D429="Other",Inputs!$B$19="Y")))),A429&lt;&gt;in_ClientOrg,NOT(AND(in_ExclHarvard="Y",ISNUMBER(SEARCH("Harvard",A429))))),$AD429="Y",K429&lt;&gt;"",S429&gt;0),"Y","")</f>
        <v/>
      </c>
      <c r="V429" s="30" t="n">
        <v>0.508042350818685</v>
      </c>
      <c r="W429" t="inlineStr"/>
      <c r="X429" s="28">
        <f>IF(L429+M429=0,"",L429+M429)</f>
        <v/>
      </c>
      <c r="Y429" s="38">
        <f>IF(L429=0,"",M429/L429)</f>
        <v/>
      </c>
      <c r="Z429" t="inlineStr">
        <is>
          <t>Director &amp; Investment Officer</t>
        </is>
      </c>
      <c r="AA429" t="inlineStr">
        <is>
          <t>Investments</t>
        </is>
      </c>
      <c r="AB429" s="50" t="inlineStr"/>
      <c r="AC429" s="43">
        <f>HYPERLINK("https://projects.propublica.org/nonprofits/organizations/530196603/202411369349310111/full","view filing")</f>
        <v/>
      </c>
      <c r="AD429" s="50" t="inlineStr"/>
    </row>
    <row r="430">
      <c r="A430" t="inlineStr">
        <is>
          <t>Georgetown University</t>
        </is>
      </c>
      <c r="B430" s="50" t="inlineStr">
        <is>
          <t>DC</t>
        </is>
      </c>
      <c r="C430" s="52" t="n">
        <v>3.95</v>
      </c>
      <c r="D430" t="inlineStr">
        <is>
          <t>Endowment</t>
        </is>
      </c>
      <c r="E430" s="50" t="n">
        <v>2023</v>
      </c>
      <c r="F430" s="50" t="inlineStr">
        <is>
          <t>2024-05-15</t>
        </is>
      </c>
      <c r="G430" s="50" t="inlineStr">
        <is>
          <t>2023-06-30</t>
        </is>
      </c>
      <c r="H430" t="inlineStr">
        <is>
          <t>Michael K Barry</t>
        </is>
      </c>
      <c r="I430" t="inlineStr">
        <is>
          <t>Chief Investment Officer</t>
        </is>
      </c>
      <c r="J430" t="inlineStr">
        <is>
          <t>CIO</t>
        </is>
      </c>
      <c r="K430" t="inlineStr">
        <is>
          <t>CIO - Top Investment Executive</t>
        </is>
      </c>
      <c r="L430" s="28" t="n">
        <v>601131</v>
      </c>
      <c r="M430" s="28" t="n">
        <v>1006060</v>
      </c>
      <c r="N430" s="28" t="n">
        <v>0</v>
      </c>
      <c r="O430" s="28" t="n">
        <v>20000</v>
      </c>
      <c r="P430" s="28" t="n">
        <v>26803</v>
      </c>
      <c r="Q430" s="28" t="n">
        <v>1653994</v>
      </c>
      <c r="R430" s="28" t="n">
        <v>0</v>
      </c>
      <c r="S430" s="28">
        <f>Q430-R430</f>
        <v/>
      </c>
      <c r="T430" s="28">
        <f>IF(S430="","",S430*(1+in_GrowthRate)^(YEARFRAC(DATE(2023,6,30),in_AgeToDate)*IF(in_AgeToDate&lt;DATE(2023,6,30),-1,1)+1))</f>
        <v/>
      </c>
      <c r="U430" s="50">
        <f>IF(AND(AND(OR(in_Mode="All Funds",AND(C430&gt;=in_BandFloor,C430&lt;=in_BandCeiling,OR(in_Geography="National",COUNTIFS(lst_GeoPreset,in_Geography,lst_GeoState,B430)&gt;0,AND(in_Geography="Custom",ISNUMBER(SEARCH(B430,SUBSTITUTE(in_CustomStates," ",""))))),OR(AND(D430="Endowment",Inputs!$B$14="Y"),AND(D430="Foundation",Inputs!$B$15="Y"),AND(D430="Healthcare",Inputs!$B$16="Y"),AND(D430="Pension",Inputs!$B$17="Y"),AND(D430="OCIO",Inputs!$B$18="Y"),AND(D430="Other",Inputs!$B$19="Y")))),A430&lt;&gt;in_ClientOrg,NOT(AND(in_ExclHarvard="Y",ISNUMBER(SEARCH("Harvard",A430))))),$AD430="Y",K430&lt;&gt;"",S430&gt;0),"Y","")</f>
        <v/>
      </c>
      <c r="V430" s="30" t="n">
        <v>1</v>
      </c>
      <c r="W430" t="inlineStr"/>
      <c r="X430" s="28">
        <f>IF(L430+M430=0,"",L430+M430)</f>
        <v/>
      </c>
      <c r="Y430" s="38">
        <f>IF(L430=0,"",M430/L430)</f>
        <v/>
      </c>
      <c r="Z430" t="inlineStr">
        <is>
          <t>CIO - Top Investment Executive</t>
        </is>
      </c>
      <c r="AA430" t="inlineStr">
        <is>
          <t>Leadership</t>
        </is>
      </c>
      <c r="AB430" s="50" t="inlineStr">
        <is>
          <t>Y</t>
        </is>
      </c>
      <c r="AC430" s="43">
        <f>HYPERLINK("https://projects.propublica.org/nonprofits/organizations/530196603/202411369349310111/full","view filing")</f>
        <v/>
      </c>
      <c r="AD430" s="50" t="inlineStr"/>
    </row>
    <row r="431">
      <c r="A431" t="inlineStr">
        <is>
          <t>Georgetown University</t>
        </is>
      </c>
      <c r="B431" s="50" t="inlineStr">
        <is>
          <t>DC</t>
        </is>
      </c>
      <c r="C431" s="52" t="n">
        <v>3.95</v>
      </c>
      <c r="D431" t="inlineStr">
        <is>
          <t>Endowment</t>
        </is>
      </c>
      <c r="E431" s="50" t="n">
        <v>2022</v>
      </c>
      <c r="F431" s="50" t="inlineStr">
        <is>
          <t>2023-05-15</t>
        </is>
      </c>
      <c r="G431" s="50" t="inlineStr">
        <is>
          <t>2022-06-30</t>
        </is>
      </c>
      <c r="H431" t="inlineStr">
        <is>
          <t>Christopher Gill</t>
        </is>
      </c>
      <c r="I431" t="inlineStr">
        <is>
          <t>Managing Director of Investments</t>
        </is>
      </c>
      <c r="J431" t="inlineStr">
        <is>
          <t>Managing Director</t>
        </is>
      </c>
      <c r="K431" t="inlineStr">
        <is>
          <t>Sr Investment Professional</t>
        </is>
      </c>
      <c r="L431" s="28" t="n">
        <v>347855</v>
      </c>
      <c r="M431" s="28" t="n">
        <v>400000</v>
      </c>
      <c r="N431" s="28" t="n">
        <v>0</v>
      </c>
      <c r="O431" s="28" t="n">
        <v>10795</v>
      </c>
      <c r="P431" s="28" t="n">
        <v>27572</v>
      </c>
      <c r="Q431" s="28" t="n">
        <v>786222</v>
      </c>
      <c r="R431" s="28" t="n">
        <v>0</v>
      </c>
      <c r="S431" s="28">
        <f>Q431-R431</f>
        <v/>
      </c>
      <c r="T431" s="28">
        <f>IF(S431="","",S431*(1+in_GrowthRate)^(YEARFRAC(DATE(2022,6,30),in_AgeToDate)*IF(in_AgeToDate&lt;DATE(2022,6,30),-1,1)+1))</f>
        <v/>
      </c>
      <c r="U431" s="50">
        <f>IF(AND(AND(OR(in_Mode="All Funds",AND(C431&gt;=in_BandFloor,C431&lt;=in_BandCeiling,OR(in_Geography="National",COUNTIFS(lst_GeoPreset,in_Geography,lst_GeoState,B431)&gt;0,AND(in_Geography="Custom",ISNUMBER(SEARCH(B431,SUBSTITUTE(in_CustomStates," ",""))))),OR(AND(D431="Endowment",Inputs!$B$14="Y"),AND(D431="Foundation",Inputs!$B$15="Y"),AND(D431="Healthcare",Inputs!$B$16="Y"),AND(D431="Pension",Inputs!$B$17="Y"),AND(D431="OCIO",Inputs!$B$18="Y"),AND(D431="Other",Inputs!$B$19="Y")))),A431&lt;&gt;in_ClientOrg,NOT(AND(in_ExclHarvard="Y",ISNUMBER(SEARCH("Harvard",A431))))),$AD431="Y",K431&lt;&gt;"",S431&gt;0),"Y","")</f>
        <v/>
      </c>
      <c r="V431" s="30" t="n">
        <v>0.650380315419836</v>
      </c>
      <c r="W431" t="inlineStr"/>
      <c r="X431" s="28">
        <f>IF(L431+M431=0,"",L431+M431)</f>
        <v/>
      </c>
      <c r="Y431" s="38">
        <f>IF(L431=0,"",M431/L431)</f>
        <v/>
      </c>
      <c r="Z431" t="inlineStr">
        <is>
          <t>Managing Director</t>
        </is>
      </c>
      <c r="AA431" t="inlineStr">
        <is>
          <t>Investments</t>
        </is>
      </c>
      <c r="AB431" s="50" t="inlineStr"/>
      <c r="AC431" s="43">
        <f>HYPERLINK("https://projects.propublica.org/nonprofits/organizations/530196603/202331359349301653/full","view filing")</f>
        <v/>
      </c>
      <c r="AD431" s="50" t="inlineStr"/>
    </row>
    <row r="432">
      <c r="A432" t="inlineStr">
        <is>
          <t>Georgetown University</t>
        </is>
      </c>
      <c r="B432" s="50" t="inlineStr">
        <is>
          <t>DC</t>
        </is>
      </c>
      <c r="C432" s="52" t="n">
        <v>3.95</v>
      </c>
      <c r="D432" t="inlineStr">
        <is>
          <t>Endowment</t>
        </is>
      </c>
      <c r="E432" s="50" t="n">
        <v>2022</v>
      </c>
      <c r="F432" s="50" t="inlineStr">
        <is>
          <t>2023-05-15</t>
        </is>
      </c>
      <c r="G432" s="50" t="inlineStr">
        <is>
          <t>2022-06-30</t>
        </is>
      </c>
      <c r="H432" t="inlineStr">
        <is>
          <t>Michael K Barry</t>
        </is>
      </c>
      <c r="I432" t="inlineStr">
        <is>
          <t>Chief Investment Officer</t>
        </is>
      </c>
      <c r="J432" t="inlineStr">
        <is>
          <t>CIO</t>
        </is>
      </c>
      <c r="K432" t="inlineStr">
        <is>
          <t>CIO - Top Investment Executive</t>
        </is>
      </c>
      <c r="L432" s="28" t="n">
        <v>537998</v>
      </c>
      <c r="M432" s="28" t="n">
        <v>635000</v>
      </c>
      <c r="N432" s="28" t="n">
        <v>0</v>
      </c>
      <c r="O432" s="28" t="n">
        <v>10795</v>
      </c>
      <c r="P432" s="28" t="n">
        <v>25072</v>
      </c>
      <c r="Q432" s="28" t="n">
        <v>1208865</v>
      </c>
      <c r="R432" s="28" t="n">
        <v>0</v>
      </c>
      <c r="S432" s="28">
        <f>Q432-R432</f>
        <v/>
      </c>
      <c r="T432" s="28">
        <f>IF(S432="","",S432*(1+in_GrowthRate)^(YEARFRAC(DATE(2022,6,30),in_AgeToDate)*IF(in_AgeToDate&lt;DATE(2022,6,30),-1,1)+1))</f>
        <v/>
      </c>
      <c r="U432" s="50">
        <f>IF(AND(AND(OR(in_Mode="All Funds",AND(C432&gt;=in_BandFloor,C432&lt;=in_BandCeiling,OR(in_Geography="National",COUNTIFS(lst_GeoPreset,in_Geography,lst_GeoState,B432)&gt;0,AND(in_Geography="Custom",ISNUMBER(SEARCH(B432,SUBSTITUTE(in_CustomStates," ",""))))),OR(AND(D432="Endowment",Inputs!$B$14="Y"),AND(D432="Foundation",Inputs!$B$15="Y"),AND(D432="Healthcare",Inputs!$B$16="Y"),AND(D432="Pension",Inputs!$B$17="Y"),AND(D432="OCIO",Inputs!$B$18="Y"),AND(D432="Other",Inputs!$B$19="Y")))),A432&lt;&gt;in_ClientOrg,NOT(AND(in_ExclHarvard="Y",ISNUMBER(SEARCH("Harvard",A432))))),$AD432="Y",K432&lt;&gt;"",S432&gt;0),"Y","")</f>
        <v/>
      </c>
      <c r="V432" s="30" t="n">
        <v>1</v>
      </c>
      <c r="W432" t="inlineStr"/>
      <c r="X432" s="28">
        <f>IF(L432+M432=0,"",L432+M432)</f>
        <v/>
      </c>
      <c r="Y432" s="38">
        <f>IF(L432=0,"",M432/L432)</f>
        <v/>
      </c>
      <c r="Z432" t="inlineStr">
        <is>
          <t>CIO - Top Investment Executive</t>
        </is>
      </c>
      <c r="AA432" t="inlineStr">
        <is>
          <t>Leadership</t>
        </is>
      </c>
      <c r="AB432" s="50" t="inlineStr">
        <is>
          <t>Y</t>
        </is>
      </c>
      <c r="AC432" s="43">
        <f>HYPERLINK("https://projects.propublica.org/nonprofits/organizations/530196603/202331359349301653/full","view filing")</f>
        <v/>
      </c>
      <c r="AD432" s="50" t="inlineStr"/>
    </row>
    <row r="433">
      <c r="A433" t="inlineStr">
        <is>
          <t>Georgia Tech Foundation Inc</t>
        </is>
      </c>
      <c r="B433" s="50" t="inlineStr">
        <is>
          <t>GA</t>
        </is>
      </c>
      <c r="C433" s="52" t="n">
        <v>3.04</v>
      </c>
      <c r="D433" t="inlineStr">
        <is>
          <t>Foundation</t>
        </is>
      </c>
      <c r="E433" s="50" t="n">
        <v>2025</v>
      </c>
      <c r="F433" s="50" t="inlineStr">
        <is>
          <t>2026-05-14</t>
        </is>
      </c>
      <c r="G433" s="50" t="inlineStr">
        <is>
          <t>2025-06-30</t>
        </is>
      </c>
      <c r="H433" t="inlineStr">
        <is>
          <t>Brian Pellegrino</t>
        </is>
      </c>
      <c r="I433" t="inlineStr">
        <is>
          <t>CHIEF INVESTMENT OFFICER</t>
        </is>
      </c>
      <c r="J433" t="inlineStr">
        <is>
          <t>CIO</t>
        </is>
      </c>
      <c r="K433" t="inlineStr">
        <is>
          <t>CIO - Top Investment Executive</t>
        </is>
      </c>
      <c r="L433" s="28" t="n">
        <v>625721</v>
      </c>
      <c r="M433" s="28" t="n">
        <v>1001832</v>
      </c>
      <c r="N433" s="28" t="n">
        <v>0</v>
      </c>
      <c r="O433" s="28" t="n">
        <v>34500</v>
      </c>
      <c r="P433" s="28" t="n">
        <v>818</v>
      </c>
      <c r="Q433" s="28" t="n">
        <v>1662871</v>
      </c>
      <c r="R433" s="28" t="n">
        <v>0</v>
      </c>
      <c r="S433" s="28">
        <f>Q433-R433</f>
        <v/>
      </c>
      <c r="T433" s="28">
        <f>IF(S433="","",S433*(1+in_GrowthRate)^(YEARFRAC(DATE(2025,6,30),in_AgeToDate)*IF(in_AgeToDate&lt;DATE(2025,6,30),-1,1)+1))</f>
        <v/>
      </c>
      <c r="U433" s="50">
        <f>IF(AND(AND(OR(in_Mode="All Funds",AND(C433&gt;=in_BandFloor,C433&lt;=in_BandCeiling,OR(in_Geography="National",COUNTIFS(lst_GeoPreset,in_Geography,lst_GeoState,B433)&gt;0,AND(in_Geography="Custom",ISNUMBER(SEARCH(B433,SUBSTITUTE(in_CustomStates," ",""))))),OR(AND(D433="Endowment",Inputs!$B$14="Y"),AND(D433="Foundation",Inputs!$B$15="Y"),AND(D433="Healthcare",Inputs!$B$16="Y"),AND(D433="Pension",Inputs!$B$17="Y"),AND(D433="OCIO",Inputs!$B$18="Y"),AND(D433="Other",Inputs!$B$19="Y")))),A433&lt;&gt;in_ClientOrg,NOT(AND(in_ExclHarvard="Y",ISNUMBER(SEARCH("Harvard",A433))))),$AD433="Y",K433&lt;&gt;"",S433&gt;0),"Y","")</f>
        <v/>
      </c>
      <c r="V433" s="30" t="n">
        <v>1</v>
      </c>
      <c r="W433" t="inlineStr"/>
      <c r="X433" s="28">
        <f>IF(L433+M433=0,"",L433+M433)</f>
        <v/>
      </c>
      <c r="Y433" s="38">
        <f>IF(L433=0,"",M433/L433)</f>
        <v/>
      </c>
      <c r="Z433" t="inlineStr">
        <is>
          <t>CIO - Top Investment Executive</t>
        </is>
      </c>
      <c r="AA433" t="inlineStr">
        <is>
          <t>Leadership</t>
        </is>
      </c>
      <c r="AB433" s="50" t="inlineStr">
        <is>
          <t>Y</t>
        </is>
      </c>
      <c r="AC433" s="43">
        <f>HYPERLINK("https://projects.propublica.org/nonprofits/organizations/586043294/202631349349304503/full","view filing")</f>
        <v/>
      </c>
      <c r="AD433" s="50" t="inlineStr">
        <is>
          <t>Y</t>
        </is>
      </c>
    </row>
    <row r="434">
      <c r="A434" t="inlineStr">
        <is>
          <t>Georgia Tech Foundation Inc</t>
        </is>
      </c>
      <c r="B434" s="50" t="inlineStr">
        <is>
          <t>GA</t>
        </is>
      </c>
      <c r="C434" s="52" t="n">
        <v>3.04</v>
      </c>
      <c r="D434" t="inlineStr">
        <is>
          <t>Foundation</t>
        </is>
      </c>
      <c r="E434" s="50" t="n">
        <v>2025</v>
      </c>
      <c r="F434" s="50" t="inlineStr">
        <is>
          <t>2026-05-14</t>
        </is>
      </c>
      <c r="G434" s="50" t="inlineStr">
        <is>
          <t>2025-06-30</t>
        </is>
      </c>
      <c r="H434" t="inlineStr">
        <is>
          <t>Lu Yan</t>
        </is>
      </c>
      <c r="I434" t="inlineStr">
        <is>
          <t>MANAGING DIRECTOR - PUBLIC INVESTMENTS</t>
        </is>
      </c>
      <c r="J434" t="inlineStr">
        <is>
          <t>Managing Director</t>
        </is>
      </c>
      <c r="K434" t="inlineStr">
        <is>
          <t>Sr Investment Professional</t>
        </is>
      </c>
      <c r="L434" s="28" t="n">
        <v>303204</v>
      </c>
      <c r="M434" s="28" t="n">
        <v>333843</v>
      </c>
      <c r="N434" s="28" t="n">
        <v>0</v>
      </c>
      <c r="O434" s="28" t="n">
        <v>30962</v>
      </c>
      <c r="P434" s="28" t="n">
        <v>16229</v>
      </c>
      <c r="Q434" s="28" t="n">
        <v>684238</v>
      </c>
      <c r="R434" s="28" t="n">
        <v>0</v>
      </c>
      <c r="S434" s="28">
        <f>Q434-R434</f>
        <v/>
      </c>
      <c r="T434" s="28">
        <f>IF(S434="","",S434*(1+in_GrowthRate)^(YEARFRAC(DATE(2025,6,30),in_AgeToDate)*IF(in_AgeToDate&lt;DATE(2025,6,30),-1,1)+1))</f>
        <v/>
      </c>
      <c r="U434" s="50">
        <f>IF(AND(AND(OR(in_Mode="All Funds",AND(C434&gt;=in_BandFloor,C434&lt;=in_BandCeiling,OR(in_Geography="National",COUNTIFS(lst_GeoPreset,in_Geography,lst_GeoState,B434)&gt;0,AND(in_Geography="Custom",ISNUMBER(SEARCH(B434,SUBSTITUTE(in_CustomStates," ",""))))),OR(AND(D434="Endowment",Inputs!$B$14="Y"),AND(D434="Foundation",Inputs!$B$15="Y"),AND(D434="Healthcare",Inputs!$B$16="Y"),AND(D434="Pension",Inputs!$B$17="Y"),AND(D434="OCIO",Inputs!$B$18="Y"),AND(D434="Other",Inputs!$B$19="Y")))),A434&lt;&gt;in_ClientOrg,NOT(AND(in_ExclHarvard="Y",ISNUMBER(SEARCH("Harvard",A434))))),$AD434="Y",K434&lt;&gt;"",S434&gt;0),"Y","")</f>
        <v/>
      </c>
      <c r="V434" s="30" t="n">
        <v>0.4114799043341306</v>
      </c>
      <c r="W434" t="inlineStr"/>
      <c r="X434" s="28">
        <f>IF(L434+M434=0,"",L434+M434)</f>
        <v/>
      </c>
      <c r="Y434" s="38">
        <f>IF(L434=0,"",M434/L434)</f>
        <v/>
      </c>
      <c r="Z434" t="inlineStr">
        <is>
          <t>Managing Director</t>
        </is>
      </c>
      <c r="AA434" t="inlineStr">
        <is>
          <t>Investments</t>
        </is>
      </c>
      <c r="AB434" s="50" t="inlineStr"/>
      <c r="AC434" s="43">
        <f>HYPERLINK("https://projects.propublica.org/nonprofits/organizations/586043294/202631349349304503/full","view filing")</f>
        <v/>
      </c>
      <c r="AD434" s="50" t="inlineStr">
        <is>
          <t>Y</t>
        </is>
      </c>
    </row>
    <row r="435">
      <c r="A435" t="inlineStr">
        <is>
          <t>Georgia Tech Foundation Inc</t>
        </is>
      </c>
      <c r="B435" s="50" t="inlineStr">
        <is>
          <t>GA</t>
        </is>
      </c>
      <c r="C435" s="52" t="n">
        <v>3.04</v>
      </c>
      <c r="D435" t="inlineStr">
        <is>
          <t>Foundation</t>
        </is>
      </c>
      <c r="E435" s="50" t="n">
        <v>2025</v>
      </c>
      <c r="F435" s="50" t="inlineStr">
        <is>
          <t>2026-05-14</t>
        </is>
      </c>
      <c r="G435" s="50" t="inlineStr">
        <is>
          <t>2025-06-30</t>
        </is>
      </c>
      <c r="H435" t="inlineStr">
        <is>
          <t>Patrick Liu</t>
        </is>
      </c>
      <c r="I435" t="inlineStr">
        <is>
          <t>DIRECTOR - PRIVATE INVESTMENTS</t>
        </is>
      </c>
      <c r="J435" t="inlineStr">
        <is>
          <t>Investment Manager</t>
        </is>
      </c>
      <c r="K435" t="inlineStr">
        <is>
          <t>Sr Investment Professional</t>
        </is>
      </c>
      <c r="L435" s="28" t="n">
        <v>287740</v>
      </c>
      <c r="M435" s="28" t="n">
        <v>328828</v>
      </c>
      <c r="N435" s="28" t="n">
        <v>0</v>
      </c>
      <c r="O435" s="28" t="n">
        <v>29937</v>
      </c>
      <c r="P435" s="28" t="n">
        <v>43127</v>
      </c>
      <c r="Q435" s="28" t="n">
        <v>689632</v>
      </c>
      <c r="R435" s="28" t="n">
        <v>0</v>
      </c>
      <c r="S435" s="28">
        <f>Q435-R435</f>
        <v/>
      </c>
      <c r="T435" s="28">
        <f>IF(S435="","",S435*(1+in_GrowthRate)^(YEARFRAC(DATE(2025,6,30),in_AgeToDate)*IF(in_AgeToDate&lt;DATE(2025,6,30),-1,1)+1))</f>
        <v/>
      </c>
      <c r="U435" s="50">
        <f>IF(AND(AND(OR(in_Mode="All Funds",AND(C435&gt;=in_BandFloor,C435&lt;=in_BandCeiling,OR(in_Geography="National",COUNTIFS(lst_GeoPreset,in_Geography,lst_GeoState,B435)&gt;0,AND(in_Geography="Custom",ISNUMBER(SEARCH(B435,SUBSTITUTE(in_CustomStates," ",""))))),OR(AND(D435="Endowment",Inputs!$B$14="Y"),AND(D435="Foundation",Inputs!$B$15="Y"),AND(D435="Healthcare",Inputs!$B$16="Y"),AND(D435="Pension",Inputs!$B$17="Y"),AND(D435="OCIO",Inputs!$B$18="Y"),AND(D435="Other",Inputs!$B$19="Y")))),A435&lt;&gt;in_ClientOrg,NOT(AND(in_ExclHarvard="Y",ISNUMBER(SEARCH("Harvard",A435))))),$AD435="Y",K435&lt;&gt;"",S435&gt;0),"Y","")</f>
        <v/>
      </c>
      <c r="V435" s="30" t="n">
        <v>0.4147236917355586</v>
      </c>
      <c r="W435" t="inlineStr"/>
      <c r="X435" s="28">
        <f>IF(L435+M435=0,"",L435+M435)</f>
        <v/>
      </c>
      <c r="Y435" s="38">
        <f>IF(L435=0,"",M435/L435)</f>
        <v/>
      </c>
      <c r="Z435" t="inlineStr">
        <is>
          <t>Director &amp; Investment Officer</t>
        </is>
      </c>
      <c r="AA435" t="inlineStr">
        <is>
          <t>Investments</t>
        </is>
      </c>
      <c r="AB435" s="50" t="inlineStr"/>
      <c r="AC435" s="43">
        <f>HYPERLINK("https://projects.propublica.org/nonprofits/organizations/586043294/202631349349304503/full","view filing")</f>
        <v/>
      </c>
      <c r="AD435" s="50" t="inlineStr">
        <is>
          <t>Y</t>
        </is>
      </c>
    </row>
    <row r="436">
      <c r="A436" t="inlineStr">
        <is>
          <t>Georgia Tech Foundation Inc</t>
        </is>
      </c>
      <c r="B436" s="50" t="inlineStr">
        <is>
          <t>GA</t>
        </is>
      </c>
      <c r="C436" s="52" t="n">
        <v>3.04</v>
      </c>
      <c r="D436" t="inlineStr">
        <is>
          <t>Foundation</t>
        </is>
      </c>
      <c r="E436" s="50" t="n">
        <v>2025</v>
      </c>
      <c r="F436" s="50" t="inlineStr">
        <is>
          <t>2026-05-14</t>
        </is>
      </c>
      <c r="G436" s="50" t="inlineStr">
        <is>
          <t>2025-06-30</t>
        </is>
      </c>
      <c r="H436" t="inlineStr">
        <is>
          <t>Robert Thompson</t>
        </is>
      </c>
      <c r="I436" t="inlineStr">
        <is>
          <t>INVESTMENT OFFICER</t>
        </is>
      </c>
      <c r="J436" t="inlineStr">
        <is>
          <t>Investment Officer</t>
        </is>
      </c>
      <c r="K436" t="inlineStr">
        <is>
          <t>Sr Investment Professional</t>
        </is>
      </c>
      <c r="L436" s="28" t="n">
        <v>160388</v>
      </c>
      <c r="M436" s="28" t="n">
        <v>74899</v>
      </c>
      <c r="N436" s="28" t="n">
        <v>0</v>
      </c>
      <c r="O436" s="28" t="n">
        <v>8983</v>
      </c>
      <c r="P436" s="28" t="n">
        <v>8505</v>
      </c>
      <c r="Q436" s="28" t="n">
        <v>252775</v>
      </c>
      <c r="R436" s="28" t="n">
        <v>0</v>
      </c>
      <c r="S436" s="28">
        <f>Q436-R436</f>
        <v/>
      </c>
      <c r="T436" s="28">
        <f>IF(S436="","",S436*(1+in_GrowthRate)^(YEARFRAC(DATE(2025,6,30),in_AgeToDate)*IF(in_AgeToDate&lt;DATE(2025,6,30),-1,1)+1))</f>
        <v/>
      </c>
      <c r="U436" s="50">
        <f>IF(AND(AND(OR(in_Mode="All Funds",AND(C436&gt;=in_BandFloor,C436&lt;=in_BandCeiling,OR(in_Geography="National",COUNTIFS(lst_GeoPreset,in_Geography,lst_GeoState,B436)&gt;0,AND(in_Geography="Custom",ISNUMBER(SEARCH(B436,SUBSTITUTE(in_CustomStates," ",""))))),OR(AND(D436="Endowment",Inputs!$B$14="Y"),AND(D436="Foundation",Inputs!$B$15="Y"),AND(D436="Healthcare",Inputs!$B$16="Y"),AND(D436="Pension",Inputs!$B$17="Y"),AND(D436="OCIO",Inputs!$B$18="Y"),AND(D436="Other",Inputs!$B$19="Y")))),A436&lt;&gt;in_ClientOrg,NOT(AND(in_ExclHarvard="Y",ISNUMBER(SEARCH("Harvard",A436))))),$AD436="Y",K436&lt;&gt;"",S436&gt;0),"Y","")</f>
        <v/>
      </c>
      <c r="V436" s="30" t="n">
        <v>0.1520111902847545</v>
      </c>
      <c r="W436" t="inlineStr"/>
      <c r="X436" s="28">
        <f>IF(L436+M436=0,"",L436+M436)</f>
        <v/>
      </c>
      <c r="Y436" s="38">
        <f>IF(L436=0,"",M436/L436)</f>
        <v/>
      </c>
      <c r="Z436" t="inlineStr">
        <is>
          <t>Director &amp; Investment Officer</t>
        </is>
      </c>
      <c r="AA436" t="inlineStr">
        <is>
          <t>Investments</t>
        </is>
      </c>
      <c r="AB436" s="50" t="inlineStr"/>
      <c r="AC436" s="43">
        <f>HYPERLINK("https://projects.propublica.org/nonprofits/organizations/586043294/202631349349304503/full","view filing")</f>
        <v/>
      </c>
      <c r="AD436" s="50" t="inlineStr">
        <is>
          <t>Y</t>
        </is>
      </c>
    </row>
    <row r="437">
      <c r="A437" t="inlineStr">
        <is>
          <t>Georgia Tech Foundation Inc</t>
        </is>
      </c>
      <c r="B437" s="50" t="inlineStr">
        <is>
          <t>GA</t>
        </is>
      </c>
      <c r="C437" s="52" t="n">
        <v>3.04</v>
      </c>
      <c r="D437" t="inlineStr">
        <is>
          <t>Foundation</t>
        </is>
      </c>
      <c r="E437" s="50" t="n">
        <v>2024</v>
      </c>
      <c r="F437" s="50" t="inlineStr">
        <is>
          <t>2025-05-14</t>
        </is>
      </c>
      <c r="G437" s="50" t="inlineStr">
        <is>
          <t>2024-06-30</t>
        </is>
      </c>
      <c r="H437" t="inlineStr">
        <is>
          <t>Brian Pellegrino</t>
        </is>
      </c>
      <c r="I437" t="inlineStr">
        <is>
          <t>CHIEF INVESTMENT OFFICER</t>
        </is>
      </c>
      <c r="J437" t="inlineStr">
        <is>
          <t>CIO</t>
        </is>
      </c>
      <c r="K437" t="inlineStr">
        <is>
          <t>CIO - Top Investment Executive</t>
        </is>
      </c>
      <c r="L437" s="28" t="n">
        <v>614228</v>
      </c>
      <c r="M437" s="28" t="n">
        <v>906550</v>
      </c>
      <c r="N437" s="28" t="n">
        <v>0</v>
      </c>
      <c r="O437" s="28" t="n">
        <v>33000</v>
      </c>
      <c r="P437" s="28" t="n">
        <v>772</v>
      </c>
      <c r="Q437" s="28" t="n">
        <v>1554550</v>
      </c>
      <c r="R437" s="28" t="n">
        <v>0</v>
      </c>
      <c r="S437" s="28">
        <f>Q437-R437</f>
        <v/>
      </c>
      <c r="T437" s="28">
        <f>IF(S437="","",S437*(1+in_GrowthRate)^(YEARFRAC(DATE(2024,6,30),in_AgeToDate)*IF(in_AgeToDate&lt;DATE(2024,6,30),-1,1)+1))</f>
        <v/>
      </c>
      <c r="U437" s="50">
        <f>IF(AND(AND(OR(in_Mode="All Funds",AND(C437&gt;=in_BandFloor,C437&lt;=in_BandCeiling,OR(in_Geography="National",COUNTIFS(lst_GeoPreset,in_Geography,lst_GeoState,B437)&gt;0,AND(in_Geography="Custom",ISNUMBER(SEARCH(B437,SUBSTITUTE(in_CustomStates," ",""))))),OR(AND(D437="Endowment",Inputs!$B$14="Y"),AND(D437="Foundation",Inputs!$B$15="Y"),AND(D437="Healthcare",Inputs!$B$16="Y"),AND(D437="Pension",Inputs!$B$17="Y"),AND(D437="OCIO",Inputs!$B$18="Y"),AND(D437="Other",Inputs!$B$19="Y")))),A437&lt;&gt;in_ClientOrg,NOT(AND(in_ExclHarvard="Y",ISNUMBER(SEARCH("Harvard",A437))))),$AD437="Y",K437&lt;&gt;"",S437&gt;0),"Y","")</f>
        <v/>
      </c>
      <c r="V437" s="30" t="n">
        <v>1</v>
      </c>
      <c r="W437" t="inlineStr"/>
      <c r="X437" s="28">
        <f>IF(L437+M437=0,"",L437+M437)</f>
        <v/>
      </c>
      <c r="Y437" s="38">
        <f>IF(L437=0,"",M437/L437)</f>
        <v/>
      </c>
      <c r="Z437" t="inlineStr">
        <is>
          <t>CIO - Top Investment Executive</t>
        </is>
      </c>
      <c r="AA437" t="inlineStr">
        <is>
          <t>Leadership</t>
        </is>
      </c>
      <c r="AB437" s="50" t="inlineStr">
        <is>
          <t>Y</t>
        </is>
      </c>
      <c r="AC437" s="43">
        <f>HYPERLINK("https://projects.propublica.org/nonprofits/organizations/586043294/202511349349304466/full","view filing")</f>
        <v/>
      </c>
      <c r="AD437" s="50" t="inlineStr"/>
    </row>
    <row r="438">
      <c r="A438" t="inlineStr">
        <is>
          <t>Georgia Tech Foundation Inc</t>
        </is>
      </c>
      <c r="B438" s="50" t="inlineStr">
        <is>
          <t>GA</t>
        </is>
      </c>
      <c r="C438" s="52" t="n">
        <v>3.04</v>
      </c>
      <c r="D438" t="inlineStr">
        <is>
          <t>Foundation</t>
        </is>
      </c>
      <c r="E438" s="50" t="n">
        <v>2024</v>
      </c>
      <c r="F438" s="50" t="inlineStr">
        <is>
          <t>2025-05-14</t>
        </is>
      </c>
      <c r="G438" s="50" t="inlineStr">
        <is>
          <t>2024-06-30</t>
        </is>
      </c>
      <c r="H438" t="inlineStr">
        <is>
          <t>Lu Yan</t>
        </is>
      </c>
      <c r="I438" t="inlineStr">
        <is>
          <t>MANAGING DIRECTOR - PUBLIC INVESTMENTS</t>
        </is>
      </c>
      <c r="J438" t="inlineStr">
        <is>
          <t>Managing Director</t>
        </is>
      </c>
      <c r="K438" t="inlineStr">
        <is>
          <t>Sr Investment Professional</t>
        </is>
      </c>
      <c r="L438" s="28" t="n">
        <v>294971</v>
      </c>
      <c r="M438" s="28" t="n">
        <v>287427</v>
      </c>
      <c r="N438" s="28" t="n">
        <v>0</v>
      </c>
      <c r="O438" s="28" t="n">
        <v>30096</v>
      </c>
      <c r="P438" s="28" t="n">
        <v>15322</v>
      </c>
      <c r="Q438" s="28" t="n">
        <v>627816</v>
      </c>
      <c r="R438" s="28" t="n">
        <v>0</v>
      </c>
      <c r="S438" s="28">
        <f>Q438-R438</f>
        <v/>
      </c>
      <c r="T438" s="28">
        <f>IF(S438="","",S438*(1+in_GrowthRate)^(YEARFRAC(DATE(2024,6,30),in_AgeToDate)*IF(in_AgeToDate&lt;DATE(2024,6,30),-1,1)+1))</f>
        <v/>
      </c>
      <c r="U438" s="50">
        <f>IF(AND(AND(OR(in_Mode="All Funds",AND(C438&gt;=in_BandFloor,C438&lt;=in_BandCeiling,OR(in_Geography="National",COUNTIFS(lst_GeoPreset,in_Geography,lst_GeoState,B438)&gt;0,AND(in_Geography="Custom",ISNUMBER(SEARCH(B438,SUBSTITUTE(in_CustomStates," ",""))))),OR(AND(D438="Endowment",Inputs!$B$14="Y"),AND(D438="Foundation",Inputs!$B$15="Y"),AND(D438="Healthcare",Inputs!$B$16="Y"),AND(D438="Pension",Inputs!$B$17="Y"),AND(D438="OCIO",Inputs!$B$18="Y"),AND(D438="Other",Inputs!$B$19="Y")))),A438&lt;&gt;in_ClientOrg,NOT(AND(in_ExclHarvard="Y",ISNUMBER(SEARCH("Harvard",A438))))),$AD438="Y",K438&lt;&gt;"",S438&gt;0),"Y","")</f>
        <v/>
      </c>
      <c r="V438" s="30" t="n">
        <v>0.4038570647454247</v>
      </c>
      <c r="W438" t="inlineStr"/>
      <c r="X438" s="28">
        <f>IF(L438+M438=0,"",L438+M438)</f>
        <v/>
      </c>
      <c r="Y438" s="38">
        <f>IF(L438=0,"",M438/L438)</f>
        <v/>
      </c>
      <c r="Z438" t="inlineStr">
        <is>
          <t>Managing Director</t>
        </is>
      </c>
      <c r="AA438" t="inlineStr">
        <is>
          <t>Investments</t>
        </is>
      </c>
      <c r="AB438" s="50" t="inlineStr"/>
      <c r="AC438" s="43">
        <f>HYPERLINK("https://projects.propublica.org/nonprofits/organizations/586043294/202511349349304466/full","view filing")</f>
        <v/>
      </c>
      <c r="AD438" s="50" t="inlineStr"/>
    </row>
    <row r="439">
      <c r="A439" t="inlineStr">
        <is>
          <t>Georgia Tech Foundation Inc</t>
        </is>
      </c>
      <c r="B439" s="50" t="inlineStr">
        <is>
          <t>GA</t>
        </is>
      </c>
      <c r="C439" s="52" t="n">
        <v>3.04</v>
      </c>
      <c r="D439" t="inlineStr">
        <is>
          <t>Foundation</t>
        </is>
      </c>
      <c r="E439" s="50" t="n">
        <v>2024</v>
      </c>
      <c r="F439" s="50" t="inlineStr">
        <is>
          <t>2025-05-14</t>
        </is>
      </c>
      <c r="G439" s="50" t="inlineStr">
        <is>
          <t>2024-06-30</t>
        </is>
      </c>
      <c r="H439" t="inlineStr">
        <is>
          <t>Patrick Liu</t>
        </is>
      </c>
      <c r="I439" t="inlineStr">
        <is>
          <t>DIRECTOR - PRIVATE INVESTMENTS</t>
        </is>
      </c>
      <c r="J439" t="inlineStr">
        <is>
          <t>Investment Manager</t>
        </is>
      </c>
      <c r="K439" t="inlineStr">
        <is>
          <t>Sr Investment Professional</t>
        </is>
      </c>
      <c r="L439" s="28" t="n">
        <v>268048</v>
      </c>
      <c r="M439" s="28" t="n">
        <v>275546</v>
      </c>
      <c r="N439" s="28" t="n">
        <v>0</v>
      </c>
      <c r="O439" s="28" t="n">
        <v>27680</v>
      </c>
      <c r="P439" s="28" t="n">
        <v>38530</v>
      </c>
      <c r="Q439" s="28" t="n">
        <v>609804</v>
      </c>
      <c r="R439" s="28" t="n">
        <v>0</v>
      </c>
      <c r="S439" s="28">
        <f>Q439-R439</f>
        <v/>
      </c>
      <c r="T439" s="28">
        <f>IF(S439="","",S439*(1+in_GrowthRate)^(YEARFRAC(DATE(2024,6,30),in_AgeToDate)*IF(in_AgeToDate&lt;DATE(2024,6,30),-1,1)+1))</f>
        <v/>
      </c>
      <c r="U439" s="50">
        <f>IF(AND(AND(OR(in_Mode="All Funds",AND(C439&gt;=in_BandFloor,C439&lt;=in_BandCeiling,OR(in_Geography="National",COUNTIFS(lst_GeoPreset,in_Geography,lst_GeoState,B439)&gt;0,AND(in_Geography="Custom",ISNUMBER(SEARCH(B439,SUBSTITUTE(in_CustomStates," ",""))))),OR(AND(D439="Endowment",Inputs!$B$14="Y"),AND(D439="Foundation",Inputs!$B$15="Y"),AND(D439="Healthcare",Inputs!$B$16="Y"),AND(D439="Pension",Inputs!$B$17="Y"),AND(D439="OCIO",Inputs!$B$18="Y"),AND(D439="Other",Inputs!$B$19="Y")))),A439&lt;&gt;in_ClientOrg,NOT(AND(in_ExclHarvard="Y",ISNUMBER(SEARCH("Harvard",A439))))),$AD439="Y",K439&lt;&gt;"",S439&gt;0),"Y","")</f>
        <v/>
      </c>
      <c r="V439" s="30" t="n">
        <v>0.3922704319578013</v>
      </c>
      <c r="W439" t="inlineStr"/>
      <c r="X439" s="28">
        <f>IF(L439+M439=0,"",L439+M439)</f>
        <v/>
      </c>
      <c r="Y439" s="38">
        <f>IF(L439=0,"",M439/L439)</f>
        <v/>
      </c>
      <c r="Z439" t="inlineStr">
        <is>
          <t>Director &amp; Investment Officer</t>
        </is>
      </c>
      <c r="AA439" t="inlineStr">
        <is>
          <t>Investments</t>
        </is>
      </c>
      <c r="AB439" s="50" t="inlineStr"/>
      <c r="AC439" s="43">
        <f>HYPERLINK("https://projects.propublica.org/nonprofits/organizations/586043294/202511349349304466/full","view filing")</f>
        <v/>
      </c>
      <c r="AD439" s="50" t="inlineStr"/>
    </row>
    <row r="440">
      <c r="A440" t="inlineStr">
        <is>
          <t>Georgia Tech Foundation Inc</t>
        </is>
      </c>
      <c r="B440" s="50" t="inlineStr">
        <is>
          <t>GA</t>
        </is>
      </c>
      <c r="C440" s="52" t="n">
        <v>3.04</v>
      </c>
      <c r="D440" t="inlineStr">
        <is>
          <t>Foundation</t>
        </is>
      </c>
      <c r="E440" s="50" t="n">
        <v>2024</v>
      </c>
      <c r="F440" s="50" t="inlineStr">
        <is>
          <t>2025-05-14</t>
        </is>
      </c>
      <c r="G440" s="50" t="inlineStr">
        <is>
          <t>2024-06-30</t>
        </is>
      </c>
      <c r="H440" t="inlineStr">
        <is>
          <t>Robert Thompson</t>
        </is>
      </c>
      <c r="I440" t="inlineStr">
        <is>
          <t>INVESTMENT OFFICER</t>
        </is>
      </c>
      <c r="J440" t="inlineStr">
        <is>
          <t>Investment Officer</t>
        </is>
      </c>
      <c r="K440" t="inlineStr">
        <is>
          <t>Sr Investment Professional</t>
        </is>
      </c>
      <c r="L440" s="28" t="n">
        <v>132106</v>
      </c>
      <c r="M440" s="28" t="n">
        <v>93450</v>
      </c>
      <c r="N440" s="28" t="n">
        <v>0</v>
      </c>
      <c r="O440" s="28" t="n">
        <v>13505</v>
      </c>
      <c r="P440" s="28" t="n">
        <v>12272</v>
      </c>
      <c r="Q440" s="28" t="n">
        <v>251333</v>
      </c>
      <c r="R440" s="28" t="n">
        <v>0</v>
      </c>
      <c r="S440" s="28">
        <f>Q440-R440</f>
        <v/>
      </c>
      <c r="T440" s="28">
        <f>IF(S440="","",S440*(1+in_GrowthRate)^(YEARFRAC(DATE(2024,6,30),in_AgeToDate)*IF(in_AgeToDate&lt;DATE(2024,6,30),-1,1)+1))</f>
        <v/>
      </c>
      <c r="U440" s="50">
        <f>IF(AND(AND(OR(in_Mode="All Funds",AND(C440&gt;=in_BandFloor,C440&lt;=in_BandCeiling,OR(in_Geography="National",COUNTIFS(lst_GeoPreset,in_Geography,lst_GeoState,B440)&gt;0,AND(in_Geography="Custom",ISNUMBER(SEARCH(B440,SUBSTITUTE(in_CustomStates," ",""))))),OR(AND(D440="Endowment",Inputs!$B$14="Y"),AND(D440="Foundation",Inputs!$B$15="Y"),AND(D440="Healthcare",Inputs!$B$16="Y"),AND(D440="Pension",Inputs!$B$17="Y"),AND(D440="OCIO",Inputs!$B$18="Y"),AND(D440="Other",Inputs!$B$19="Y")))),A440&lt;&gt;in_ClientOrg,NOT(AND(in_ExclHarvard="Y",ISNUMBER(SEARCH("Harvard",A440))))),$AD440="Y",K440&lt;&gt;"",S440&gt;0),"Y","")</f>
        <v/>
      </c>
      <c r="V440" s="30" t="n">
        <v>0.1616757260943681</v>
      </c>
      <c r="W440" t="inlineStr"/>
      <c r="X440" s="28">
        <f>IF(L440+M440=0,"",L440+M440)</f>
        <v/>
      </c>
      <c r="Y440" s="38">
        <f>IF(L440=0,"",M440/L440)</f>
        <v/>
      </c>
      <c r="Z440" t="inlineStr">
        <is>
          <t>Director &amp; Investment Officer</t>
        </is>
      </c>
      <c r="AA440" t="inlineStr">
        <is>
          <t>Investments</t>
        </is>
      </c>
      <c r="AB440" s="50" t="inlineStr"/>
      <c r="AC440" s="43">
        <f>HYPERLINK("https://projects.propublica.org/nonprofits/organizations/586043294/202511349349304466/full","view filing")</f>
        <v/>
      </c>
      <c r="AD440" s="50" t="inlineStr"/>
    </row>
    <row r="441">
      <c r="A441" t="inlineStr">
        <is>
          <t>Georgia Tech Foundation Inc</t>
        </is>
      </c>
      <c r="B441" s="50" t="inlineStr">
        <is>
          <t>GA</t>
        </is>
      </c>
      <c r="C441" s="52" t="n">
        <v>3.04</v>
      </c>
      <c r="D441" t="inlineStr">
        <is>
          <t>Foundation</t>
        </is>
      </c>
      <c r="E441" s="50" t="n">
        <v>2023</v>
      </c>
      <c r="F441" s="50" t="inlineStr">
        <is>
          <t>2024-05-15</t>
        </is>
      </c>
      <c r="G441" s="50" t="inlineStr">
        <is>
          <t>2023-06-30</t>
        </is>
      </c>
      <c r="H441" t="inlineStr">
        <is>
          <t>Brian Pellegrino</t>
        </is>
      </c>
      <c r="I441" t="inlineStr">
        <is>
          <t>CHIEF INVESTMENT OFFICER</t>
        </is>
      </c>
      <c r="J441" t="inlineStr">
        <is>
          <t>CIO</t>
        </is>
      </c>
      <c r="K441" t="inlineStr">
        <is>
          <t>CIO - Top Investment Executive</t>
        </is>
      </c>
      <c r="L441" s="28" t="n">
        <v>603187</v>
      </c>
      <c r="M441" s="28" t="n">
        <v>740000</v>
      </c>
      <c r="N441" s="28" t="n">
        <v>0</v>
      </c>
      <c r="O441" s="28" t="n">
        <v>30500</v>
      </c>
      <c r="P441" s="28" t="n">
        <v>774</v>
      </c>
      <c r="Q441" s="28" t="n">
        <v>1374461</v>
      </c>
      <c r="R441" s="28" t="n">
        <v>0</v>
      </c>
      <c r="S441" s="28">
        <f>Q441-R441</f>
        <v/>
      </c>
      <c r="T441" s="28">
        <f>IF(S441="","",S441*(1+in_GrowthRate)^(YEARFRAC(DATE(2023,6,30),in_AgeToDate)*IF(in_AgeToDate&lt;DATE(2023,6,30),-1,1)+1))</f>
        <v/>
      </c>
      <c r="U441" s="50">
        <f>IF(AND(AND(OR(in_Mode="All Funds",AND(C441&gt;=in_BandFloor,C441&lt;=in_BandCeiling,OR(in_Geography="National",COUNTIFS(lst_GeoPreset,in_Geography,lst_GeoState,B441)&gt;0,AND(in_Geography="Custom",ISNUMBER(SEARCH(B441,SUBSTITUTE(in_CustomStates," ",""))))),OR(AND(D441="Endowment",Inputs!$B$14="Y"),AND(D441="Foundation",Inputs!$B$15="Y"),AND(D441="Healthcare",Inputs!$B$16="Y"),AND(D441="Pension",Inputs!$B$17="Y"),AND(D441="OCIO",Inputs!$B$18="Y"),AND(D441="Other",Inputs!$B$19="Y")))),A441&lt;&gt;in_ClientOrg,NOT(AND(in_ExclHarvard="Y",ISNUMBER(SEARCH("Harvard",A441))))),$AD441="Y",K441&lt;&gt;"",S441&gt;0),"Y","")</f>
        <v/>
      </c>
      <c r="V441" s="30" t="n">
        <v>1</v>
      </c>
      <c r="W441" t="inlineStr"/>
      <c r="X441" s="28">
        <f>IF(L441+M441=0,"",L441+M441)</f>
        <v/>
      </c>
      <c r="Y441" s="38">
        <f>IF(L441=0,"",M441/L441)</f>
        <v/>
      </c>
      <c r="Z441" t="inlineStr">
        <is>
          <t>CIO - Top Investment Executive</t>
        </is>
      </c>
      <c r="AA441" t="inlineStr">
        <is>
          <t>Leadership</t>
        </is>
      </c>
      <c r="AB441" s="50" t="inlineStr">
        <is>
          <t>Y</t>
        </is>
      </c>
      <c r="AC441" s="43">
        <f>HYPERLINK("https://projects.propublica.org/nonprofits/organizations/586043294/202441369349306949/full","view filing")</f>
        <v/>
      </c>
      <c r="AD441" s="50" t="inlineStr"/>
    </row>
    <row r="442">
      <c r="A442" t="inlineStr">
        <is>
          <t>Georgia Tech Foundation Inc</t>
        </is>
      </c>
      <c r="B442" s="50" t="inlineStr">
        <is>
          <t>GA</t>
        </is>
      </c>
      <c r="C442" s="52" t="n">
        <v>3.04</v>
      </c>
      <c r="D442" t="inlineStr">
        <is>
          <t>Foundation</t>
        </is>
      </c>
      <c r="E442" s="50" t="n">
        <v>2023</v>
      </c>
      <c r="F442" s="50" t="inlineStr">
        <is>
          <t>2024-05-15</t>
        </is>
      </c>
      <c r="G442" s="50" t="inlineStr">
        <is>
          <t>2023-06-30</t>
        </is>
      </c>
      <c r="H442" t="inlineStr">
        <is>
          <t>John Crist</t>
        </is>
      </c>
      <c r="I442" t="inlineStr">
        <is>
          <t>MANAGER - RISK AND ASSET ALLOCATION</t>
        </is>
      </c>
      <c r="J442" t="inlineStr">
        <is>
          <t>Investment Manager</t>
        </is>
      </c>
      <c r="K442" t="inlineStr">
        <is>
          <t>Sr Investment Professional</t>
        </is>
      </c>
      <c r="L442" s="28" t="n">
        <v>129067</v>
      </c>
      <c r="M442" s="28" t="n">
        <v>89241</v>
      </c>
      <c r="N442" s="28" t="n">
        <v>0</v>
      </c>
      <c r="O442" s="28" t="n">
        <v>11993</v>
      </c>
      <c r="P442" s="28" t="n">
        <v>29075</v>
      </c>
      <c r="Q442" s="28" t="n">
        <v>259376</v>
      </c>
      <c r="R442" s="28" t="n">
        <v>0</v>
      </c>
      <c r="S442" s="28">
        <f>Q442-R442</f>
        <v/>
      </c>
      <c r="T442" s="28">
        <f>IF(S442="","",S442*(1+in_GrowthRate)^(YEARFRAC(DATE(2023,6,30),in_AgeToDate)*IF(in_AgeToDate&lt;DATE(2023,6,30),-1,1)+1))</f>
        <v/>
      </c>
      <c r="U442" s="50">
        <f>IF(AND(AND(OR(in_Mode="All Funds",AND(C442&gt;=in_BandFloor,C442&lt;=in_BandCeiling,OR(in_Geography="National",COUNTIFS(lst_GeoPreset,in_Geography,lst_GeoState,B442)&gt;0,AND(in_Geography="Custom",ISNUMBER(SEARCH(B442,SUBSTITUTE(in_CustomStates," ",""))))),OR(AND(D442="Endowment",Inputs!$B$14="Y"),AND(D442="Foundation",Inputs!$B$15="Y"),AND(D442="Healthcare",Inputs!$B$16="Y"),AND(D442="Pension",Inputs!$B$17="Y"),AND(D442="OCIO",Inputs!$B$18="Y"),AND(D442="Other",Inputs!$B$19="Y")))),A442&lt;&gt;in_ClientOrg,NOT(AND(in_ExclHarvard="Y",ISNUMBER(SEARCH("Harvard",A442))))),$AD442="Y",K442&lt;&gt;"",S442&gt;0),"Y","")</f>
        <v/>
      </c>
      <c r="V442" s="30" t="n">
        <v>0.1887110656468245</v>
      </c>
      <c r="W442" t="inlineStr"/>
      <c r="X442" s="28">
        <f>IF(L442+M442=0,"",L442+M442)</f>
        <v/>
      </c>
      <c r="Y442" s="38">
        <f>IF(L442=0,"",M442/L442)</f>
        <v/>
      </c>
      <c r="Z442" t="inlineStr">
        <is>
          <t>Director &amp; Investment Officer</t>
        </is>
      </c>
      <c r="AA442" t="inlineStr">
        <is>
          <t>Investments</t>
        </is>
      </c>
      <c r="AB442" s="50" t="inlineStr"/>
      <c r="AC442" s="43">
        <f>HYPERLINK("https://projects.propublica.org/nonprofits/organizations/586043294/202441369349306949/full","view filing")</f>
        <v/>
      </c>
      <c r="AD442" s="50" t="inlineStr"/>
    </row>
    <row r="443">
      <c r="A443" t="inlineStr">
        <is>
          <t>Georgia Tech Foundation Inc</t>
        </is>
      </c>
      <c r="B443" s="50" t="inlineStr">
        <is>
          <t>GA</t>
        </is>
      </c>
      <c r="C443" s="52" t="n">
        <v>3.04</v>
      </c>
      <c r="D443" t="inlineStr">
        <is>
          <t>Foundation</t>
        </is>
      </c>
      <c r="E443" s="50" t="n">
        <v>2023</v>
      </c>
      <c r="F443" s="50" t="inlineStr">
        <is>
          <t>2024-05-15</t>
        </is>
      </c>
      <c r="G443" s="50" t="inlineStr">
        <is>
          <t>2023-06-30</t>
        </is>
      </c>
      <c r="H443" t="inlineStr">
        <is>
          <t>Patrick Liu</t>
        </is>
      </c>
      <c r="I443" t="inlineStr">
        <is>
          <t>MANAGING DIRECTOR - PRIVATE INVESTMENTS</t>
        </is>
      </c>
      <c r="J443" t="inlineStr">
        <is>
          <t>Managing Director</t>
        </is>
      </c>
      <c r="K443" t="inlineStr">
        <is>
          <t>Sr Investment Professional</t>
        </is>
      </c>
      <c r="L443" s="28" t="n">
        <v>243136</v>
      </c>
      <c r="M443" s="28" t="n">
        <v>250698</v>
      </c>
      <c r="N443" s="28" t="n">
        <v>0</v>
      </c>
      <c r="O443" s="28" t="n">
        <v>25155</v>
      </c>
      <c r="P443" s="28" t="n">
        <v>34737</v>
      </c>
      <c r="Q443" s="28" t="n">
        <v>553726</v>
      </c>
      <c r="R443" s="28" t="n">
        <v>0</v>
      </c>
      <c r="S443" s="28">
        <f>Q443-R443</f>
        <v/>
      </c>
      <c r="T443" s="28">
        <f>IF(S443="","",S443*(1+in_GrowthRate)^(YEARFRAC(DATE(2023,6,30),in_AgeToDate)*IF(in_AgeToDate&lt;DATE(2023,6,30),-1,1)+1))</f>
        <v/>
      </c>
      <c r="U443" s="50">
        <f>IF(AND(AND(OR(in_Mode="All Funds",AND(C443&gt;=in_BandFloor,C443&lt;=in_BandCeiling,OR(in_Geography="National",COUNTIFS(lst_GeoPreset,in_Geography,lst_GeoState,B443)&gt;0,AND(in_Geography="Custom",ISNUMBER(SEARCH(B443,SUBSTITUTE(in_CustomStates," ",""))))),OR(AND(D443="Endowment",Inputs!$B$14="Y"),AND(D443="Foundation",Inputs!$B$15="Y"),AND(D443="Healthcare",Inputs!$B$16="Y"),AND(D443="Pension",Inputs!$B$17="Y"),AND(D443="OCIO",Inputs!$B$18="Y"),AND(D443="Other",Inputs!$B$19="Y")))),A443&lt;&gt;in_ClientOrg,NOT(AND(in_ExclHarvard="Y",ISNUMBER(SEARCH("Harvard",A443))))),$AD443="Y",K443&lt;&gt;"",S443&gt;0),"Y","")</f>
        <v/>
      </c>
      <c r="V443" s="30" t="n">
        <v>0.4028677423368142</v>
      </c>
      <c r="W443" t="inlineStr"/>
      <c r="X443" s="28">
        <f>IF(L443+M443=0,"",L443+M443)</f>
        <v/>
      </c>
      <c r="Y443" s="38">
        <f>IF(L443=0,"",M443/L443)</f>
        <v/>
      </c>
      <c r="Z443" t="inlineStr">
        <is>
          <t>Managing Director</t>
        </is>
      </c>
      <c r="AA443" t="inlineStr">
        <is>
          <t>Investments</t>
        </is>
      </c>
      <c r="AB443" s="50" t="inlineStr"/>
      <c r="AC443" s="43">
        <f>HYPERLINK("https://projects.propublica.org/nonprofits/organizations/586043294/202441369349306949/full","view filing")</f>
        <v/>
      </c>
      <c r="AD443" s="50" t="inlineStr"/>
    </row>
    <row r="444">
      <c r="A444" t="inlineStr">
        <is>
          <t>Georgia Tech Foundation Inc</t>
        </is>
      </c>
      <c r="B444" s="50" t="inlineStr">
        <is>
          <t>GA</t>
        </is>
      </c>
      <c r="C444" s="52" t="n">
        <v>3.04</v>
      </c>
      <c r="D444" t="inlineStr">
        <is>
          <t>Foundation</t>
        </is>
      </c>
      <c r="E444" s="50" t="n">
        <v>2023</v>
      </c>
      <c r="F444" s="50" t="inlineStr">
        <is>
          <t>2024-05-15</t>
        </is>
      </c>
      <c r="G444" s="50" t="inlineStr">
        <is>
          <t>2023-06-30</t>
        </is>
      </c>
      <c r="H444" t="inlineStr">
        <is>
          <t>Robert Thompson</t>
        </is>
      </c>
      <c r="I444" t="inlineStr">
        <is>
          <t>PORTFOLIO MANAGER - REAL ESTATE/ENERGY</t>
        </is>
      </c>
      <c r="J444" t="inlineStr">
        <is>
          <t>Portfolio Manager</t>
        </is>
      </c>
      <c r="K444" t="inlineStr">
        <is>
          <t>Sr Investment Professional</t>
        </is>
      </c>
      <c r="L444" s="28" t="n">
        <v>130985</v>
      </c>
      <c r="M444" s="28" t="n">
        <v>90650</v>
      </c>
      <c r="N444" s="28" t="n">
        <v>0</v>
      </c>
      <c r="O444" s="28" t="n">
        <v>13369</v>
      </c>
      <c r="P444" s="28" t="n">
        <v>11001</v>
      </c>
      <c r="Q444" s="28" t="n">
        <v>246005</v>
      </c>
      <c r="R444" s="28" t="n">
        <v>0</v>
      </c>
      <c r="S444" s="28">
        <f>Q444-R444</f>
        <v/>
      </c>
      <c r="T444" s="28">
        <f>IF(S444="","",S444*(1+in_GrowthRate)^(YEARFRAC(DATE(2023,6,30),in_AgeToDate)*IF(in_AgeToDate&lt;DATE(2023,6,30),-1,1)+1))</f>
        <v/>
      </c>
      <c r="U444" s="50">
        <f>IF(AND(AND(OR(in_Mode="All Funds",AND(C444&gt;=in_BandFloor,C444&lt;=in_BandCeiling,OR(in_Geography="National",COUNTIFS(lst_GeoPreset,in_Geography,lst_GeoState,B444)&gt;0,AND(in_Geography="Custom",ISNUMBER(SEARCH(B444,SUBSTITUTE(in_CustomStates," ",""))))),OR(AND(D444="Endowment",Inputs!$B$14="Y"),AND(D444="Foundation",Inputs!$B$15="Y"),AND(D444="Healthcare",Inputs!$B$16="Y"),AND(D444="Pension",Inputs!$B$17="Y"),AND(D444="OCIO",Inputs!$B$18="Y"),AND(D444="Other",Inputs!$B$19="Y")))),A444&lt;&gt;in_ClientOrg,NOT(AND(in_ExclHarvard="Y",ISNUMBER(SEARCH("Harvard",A444))))),$AD444="Y",K444&lt;&gt;"",S444&gt;0),"Y","")</f>
        <v/>
      </c>
      <c r="V444" s="30" t="n">
        <v>0.1789828885650448</v>
      </c>
      <c r="W444" t="inlineStr"/>
      <c r="X444" s="28">
        <f>IF(L444+M444=0,"",L444+M444)</f>
        <v/>
      </c>
      <c r="Y444" s="38">
        <f>IF(L444=0,"",M444/L444)</f>
        <v/>
      </c>
      <c r="Z444" t="inlineStr">
        <is>
          <t>Other investment staff</t>
        </is>
      </c>
      <c r="AA444" t="inlineStr">
        <is>
          <t>Investments</t>
        </is>
      </c>
      <c r="AB444" s="50" t="inlineStr"/>
      <c r="AC444" s="43">
        <f>HYPERLINK("https://projects.propublica.org/nonprofits/organizations/586043294/202441369349306949/full","view filing")</f>
        <v/>
      </c>
      <c r="AD444" s="50" t="inlineStr"/>
    </row>
    <row r="445">
      <c r="A445" t="inlineStr">
        <is>
          <t>Georgia Tech Foundation Inc</t>
        </is>
      </c>
      <c r="B445" s="50" t="inlineStr">
        <is>
          <t>GA</t>
        </is>
      </c>
      <c r="C445" s="52" t="n">
        <v>3.04</v>
      </c>
      <c r="D445" t="inlineStr">
        <is>
          <t>Foundation</t>
        </is>
      </c>
      <c r="E445" s="50" t="n">
        <v>2022</v>
      </c>
      <c r="F445" s="50" t="inlineStr">
        <is>
          <t>2023-05-12</t>
        </is>
      </c>
      <c r="G445" s="50" t="inlineStr">
        <is>
          <t>2022-06-30</t>
        </is>
      </c>
      <c r="H445" t="inlineStr">
        <is>
          <t>Brian Pellegrino</t>
        </is>
      </c>
      <c r="I445" t="inlineStr">
        <is>
          <t>CHIEF INVESTMENT OFFICER</t>
        </is>
      </c>
      <c r="J445" t="inlineStr">
        <is>
          <t>CIO</t>
        </is>
      </c>
      <c r="K445" t="inlineStr">
        <is>
          <t>CIO - Top Investment Executive</t>
        </is>
      </c>
      <c r="L445" s="28" t="n">
        <v>549664</v>
      </c>
      <c r="M445" s="28" t="n">
        <v>865000</v>
      </c>
      <c r="N445" s="28" t="n">
        <v>0</v>
      </c>
      <c r="O445" s="28" t="n">
        <v>29000</v>
      </c>
      <c r="P445" s="28" t="n">
        <v>836</v>
      </c>
      <c r="Q445" s="28" t="n">
        <v>1444500</v>
      </c>
      <c r="R445" s="28" t="n">
        <v>0</v>
      </c>
      <c r="S445" s="28">
        <f>Q445-R445</f>
        <v/>
      </c>
      <c r="T445" s="28">
        <f>IF(S445="","",S445*(1+in_GrowthRate)^(YEARFRAC(DATE(2022,6,30),in_AgeToDate)*IF(in_AgeToDate&lt;DATE(2022,6,30),-1,1)+1))</f>
        <v/>
      </c>
      <c r="U445" s="50">
        <f>IF(AND(AND(OR(in_Mode="All Funds",AND(C445&gt;=in_BandFloor,C445&lt;=in_BandCeiling,OR(in_Geography="National",COUNTIFS(lst_GeoPreset,in_Geography,lst_GeoState,B445)&gt;0,AND(in_Geography="Custom",ISNUMBER(SEARCH(B445,SUBSTITUTE(in_CustomStates," ",""))))),OR(AND(D445="Endowment",Inputs!$B$14="Y"),AND(D445="Foundation",Inputs!$B$15="Y"),AND(D445="Healthcare",Inputs!$B$16="Y"),AND(D445="Pension",Inputs!$B$17="Y"),AND(D445="OCIO",Inputs!$B$18="Y"),AND(D445="Other",Inputs!$B$19="Y")))),A445&lt;&gt;in_ClientOrg,NOT(AND(in_ExclHarvard="Y",ISNUMBER(SEARCH("Harvard",A445))))),$AD445="Y",K445&lt;&gt;"",S445&gt;0),"Y","")</f>
        <v/>
      </c>
      <c r="V445" s="30" t="n">
        <v>1</v>
      </c>
      <c r="W445" t="inlineStr"/>
      <c r="X445" s="28">
        <f>IF(L445+M445=0,"",L445+M445)</f>
        <v/>
      </c>
      <c r="Y445" s="38">
        <f>IF(L445=0,"",M445/L445)</f>
        <v/>
      </c>
      <c r="Z445" t="inlineStr">
        <is>
          <t>CIO - Top Investment Executive</t>
        </is>
      </c>
      <c r="AA445" t="inlineStr">
        <is>
          <t>Leadership</t>
        </is>
      </c>
      <c r="AB445" s="50" t="inlineStr">
        <is>
          <t>Y</t>
        </is>
      </c>
      <c r="AC445" s="43">
        <f>HYPERLINK("https://projects.propublica.org/nonprofits/organizations/586043294/202301329349309280/full","view filing")</f>
        <v/>
      </c>
      <c r="AD445" s="50" t="inlineStr"/>
    </row>
    <row r="446">
      <c r="A446" t="inlineStr">
        <is>
          <t>Georgia Tech Foundation Inc</t>
        </is>
      </c>
      <c r="B446" s="50" t="inlineStr">
        <is>
          <t>GA</t>
        </is>
      </c>
      <c r="C446" s="52" t="n">
        <v>3.04</v>
      </c>
      <c r="D446" t="inlineStr">
        <is>
          <t>Foundation</t>
        </is>
      </c>
      <c r="E446" s="50" t="n">
        <v>2022</v>
      </c>
      <c r="F446" s="50" t="inlineStr">
        <is>
          <t>2023-05-12</t>
        </is>
      </c>
      <c r="G446" s="50" t="inlineStr">
        <is>
          <t>2022-06-30</t>
        </is>
      </c>
      <c r="H446" t="inlineStr">
        <is>
          <t>Lu Yan</t>
        </is>
      </c>
      <c r="I446" t="inlineStr">
        <is>
          <t>MANAGING DIRECTOR - INVESTMENTS</t>
        </is>
      </c>
      <c r="J446" t="inlineStr">
        <is>
          <t>Managing Director</t>
        </is>
      </c>
      <c r="K446" t="inlineStr">
        <is>
          <t>Sr Investment Professional</t>
        </is>
      </c>
      <c r="L446" s="28" t="n">
        <v>274636</v>
      </c>
      <c r="M446" s="28" t="n">
        <v>243705</v>
      </c>
      <c r="N446" s="28" t="n">
        <v>0</v>
      </c>
      <c r="O446" s="28" t="n">
        <v>28000</v>
      </c>
      <c r="P446" s="28" t="n">
        <v>13661</v>
      </c>
      <c r="Q446" s="28" t="n">
        <v>560002</v>
      </c>
      <c r="R446" s="28" t="n">
        <v>0</v>
      </c>
      <c r="S446" s="28">
        <f>Q446-R446</f>
        <v/>
      </c>
      <c r="T446" s="28">
        <f>IF(S446="","",S446*(1+in_GrowthRate)^(YEARFRAC(DATE(2022,6,30),in_AgeToDate)*IF(in_AgeToDate&lt;DATE(2022,6,30),-1,1)+1))</f>
        <v/>
      </c>
      <c r="U446" s="50">
        <f>IF(AND(AND(OR(in_Mode="All Funds",AND(C446&gt;=in_BandFloor,C446&lt;=in_BandCeiling,OR(in_Geography="National",COUNTIFS(lst_GeoPreset,in_Geography,lst_GeoState,B446)&gt;0,AND(in_Geography="Custom",ISNUMBER(SEARCH(B446,SUBSTITUTE(in_CustomStates," ",""))))),OR(AND(D446="Endowment",Inputs!$B$14="Y"),AND(D446="Foundation",Inputs!$B$15="Y"),AND(D446="Healthcare",Inputs!$B$16="Y"),AND(D446="Pension",Inputs!$B$17="Y"),AND(D446="OCIO",Inputs!$B$18="Y"),AND(D446="Other",Inputs!$B$19="Y")))),A446&lt;&gt;in_ClientOrg,NOT(AND(in_ExclHarvard="Y",ISNUMBER(SEARCH("Harvard",A446))))),$AD446="Y",K446&lt;&gt;"",S446&gt;0),"Y","")</f>
        <v/>
      </c>
      <c r="V446" s="30" t="n">
        <v>0.3876787815853237</v>
      </c>
      <c r="W446" t="inlineStr"/>
      <c r="X446" s="28">
        <f>IF(L446+M446=0,"",L446+M446)</f>
        <v/>
      </c>
      <c r="Y446" s="38">
        <f>IF(L446=0,"",M446/L446)</f>
        <v/>
      </c>
      <c r="Z446" t="inlineStr">
        <is>
          <t>Managing Director</t>
        </is>
      </c>
      <c r="AA446" t="inlineStr">
        <is>
          <t>Investments</t>
        </is>
      </c>
      <c r="AB446" s="50" t="inlineStr"/>
      <c r="AC446" s="43">
        <f>HYPERLINK("https://projects.propublica.org/nonprofits/organizations/586043294/202301329349309280/full","view filing")</f>
        <v/>
      </c>
      <c r="AD446" s="50" t="inlineStr"/>
    </row>
    <row r="447">
      <c r="A447" t="inlineStr">
        <is>
          <t>Georgia Tech Foundation Inc</t>
        </is>
      </c>
      <c r="B447" s="50" t="inlineStr">
        <is>
          <t>GA</t>
        </is>
      </c>
      <c r="C447" s="52" t="n">
        <v>3.04</v>
      </c>
      <c r="D447" t="inlineStr">
        <is>
          <t>Foundation</t>
        </is>
      </c>
      <c r="E447" s="50" t="n">
        <v>2022</v>
      </c>
      <c r="F447" s="50" t="inlineStr">
        <is>
          <t>2023-05-12</t>
        </is>
      </c>
      <c r="G447" s="50" t="inlineStr">
        <is>
          <t>2022-06-30</t>
        </is>
      </c>
      <c r="H447" t="inlineStr">
        <is>
          <t>Patrick Liu</t>
        </is>
      </c>
      <c r="I447" t="inlineStr">
        <is>
          <t>DIRECTOR - PRIVATE INVESTMENTS</t>
        </is>
      </c>
      <c r="J447" t="inlineStr">
        <is>
          <t>Investment Manager</t>
        </is>
      </c>
      <c r="K447" t="inlineStr">
        <is>
          <t>Sr Investment Professional</t>
        </is>
      </c>
      <c r="L447" s="28" t="n">
        <v>218002</v>
      </c>
      <c r="M447" s="28" t="n">
        <v>200267</v>
      </c>
      <c r="N447" s="28" t="n">
        <v>0</v>
      </c>
      <c r="O447" s="28" t="n">
        <v>22534</v>
      </c>
      <c r="P447" s="28" t="n">
        <v>33662</v>
      </c>
      <c r="Q447" s="28" t="n">
        <v>474465</v>
      </c>
      <c r="R447" s="28" t="n">
        <v>0</v>
      </c>
      <c r="S447" s="28">
        <f>Q447-R447</f>
        <v/>
      </c>
      <c r="T447" s="28">
        <f>IF(S447="","",S447*(1+in_GrowthRate)^(YEARFRAC(DATE(2022,6,30),in_AgeToDate)*IF(in_AgeToDate&lt;DATE(2022,6,30),-1,1)+1))</f>
        <v/>
      </c>
      <c r="U447" s="50">
        <f>IF(AND(AND(OR(in_Mode="All Funds",AND(C447&gt;=in_BandFloor,C447&lt;=in_BandCeiling,OR(in_Geography="National",COUNTIFS(lst_GeoPreset,in_Geography,lst_GeoState,B447)&gt;0,AND(in_Geography="Custom",ISNUMBER(SEARCH(B447,SUBSTITUTE(in_CustomStates," ",""))))),OR(AND(D447="Endowment",Inputs!$B$14="Y"),AND(D447="Foundation",Inputs!$B$15="Y"),AND(D447="Healthcare",Inputs!$B$16="Y"),AND(D447="Pension",Inputs!$B$17="Y"),AND(D447="OCIO",Inputs!$B$18="Y"),AND(D447="Other",Inputs!$B$19="Y")))),A447&lt;&gt;in_ClientOrg,NOT(AND(in_ExclHarvard="Y",ISNUMBER(SEARCH("Harvard",A447))))),$AD447="Y",K447&lt;&gt;"",S447&gt;0),"Y","")</f>
        <v/>
      </c>
      <c r="V447" s="30" t="n">
        <v>0.3284631360332295</v>
      </c>
      <c r="W447" t="inlineStr"/>
      <c r="X447" s="28">
        <f>IF(L447+M447=0,"",L447+M447)</f>
        <v/>
      </c>
      <c r="Y447" s="38">
        <f>IF(L447=0,"",M447/L447)</f>
        <v/>
      </c>
      <c r="Z447" t="inlineStr">
        <is>
          <t>Director &amp; Investment Officer</t>
        </is>
      </c>
      <c r="AA447" t="inlineStr">
        <is>
          <t>Investments</t>
        </is>
      </c>
      <c r="AB447" s="50" t="inlineStr"/>
      <c r="AC447" s="43">
        <f>HYPERLINK("https://projects.propublica.org/nonprofits/organizations/586043294/202301329349309280/full","view filing")</f>
        <v/>
      </c>
      <c r="AD447" s="50" t="inlineStr"/>
    </row>
    <row r="448">
      <c r="A448" t="inlineStr">
        <is>
          <t>Georgia Tech Foundation Inc</t>
        </is>
      </c>
      <c r="B448" s="50" t="inlineStr">
        <is>
          <t>GA</t>
        </is>
      </c>
      <c r="C448" s="52" t="n">
        <v>3.04</v>
      </c>
      <c r="D448" t="inlineStr">
        <is>
          <t>Foundation</t>
        </is>
      </c>
      <c r="E448" s="50" t="n">
        <v>2022</v>
      </c>
      <c r="F448" s="50" t="inlineStr">
        <is>
          <t>2023-05-12</t>
        </is>
      </c>
      <c r="G448" s="50" t="inlineStr">
        <is>
          <t>2022-06-30</t>
        </is>
      </c>
      <c r="H448" t="inlineStr">
        <is>
          <t>Robert Thompson</t>
        </is>
      </c>
      <c r="I448" t="inlineStr">
        <is>
          <t>INVESTMENT OFFICER</t>
        </is>
      </c>
      <c r="J448" t="inlineStr">
        <is>
          <t>Investment Officer</t>
        </is>
      </c>
      <c r="K448" t="inlineStr">
        <is>
          <t>Sr Investment Professional</t>
        </is>
      </c>
      <c r="L448" s="28" t="n">
        <v>120299</v>
      </c>
      <c r="M448" s="28" t="n">
        <v>81441</v>
      </c>
      <c r="N448" s="28" t="n">
        <v>0</v>
      </c>
      <c r="O448" s="28" t="n">
        <v>12323</v>
      </c>
      <c r="P448" s="28" t="n">
        <v>11224</v>
      </c>
      <c r="Q448" s="28" t="n">
        <v>225287</v>
      </c>
      <c r="R448" s="28" t="n">
        <v>0</v>
      </c>
      <c r="S448" s="28">
        <f>Q448-R448</f>
        <v/>
      </c>
      <c r="T448" s="28">
        <f>IF(S448="","",S448*(1+in_GrowthRate)^(YEARFRAC(DATE(2022,6,30),in_AgeToDate)*IF(in_AgeToDate&lt;DATE(2022,6,30),-1,1)+1))</f>
        <v/>
      </c>
      <c r="U448" s="50">
        <f>IF(AND(AND(OR(in_Mode="All Funds",AND(C448&gt;=in_BandFloor,C448&lt;=in_BandCeiling,OR(in_Geography="National",COUNTIFS(lst_GeoPreset,in_Geography,lst_GeoState,B448)&gt;0,AND(in_Geography="Custom",ISNUMBER(SEARCH(B448,SUBSTITUTE(in_CustomStates," ",""))))),OR(AND(D448="Endowment",Inputs!$B$14="Y"),AND(D448="Foundation",Inputs!$B$15="Y"),AND(D448="Healthcare",Inputs!$B$16="Y"),AND(D448="Pension",Inputs!$B$17="Y"),AND(D448="OCIO",Inputs!$B$18="Y"),AND(D448="Other",Inputs!$B$19="Y")))),A448&lt;&gt;in_ClientOrg,NOT(AND(in_ExclHarvard="Y",ISNUMBER(SEARCH("Harvard",A448))))),$AD448="Y",K448&lt;&gt;"",S448&gt;0),"Y","")</f>
        <v/>
      </c>
      <c r="V448" s="30" t="n">
        <v>0.1559619245413638</v>
      </c>
      <c r="W448" t="inlineStr"/>
      <c r="X448" s="28">
        <f>IF(L448+M448=0,"",L448+M448)</f>
        <v/>
      </c>
      <c r="Y448" s="38">
        <f>IF(L448=0,"",M448/L448)</f>
        <v/>
      </c>
      <c r="Z448" t="inlineStr">
        <is>
          <t>Director &amp; Investment Officer</t>
        </is>
      </c>
      <c r="AA448" t="inlineStr">
        <is>
          <t>Investments</t>
        </is>
      </c>
      <c r="AB448" s="50" t="inlineStr"/>
      <c r="AC448" s="43">
        <f>HYPERLINK("https://projects.propublica.org/nonprofits/organizations/586043294/202301329349309280/full","view filing")</f>
        <v/>
      </c>
      <c r="AD448" s="50" t="inlineStr"/>
    </row>
    <row r="449">
      <c r="A449" t="inlineStr">
        <is>
          <t>Ghr Foundation</t>
        </is>
      </c>
      <c r="B449" s="50" t="inlineStr">
        <is>
          <t>MN</t>
        </is>
      </c>
      <c r="C449" s="52" t="n">
        <v>0.91</v>
      </c>
      <c r="D449" t="inlineStr">
        <is>
          <t>Foundation</t>
        </is>
      </c>
      <c r="E449" s="50" t="n">
        <v>2024</v>
      </c>
      <c r="F449" s="50" t="inlineStr">
        <is>
          <t>2025-11-14</t>
        </is>
      </c>
      <c r="G449" s="50" t="inlineStr">
        <is>
          <t>2024-12-31</t>
        </is>
      </c>
      <c r="H449" t="inlineStr">
        <is>
          <t>Jason Matz</t>
        </is>
      </c>
      <c r="I449" t="inlineStr">
        <is>
          <t>Chief Investment Off</t>
        </is>
      </c>
      <c r="J449" t="inlineStr">
        <is>
          <t>CIO</t>
        </is>
      </c>
      <c r="K449" t="inlineStr">
        <is>
          <t>CIO - Top Investment Executive</t>
        </is>
      </c>
      <c r="L449" s="28" t="n">
        <v>0</v>
      </c>
      <c r="M449" s="28" t="n">
        <v>0</v>
      </c>
      <c r="N449" s="28" t="n">
        <v>0</v>
      </c>
      <c r="O449" s="28" t="n">
        <v>0</v>
      </c>
      <c r="P449" s="28" t="n">
        <v>0</v>
      </c>
      <c r="Q449" s="28" t="n">
        <v>1207091</v>
      </c>
      <c r="R449" s="28" t="n">
        <v>0</v>
      </c>
      <c r="S449" s="28">
        <f>Q449-R449</f>
        <v/>
      </c>
      <c r="T449" s="28">
        <f>IF(S449="","",S449*(1+in_GrowthRate)^(YEARFRAC(DATE(2024,12,31),in_AgeToDate)*IF(in_AgeToDate&lt;DATE(2024,12,31),-1,1)+1))</f>
        <v/>
      </c>
      <c r="U449" s="50">
        <f>IF(AND(AND(OR(in_Mode="All Funds",AND(C449&gt;=in_BandFloor,C449&lt;=in_BandCeiling,OR(in_Geography="National",COUNTIFS(lst_GeoPreset,in_Geography,lst_GeoState,B449)&gt;0,AND(in_Geography="Custom",ISNUMBER(SEARCH(B449,SUBSTITUTE(in_CustomStates," ",""))))),OR(AND(D449="Endowment",Inputs!$B$14="Y"),AND(D449="Foundation",Inputs!$B$15="Y"),AND(D449="Healthcare",Inputs!$B$16="Y"),AND(D449="Pension",Inputs!$B$17="Y"),AND(D449="OCIO",Inputs!$B$18="Y"),AND(D449="Other",Inputs!$B$19="Y")))),A449&lt;&gt;in_ClientOrg,NOT(AND(in_ExclHarvard="Y",ISNUMBER(SEARCH("Harvard",A449))))),$AD449="Y",K449&lt;&gt;"",S449&gt;0),"Y","")</f>
        <v/>
      </c>
      <c r="V449" s="30" t="n">
        <v>1</v>
      </c>
      <c r="W449" t="inlineStr"/>
      <c r="X449" s="28">
        <f>IF(L449+M449=0,"",L449+M449)</f>
        <v/>
      </c>
      <c r="Y449" s="38">
        <f>IF(L449=0,"",M449/L449)</f>
        <v/>
      </c>
      <c r="Z449" t="inlineStr">
        <is>
          <t>CIO - Top Investment Executive</t>
        </is>
      </c>
      <c r="AA449" t="inlineStr">
        <is>
          <t>Leadership</t>
        </is>
      </c>
      <c r="AB449" s="50" t="inlineStr">
        <is>
          <t>Y</t>
        </is>
      </c>
      <c r="AC449" s="43">
        <f>HYPERLINK("https://projects.propublica.org/nonprofits/organizations/453996122/202533189349102353/full","view filing")</f>
        <v/>
      </c>
      <c r="AD449" s="50" t="inlineStr">
        <is>
          <t>Y</t>
        </is>
      </c>
    </row>
    <row r="450">
      <c r="A450" t="inlineStr">
        <is>
          <t>Ghr Foundation</t>
        </is>
      </c>
      <c r="B450" s="50" t="inlineStr">
        <is>
          <t>MN</t>
        </is>
      </c>
      <c r="C450" s="52" t="n">
        <v>0.91</v>
      </c>
      <c r="D450" t="inlineStr">
        <is>
          <t>Foundation</t>
        </is>
      </c>
      <c r="E450" s="50" t="n">
        <v>2023</v>
      </c>
      <c r="F450" s="50" t="inlineStr">
        <is>
          <t>2024-11-14</t>
        </is>
      </c>
      <c r="G450" s="50" t="inlineStr">
        <is>
          <t>2023-12-31</t>
        </is>
      </c>
      <c r="H450" t="inlineStr">
        <is>
          <t>Jason Matz</t>
        </is>
      </c>
      <c r="I450" t="inlineStr">
        <is>
          <t>Chief Investment Off</t>
        </is>
      </c>
      <c r="J450" t="inlineStr">
        <is>
          <t>CIO</t>
        </is>
      </c>
      <c r="K450" t="inlineStr">
        <is>
          <t>CIO - Top Investment Executive</t>
        </is>
      </c>
      <c r="L450" s="28" t="n">
        <v>0</v>
      </c>
      <c r="M450" s="28" t="n">
        <v>0</v>
      </c>
      <c r="N450" s="28" t="n">
        <v>0</v>
      </c>
      <c r="O450" s="28" t="n">
        <v>0</v>
      </c>
      <c r="P450" s="28" t="n">
        <v>0</v>
      </c>
      <c r="Q450" s="28" t="n">
        <v>925082</v>
      </c>
      <c r="R450" s="28" t="n">
        <v>0</v>
      </c>
      <c r="S450" s="28">
        <f>Q450-R450</f>
        <v/>
      </c>
      <c r="T450" s="28">
        <f>IF(S450="","",S450*(1+in_GrowthRate)^(YEARFRAC(DATE(2023,12,31),in_AgeToDate)*IF(in_AgeToDate&lt;DATE(2023,12,31),-1,1)+1))</f>
        <v/>
      </c>
      <c r="U450" s="50">
        <f>IF(AND(AND(OR(in_Mode="All Funds",AND(C450&gt;=in_BandFloor,C450&lt;=in_BandCeiling,OR(in_Geography="National",COUNTIFS(lst_GeoPreset,in_Geography,lst_GeoState,B450)&gt;0,AND(in_Geography="Custom",ISNUMBER(SEARCH(B450,SUBSTITUTE(in_CustomStates," ",""))))),OR(AND(D450="Endowment",Inputs!$B$14="Y"),AND(D450="Foundation",Inputs!$B$15="Y"),AND(D450="Healthcare",Inputs!$B$16="Y"),AND(D450="Pension",Inputs!$B$17="Y"),AND(D450="OCIO",Inputs!$B$18="Y"),AND(D450="Other",Inputs!$B$19="Y")))),A450&lt;&gt;in_ClientOrg,NOT(AND(in_ExclHarvard="Y",ISNUMBER(SEARCH("Harvard",A450))))),$AD450="Y",K450&lt;&gt;"",S450&gt;0),"Y","")</f>
        <v/>
      </c>
      <c r="V450" s="30" t="n">
        <v>1</v>
      </c>
      <c r="W450" t="inlineStr"/>
      <c r="X450" s="28">
        <f>IF(L450+M450=0,"",L450+M450)</f>
        <v/>
      </c>
      <c r="Y450" s="38">
        <f>IF(L450=0,"",M450/L450)</f>
        <v/>
      </c>
      <c r="Z450" t="inlineStr">
        <is>
          <t>CIO - Top Investment Executive</t>
        </is>
      </c>
      <c r="AA450" t="inlineStr">
        <is>
          <t>Leadership</t>
        </is>
      </c>
      <c r="AB450" s="50" t="inlineStr">
        <is>
          <t>Y</t>
        </is>
      </c>
      <c r="AC450" s="43">
        <f>HYPERLINK("https://projects.propublica.org/nonprofits/organizations/453996122/202433199349103873/full","view filing")</f>
        <v/>
      </c>
      <c r="AD450" s="50" t="inlineStr"/>
    </row>
    <row r="451">
      <c r="A451" t="inlineStr">
        <is>
          <t>Ghr Foundation</t>
        </is>
      </c>
      <c r="B451" s="50" t="inlineStr">
        <is>
          <t>MN</t>
        </is>
      </c>
      <c r="C451" s="52" t="n">
        <v>0.91</v>
      </c>
      <c r="D451" t="inlineStr">
        <is>
          <t>Foundation</t>
        </is>
      </c>
      <c r="E451" s="50" t="n">
        <v>2022</v>
      </c>
      <c r="F451" s="50" t="inlineStr">
        <is>
          <t>2023-11-14</t>
        </is>
      </c>
      <c r="G451" s="50" t="inlineStr">
        <is>
          <t>2022-12-31</t>
        </is>
      </c>
      <c r="H451" t="inlineStr">
        <is>
          <t>Bryan Bencomo</t>
        </is>
      </c>
      <c r="I451" t="inlineStr">
        <is>
          <t>DIRECTOR, INVESTMENT</t>
        </is>
      </c>
      <c r="J451" t="inlineStr">
        <is>
          <t>Director of Investments</t>
        </is>
      </c>
      <c r="K451" t="inlineStr">
        <is>
          <t>Sr Investment Professional</t>
        </is>
      </c>
      <c r="L451" s="28" t="n">
        <v>0</v>
      </c>
      <c r="M451" s="28" t="n">
        <v>0</v>
      </c>
      <c r="N451" s="28" t="n">
        <v>0</v>
      </c>
      <c r="O451" s="28" t="n">
        <v>0</v>
      </c>
      <c r="P451" s="28" t="n">
        <v>0</v>
      </c>
      <c r="Q451" s="28" t="n">
        <v>400428</v>
      </c>
      <c r="R451" s="28" t="n">
        <v>0</v>
      </c>
      <c r="S451" s="28">
        <f>Q451-R451</f>
        <v/>
      </c>
      <c r="T451" s="28">
        <f>IF(S451="","",S451*(1+in_GrowthRate)^(YEARFRAC(DATE(2022,12,31),in_AgeToDate)*IF(in_AgeToDate&lt;DATE(2022,12,31),-1,1)+1))</f>
        <v/>
      </c>
      <c r="U451" s="50">
        <f>IF(AND(AND(OR(in_Mode="All Funds",AND(C451&gt;=in_BandFloor,C451&lt;=in_BandCeiling,OR(in_Geography="National",COUNTIFS(lst_GeoPreset,in_Geography,lst_GeoState,B451)&gt;0,AND(in_Geography="Custom",ISNUMBER(SEARCH(B451,SUBSTITUTE(in_CustomStates," ",""))))),OR(AND(D451="Endowment",Inputs!$B$14="Y"),AND(D451="Foundation",Inputs!$B$15="Y"),AND(D451="Healthcare",Inputs!$B$16="Y"),AND(D451="Pension",Inputs!$B$17="Y"),AND(D451="OCIO",Inputs!$B$18="Y"),AND(D451="Other",Inputs!$B$19="Y")))),A451&lt;&gt;in_ClientOrg,NOT(AND(in_ExclHarvard="Y",ISNUMBER(SEARCH("Harvard",A451))))),$AD451="Y",K451&lt;&gt;"",S451&gt;0),"Y","")</f>
        <v/>
      </c>
      <c r="V451" s="30" t="n">
        <v>0.6423075257330119</v>
      </c>
      <c r="W451" t="inlineStr"/>
      <c r="X451" s="28">
        <f>IF(L451+M451=0,"",L451+M451)</f>
        <v/>
      </c>
      <c r="Y451" s="38">
        <f>IF(L451=0,"",M451/L451)</f>
        <v/>
      </c>
      <c r="Z451" t="inlineStr">
        <is>
          <t>Director &amp; Investment Officer</t>
        </is>
      </c>
      <c r="AA451" t="inlineStr">
        <is>
          <t>Investments</t>
        </is>
      </c>
      <c r="AB451" s="50" t="inlineStr"/>
      <c r="AC451" s="43">
        <f>HYPERLINK("https://projects.propublica.org/nonprofits/organizations/453996122/202313189349106196/full","view filing")</f>
        <v/>
      </c>
      <c r="AD451" s="50" t="inlineStr"/>
    </row>
    <row r="452">
      <c r="A452" t="inlineStr">
        <is>
          <t>Ghr Foundation</t>
        </is>
      </c>
      <c r="B452" s="50" t="inlineStr">
        <is>
          <t>MN</t>
        </is>
      </c>
      <c r="C452" s="52" t="n">
        <v>0.91</v>
      </c>
      <c r="D452" t="inlineStr">
        <is>
          <t>Foundation</t>
        </is>
      </c>
      <c r="E452" s="50" t="n">
        <v>2022</v>
      </c>
      <c r="F452" s="50" t="inlineStr">
        <is>
          <t>2023-11-14</t>
        </is>
      </c>
      <c r="G452" s="50" t="inlineStr">
        <is>
          <t>2022-12-31</t>
        </is>
      </c>
      <c r="H452" t="inlineStr">
        <is>
          <t>Jason Matz</t>
        </is>
      </c>
      <c r="I452" t="inlineStr">
        <is>
          <t>CHIEF INVESTMENT OFF</t>
        </is>
      </c>
      <c r="J452" t="inlineStr">
        <is>
          <t>CIO</t>
        </is>
      </c>
      <c r="K452" t="inlineStr">
        <is>
          <t>CIO - Top Investment Executive</t>
        </is>
      </c>
      <c r="L452" s="28" t="n">
        <v>0</v>
      </c>
      <c r="M452" s="28" t="n">
        <v>0</v>
      </c>
      <c r="N452" s="28" t="n">
        <v>0</v>
      </c>
      <c r="O452" s="28" t="n">
        <v>0</v>
      </c>
      <c r="P452" s="28" t="n">
        <v>0</v>
      </c>
      <c r="Q452" s="28" t="n">
        <v>623421</v>
      </c>
      <c r="R452" s="28" t="n">
        <v>0</v>
      </c>
      <c r="S452" s="28">
        <f>Q452-R452</f>
        <v/>
      </c>
      <c r="T452" s="28">
        <f>IF(S452="","",S452*(1+in_GrowthRate)^(YEARFRAC(DATE(2022,12,31),in_AgeToDate)*IF(in_AgeToDate&lt;DATE(2022,12,31),-1,1)+1))</f>
        <v/>
      </c>
      <c r="U452" s="50">
        <f>IF(AND(AND(OR(in_Mode="All Funds",AND(C452&gt;=in_BandFloor,C452&lt;=in_BandCeiling,OR(in_Geography="National",COUNTIFS(lst_GeoPreset,in_Geography,lst_GeoState,B452)&gt;0,AND(in_Geography="Custom",ISNUMBER(SEARCH(B452,SUBSTITUTE(in_CustomStates," ",""))))),OR(AND(D452="Endowment",Inputs!$B$14="Y"),AND(D452="Foundation",Inputs!$B$15="Y"),AND(D452="Healthcare",Inputs!$B$16="Y"),AND(D452="Pension",Inputs!$B$17="Y"),AND(D452="OCIO",Inputs!$B$18="Y"),AND(D452="Other",Inputs!$B$19="Y")))),A452&lt;&gt;in_ClientOrg,NOT(AND(in_ExclHarvard="Y",ISNUMBER(SEARCH("Harvard",A452))))),$AD452="Y",K452&lt;&gt;"",S452&gt;0),"Y","")</f>
        <v/>
      </c>
      <c r="V452" s="30" t="n">
        <v>1</v>
      </c>
      <c r="W452" t="inlineStr"/>
      <c r="X452" s="28">
        <f>IF(L452+M452=0,"",L452+M452)</f>
        <v/>
      </c>
      <c r="Y452" s="38">
        <f>IF(L452=0,"",M452/L452)</f>
        <v/>
      </c>
      <c r="Z452" t="inlineStr">
        <is>
          <t>CIO - Top Investment Executive</t>
        </is>
      </c>
      <c r="AA452" t="inlineStr">
        <is>
          <t>Leadership</t>
        </is>
      </c>
      <c r="AB452" s="50" t="inlineStr">
        <is>
          <t>Y</t>
        </is>
      </c>
      <c r="AC452" s="43">
        <f>HYPERLINK("https://projects.propublica.org/nonprofits/organizations/453996122/202313189349106196/full","view filing")</f>
        <v/>
      </c>
      <c r="AD452" s="50" t="inlineStr"/>
    </row>
    <row r="453">
      <c r="A453" t="inlineStr">
        <is>
          <t>Gordon E And Betty I Moore Foundation</t>
        </is>
      </c>
      <c r="B453" s="50" t="inlineStr">
        <is>
          <t>CA</t>
        </is>
      </c>
      <c r="C453" s="52" t="n">
        <v>11.35</v>
      </c>
      <c r="D453" t="inlineStr">
        <is>
          <t>Foundation</t>
        </is>
      </c>
      <c r="E453" s="50" t="n">
        <v>2024</v>
      </c>
      <c r="F453" s="50" t="inlineStr">
        <is>
          <t>2025-11-14</t>
        </is>
      </c>
      <c r="G453" s="50" t="inlineStr">
        <is>
          <t>2024-12-31</t>
        </is>
      </c>
      <c r="H453" t="inlineStr">
        <is>
          <t>Ciera Ashley</t>
        </is>
      </c>
      <c r="I453" t="inlineStr">
        <is>
          <t>INVESTMENT DIRECTOR</t>
        </is>
      </c>
      <c r="J453" t="inlineStr">
        <is>
          <t>Director of Investments</t>
        </is>
      </c>
      <c r="K453" t="inlineStr">
        <is>
          <t>Sr Investment Professional</t>
        </is>
      </c>
      <c r="L453" s="28" t="n">
        <v>0</v>
      </c>
      <c r="M453" s="28" t="n">
        <v>0</v>
      </c>
      <c r="N453" s="28" t="n">
        <v>0</v>
      </c>
      <c r="O453" s="28" t="n">
        <v>0</v>
      </c>
      <c r="P453" s="28" t="n">
        <v>0</v>
      </c>
      <c r="Q453" s="28" t="n">
        <v>721200</v>
      </c>
      <c r="R453" s="28" t="n">
        <v>0</v>
      </c>
      <c r="S453" s="28">
        <f>Q453-R453</f>
        <v/>
      </c>
      <c r="T453" s="28">
        <f>IF(S453="","",S453*(1+in_GrowthRate)^(YEARFRAC(DATE(2024,12,31),in_AgeToDate)*IF(in_AgeToDate&lt;DATE(2024,12,31),-1,1)+1))</f>
        <v/>
      </c>
      <c r="U453" s="50">
        <f>IF(AND(AND(OR(in_Mode="All Funds",AND(C453&gt;=in_BandFloor,C453&lt;=in_BandCeiling,OR(in_Geography="National",COUNTIFS(lst_GeoPreset,in_Geography,lst_GeoState,B453)&gt;0,AND(in_Geography="Custom",ISNUMBER(SEARCH(B453,SUBSTITUTE(in_CustomStates," ",""))))),OR(AND(D453="Endowment",Inputs!$B$14="Y"),AND(D453="Foundation",Inputs!$B$15="Y"),AND(D453="Healthcare",Inputs!$B$16="Y"),AND(D453="Pension",Inputs!$B$17="Y"),AND(D453="OCIO",Inputs!$B$18="Y"),AND(D453="Other",Inputs!$B$19="Y")))),A453&lt;&gt;in_ClientOrg,NOT(AND(in_ExclHarvard="Y",ISNUMBER(SEARCH("Harvard",A453))))),$AD453="Y",K453&lt;&gt;"",S453&gt;0),"Y","")</f>
        <v/>
      </c>
      <c r="V453" s="30" t="n">
        <v>0.1381945945448776</v>
      </c>
      <c r="W453" t="inlineStr"/>
      <c r="X453" s="28">
        <f>IF(L453+M453=0,"",L453+M453)</f>
        <v/>
      </c>
      <c r="Y453" s="38">
        <f>IF(L453=0,"",M453/L453)</f>
        <v/>
      </c>
      <c r="Z453" t="inlineStr">
        <is>
          <t>Director &amp; Investment Officer</t>
        </is>
      </c>
      <c r="AA453" t="inlineStr">
        <is>
          <t>Investments</t>
        </is>
      </c>
      <c r="AB453" s="50" t="inlineStr"/>
      <c r="AC453" s="43">
        <f>HYPERLINK("https://projects.propublica.org/nonprofits/organizations/943397785/202503189349103305/full","view filing")</f>
        <v/>
      </c>
      <c r="AD453" s="50" t="inlineStr">
        <is>
          <t>Y</t>
        </is>
      </c>
    </row>
    <row r="454">
      <c r="A454" t="inlineStr">
        <is>
          <t>Gordon E And Betty I Moore Foundation</t>
        </is>
      </c>
      <c r="B454" s="50" t="inlineStr">
        <is>
          <t>CA</t>
        </is>
      </c>
      <c r="C454" s="52" t="n">
        <v>11.35</v>
      </c>
      <c r="D454" t="inlineStr">
        <is>
          <t>Foundation</t>
        </is>
      </c>
      <c r="E454" s="50" t="n">
        <v>2024</v>
      </c>
      <c r="F454" s="50" t="inlineStr">
        <is>
          <t>2025-11-14</t>
        </is>
      </c>
      <c r="G454" s="50" t="inlineStr">
        <is>
          <t>2024-12-31</t>
        </is>
      </c>
      <c r="H454" t="inlineStr">
        <is>
          <t>Dale Kunkel</t>
        </is>
      </c>
      <c r="I454" t="inlineStr">
        <is>
          <t>INVESTMENT DIRECTOR</t>
        </is>
      </c>
      <c r="J454" t="inlineStr">
        <is>
          <t>Director of Investments</t>
        </is>
      </c>
      <c r="K454" t="inlineStr">
        <is>
          <t>Sr Investment Professional</t>
        </is>
      </c>
      <c r="L454" s="28" t="n">
        <v>0</v>
      </c>
      <c r="M454" s="28" t="n">
        <v>0</v>
      </c>
      <c r="N454" s="28" t="n">
        <v>0</v>
      </c>
      <c r="O454" s="28" t="n">
        <v>0</v>
      </c>
      <c r="P454" s="28" t="n">
        <v>0</v>
      </c>
      <c r="Q454" s="28" t="n">
        <v>1677363</v>
      </c>
      <c r="R454" s="28" t="n">
        <v>0</v>
      </c>
      <c r="S454" s="28">
        <f>Q454-R454</f>
        <v/>
      </c>
      <c r="T454" s="28">
        <f>IF(S454="","",S454*(1+in_GrowthRate)^(YEARFRAC(DATE(2024,12,31),in_AgeToDate)*IF(in_AgeToDate&lt;DATE(2024,12,31),-1,1)+1))</f>
        <v/>
      </c>
      <c r="U454" s="50">
        <f>IF(AND(AND(OR(in_Mode="All Funds",AND(C454&gt;=in_BandFloor,C454&lt;=in_BandCeiling,OR(in_Geography="National",COUNTIFS(lst_GeoPreset,in_Geography,lst_GeoState,B454)&gt;0,AND(in_Geography="Custom",ISNUMBER(SEARCH(B454,SUBSTITUTE(in_CustomStates," ",""))))),OR(AND(D454="Endowment",Inputs!$B$14="Y"),AND(D454="Foundation",Inputs!$B$15="Y"),AND(D454="Healthcare",Inputs!$B$16="Y"),AND(D454="Pension",Inputs!$B$17="Y"),AND(D454="OCIO",Inputs!$B$18="Y"),AND(D454="Other",Inputs!$B$19="Y")))),A454&lt;&gt;in_ClientOrg,NOT(AND(in_ExclHarvard="Y",ISNUMBER(SEARCH("Harvard",A454))))),$AD454="Y",K454&lt;&gt;"",S454&gt;0),"Y","")</f>
        <v/>
      </c>
      <c r="V454" s="30" t="n">
        <v>0.3214122291868823</v>
      </c>
      <c r="W454" t="inlineStr"/>
      <c r="X454" s="28">
        <f>IF(L454+M454=0,"",L454+M454)</f>
        <v/>
      </c>
      <c r="Y454" s="38">
        <f>IF(L454=0,"",M454/L454)</f>
        <v/>
      </c>
      <c r="Z454" t="inlineStr">
        <is>
          <t>Director &amp; Investment Officer</t>
        </is>
      </c>
      <c r="AA454" t="inlineStr">
        <is>
          <t>Investments</t>
        </is>
      </c>
      <c r="AB454" s="50" t="inlineStr"/>
      <c r="AC454" s="43">
        <f>HYPERLINK("https://projects.propublica.org/nonprofits/organizations/943397785/202503189349103305/full","view filing")</f>
        <v/>
      </c>
      <c r="AD454" s="50" t="inlineStr">
        <is>
          <t>Y</t>
        </is>
      </c>
    </row>
    <row r="455">
      <c r="A455" t="inlineStr">
        <is>
          <t>Gordon E And Betty I Moore Foundation</t>
        </is>
      </c>
      <c r="B455" s="50" t="inlineStr">
        <is>
          <t>CA</t>
        </is>
      </c>
      <c r="C455" s="52" t="n">
        <v>11.35</v>
      </c>
      <c r="D455" t="inlineStr">
        <is>
          <t>Foundation</t>
        </is>
      </c>
      <c r="E455" s="50" t="n">
        <v>2024</v>
      </c>
      <c r="F455" s="50" t="inlineStr">
        <is>
          <t>2025-11-14</t>
        </is>
      </c>
      <c r="G455" s="50" t="inlineStr">
        <is>
          <t>2024-12-31</t>
        </is>
      </c>
      <c r="H455" t="inlineStr">
        <is>
          <t>Denise Strack</t>
        </is>
      </c>
      <c r="I455" t="inlineStr">
        <is>
          <t>CHIEF INVESTMENT OFFICER</t>
        </is>
      </c>
      <c r="J455" t="inlineStr">
        <is>
          <t>CIO</t>
        </is>
      </c>
      <c r="K455" t="inlineStr">
        <is>
          <t>CIO - Top Investment Executive</t>
        </is>
      </c>
      <c r="L455" s="28" t="n">
        <v>0</v>
      </c>
      <c r="M455" s="28" t="n">
        <v>0</v>
      </c>
      <c r="N455" s="28" t="n">
        <v>0</v>
      </c>
      <c r="O455" s="28" t="n">
        <v>0</v>
      </c>
      <c r="P455" s="28" t="n">
        <v>849912</v>
      </c>
      <c r="Q455" s="28" t="n">
        <v>5218728</v>
      </c>
      <c r="R455" s="28" t="n">
        <v>0</v>
      </c>
      <c r="S455" s="28">
        <f>Q455-R455</f>
        <v/>
      </c>
      <c r="T455" s="28">
        <f>IF(S455="","",S455*(1+in_GrowthRate)^(YEARFRAC(DATE(2024,12,31),in_AgeToDate)*IF(in_AgeToDate&lt;DATE(2024,12,31),-1,1)+1))</f>
        <v/>
      </c>
      <c r="U455" s="50">
        <f>IF(AND(AND(OR(in_Mode="All Funds",AND(C455&gt;=in_BandFloor,C455&lt;=in_BandCeiling,OR(in_Geography="National",COUNTIFS(lst_GeoPreset,in_Geography,lst_GeoState,B455)&gt;0,AND(in_Geography="Custom",ISNUMBER(SEARCH(B455,SUBSTITUTE(in_CustomStates," ",""))))),OR(AND(D455="Endowment",Inputs!$B$14="Y"),AND(D455="Foundation",Inputs!$B$15="Y"),AND(D455="Healthcare",Inputs!$B$16="Y"),AND(D455="Pension",Inputs!$B$17="Y"),AND(D455="OCIO",Inputs!$B$18="Y"),AND(D455="Other",Inputs!$B$19="Y")))),A455&lt;&gt;in_ClientOrg,NOT(AND(in_ExclHarvard="Y",ISNUMBER(SEARCH("Harvard",A455))))),$AD455="Y",K455&lt;&gt;"",S455&gt;0),"Y","")</f>
        <v/>
      </c>
      <c r="V455" s="30" t="n">
        <v>1</v>
      </c>
      <c r="W455" t="inlineStr"/>
      <c r="X455" s="28">
        <f>IF(L455+M455=0,"",L455+M455)</f>
        <v/>
      </c>
      <c r="Y455" s="38">
        <f>IF(L455=0,"",M455/L455)</f>
        <v/>
      </c>
      <c r="Z455" t="inlineStr">
        <is>
          <t>CIO - Top Investment Executive</t>
        </is>
      </c>
      <c r="AA455" t="inlineStr">
        <is>
          <t>Leadership</t>
        </is>
      </c>
      <c r="AB455" s="50" t="inlineStr">
        <is>
          <t>Y</t>
        </is>
      </c>
      <c r="AC455" s="43">
        <f>HYPERLINK("https://projects.propublica.org/nonprofits/organizations/943397785/202503189349103305/full","view filing")</f>
        <v/>
      </c>
      <c r="AD455" s="50" t="inlineStr">
        <is>
          <t>Y</t>
        </is>
      </c>
    </row>
    <row r="456">
      <c r="A456" t="inlineStr">
        <is>
          <t>Gordon E And Betty I Moore Foundation</t>
        </is>
      </c>
      <c r="B456" s="50" t="inlineStr">
        <is>
          <t>CA</t>
        </is>
      </c>
      <c r="C456" s="52" t="n">
        <v>11.35</v>
      </c>
      <c r="D456" t="inlineStr">
        <is>
          <t>Foundation</t>
        </is>
      </c>
      <c r="E456" s="50" t="n">
        <v>2024</v>
      </c>
      <c r="F456" s="50" t="inlineStr">
        <is>
          <t>2025-11-14</t>
        </is>
      </c>
      <c r="G456" s="50" t="inlineStr">
        <is>
          <t>2024-12-31</t>
        </is>
      </c>
      <c r="H456" t="inlineStr">
        <is>
          <t>Felicia Chiu</t>
        </is>
      </c>
      <c r="I456" t="inlineStr">
        <is>
          <t>INVESTMENT DIRECTOR</t>
        </is>
      </c>
      <c r="J456" t="inlineStr">
        <is>
          <t>Director of Investments</t>
        </is>
      </c>
      <c r="K456" t="inlineStr">
        <is>
          <t>Sr Investment Professional</t>
        </is>
      </c>
      <c r="L456" s="28" t="n">
        <v>0</v>
      </c>
      <c r="M456" s="28" t="n">
        <v>0</v>
      </c>
      <c r="N456" s="28" t="n">
        <v>0</v>
      </c>
      <c r="O456" s="28" t="n">
        <v>0</v>
      </c>
      <c r="P456" s="28" t="n">
        <v>0</v>
      </c>
      <c r="Q456" s="28" t="n">
        <v>1686207</v>
      </c>
      <c r="R456" s="28" t="n">
        <v>0</v>
      </c>
      <c r="S456" s="28">
        <f>Q456-R456</f>
        <v/>
      </c>
      <c r="T456" s="28">
        <f>IF(S456="","",S456*(1+in_GrowthRate)^(YEARFRAC(DATE(2024,12,31),in_AgeToDate)*IF(in_AgeToDate&lt;DATE(2024,12,31),-1,1)+1))</f>
        <v/>
      </c>
      <c r="U456" s="50">
        <f>IF(AND(AND(OR(in_Mode="All Funds",AND(C456&gt;=in_BandFloor,C456&lt;=in_BandCeiling,OR(in_Geography="National",COUNTIFS(lst_GeoPreset,in_Geography,lst_GeoState,B456)&gt;0,AND(in_Geography="Custom",ISNUMBER(SEARCH(B456,SUBSTITUTE(in_CustomStates," ",""))))),OR(AND(D456="Endowment",Inputs!$B$14="Y"),AND(D456="Foundation",Inputs!$B$15="Y"),AND(D456="Healthcare",Inputs!$B$16="Y"),AND(D456="Pension",Inputs!$B$17="Y"),AND(D456="OCIO",Inputs!$B$18="Y"),AND(D456="Other",Inputs!$B$19="Y")))),A456&lt;&gt;in_ClientOrg,NOT(AND(in_ExclHarvard="Y",ISNUMBER(SEARCH("Harvard",A456))))),$AD456="Y",K456&lt;&gt;"",S456&gt;0),"Y","")</f>
        <v/>
      </c>
      <c r="V456" s="30" t="n">
        <v>0.3231068950134975</v>
      </c>
      <c r="W456" t="inlineStr"/>
      <c r="X456" s="28">
        <f>IF(L456+M456=0,"",L456+M456)</f>
        <v/>
      </c>
      <c r="Y456" s="38">
        <f>IF(L456=0,"",M456/L456)</f>
        <v/>
      </c>
      <c r="Z456" t="inlineStr">
        <is>
          <t>Director &amp; Investment Officer</t>
        </is>
      </c>
      <c r="AA456" t="inlineStr">
        <is>
          <t>Investments</t>
        </is>
      </c>
      <c r="AB456" s="50" t="inlineStr"/>
      <c r="AC456" s="43">
        <f>HYPERLINK("https://projects.propublica.org/nonprofits/organizations/943397785/202503189349103305/full","view filing")</f>
        <v/>
      </c>
      <c r="AD456" s="50" t="inlineStr">
        <is>
          <t>Y</t>
        </is>
      </c>
    </row>
    <row r="457">
      <c r="A457" t="inlineStr">
        <is>
          <t>Gordon E And Betty I Moore Foundation</t>
        </is>
      </c>
      <c r="B457" s="50" t="inlineStr">
        <is>
          <t>CA</t>
        </is>
      </c>
      <c r="C457" s="52" t="n">
        <v>11.35</v>
      </c>
      <c r="D457" t="inlineStr">
        <is>
          <t>Foundation</t>
        </is>
      </c>
      <c r="E457" s="50" t="n">
        <v>2024</v>
      </c>
      <c r="F457" s="50" t="inlineStr">
        <is>
          <t>2025-11-14</t>
        </is>
      </c>
      <c r="G457" s="50" t="inlineStr">
        <is>
          <t>2024-12-31</t>
        </is>
      </c>
      <c r="H457" t="inlineStr">
        <is>
          <t>Philip Law</t>
        </is>
      </c>
      <c r="I457" t="inlineStr">
        <is>
          <t>INVESTMENT DIRECTOR</t>
        </is>
      </c>
      <c r="J457" t="inlineStr">
        <is>
          <t>Director of Investments</t>
        </is>
      </c>
      <c r="K457" t="inlineStr">
        <is>
          <t>Sr Investment Professional</t>
        </is>
      </c>
      <c r="L457" s="28" t="n">
        <v>0</v>
      </c>
      <c r="M457" s="28" t="n">
        <v>0</v>
      </c>
      <c r="N457" s="28" t="n">
        <v>0</v>
      </c>
      <c r="O457" s="28" t="n">
        <v>0</v>
      </c>
      <c r="P457" s="28" t="n">
        <v>0</v>
      </c>
      <c r="Q457" s="28" t="n">
        <v>850800</v>
      </c>
      <c r="R457" s="28" t="n">
        <v>0</v>
      </c>
      <c r="S457" s="28">
        <f>Q457-R457</f>
        <v/>
      </c>
      <c r="T457" s="28">
        <f>IF(S457="","",S457*(1+in_GrowthRate)^(YEARFRAC(DATE(2024,12,31),in_AgeToDate)*IF(in_AgeToDate&lt;DATE(2024,12,31),-1,1)+1))</f>
        <v/>
      </c>
      <c r="U457" s="50">
        <f>IF(AND(AND(OR(in_Mode="All Funds",AND(C457&gt;=in_BandFloor,C457&lt;=in_BandCeiling,OR(in_Geography="National",COUNTIFS(lst_GeoPreset,in_Geography,lst_GeoState,B457)&gt;0,AND(in_Geography="Custom",ISNUMBER(SEARCH(B457,SUBSTITUTE(in_CustomStates," ",""))))),OR(AND(D457="Endowment",Inputs!$B$14="Y"),AND(D457="Foundation",Inputs!$B$15="Y"),AND(D457="Healthcare",Inputs!$B$16="Y"),AND(D457="Pension",Inputs!$B$17="Y"),AND(D457="OCIO",Inputs!$B$18="Y"),AND(D457="Other",Inputs!$B$19="Y")))),A457&lt;&gt;in_ClientOrg,NOT(AND(in_ExclHarvard="Y",ISNUMBER(SEARCH("Harvard",A457))))),$AD457="Y",K457&lt;&gt;"",S457&gt;0),"Y","")</f>
        <v/>
      </c>
      <c r="V457" s="30" t="n">
        <v>0.1630282321669188</v>
      </c>
      <c r="W457" t="inlineStr"/>
      <c r="X457" s="28">
        <f>IF(L457+M457=0,"",L457+M457)</f>
        <v/>
      </c>
      <c r="Y457" s="38">
        <f>IF(L457=0,"",M457/L457)</f>
        <v/>
      </c>
      <c r="Z457" t="inlineStr">
        <is>
          <t>Director &amp; Investment Officer</t>
        </is>
      </c>
      <c r="AA457" t="inlineStr">
        <is>
          <t>Investments</t>
        </is>
      </c>
      <c r="AB457" s="50" t="inlineStr"/>
      <c r="AC457" s="43">
        <f>HYPERLINK("https://projects.propublica.org/nonprofits/organizations/943397785/202503189349103305/full","view filing")</f>
        <v/>
      </c>
      <c r="AD457" s="50" t="inlineStr">
        <is>
          <t>Y</t>
        </is>
      </c>
    </row>
    <row r="458">
      <c r="A458" t="inlineStr">
        <is>
          <t>Gordon E And Betty I Moore Foundation</t>
        </is>
      </c>
      <c r="B458" s="50" t="inlineStr">
        <is>
          <t>CA</t>
        </is>
      </c>
      <c r="C458" s="52" t="n">
        <v>11.35</v>
      </c>
      <c r="D458" t="inlineStr">
        <is>
          <t>Foundation</t>
        </is>
      </c>
      <c r="E458" s="50" t="n">
        <v>2024</v>
      </c>
      <c r="F458" s="50" t="inlineStr">
        <is>
          <t>2025-11-14</t>
        </is>
      </c>
      <c r="G458" s="50" t="inlineStr">
        <is>
          <t>2024-12-31</t>
        </is>
      </c>
      <c r="H458" t="inlineStr">
        <is>
          <t>Tyler Connolly</t>
        </is>
      </c>
      <c r="I458" t="inlineStr">
        <is>
          <t>INVESTMENT DIRECTOR</t>
        </is>
      </c>
      <c r="J458" t="inlineStr">
        <is>
          <t>Director of Investments</t>
        </is>
      </c>
      <c r="K458" t="inlineStr">
        <is>
          <t>Sr Investment Professional</t>
        </is>
      </c>
      <c r="L458" s="28" t="n">
        <v>0</v>
      </c>
      <c r="M458" s="28" t="n">
        <v>0</v>
      </c>
      <c r="N458" s="28" t="n">
        <v>0</v>
      </c>
      <c r="O458" s="28" t="n">
        <v>0</v>
      </c>
      <c r="P458" s="28" t="n">
        <v>0</v>
      </c>
      <c r="Q458" s="28" t="n">
        <v>1174250</v>
      </c>
      <c r="R458" s="28" t="n">
        <v>0</v>
      </c>
      <c r="S458" s="28">
        <f>Q458-R458</f>
        <v/>
      </c>
      <c r="T458" s="28">
        <f>IF(S458="","",S458*(1+in_GrowthRate)^(YEARFRAC(DATE(2024,12,31),in_AgeToDate)*IF(in_AgeToDate&lt;DATE(2024,12,31),-1,1)+1))</f>
        <v/>
      </c>
      <c r="U458" s="50">
        <f>IF(AND(AND(OR(in_Mode="All Funds",AND(C458&gt;=in_BandFloor,C458&lt;=in_BandCeiling,OR(in_Geography="National",COUNTIFS(lst_GeoPreset,in_Geography,lst_GeoState,B458)&gt;0,AND(in_Geography="Custom",ISNUMBER(SEARCH(B458,SUBSTITUTE(in_CustomStates," ",""))))),OR(AND(D458="Endowment",Inputs!$B$14="Y"),AND(D458="Foundation",Inputs!$B$15="Y"),AND(D458="Healthcare",Inputs!$B$16="Y"),AND(D458="Pension",Inputs!$B$17="Y"),AND(D458="OCIO",Inputs!$B$18="Y"),AND(D458="Other",Inputs!$B$19="Y")))),A458&lt;&gt;in_ClientOrg,NOT(AND(in_ExclHarvard="Y",ISNUMBER(SEARCH("Harvard",A458))))),$AD458="Y",K458&lt;&gt;"",S458&gt;0),"Y","")</f>
        <v/>
      </c>
      <c r="V458" s="30" t="n">
        <v>0.2250069365561876</v>
      </c>
      <c r="W458" t="inlineStr"/>
      <c r="X458" s="28">
        <f>IF(L458+M458=0,"",L458+M458)</f>
        <v/>
      </c>
      <c r="Y458" s="38">
        <f>IF(L458=0,"",M458/L458)</f>
        <v/>
      </c>
      <c r="Z458" t="inlineStr">
        <is>
          <t>Director &amp; Investment Officer</t>
        </is>
      </c>
      <c r="AA458" t="inlineStr">
        <is>
          <t>Investments</t>
        </is>
      </c>
      <c r="AB458" s="50" t="inlineStr"/>
      <c r="AC458" s="43">
        <f>HYPERLINK("https://projects.propublica.org/nonprofits/organizations/943397785/202503189349103305/full","view filing")</f>
        <v/>
      </c>
      <c r="AD458" s="50" t="inlineStr">
        <is>
          <t>Y</t>
        </is>
      </c>
    </row>
    <row r="459">
      <c r="A459" t="inlineStr">
        <is>
          <t>Gordon E And Betty I Moore Foundation</t>
        </is>
      </c>
      <c r="B459" s="50" t="inlineStr">
        <is>
          <t>CA</t>
        </is>
      </c>
      <c r="C459" s="52" t="n">
        <v>11.35</v>
      </c>
      <c r="D459" t="inlineStr">
        <is>
          <t>Foundation</t>
        </is>
      </c>
      <c r="E459" s="50" t="n">
        <v>2023</v>
      </c>
      <c r="F459" s="50" t="inlineStr">
        <is>
          <t>2024-11-13</t>
        </is>
      </c>
      <c r="G459" s="50" t="inlineStr">
        <is>
          <t>2023-12-31</t>
        </is>
      </c>
      <c r="H459" t="inlineStr">
        <is>
          <t>Alison Barad</t>
        </is>
      </c>
      <c r="I459" t="inlineStr">
        <is>
          <t>INVESTMENT DIRECTOR</t>
        </is>
      </c>
      <c r="J459" t="inlineStr">
        <is>
          <t>Director of Investments</t>
        </is>
      </c>
      <c r="K459" t="inlineStr">
        <is>
          <t>Sr Investment Professional</t>
        </is>
      </c>
      <c r="L459" s="28" t="n">
        <v>0</v>
      </c>
      <c r="M459" s="28" t="n">
        <v>0</v>
      </c>
      <c r="N459" s="28" t="n">
        <v>0</v>
      </c>
      <c r="O459" s="28" t="n">
        <v>0</v>
      </c>
      <c r="P459" s="28" t="n">
        <v>0</v>
      </c>
      <c r="Q459" s="28" t="n">
        <v>1384792</v>
      </c>
      <c r="R459" s="28" t="n">
        <v>0</v>
      </c>
      <c r="S459" s="28">
        <f>Q459-R459</f>
        <v/>
      </c>
      <c r="T459" s="28">
        <f>IF(S459="","",S459*(1+in_GrowthRate)^(YEARFRAC(DATE(2023,12,31),in_AgeToDate)*IF(in_AgeToDate&lt;DATE(2023,12,31),-1,1)+1))</f>
        <v/>
      </c>
      <c r="U459" s="50">
        <f>IF(AND(AND(OR(in_Mode="All Funds",AND(C459&gt;=in_BandFloor,C459&lt;=in_BandCeiling,OR(in_Geography="National",COUNTIFS(lst_GeoPreset,in_Geography,lst_GeoState,B459)&gt;0,AND(in_Geography="Custom",ISNUMBER(SEARCH(B459,SUBSTITUTE(in_CustomStates," ",""))))),OR(AND(D459="Endowment",Inputs!$B$14="Y"),AND(D459="Foundation",Inputs!$B$15="Y"),AND(D459="Healthcare",Inputs!$B$16="Y"),AND(D459="Pension",Inputs!$B$17="Y"),AND(D459="OCIO",Inputs!$B$18="Y"),AND(D459="Other",Inputs!$B$19="Y")))),A459&lt;&gt;in_ClientOrg,NOT(AND(in_ExclHarvard="Y",ISNUMBER(SEARCH("Harvard",A459))))),$AD459="Y",K459&lt;&gt;"",S459&gt;0),"Y","")</f>
        <v/>
      </c>
      <c r="V459" s="30" t="n">
        <v>0.3048572932487413</v>
      </c>
      <c r="W459" t="inlineStr"/>
      <c r="X459" s="28">
        <f>IF(L459+M459=0,"",L459+M459)</f>
        <v/>
      </c>
      <c r="Y459" s="38">
        <f>IF(L459=0,"",M459/L459)</f>
        <v/>
      </c>
      <c r="Z459" t="inlineStr">
        <is>
          <t>Director &amp; Investment Officer</t>
        </is>
      </c>
      <c r="AA459" t="inlineStr">
        <is>
          <t>Investments</t>
        </is>
      </c>
      <c r="AB459" s="50" t="inlineStr"/>
      <c r="AC459" s="43">
        <f>HYPERLINK("https://projects.propublica.org/nonprofits/organizations/943397785/202433189349101128/full","view filing")</f>
        <v/>
      </c>
      <c r="AD459" s="50" t="inlineStr"/>
    </row>
    <row r="460">
      <c r="A460" t="inlineStr">
        <is>
          <t>Gordon E And Betty I Moore Foundation</t>
        </is>
      </c>
      <c r="B460" s="50" t="inlineStr">
        <is>
          <t>CA</t>
        </is>
      </c>
      <c r="C460" s="52" t="n">
        <v>11.35</v>
      </c>
      <c r="D460" t="inlineStr">
        <is>
          <t>Foundation</t>
        </is>
      </c>
      <c r="E460" s="50" t="n">
        <v>2023</v>
      </c>
      <c r="F460" s="50" t="inlineStr">
        <is>
          <t>2024-11-13</t>
        </is>
      </c>
      <c r="G460" s="50" t="inlineStr">
        <is>
          <t>2023-12-31</t>
        </is>
      </c>
      <c r="H460" t="inlineStr">
        <is>
          <t>Ciera Ashley</t>
        </is>
      </c>
      <c r="I460" t="inlineStr">
        <is>
          <t>INVESTMENT DIRECTOR</t>
        </is>
      </c>
      <c r="J460" t="inlineStr">
        <is>
          <t>Director of Investments</t>
        </is>
      </c>
      <c r="K460" t="inlineStr">
        <is>
          <t>Sr Investment Professional</t>
        </is>
      </c>
      <c r="L460" s="28" t="n">
        <v>0</v>
      </c>
      <c r="M460" s="28" t="n">
        <v>0</v>
      </c>
      <c r="N460" s="28" t="n">
        <v>0</v>
      </c>
      <c r="O460" s="28" t="n">
        <v>0</v>
      </c>
      <c r="P460" s="28" t="n">
        <v>0</v>
      </c>
      <c r="Q460" s="28" t="n">
        <v>788300</v>
      </c>
      <c r="R460" s="28" t="n">
        <v>0</v>
      </c>
      <c r="S460" s="28">
        <f>Q460-R460</f>
        <v/>
      </c>
      <c r="T460" s="28">
        <f>IF(S460="","",S460*(1+in_GrowthRate)^(YEARFRAC(DATE(2023,12,31),in_AgeToDate)*IF(in_AgeToDate&lt;DATE(2023,12,31),-1,1)+1))</f>
        <v/>
      </c>
      <c r="U460" s="50">
        <f>IF(AND(AND(OR(in_Mode="All Funds",AND(C460&gt;=in_BandFloor,C460&lt;=in_BandCeiling,OR(in_Geography="National",COUNTIFS(lst_GeoPreset,in_Geography,lst_GeoState,B460)&gt;0,AND(in_Geography="Custom",ISNUMBER(SEARCH(B460,SUBSTITUTE(in_CustomStates," ",""))))),OR(AND(D460="Endowment",Inputs!$B$14="Y"),AND(D460="Foundation",Inputs!$B$15="Y"),AND(D460="Healthcare",Inputs!$B$16="Y"),AND(D460="Pension",Inputs!$B$17="Y"),AND(D460="OCIO",Inputs!$B$18="Y"),AND(D460="Other",Inputs!$B$19="Y")))),A460&lt;&gt;in_ClientOrg,NOT(AND(in_ExclHarvard="Y",ISNUMBER(SEARCH("Harvard",A460))))),$AD460="Y",K460&lt;&gt;"",S460&gt;0),"Y","")</f>
        <v/>
      </c>
      <c r="V460" s="30" t="n">
        <v>0.1735415891108432</v>
      </c>
      <c r="W460" t="inlineStr"/>
      <c r="X460" s="28">
        <f>IF(L460+M460=0,"",L460+M460)</f>
        <v/>
      </c>
      <c r="Y460" s="38">
        <f>IF(L460=0,"",M460/L460)</f>
        <v/>
      </c>
      <c r="Z460" t="inlineStr">
        <is>
          <t>Director &amp; Investment Officer</t>
        </is>
      </c>
      <c r="AA460" t="inlineStr">
        <is>
          <t>Investments</t>
        </is>
      </c>
      <c r="AB460" s="50" t="inlineStr"/>
      <c r="AC460" s="43">
        <f>HYPERLINK("https://projects.propublica.org/nonprofits/organizations/943397785/202433189349101128/full","view filing")</f>
        <v/>
      </c>
      <c r="AD460" s="50" t="inlineStr"/>
    </row>
    <row r="461">
      <c r="A461" t="inlineStr">
        <is>
          <t>Gordon E And Betty I Moore Foundation</t>
        </is>
      </c>
      <c r="B461" s="50" t="inlineStr">
        <is>
          <t>CA</t>
        </is>
      </c>
      <c r="C461" s="52" t="n">
        <v>11.35</v>
      </c>
      <c r="D461" t="inlineStr">
        <is>
          <t>Foundation</t>
        </is>
      </c>
      <c r="E461" s="50" t="n">
        <v>2023</v>
      </c>
      <c r="F461" s="50" t="inlineStr">
        <is>
          <t>2024-11-13</t>
        </is>
      </c>
      <c r="G461" s="50" t="inlineStr">
        <is>
          <t>2023-12-31</t>
        </is>
      </c>
      <c r="H461" t="inlineStr">
        <is>
          <t>Dale Kunkel</t>
        </is>
      </c>
      <c r="I461" t="inlineStr">
        <is>
          <t>INVESTMENT DIRECTOR</t>
        </is>
      </c>
      <c r="J461" t="inlineStr">
        <is>
          <t>Director of Investments</t>
        </is>
      </c>
      <c r="K461" t="inlineStr">
        <is>
          <t>Sr Investment Professional</t>
        </is>
      </c>
      <c r="L461" s="28" t="n">
        <v>0</v>
      </c>
      <c r="M461" s="28" t="n">
        <v>0</v>
      </c>
      <c r="N461" s="28" t="n">
        <v>0</v>
      </c>
      <c r="O461" s="28" t="n">
        <v>0</v>
      </c>
      <c r="P461" s="28" t="n">
        <v>0</v>
      </c>
      <c r="Q461" s="28" t="n">
        <v>1483096</v>
      </c>
      <c r="R461" s="28" t="n">
        <v>0</v>
      </c>
      <c r="S461" s="28">
        <f>Q461-R461</f>
        <v/>
      </c>
      <c r="T461" s="28">
        <f>IF(S461="","",S461*(1+in_GrowthRate)^(YEARFRAC(DATE(2023,12,31),in_AgeToDate)*IF(in_AgeToDate&lt;DATE(2023,12,31),-1,1)+1))</f>
        <v/>
      </c>
      <c r="U461" s="50">
        <f>IF(AND(AND(OR(in_Mode="All Funds",AND(C461&gt;=in_BandFloor,C461&lt;=in_BandCeiling,OR(in_Geography="National",COUNTIFS(lst_GeoPreset,in_Geography,lst_GeoState,B461)&gt;0,AND(in_Geography="Custom",ISNUMBER(SEARCH(B461,SUBSTITUTE(in_CustomStates," ",""))))),OR(AND(D461="Endowment",Inputs!$B$14="Y"),AND(D461="Foundation",Inputs!$B$15="Y"),AND(D461="Healthcare",Inputs!$B$16="Y"),AND(D461="Pension",Inputs!$B$17="Y"),AND(D461="OCIO",Inputs!$B$18="Y"),AND(D461="Other",Inputs!$B$19="Y")))),A461&lt;&gt;in_ClientOrg,NOT(AND(in_ExclHarvard="Y",ISNUMBER(SEARCH("Harvard",A461))))),$AD461="Y",K461&lt;&gt;"",S461&gt;0),"Y","")</f>
        <v/>
      </c>
      <c r="V461" s="30" t="n">
        <v>0.3264985876492897</v>
      </c>
      <c r="W461" t="inlineStr"/>
      <c r="X461" s="28">
        <f>IF(L461+M461=0,"",L461+M461)</f>
        <v/>
      </c>
      <c r="Y461" s="38">
        <f>IF(L461=0,"",M461/L461)</f>
        <v/>
      </c>
      <c r="Z461" t="inlineStr">
        <is>
          <t>Director &amp; Investment Officer</t>
        </is>
      </c>
      <c r="AA461" t="inlineStr">
        <is>
          <t>Investments</t>
        </is>
      </c>
      <c r="AB461" s="50" t="inlineStr"/>
      <c r="AC461" s="43">
        <f>HYPERLINK("https://projects.propublica.org/nonprofits/organizations/943397785/202433189349101128/full","view filing")</f>
        <v/>
      </c>
      <c r="AD461" s="50" t="inlineStr"/>
    </row>
    <row r="462">
      <c r="A462" t="inlineStr">
        <is>
          <t>Gordon E And Betty I Moore Foundation</t>
        </is>
      </c>
      <c r="B462" s="50" t="inlineStr">
        <is>
          <t>CA</t>
        </is>
      </c>
      <c r="C462" s="52" t="n">
        <v>11.35</v>
      </c>
      <c r="D462" t="inlineStr">
        <is>
          <t>Foundation</t>
        </is>
      </c>
      <c r="E462" s="50" t="n">
        <v>2023</v>
      </c>
      <c r="F462" s="50" t="inlineStr">
        <is>
          <t>2024-11-13</t>
        </is>
      </c>
      <c r="G462" s="50" t="inlineStr">
        <is>
          <t>2023-12-31</t>
        </is>
      </c>
      <c r="H462" t="inlineStr">
        <is>
          <t>Denise Strack</t>
        </is>
      </c>
      <c r="I462" t="inlineStr">
        <is>
          <t>CHIEF INVESTMENT OFFICER</t>
        </is>
      </c>
      <c r="J462" t="inlineStr">
        <is>
          <t>CIO</t>
        </is>
      </c>
      <c r="K462" t="inlineStr">
        <is>
          <t>CIO - Top Investment Executive</t>
        </is>
      </c>
      <c r="L462" s="28" t="n">
        <v>0</v>
      </c>
      <c r="M462" s="28" t="n">
        <v>0</v>
      </c>
      <c r="N462" s="28" t="n">
        <v>0</v>
      </c>
      <c r="O462" s="28" t="n">
        <v>0</v>
      </c>
      <c r="P462" s="28" t="n">
        <v>562602</v>
      </c>
      <c r="Q462" s="28" t="n">
        <v>4542427</v>
      </c>
      <c r="R462" s="28" t="n">
        <v>0</v>
      </c>
      <c r="S462" s="28">
        <f>Q462-R462</f>
        <v/>
      </c>
      <c r="T462" s="28">
        <f>IF(S462="","",S462*(1+in_GrowthRate)^(YEARFRAC(DATE(2023,12,31),in_AgeToDate)*IF(in_AgeToDate&lt;DATE(2023,12,31),-1,1)+1))</f>
        <v/>
      </c>
      <c r="U462" s="50">
        <f>IF(AND(AND(OR(in_Mode="All Funds",AND(C462&gt;=in_BandFloor,C462&lt;=in_BandCeiling,OR(in_Geography="National",COUNTIFS(lst_GeoPreset,in_Geography,lst_GeoState,B462)&gt;0,AND(in_Geography="Custom",ISNUMBER(SEARCH(B462,SUBSTITUTE(in_CustomStates," ",""))))),OR(AND(D462="Endowment",Inputs!$B$14="Y"),AND(D462="Foundation",Inputs!$B$15="Y"),AND(D462="Healthcare",Inputs!$B$16="Y"),AND(D462="Pension",Inputs!$B$17="Y"),AND(D462="OCIO",Inputs!$B$18="Y"),AND(D462="Other",Inputs!$B$19="Y")))),A462&lt;&gt;in_ClientOrg,NOT(AND(in_ExclHarvard="Y",ISNUMBER(SEARCH("Harvard",A462))))),$AD462="Y",K462&lt;&gt;"",S462&gt;0),"Y","")</f>
        <v/>
      </c>
      <c r="V462" s="30" t="n">
        <v>1</v>
      </c>
      <c r="W462" t="inlineStr"/>
      <c r="X462" s="28">
        <f>IF(L462+M462=0,"",L462+M462)</f>
        <v/>
      </c>
      <c r="Y462" s="38">
        <f>IF(L462=0,"",M462/L462)</f>
        <v/>
      </c>
      <c r="Z462" t="inlineStr">
        <is>
          <t>CIO - Top Investment Executive</t>
        </is>
      </c>
      <c r="AA462" t="inlineStr">
        <is>
          <t>Leadership</t>
        </is>
      </c>
      <c r="AB462" s="50" t="inlineStr">
        <is>
          <t>Y</t>
        </is>
      </c>
      <c r="AC462" s="43">
        <f>HYPERLINK("https://projects.propublica.org/nonprofits/organizations/943397785/202433189349101128/full","view filing")</f>
        <v/>
      </c>
      <c r="AD462" s="50" t="inlineStr"/>
    </row>
    <row r="463">
      <c r="A463" t="inlineStr">
        <is>
          <t>Gordon E And Betty I Moore Foundation</t>
        </is>
      </c>
      <c r="B463" s="50" t="inlineStr">
        <is>
          <t>CA</t>
        </is>
      </c>
      <c r="C463" s="52" t="n">
        <v>11.35</v>
      </c>
      <c r="D463" t="inlineStr">
        <is>
          <t>Foundation</t>
        </is>
      </c>
      <c r="E463" s="50" t="n">
        <v>2023</v>
      </c>
      <c r="F463" s="50" t="inlineStr">
        <is>
          <t>2024-11-13</t>
        </is>
      </c>
      <c r="G463" s="50" t="inlineStr">
        <is>
          <t>2023-12-31</t>
        </is>
      </c>
      <c r="H463" t="inlineStr">
        <is>
          <t>Felicia Chiu</t>
        </is>
      </c>
      <c r="I463" t="inlineStr">
        <is>
          <t>INVESTMENT DIRECTOR</t>
        </is>
      </c>
      <c r="J463" t="inlineStr">
        <is>
          <t>Director of Investments</t>
        </is>
      </c>
      <c r="K463" t="inlineStr">
        <is>
          <t>Sr Investment Professional</t>
        </is>
      </c>
      <c r="L463" s="28" t="n">
        <v>0</v>
      </c>
      <c r="M463" s="28" t="n">
        <v>0</v>
      </c>
      <c r="N463" s="28" t="n">
        <v>0</v>
      </c>
      <c r="O463" s="28" t="n">
        <v>0</v>
      </c>
      <c r="P463" s="28" t="n">
        <v>0</v>
      </c>
      <c r="Q463" s="28" t="n">
        <v>1567217</v>
      </c>
      <c r="R463" s="28" t="n">
        <v>0</v>
      </c>
      <c r="S463" s="28">
        <f>Q463-R463</f>
        <v/>
      </c>
      <c r="T463" s="28">
        <f>IF(S463="","",S463*(1+in_GrowthRate)^(YEARFRAC(DATE(2023,12,31),in_AgeToDate)*IF(in_AgeToDate&lt;DATE(2023,12,31),-1,1)+1))</f>
        <v/>
      </c>
      <c r="U463" s="50">
        <f>IF(AND(AND(OR(in_Mode="All Funds",AND(C463&gt;=in_BandFloor,C463&lt;=in_BandCeiling,OR(in_Geography="National",COUNTIFS(lst_GeoPreset,in_Geography,lst_GeoState,B463)&gt;0,AND(in_Geography="Custom",ISNUMBER(SEARCH(B463,SUBSTITUTE(in_CustomStates," ",""))))),OR(AND(D463="Endowment",Inputs!$B$14="Y"),AND(D463="Foundation",Inputs!$B$15="Y"),AND(D463="Healthcare",Inputs!$B$16="Y"),AND(D463="Pension",Inputs!$B$17="Y"),AND(D463="OCIO",Inputs!$B$18="Y"),AND(D463="Other",Inputs!$B$19="Y")))),A463&lt;&gt;in_ClientOrg,NOT(AND(in_ExclHarvard="Y",ISNUMBER(SEARCH("Harvard",A463))))),$AD463="Y",K463&lt;&gt;"",S463&gt;0),"Y","")</f>
        <v/>
      </c>
      <c r="V463" s="30" t="n">
        <v>0.3450175423842805</v>
      </c>
      <c r="W463" t="inlineStr"/>
      <c r="X463" s="28">
        <f>IF(L463+M463=0,"",L463+M463)</f>
        <v/>
      </c>
      <c r="Y463" s="38">
        <f>IF(L463=0,"",M463/L463)</f>
        <v/>
      </c>
      <c r="Z463" t="inlineStr">
        <is>
          <t>Director &amp; Investment Officer</t>
        </is>
      </c>
      <c r="AA463" t="inlineStr">
        <is>
          <t>Investments</t>
        </is>
      </c>
      <c r="AB463" s="50" t="inlineStr"/>
      <c r="AC463" s="43">
        <f>HYPERLINK("https://projects.propublica.org/nonprofits/organizations/943397785/202433189349101128/full","view filing")</f>
        <v/>
      </c>
      <c r="AD463" s="50" t="inlineStr"/>
    </row>
    <row r="464">
      <c r="A464" t="inlineStr">
        <is>
          <t>Gordon E And Betty I Moore Foundation</t>
        </is>
      </c>
      <c r="B464" s="50" t="inlineStr">
        <is>
          <t>CA</t>
        </is>
      </c>
      <c r="C464" s="52" t="n">
        <v>11.35</v>
      </c>
      <c r="D464" t="inlineStr">
        <is>
          <t>Foundation</t>
        </is>
      </c>
      <c r="E464" s="50" t="n">
        <v>2023</v>
      </c>
      <c r="F464" s="50" t="inlineStr">
        <is>
          <t>2024-11-13</t>
        </is>
      </c>
      <c r="G464" s="50" t="inlineStr">
        <is>
          <t>2023-12-31</t>
        </is>
      </c>
      <c r="H464" t="inlineStr">
        <is>
          <t>Tyler Connolly</t>
        </is>
      </c>
      <c r="I464" t="inlineStr">
        <is>
          <t>INVESTMENT DIRECTOR</t>
        </is>
      </c>
      <c r="J464" t="inlineStr">
        <is>
          <t>Director of Investments</t>
        </is>
      </c>
      <c r="K464" t="inlineStr">
        <is>
          <t>Sr Investment Professional</t>
        </is>
      </c>
      <c r="L464" s="28" t="n">
        <v>0</v>
      </c>
      <c r="M464" s="28" t="n">
        <v>0</v>
      </c>
      <c r="N464" s="28" t="n">
        <v>0</v>
      </c>
      <c r="O464" s="28" t="n">
        <v>0</v>
      </c>
      <c r="P464" s="28" t="n">
        <v>0</v>
      </c>
      <c r="Q464" s="28" t="n">
        <v>733309</v>
      </c>
      <c r="R464" s="28" t="n">
        <v>0</v>
      </c>
      <c r="S464" s="28">
        <f>Q464-R464</f>
        <v/>
      </c>
      <c r="T464" s="28">
        <f>IF(S464="","",S464*(1+in_GrowthRate)^(YEARFRAC(DATE(2023,12,31),in_AgeToDate)*IF(in_AgeToDate&lt;DATE(2023,12,31),-1,1)+1))</f>
        <v/>
      </c>
      <c r="U464" s="50">
        <f>IF(AND(AND(OR(in_Mode="All Funds",AND(C464&gt;=in_BandFloor,C464&lt;=in_BandCeiling,OR(in_Geography="National",COUNTIFS(lst_GeoPreset,in_Geography,lst_GeoState,B464)&gt;0,AND(in_Geography="Custom",ISNUMBER(SEARCH(B464,SUBSTITUTE(in_CustomStates," ",""))))),OR(AND(D464="Endowment",Inputs!$B$14="Y"),AND(D464="Foundation",Inputs!$B$15="Y"),AND(D464="Healthcare",Inputs!$B$16="Y"),AND(D464="Pension",Inputs!$B$17="Y"),AND(D464="OCIO",Inputs!$B$18="Y"),AND(D464="Other",Inputs!$B$19="Y")))),A464&lt;&gt;in_ClientOrg,NOT(AND(in_ExclHarvard="Y",ISNUMBER(SEARCH("Harvard",A464))))),$AD464="Y",K464&lt;&gt;"",S464&gt;0),"Y","")</f>
        <v/>
      </c>
      <c r="V464" s="30" t="n">
        <v>0.1614355057329485</v>
      </c>
      <c r="W464" t="inlineStr"/>
      <c r="X464" s="28">
        <f>IF(L464+M464=0,"",L464+M464)</f>
        <v/>
      </c>
      <c r="Y464" s="38">
        <f>IF(L464=0,"",M464/L464)</f>
        <v/>
      </c>
      <c r="Z464" t="inlineStr">
        <is>
          <t>Director &amp; Investment Officer</t>
        </is>
      </c>
      <c r="AA464" t="inlineStr">
        <is>
          <t>Investments</t>
        </is>
      </c>
      <c r="AB464" s="50" t="inlineStr"/>
      <c r="AC464" s="43">
        <f>HYPERLINK("https://projects.propublica.org/nonprofits/organizations/943397785/202433189349101128/full","view filing")</f>
        <v/>
      </c>
      <c r="AD464" s="50" t="inlineStr"/>
    </row>
    <row r="465">
      <c r="A465" t="inlineStr">
        <is>
          <t>Gordon E And Betty I Moore Foundation</t>
        </is>
      </c>
      <c r="B465" s="50" t="inlineStr">
        <is>
          <t>CA</t>
        </is>
      </c>
      <c r="C465" s="52" t="n">
        <v>11.35</v>
      </c>
      <c r="D465" t="inlineStr">
        <is>
          <t>Foundation</t>
        </is>
      </c>
      <c r="E465" s="50" t="n">
        <v>2022</v>
      </c>
      <c r="F465" s="50" t="inlineStr">
        <is>
          <t>2023-11-14</t>
        </is>
      </c>
      <c r="G465" s="50" t="inlineStr">
        <is>
          <t>2022-12-31</t>
        </is>
      </c>
      <c r="H465" t="inlineStr">
        <is>
          <t>Alison Barad</t>
        </is>
      </c>
      <c r="I465" t="inlineStr">
        <is>
          <t>INVESTMENT DIRECTOR</t>
        </is>
      </c>
      <c r="J465" t="inlineStr">
        <is>
          <t>Director of Investments</t>
        </is>
      </c>
      <c r="K465" t="inlineStr">
        <is>
          <t>Sr Investment Professional</t>
        </is>
      </c>
      <c r="L465" s="28" t="n">
        <v>0</v>
      </c>
      <c r="M465" s="28" t="n">
        <v>0</v>
      </c>
      <c r="N465" s="28" t="n">
        <v>0</v>
      </c>
      <c r="O465" s="28" t="n">
        <v>0</v>
      </c>
      <c r="P465" s="28" t="n">
        <v>0</v>
      </c>
      <c r="Q465" s="28" t="n">
        <v>2358793</v>
      </c>
      <c r="R465" s="28" t="n">
        <v>0</v>
      </c>
      <c r="S465" s="28">
        <f>Q465-R465</f>
        <v/>
      </c>
      <c r="T465" s="28">
        <f>IF(S465="","",S465*(1+in_GrowthRate)^(YEARFRAC(DATE(2022,12,31),in_AgeToDate)*IF(in_AgeToDate&lt;DATE(2022,12,31),-1,1)+1))</f>
        <v/>
      </c>
      <c r="U465" s="50">
        <f>IF(AND(AND(OR(in_Mode="All Funds",AND(C465&gt;=in_BandFloor,C465&lt;=in_BandCeiling,OR(in_Geography="National",COUNTIFS(lst_GeoPreset,in_Geography,lst_GeoState,B465)&gt;0,AND(in_Geography="Custom",ISNUMBER(SEARCH(B465,SUBSTITUTE(in_CustomStates," ",""))))),OR(AND(D465="Endowment",Inputs!$B$14="Y"),AND(D465="Foundation",Inputs!$B$15="Y"),AND(D465="Healthcare",Inputs!$B$16="Y"),AND(D465="Pension",Inputs!$B$17="Y"),AND(D465="OCIO",Inputs!$B$18="Y"),AND(D465="Other",Inputs!$B$19="Y")))),A465&lt;&gt;in_ClientOrg,NOT(AND(in_ExclHarvard="Y",ISNUMBER(SEARCH("Harvard",A465))))),$AD465="Y",K465&lt;&gt;"",S465&gt;0),"Y","")</f>
        <v/>
      </c>
      <c r="V465" s="30" t="n">
        <v>0.3298944287143827</v>
      </c>
      <c r="W465" t="inlineStr"/>
      <c r="X465" s="28">
        <f>IF(L465+M465=0,"",L465+M465)</f>
        <v/>
      </c>
      <c r="Y465" s="38">
        <f>IF(L465=0,"",M465/L465)</f>
        <v/>
      </c>
      <c r="Z465" t="inlineStr">
        <is>
          <t>Director &amp; Investment Officer</t>
        </is>
      </c>
      <c r="AA465" t="inlineStr">
        <is>
          <t>Investments</t>
        </is>
      </c>
      <c r="AB465" s="50" t="inlineStr"/>
      <c r="AC465" s="43">
        <f>HYPERLINK("https://projects.propublica.org/nonprofits/organizations/943397785/202323189349106572/full","view filing")</f>
        <v/>
      </c>
      <c r="AD465" s="50" t="inlineStr"/>
    </row>
    <row r="466">
      <c r="A466" t="inlineStr">
        <is>
          <t>Gordon E And Betty I Moore Foundation</t>
        </is>
      </c>
      <c r="B466" s="50" t="inlineStr">
        <is>
          <t>CA</t>
        </is>
      </c>
      <c r="C466" s="52" t="n">
        <v>11.35</v>
      </c>
      <c r="D466" t="inlineStr">
        <is>
          <t>Foundation</t>
        </is>
      </c>
      <c r="E466" s="50" t="n">
        <v>2022</v>
      </c>
      <c r="F466" s="50" t="inlineStr">
        <is>
          <t>2023-11-14</t>
        </is>
      </c>
      <c r="G466" s="50" t="inlineStr">
        <is>
          <t>2022-12-31</t>
        </is>
      </c>
      <c r="H466" t="inlineStr">
        <is>
          <t>Ciera Ashley</t>
        </is>
      </c>
      <c r="I466" t="inlineStr">
        <is>
          <t>INVESTMENT DIRECTOR</t>
        </is>
      </c>
      <c r="J466" t="inlineStr">
        <is>
          <t>Director of Investments</t>
        </is>
      </c>
      <c r="K466" t="inlineStr">
        <is>
          <t>Sr Investment Professional</t>
        </is>
      </c>
      <c r="L466" s="28" t="n">
        <v>0</v>
      </c>
      <c r="M466" s="28" t="n">
        <v>0</v>
      </c>
      <c r="N466" s="28" t="n">
        <v>0</v>
      </c>
      <c r="O466" s="28" t="n">
        <v>0</v>
      </c>
      <c r="P466" s="28" t="n">
        <v>0</v>
      </c>
      <c r="Q466" s="28" t="n">
        <v>600000</v>
      </c>
      <c r="R466" s="28" t="n">
        <v>0</v>
      </c>
      <c r="S466" s="28">
        <f>Q466-R466</f>
        <v/>
      </c>
      <c r="T466" s="28">
        <f>IF(S466="","",S466*(1+in_GrowthRate)^(YEARFRAC(DATE(2022,12,31),in_AgeToDate)*IF(in_AgeToDate&lt;DATE(2022,12,31),-1,1)+1))</f>
        <v/>
      </c>
      <c r="U466" s="50">
        <f>IF(AND(AND(OR(in_Mode="All Funds",AND(C466&gt;=in_BandFloor,C466&lt;=in_BandCeiling,OR(in_Geography="National",COUNTIFS(lst_GeoPreset,in_Geography,lst_GeoState,B466)&gt;0,AND(in_Geography="Custom",ISNUMBER(SEARCH(B466,SUBSTITUTE(in_CustomStates," ",""))))),OR(AND(D466="Endowment",Inputs!$B$14="Y"),AND(D466="Foundation",Inputs!$B$15="Y"),AND(D466="Healthcare",Inputs!$B$16="Y"),AND(D466="Pension",Inputs!$B$17="Y"),AND(D466="OCIO",Inputs!$B$18="Y"),AND(D466="Other",Inputs!$B$19="Y")))),A466&lt;&gt;in_ClientOrg,NOT(AND(in_ExclHarvard="Y",ISNUMBER(SEARCH("Harvard",A466))))),$AD466="Y",K466&lt;&gt;"",S466&gt;0),"Y","")</f>
        <v/>
      </c>
      <c r="V466" s="30" t="n">
        <v>0.08391438215588636</v>
      </c>
      <c r="W466" t="inlineStr"/>
      <c r="X466" s="28">
        <f>IF(L466+M466=0,"",L466+M466)</f>
        <v/>
      </c>
      <c r="Y466" s="38">
        <f>IF(L466=0,"",M466/L466)</f>
        <v/>
      </c>
      <c r="Z466" t="inlineStr">
        <is>
          <t>Director &amp; Investment Officer</t>
        </is>
      </c>
      <c r="AA466" t="inlineStr">
        <is>
          <t>Investments</t>
        </is>
      </c>
      <c r="AB466" s="50" t="inlineStr"/>
      <c r="AC466" s="43">
        <f>HYPERLINK("https://projects.propublica.org/nonprofits/organizations/943397785/202323189349106572/full","view filing")</f>
        <v/>
      </c>
      <c r="AD466" s="50" t="inlineStr"/>
    </row>
    <row r="467">
      <c r="A467" t="inlineStr">
        <is>
          <t>Gordon E And Betty I Moore Foundation</t>
        </is>
      </c>
      <c r="B467" s="50" t="inlineStr">
        <is>
          <t>CA</t>
        </is>
      </c>
      <c r="C467" s="52" t="n">
        <v>11.35</v>
      </c>
      <c r="D467" t="inlineStr">
        <is>
          <t>Foundation</t>
        </is>
      </c>
      <c r="E467" s="50" t="n">
        <v>2022</v>
      </c>
      <c r="F467" s="50" t="inlineStr">
        <is>
          <t>2023-11-14</t>
        </is>
      </c>
      <c r="G467" s="50" t="inlineStr">
        <is>
          <t>2022-12-31</t>
        </is>
      </c>
      <c r="H467" t="inlineStr">
        <is>
          <t>Dale Kunkel</t>
        </is>
      </c>
      <c r="I467" t="inlineStr">
        <is>
          <t>INVESTMENT DIRECTOR</t>
        </is>
      </c>
      <c r="J467" t="inlineStr">
        <is>
          <t>Director of Investments</t>
        </is>
      </c>
      <c r="K467" t="inlineStr">
        <is>
          <t>Sr Investment Professional</t>
        </is>
      </c>
      <c r="L467" s="28" t="n">
        <v>0</v>
      </c>
      <c r="M467" s="28" t="n">
        <v>0</v>
      </c>
      <c r="N467" s="28" t="n">
        <v>0</v>
      </c>
      <c r="O467" s="28" t="n">
        <v>0</v>
      </c>
      <c r="P467" s="28" t="n">
        <v>0</v>
      </c>
      <c r="Q467" s="28" t="n">
        <v>2010525</v>
      </c>
      <c r="R467" s="28" t="n">
        <v>0</v>
      </c>
      <c r="S467" s="28">
        <f>Q467-R467</f>
        <v/>
      </c>
      <c r="T467" s="28">
        <f>IF(S467="","",S467*(1+in_GrowthRate)^(YEARFRAC(DATE(2022,12,31),in_AgeToDate)*IF(in_AgeToDate&lt;DATE(2022,12,31),-1,1)+1))</f>
        <v/>
      </c>
      <c r="U467" s="50">
        <f>IF(AND(AND(OR(in_Mode="All Funds",AND(C467&gt;=in_BandFloor,C467&lt;=in_BandCeiling,OR(in_Geography="National",COUNTIFS(lst_GeoPreset,in_Geography,lst_GeoState,B467)&gt;0,AND(in_Geography="Custom",ISNUMBER(SEARCH(B467,SUBSTITUTE(in_CustomStates," ",""))))),OR(AND(D467="Endowment",Inputs!$B$14="Y"),AND(D467="Foundation",Inputs!$B$15="Y"),AND(D467="Healthcare",Inputs!$B$16="Y"),AND(D467="Pension",Inputs!$B$17="Y"),AND(D467="OCIO",Inputs!$B$18="Y"),AND(D467="Other",Inputs!$B$19="Y")))),A467&lt;&gt;in_ClientOrg,NOT(AND(in_ExclHarvard="Y",ISNUMBER(SEARCH("Harvard",A467))))),$AD467="Y",K467&lt;&gt;"",S467&gt;0),"Y","")</f>
        <v/>
      </c>
      <c r="V467" s="30" t="n">
        <v>0.2811866053066057</v>
      </c>
      <c r="W467" t="inlineStr"/>
      <c r="X467" s="28">
        <f>IF(L467+M467=0,"",L467+M467)</f>
        <v/>
      </c>
      <c r="Y467" s="38">
        <f>IF(L467=0,"",M467/L467)</f>
        <v/>
      </c>
      <c r="Z467" t="inlineStr">
        <is>
          <t>Director &amp; Investment Officer</t>
        </is>
      </c>
      <c r="AA467" t="inlineStr">
        <is>
          <t>Investments</t>
        </is>
      </c>
      <c r="AB467" s="50" t="inlineStr"/>
      <c r="AC467" s="43">
        <f>HYPERLINK("https://projects.propublica.org/nonprofits/organizations/943397785/202323189349106572/full","view filing")</f>
        <v/>
      </c>
      <c r="AD467" s="50" t="inlineStr"/>
    </row>
    <row r="468">
      <c r="A468" t="inlineStr">
        <is>
          <t>Gordon E And Betty I Moore Foundation</t>
        </is>
      </c>
      <c r="B468" s="50" t="inlineStr">
        <is>
          <t>CA</t>
        </is>
      </c>
      <c r="C468" s="52" t="n">
        <v>11.35</v>
      </c>
      <c r="D468" t="inlineStr">
        <is>
          <t>Foundation</t>
        </is>
      </c>
      <c r="E468" s="50" t="n">
        <v>2022</v>
      </c>
      <c r="F468" s="50" t="inlineStr">
        <is>
          <t>2023-11-14</t>
        </is>
      </c>
      <c r="G468" s="50" t="inlineStr">
        <is>
          <t>2022-12-31</t>
        </is>
      </c>
      <c r="H468" t="inlineStr">
        <is>
          <t>Denise Strack</t>
        </is>
      </c>
      <c r="I468" t="inlineStr">
        <is>
          <t>CHIEF INVESTMENT OFFICER</t>
        </is>
      </c>
      <c r="J468" t="inlineStr">
        <is>
          <t>CIO</t>
        </is>
      </c>
      <c r="K468" t="inlineStr">
        <is>
          <t>CIO - Top Investment Executive</t>
        </is>
      </c>
      <c r="L468" s="28" t="n">
        <v>0</v>
      </c>
      <c r="M468" s="28" t="n">
        <v>0</v>
      </c>
      <c r="N468" s="28" t="n">
        <v>0</v>
      </c>
      <c r="O468" s="28" t="n">
        <v>0</v>
      </c>
      <c r="P468" s="28" t="n">
        <v>1053914</v>
      </c>
      <c r="Q468" s="28" t="n">
        <v>7150145</v>
      </c>
      <c r="R468" s="28" t="n">
        <v>0</v>
      </c>
      <c r="S468" s="28">
        <f>Q468-R468</f>
        <v/>
      </c>
      <c r="T468" s="28">
        <f>IF(S468="","",S468*(1+in_GrowthRate)^(YEARFRAC(DATE(2022,12,31),in_AgeToDate)*IF(in_AgeToDate&lt;DATE(2022,12,31),-1,1)+1))</f>
        <v/>
      </c>
      <c r="U468" s="50">
        <f>IF(AND(AND(OR(in_Mode="All Funds",AND(C468&gt;=in_BandFloor,C468&lt;=in_BandCeiling,OR(in_Geography="National",COUNTIFS(lst_GeoPreset,in_Geography,lst_GeoState,B468)&gt;0,AND(in_Geography="Custom",ISNUMBER(SEARCH(B468,SUBSTITUTE(in_CustomStates," ",""))))),OR(AND(D468="Endowment",Inputs!$B$14="Y"),AND(D468="Foundation",Inputs!$B$15="Y"),AND(D468="Healthcare",Inputs!$B$16="Y"),AND(D468="Pension",Inputs!$B$17="Y"),AND(D468="OCIO",Inputs!$B$18="Y"),AND(D468="Other",Inputs!$B$19="Y")))),A468&lt;&gt;in_ClientOrg,NOT(AND(in_ExclHarvard="Y",ISNUMBER(SEARCH("Harvard",A468))))),$AD468="Y",K468&lt;&gt;"",S468&gt;0),"Y","")</f>
        <v/>
      </c>
      <c r="V468" s="30" t="n">
        <v>1</v>
      </c>
      <c r="W468" t="inlineStr"/>
      <c r="X468" s="28">
        <f>IF(L468+M468=0,"",L468+M468)</f>
        <v/>
      </c>
      <c r="Y468" s="38">
        <f>IF(L468=0,"",M468/L468)</f>
        <v/>
      </c>
      <c r="Z468" t="inlineStr">
        <is>
          <t>CIO - Top Investment Executive</t>
        </is>
      </c>
      <c r="AA468" t="inlineStr">
        <is>
          <t>Leadership</t>
        </is>
      </c>
      <c r="AB468" s="50" t="inlineStr">
        <is>
          <t>Y</t>
        </is>
      </c>
      <c r="AC468" s="43">
        <f>HYPERLINK("https://projects.propublica.org/nonprofits/organizations/943397785/202323189349106572/full","view filing")</f>
        <v/>
      </c>
      <c r="AD468" s="50" t="inlineStr"/>
    </row>
    <row r="469">
      <c r="A469" t="inlineStr">
        <is>
          <t>Gordon E And Betty I Moore Foundation</t>
        </is>
      </c>
      <c r="B469" s="50" t="inlineStr">
        <is>
          <t>CA</t>
        </is>
      </c>
      <c r="C469" s="52" t="n">
        <v>11.35</v>
      </c>
      <c r="D469" t="inlineStr">
        <is>
          <t>Foundation</t>
        </is>
      </c>
      <c r="E469" s="50" t="n">
        <v>2022</v>
      </c>
      <c r="F469" s="50" t="inlineStr">
        <is>
          <t>2023-11-14</t>
        </is>
      </c>
      <c r="G469" s="50" t="inlineStr">
        <is>
          <t>2022-12-31</t>
        </is>
      </c>
      <c r="H469" t="inlineStr">
        <is>
          <t>Felicia Chiu</t>
        </is>
      </c>
      <c r="I469" t="inlineStr">
        <is>
          <t>INVESTMENT DIRECTOR</t>
        </is>
      </c>
      <c r="J469" t="inlineStr">
        <is>
          <t>Director of Investments</t>
        </is>
      </c>
      <c r="K469" t="inlineStr">
        <is>
          <t>Sr Investment Professional</t>
        </is>
      </c>
      <c r="L469" s="28" t="n">
        <v>0</v>
      </c>
      <c r="M469" s="28" t="n">
        <v>0</v>
      </c>
      <c r="N469" s="28" t="n">
        <v>0</v>
      </c>
      <c r="O469" s="28" t="n">
        <v>0</v>
      </c>
      <c r="P469" s="28" t="n">
        <v>0</v>
      </c>
      <c r="Q469" s="28" t="n">
        <v>1913695</v>
      </c>
      <c r="R469" s="28" t="n">
        <v>0</v>
      </c>
      <c r="S469" s="28">
        <f>Q469-R469</f>
        <v/>
      </c>
      <c r="T469" s="28">
        <f>IF(S469="","",S469*(1+in_GrowthRate)^(YEARFRAC(DATE(2022,12,31),in_AgeToDate)*IF(in_AgeToDate&lt;DATE(2022,12,31),-1,1)+1))</f>
        <v/>
      </c>
      <c r="U469" s="50">
        <f>IF(AND(AND(OR(in_Mode="All Funds",AND(C469&gt;=in_BandFloor,C469&lt;=in_BandCeiling,OR(in_Geography="National",COUNTIFS(lst_GeoPreset,in_Geography,lst_GeoState,B469)&gt;0,AND(in_Geography="Custom",ISNUMBER(SEARCH(B469,SUBSTITUTE(in_CustomStates," ",""))))),OR(AND(D469="Endowment",Inputs!$B$14="Y"),AND(D469="Foundation",Inputs!$B$15="Y"),AND(D469="Healthcare",Inputs!$B$16="Y"),AND(D469="Pension",Inputs!$B$17="Y"),AND(D469="OCIO",Inputs!$B$18="Y"),AND(D469="Other",Inputs!$B$19="Y")))),A469&lt;&gt;in_ClientOrg,NOT(AND(in_ExclHarvard="Y",ISNUMBER(SEARCH("Harvard",A469))))),$AD469="Y",K469&lt;&gt;"",S469&gt;0),"Y","")</f>
        <v/>
      </c>
      <c r="V469" s="30" t="n">
        <v>0.2676442225996816</v>
      </c>
      <c r="W469" t="inlineStr"/>
      <c r="X469" s="28">
        <f>IF(L469+M469=0,"",L469+M469)</f>
        <v/>
      </c>
      <c r="Y469" s="38">
        <f>IF(L469=0,"",M469/L469)</f>
        <v/>
      </c>
      <c r="Z469" t="inlineStr">
        <is>
          <t>Director &amp; Investment Officer</t>
        </is>
      </c>
      <c r="AA469" t="inlineStr">
        <is>
          <t>Investments</t>
        </is>
      </c>
      <c r="AB469" s="50" t="inlineStr"/>
      <c r="AC469" s="43">
        <f>HYPERLINK("https://projects.propublica.org/nonprofits/organizations/943397785/202323189349106572/full","view filing")</f>
        <v/>
      </c>
      <c r="AD469" s="50" t="inlineStr"/>
    </row>
    <row r="470">
      <c r="A470" t="inlineStr">
        <is>
          <t>Harvard Management Company Inc</t>
        </is>
      </c>
      <c r="B470" s="50" t="inlineStr">
        <is>
          <t>MA</t>
        </is>
      </c>
      <c r="C470" s="52" t="n">
        <v>53.2</v>
      </c>
      <c r="D470" t="inlineStr">
        <is>
          <t>Endowment</t>
        </is>
      </c>
      <c r="E470" s="50" t="n">
        <v>2025</v>
      </c>
      <c r="F470" s="50" t="inlineStr">
        <is>
          <t>2026-05-12</t>
        </is>
      </c>
      <c r="G470" s="50" t="inlineStr">
        <is>
          <t>2025-06-30</t>
        </is>
      </c>
      <c r="H470" t="inlineStr">
        <is>
          <t>Adam Goldstein</t>
        </is>
      </c>
      <c r="I470" t="inlineStr">
        <is>
          <t>MD - GENERALIST TEAM</t>
        </is>
      </c>
      <c r="J470" t="inlineStr">
        <is>
          <t>Managing Director</t>
        </is>
      </c>
      <c r="K470" t="inlineStr">
        <is>
          <t>Sr Investment Professional</t>
        </is>
      </c>
      <c r="L470" s="28" t="n">
        <v>699442</v>
      </c>
      <c r="M470" s="28" t="n">
        <v>2796411</v>
      </c>
      <c r="N470" s="28" t="n">
        <v>540</v>
      </c>
      <c r="O470" s="28" t="n">
        <v>86423</v>
      </c>
      <c r="P470" s="28" t="n">
        <v>35653</v>
      </c>
      <c r="Q470" s="28" t="n">
        <v>3618469</v>
      </c>
      <c r="R470" s="28" t="n">
        <v>54231</v>
      </c>
      <c r="S470" s="28">
        <f>Q470-R470</f>
        <v/>
      </c>
      <c r="T470" s="28">
        <f>IF(S470="","",S470*(1+in_GrowthRate)^(YEARFRAC(DATE(2025,6,30),in_AgeToDate)*IF(in_AgeToDate&lt;DATE(2025,6,30),-1,1)+1))</f>
        <v/>
      </c>
      <c r="U470" s="50">
        <f>IF(AND(AND(OR(in_Mode="All Funds",AND(C470&gt;=in_BandFloor,C470&lt;=in_BandCeiling,OR(in_Geography="National",COUNTIFS(lst_GeoPreset,in_Geography,lst_GeoState,B470)&gt;0,AND(in_Geography="Custom",ISNUMBER(SEARCH(B470,SUBSTITUTE(in_CustomStates," ",""))))),OR(AND(D470="Endowment",Inputs!$B$14="Y"),AND(D470="Foundation",Inputs!$B$15="Y"),AND(D470="Healthcare",Inputs!$B$16="Y"),AND(D470="Pension",Inputs!$B$17="Y"),AND(D470="OCIO",Inputs!$B$18="Y"),AND(D470="Other",Inputs!$B$19="Y")))),A470&lt;&gt;in_ClientOrg,NOT(AND(in_ExclHarvard="Y",ISNUMBER(SEARCH("Harvard",A470))))),$AD470="Y",K470&lt;&gt;"",S470&gt;0),"Y","")</f>
        <v/>
      </c>
      <c r="V470" s="30" t="n">
        <v>0.5668109202731261</v>
      </c>
      <c r="W470" t="inlineStr"/>
      <c r="X470" s="28">
        <f>IF(L470+M470=0,"",L470+M470)</f>
        <v/>
      </c>
      <c r="Y470" s="38">
        <f>IF(L470=0,"",M470/L470)</f>
        <v/>
      </c>
      <c r="Z470" t="inlineStr">
        <is>
          <t>Managing Director</t>
        </is>
      </c>
      <c r="AA470" t="inlineStr">
        <is>
          <t>Investments</t>
        </is>
      </c>
      <c r="AB470" s="50" t="inlineStr"/>
      <c r="AC470" s="43">
        <f>HYPERLINK("https://projects.propublica.org/nonprofits/organizations/237361259/202641329349302354/full","view filing")</f>
        <v/>
      </c>
      <c r="AD470" s="50" t="inlineStr">
        <is>
          <t>Y</t>
        </is>
      </c>
    </row>
    <row r="471">
      <c r="A471" t="inlineStr">
        <is>
          <t>Harvard Management Company Inc</t>
        </is>
      </c>
      <c r="B471" s="50" t="inlineStr">
        <is>
          <t>MA</t>
        </is>
      </c>
      <c r="C471" s="52" t="n">
        <v>53.2</v>
      </c>
      <c r="D471" t="inlineStr">
        <is>
          <t>Endowment</t>
        </is>
      </c>
      <c r="E471" s="50" t="n">
        <v>2025</v>
      </c>
      <c r="F471" s="50" t="inlineStr">
        <is>
          <t>2026-05-12</t>
        </is>
      </c>
      <c r="G471" s="50" t="inlineStr">
        <is>
          <t>2025-06-30</t>
        </is>
      </c>
      <c r="H471" t="inlineStr">
        <is>
          <t>John Shue</t>
        </is>
      </c>
      <c r="I471" t="inlineStr">
        <is>
          <t>MD - Generalist Team</t>
        </is>
      </c>
      <c r="J471" t="inlineStr">
        <is>
          <t>Managing Director</t>
        </is>
      </c>
      <c r="K471" t="inlineStr">
        <is>
          <t>Sr Investment Professional</t>
        </is>
      </c>
      <c r="L471" s="28" t="n">
        <v>492462</v>
      </c>
      <c r="M471" s="28" t="n">
        <v>2582127</v>
      </c>
      <c r="N471" s="28" t="n">
        <v>2322</v>
      </c>
      <c r="O471" s="28" t="n">
        <v>82577</v>
      </c>
      <c r="P471" s="28" t="n">
        <v>39051</v>
      </c>
      <c r="Q471" s="28" t="n">
        <v>3198539</v>
      </c>
      <c r="R471" s="28" t="n">
        <v>49712</v>
      </c>
      <c r="S471" s="28">
        <f>Q471-R471</f>
        <v/>
      </c>
      <c r="T471" s="28">
        <f>IF(S471="","",S471*(1+in_GrowthRate)^(YEARFRAC(DATE(2025,6,30),in_AgeToDate)*IF(in_AgeToDate&lt;DATE(2025,6,30),-1,1)+1))</f>
        <v/>
      </c>
      <c r="U471" s="50">
        <f>IF(AND(AND(OR(in_Mode="All Funds",AND(C471&gt;=in_BandFloor,C471&lt;=in_BandCeiling,OR(in_Geography="National",COUNTIFS(lst_GeoPreset,in_Geography,lst_GeoState,B471)&gt;0,AND(in_Geography="Custom",ISNUMBER(SEARCH(B471,SUBSTITUTE(in_CustomStates," ",""))))),OR(AND(D471="Endowment",Inputs!$B$14="Y"),AND(D471="Foundation",Inputs!$B$15="Y"),AND(D471="Healthcare",Inputs!$B$16="Y"),AND(D471="Pension",Inputs!$B$17="Y"),AND(D471="OCIO",Inputs!$B$18="Y"),AND(D471="Other",Inputs!$B$19="Y")))),A471&lt;&gt;in_ClientOrg,NOT(AND(in_ExclHarvard="Y",ISNUMBER(SEARCH("Harvard",A471))))),$AD471="Y",K471&lt;&gt;"",S471&gt;0),"Y","")</f>
        <v/>
      </c>
      <c r="V471" s="30" t="n">
        <v>0.5007492568259658</v>
      </c>
      <c r="W471" t="inlineStr"/>
      <c r="X471" s="28">
        <f>IF(L471+M471=0,"",L471+M471)</f>
        <v/>
      </c>
      <c r="Y471" s="38">
        <f>IF(L471=0,"",M471/L471)</f>
        <v/>
      </c>
      <c r="Z471" t="inlineStr">
        <is>
          <t>Managing Director</t>
        </is>
      </c>
      <c r="AA471" t="inlineStr">
        <is>
          <t>Investments</t>
        </is>
      </c>
      <c r="AB471" s="50" t="inlineStr"/>
      <c r="AC471" s="43">
        <f>HYPERLINK("https://projects.propublica.org/nonprofits/organizations/237361259/202641329349302354/full","view filing")</f>
        <v/>
      </c>
      <c r="AD471" s="50" t="inlineStr">
        <is>
          <t>Y</t>
        </is>
      </c>
    </row>
    <row r="472">
      <c r="A472" t="inlineStr">
        <is>
          <t>Harvard Management Company Inc</t>
        </is>
      </c>
      <c r="B472" s="50" t="inlineStr">
        <is>
          <t>MA</t>
        </is>
      </c>
      <c r="C472" s="52" t="n">
        <v>53.2</v>
      </c>
      <c r="D472" t="inlineStr">
        <is>
          <t>Endowment</t>
        </is>
      </c>
      <c r="E472" s="50" t="n">
        <v>2025</v>
      </c>
      <c r="F472" s="50" t="inlineStr">
        <is>
          <t>2026-05-12</t>
        </is>
      </c>
      <c r="G472" s="50" t="inlineStr">
        <is>
          <t>2025-06-30</t>
        </is>
      </c>
      <c r="H472" t="inlineStr">
        <is>
          <t>Kathryn I Murtagh</t>
        </is>
      </c>
      <c r="I472" t="inlineStr">
        <is>
          <t>MD - CCO &amp; CLERK</t>
        </is>
      </c>
      <c r="J472" t="inlineStr">
        <is>
          <t>Chief Compliance Officer (Inv Entity)</t>
        </is>
      </c>
      <c r="K472" t="inlineStr">
        <is>
          <t>Other disclosed professionals</t>
        </is>
      </c>
      <c r="L472" s="28" t="n">
        <v>776794</v>
      </c>
      <c r="M472" s="28" t="n">
        <v>1575000</v>
      </c>
      <c r="N472" s="28" t="n">
        <v>25322</v>
      </c>
      <c r="O472" s="28" t="n">
        <v>34500</v>
      </c>
      <c r="P472" s="28" t="n">
        <v>16111</v>
      </c>
      <c r="Q472" s="28" t="n">
        <v>2427727</v>
      </c>
      <c r="R472" s="28" t="n">
        <v>0</v>
      </c>
      <c r="S472" s="28">
        <f>Q472-R472</f>
        <v/>
      </c>
      <c r="T472" s="28">
        <f>IF(S472="","",S472*(1+in_GrowthRate)^(YEARFRAC(DATE(2025,6,30),in_AgeToDate)*IF(in_AgeToDate&lt;DATE(2025,6,30),-1,1)+1))</f>
        <v/>
      </c>
      <c r="U472" s="50">
        <f>IF(AND(AND(OR(in_Mode="All Funds",AND(C472&gt;=in_BandFloor,C472&lt;=in_BandCeiling,OR(in_Geography="National",COUNTIFS(lst_GeoPreset,in_Geography,lst_GeoState,B472)&gt;0,AND(in_Geography="Custom",ISNUMBER(SEARCH(B472,SUBSTITUTE(in_CustomStates," ",""))))),OR(AND(D472="Endowment",Inputs!$B$14="Y"),AND(D472="Foundation",Inputs!$B$15="Y"),AND(D472="Healthcare",Inputs!$B$16="Y"),AND(D472="Pension",Inputs!$B$17="Y"),AND(D472="OCIO",Inputs!$B$18="Y"),AND(D472="Other",Inputs!$B$19="Y")))),A472&lt;&gt;in_ClientOrg,NOT(AND(in_ExclHarvard="Y",ISNUMBER(SEARCH("Harvard",A472))))),$AD472="Y",K472&lt;&gt;"",S472&gt;0),"Y","")</f>
        <v/>
      </c>
      <c r="V472" s="30" t="n">
        <v>0.386074716402753</v>
      </c>
      <c r="W472" t="inlineStr">
        <is>
          <t>Other disclosed professionals</t>
        </is>
      </c>
      <c r="X472" s="28">
        <f>IF(L472+M472=0,"",L472+M472)</f>
        <v/>
      </c>
      <c r="Y472" s="38">
        <f>IF(L472=0,"",M472/L472)</f>
        <v/>
      </c>
      <c r="Z472" t="inlineStr">
        <is>
          <t>Other disclosed professionals</t>
        </is>
      </c>
      <c r="AA472" t="inlineStr">
        <is>
          <t>Operations &amp; Control</t>
        </is>
      </c>
      <c r="AB472" s="50" t="inlineStr"/>
      <c r="AC472" s="43">
        <f>HYPERLINK("https://projects.propublica.org/nonprofits/organizations/237361259/202641329349302354/full","view filing")</f>
        <v/>
      </c>
      <c r="AD472" s="50" t="inlineStr">
        <is>
          <t>Y</t>
        </is>
      </c>
    </row>
    <row r="473">
      <c r="A473" t="inlineStr">
        <is>
          <t>Harvard Management Company Inc</t>
        </is>
      </c>
      <c r="B473" s="50" t="inlineStr">
        <is>
          <t>MA</t>
        </is>
      </c>
      <c r="C473" s="52" t="n">
        <v>53.2</v>
      </c>
      <c r="D473" t="inlineStr">
        <is>
          <t>Endowment</t>
        </is>
      </c>
      <c r="E473" s="50" t="n">
        <v>2025</v>
      </c>
      <c r="F473" s="50" t="inlineStr">
        <is>
          <t>2026-05-12</t>
        </is>
      </c>
      <c r="G473" s="50" t="inlineStr">
        <is>
          <t>2025-06-30</t>
        </is>
      </c>
      <c r="H473" t="inlineStr">
        <is>
          <t>Kerr Mone</t>
        </is>
      </c>
      <c r="I473" t="inlineStr">
        <is>
          <t>MD - GENERALIST TEAM</t>
        </is>
      </c>
      <c r="J473" t="inlineStr">
        <is>
          <t>Managing Director</t>
        </is>
      </c>
      <c r="K473" t="inlineStr">
        <is>
          <t>Sr Investment Professional</t>
        </is>
      </c>
      <c r="L473" s="28" t="n">
        <v>396965</v>
      </c>
      <c r="M473" s="28" t="n">
        <v>2441475</v>
      </c>
      <c r="N473" s="28" t="n">
        <v>420</v>
      </c>
      <c r="O473" s="28" t="n">
        <v>80654</v>
      </c>
      <c r="P473" s="28" t="n">
        <v>35731</v>
      </c>
      <c r="Q473" s="28" t="n">
        <v>2955245</v>
      </c>
      <c r="R473" s="28" t="n">
        <v>0</v>
      </c>
      <c r="S473" s="28">
        <f>Q473-R473</f>
        <v/>
      </c>
      <c r="T473" s="28">
        <f>IF(S473="","",S473*(1+in_GrowthRate)^(YEARFRAC(DATE(2025,6,30),in_AgeToDate)*IF(in_AgeToDate&lt;DATE(2025,6,30),-1,1)+1))</f>
        <v/>
      </c>
      <c r="U473" s="50">
        <f>IF(AND(AND(OR(in_Mode="All Funds",AND(C473&gt;=in_BandFloor,C473&lt;=in_BandCeiling,OR(in_Geography="National",COUNTIFS(lst_GeoPreset,in_Geography,lst_GeoState,B473)&gt;0,AND(in_Geography="Custom",ISNUMBER(SEARCH(B473,SUBSTITUTE(in_CustomStates," ",""))))),OR(AND(D473="Endowment",Inputs!$B$14="Y"),AND(D473="Foundation",Inputs!$B$15="Y"),AND(D473="Healthcare",Inputs!$B$16="Y"),AND(D473="Pension",Inputs!$B$17="Y"),AND(D473="OCIO",Inputs!$B$18="Y"),AND(D473="Other",Inputs!$B$19="Y")))),A473&lt;&gt;in_ClientOrg,NOT(AND(in_ExclHarvard="Y",ISNUMBER(SEARCH("Harvard",A473))))),$AD473="Y",K473&lt;&gt;"",S473&gt;0),"Y","")</f>
        <v/>
      </c>
      <c r="V473" s="30" t="n">
        <v>0.469964446280679</v>
      </c>
      <c r="W473" t="inlineStr"/>
      <c r="X473" s="28">
        <f>IF(L473+M473=0,"",L473+M473)</f>
        <v/>
      </c>
      <c r="Y473" s="38">
        <f>IF(L473=0,"",M473/L473)</f>
        <v/>
      </c>
      <c r="Z473" t="inlineStr">
        <is>
          <t>Managing Director</t>
        </is>
      </c>
      <c r="AA473" t="inlineStr">
        <is>
          <t>Investments</t>
        </is>
      </c>
      <c r="AB473" s="50" t="inlineStr"/>
      <c r="AC473" s="43">
        <f>HYPERLINK("https://projects.propublica.org/nonprofits/organizations/237361259/202641329349302354/full","view filing")</f>
        <v/>
      </c>
      <c r="AD473" s="50" t="inlineStr">
        <is>
          <t>Y</t>
        </is>
      </c>
    </row>
    <row r="474">
      <c r="A474" t="inlineStr">
        <is>
          <t>Harvard Management Company Inc</t>
        </is>
      </c>
      <c r="B474" s="50" t="inlineStr">
        <is>
          <t>MA</t>
        </is>
      </c>
      <c r="C474" s="52" t="n">
        <v>53.2</v>
      </c>
      <c r="D474" t="inlineStr">
        <is>
          <t>Endowment</t>
        </is>
      </c>
      <c r="E474" s="50" t="n">
        <v>2025</v>
      </c>
      <c r="F474" s="50" t="inlineStr">
        <is>
          <t>2026-05-12</t>
        </is>
      </c>
      <c r="G474" s="50" t="inlineStr">
        <is>
          <t>2025-06-30</t>
        </is>
      </c>
      <c r="H474" t="inlineStr">
        <is>
          <t>Marcus Loveland</t>
        </is>
      </c>
      <c r="I474" t="inlineStr">
        <is>
          <t>MD - GENERALIST TEAM</t>
        </is>
      </c>
      <c r="J474" t="inlineStr">
        <is>
          <t>Managing Director</t>
        </is>
      </c>
      <c r="K474" t="inlineStr">
        <is>
          <t>Sr Investment Professional</t>
        </is>
      </c>
      <c r="L474" s="28" t="n">
        <v>395662</v>
      </c>
      <c r="M474" s="28" t="n">
        <v>2633875</v>
      </c>
      <c r="N474" s="28" t="n">
        <v>630</v>
      </c>
      <c r="O474" s="28" t="n">
        <v>84500</v>
      </c>
      <c r="P474" s="28" t="n">
        <v>35683</v>
      </c>
      <c r="Q474" s="28" t="n">
        <v>3150350</v>
      </c>
      <c r="R474" s="28" t="n">
        <v>48077</v>
      </c>
      <c r="S474" s="28">
        <f>Q474-R474</f>
        <v/>
      </c>
      <c r="T474" s="28">
        <f>IF(S474="","",S474*(1+in_GrowthRate)^(YEARFRAC(DATE(2025,6,30),in_AgeToDate)*IF(in_AgeToDate&lt;DATE(2025,6,30),-1,1)+1))</f>
        <v/>
      </c>
      <c r="U474" s="50">
        <f>IF(AND(AND(OR(in_Mode="All Funds",AND(C474&gt;=in_BandFloor,C474&lt;=in_BandCeiling,OR(in_Geography="National",COUNTIFS(lst_GeoPreset,in_Geography,lst_GeoState,B474)&gt;0,AND(in_Geography="Custom",ISNUMBER(SEARCH(B474,SUBSTITUTE(in_CustomStates," ",""))))),OR(AND(D474="Endowment",Inputs!$B$14="Y"),AND(D474="Foundation",Inputs!$B$15="Y"),AND(D474="Healthcare",Inputs!$B$16="Y"),AND(D474="Pension",Inputs!$B$17="Y"),AND(D474="OCIO",Inputs!$B$18="Y"),AND(D474="Other",Inputs!$B$19="Y")))),A474&lt;&gt;in_ClientOrg,NOT(AND(in_ExclHarvard="Y",ISNUMBER(SEARCH("Harvard",A474))))),$AD474="Y",K474&lt;&gt;"",S474&gt;0),"Y","")</f>
        <v/>
      </c>
      <c r="V474" s="30" t="n">
        <v>0.4933459028461263</v>
      </c>
      <c r="W474" t="inlineStr"/>
      <c r="X474" s="28">
        <f>IF(L474+M474=0,"",L474+M474)</f>
        <v/>
      </c>
      <c r="Y474" s="38">
        <f>IF(L474=0,"",M474/L474)</f>
        <v/>
      </c>
      <c r="Z474" t="inlineStr">
        <is>
          <t>Managing Director</t>
        </is>
      </c>
      <c r="AA474" t="inlineStr">
        <is>
          <t>Investments</t>
        </is>
      </c>
      <c r="AB474" s="50" t="inlineStr"/>
      <c r="AC474" s="43">
        <f>HYPERLINK("https://projects.propublica.org/nonprofits/organizations/237361259/202641329349302354/full","view filing")</f>
        <v/>
      </c>
      <c r="AD474" s="50" t="inlineStr">
        <is>
          <t>Y</t>
        </is>
      </c>
    </row>
    <row r="475">
      <c r="A475" t="inlineStr">
        <is>
          <t>Harvard Management Company Inc</t>
        </is>
      </c>
      <c r="B475" s="50" t="inlineStr">
        <is>
          <t>MA</t>
        </is>
      </c>
      <c r="C475" s="52" t="n">
        <v>53.2</v>
      </c>
      <c r="D475" t="inlineStr">
        <is>
          <t>Endowment</t>
        </is>
      </c>
      <c r="E475" s="50" t="n">
        <v>2025</v>
      </c>
      <c r="F475" s="50" t="inlineStr">
        <is>
          <t>2026-05-12</t>
        </is>
      </c>
      <c r="G475" s="50" t="inlineStr">
        <is>
          <t>2025-06-30</t>
        </is>
      </c>
      <c r="H475" t="inlineStr">
        <is>
          <t>Nirmal P Narvekar</t>
        </is>
      </c>
      <c r="I475" t="inlineStr">
        <is>
          <t>MD - President &amp; CEO</t>
        </is>
      </c>
      <c r="J475" t="inlineStr">
        <is>
          <t>CEO (Inv Entity)</t>
        </is>
      </c>
      <c r="K475" t="inlineStr">
        <is>
          <t>CIO - Top Investment Executive</t>
        </is>
      </c>
      <c r="L475" s="28" t="n">
        <v>999442</v>
      </c>
      <c r="M475" s="28" t="n">
        <v>5211544</v>
      </c>
      <c r="N475" s="28" t="n">
        <v>3564</v>
      </c>
      <c r="O475" s="28" t="n">
        <v>133269</v>
      </c>
      <c r="P475" s="28" t="n">
        <v>35989</v>
      </c>
      <c r="Q475" s="28" t="n">
        <v>6383808</v>
      </c>
      <c r="R475" s="28" t="n">
        <v>95577</v>
      </c>
      <c r="S475" s="28">
        <f>Q475-R475</f>
        <v/>
      </c>
      <c r="T475" s="28">
        <f>IF(S475="","",S475*(1+in_GrowthRate)^(YEARFRAC(DATE(2025,6,30),in_AgeToDate)*IF(in_AgeToDate&lt;DATE(2025,6,30),-1,1)+1))</f>
        <v/>
      </c>
      <c r="U475" s="50">
        <f>IF(AND(AND(OR(in_Mode="All Funds",AND(C475&gt;=in_BandFloor,C475&lt;=in_BandCeiling,OR(in_Geography="National",COUNTIFS(lst_GeoPreset,in_Geography,lst_GeoState,B475)&gt;0,AND(in_Geography="Custom",ISNUMBER(SEARCH(B475,SUBSTITUTE(in_CustomStates," ",""))))),OR(AND(D475="Endowment",Inputs!$B$14="Y"),AND(D475="Foundation",Inputs!$B$15="Y"),AND(D475="Healthcare",Inputs!$B$16="Y"),AND(D475="Pension",Inputs!$B$17="Y"),AND(D475="OCIO",Inputs!$B$18="Y"),AND(D475="Other",Inputs!$B$19="Y")))),A475&lt;&gt;in_ClientOrg,NOT(AND(in_ExclHarvard="Y",ISNUMBER(SEARCH("Harvard",A475))))),$AD475="Y",K475&lt;&gt;"",S475&gt;0),"Y","")</f>
        <v/>
      </c>
      <c r="V475" s="30" t="n">
        <v>1</v>
      </c>
      <c r="W475" t="inlineStr"/>
      <c r="X475" s="28">
        <f>IF(L475+M475=0,"",L475+M475)</f>
        <v/>
      </c>
      <c r="Y475" s="38">
        <f>IF(L475=0,"",M475/L475)</f>
        <v/>
      </c>
      <c r="Z475" t="inlineStr">
        <is>
          <t>CIO - Top Investment Executive</t>
        </is>
      </c>
      <c r="AA475" t="inlineStr">
        <is>
          <t>Leadership</t>
        </is>
      </c>
      <c r="AB475" s="50" t="inlineStr">
        <is>
          <t>Y</t>
        </is>
      </c>
      <c r="AC475" s="43">
        <f>HYPERLINK("https://projects.propublica.org/nonprofits/organizations/237361259/202641329349302354/full","view filing")</f>
        <v/>
      </c>
      <c r="AD475" s="50" t="inlineStr">
        <is>
          <t>Y</t>
        </is>
      </c>
    </row>
    <row r="476">
      <c r="A476" t="inlineStr">
        <is>
          <t>Harvard Management Company Inc</t>
        </is>
      </c>
      <c r="B476" s="50" t="inlineStr">
        <is>
          <t>MA</t>
        </is>
      </c>
      <c r="C476" s="52" t="n">
        <v>53.2</v>
      </c>
      <c r="D476" t="inlineStr">
        <is>
          <t>Endowment</t>
        </is>
      </c>
      <c r="E476" s="50" t="n">
        <v>2025</v>
      </c>
      <c r="F476" s="50" t="inlineStr">
        <is>
          <t>2026-05-12</t>
        </is>
      </c>
      <c r="G476" s="50" t="inlineStr">
        <is>
          <t>2025-06-30</t>
        </is>
      </c>
      <c r="H476" t="inlineStr">
        <is>
          <t>Richard W Slocum</t>
        </is>
      </c>
      <c r="I476" t="inlineStr">
        <is>
          <t>MD - CIO</t>
        </is>
      </c>
      <c r="J476" t="inlineStr">
        <is>
          <t>CIO</t>
        </is>
      </c>
      <c r="K476" t="inlineStr">
        <is>
          <t>Sr Investment Professional</t>
        </is>
      </c>
      <c r="L476" s="28" t="n">
        <v>799442</v>
      </c>
      <c r="M476" s="28" t="n">
        <v>4169385</v>
      </c>
      <c r="N476" s="28" t="n">
        <v>6859</v>
      </c>
      <c r="O476" s="28" t="n">
        <v>113519</v>
      </c>
      <c r="P476" s="28" t="n">
        <v>36355</v>
      </c>
      <c r="Q476" s="28" t="n">
        <v>5125560</v>
      </c>
      <c r="R476" s="28" t="n">
        <v>76462</v>
      </c>
      <c r="S476" s="28">
        <f>Q476-R476</f>
        <v/>
      </c>
      <c r="T476" s="28">
        <f>IF(S476="","",S476*(1+in_GrowthRate)^(YEARFRAC(DATE(2025,6,30),in_AgeToDate)*IF(in_AgeToDate&lt;DATE(2025,6,30),-1,1)+1))</f>
        <v/>
      </c>
      <c r="U476" s="50">
        <f>IF(AND(AND(OR(in_Mode="All Funds",AND(C476&gt;=in_BandFloor,C476&lt;=in_BandCeiling,OR(in_Geography="National",COUNTIFS(lst_GeoPreset,in_Geography,lst_GeoState,B476)&gt;0,AND(in_Geography="Custom",ISNUMBER(SEARCH(B476,SUBSTITUTE(in_CustomStates," ",""))))),OR(AND(D476="Endowment",Inputs!$B$14="Y"),AND(D476="Foundation",Inputs!$B$15="Y"),AND(D476="Healthcare",Inputs!$B$16="Y"),AND(D476="Pension",Inputs!$B$17="Y"),AND(D476="OCIO",Inputs!$B$18="Y"),AND(D476="Other",Inputs!$B$19="Y")))),A476&lt;&gt;in_ClientOrg,NOT(AND(in_ExclHarvard="Y",ISNUMBER(SEARCH("Harvard",A476))))),$AD476="Y",K476&lt;&gt;"",S476&gt;0),"Y","")</f>
        <v/>
      </c>
      <c r="V476" s="30" t="n">
        <v>0.8029441030394717</v>
      </c>
      <c r="W476" t="inlineStr"/>
      <c r="X476" s="28">
        <f>IF(L476+M476=0,"",L476+M476)</f>
        <v/>
      </c>
      <c r="Y476" s="38">
        <f>IF(L476=0,"",M476/L476)</f>
        <v/>
      </c>
      <c r="Z476" t="inlineStr">
        <is>
          <t>Deputy CIO</t>
        </is>
      </c>
      <c r="AA476" t="inlineStr">
        <is>
          <t>Leadership</t>
        </is>
      </c>
      <c r="AB476" s="50" t="inlineStr"/>
      <c r="AC476" s="43">
        <f>HYPERLINK("https://projects.propublica.org/nonprofits/organizations/237361259/202641329349302354/full","view filing")</f>
        <v/>
      </c>
      <c r="AD476" s="50" t="inlineStr">
        <is>
          <t>Y</t>
        </is>
      </c>
    </row>
    <row r="477">
      <c r="A477" t="inlineStr">
        <is>
          <t>Harvard Management Company Inc</t>
        </is>
      </c>
      <c r="B477" s="50" t="inlineStr">
        <is>
          <t>MA</t>
        </is>
      </c>
      <c r="C477" s="52" t="n">
        <v>53.2</v>
      </c>
      <c r="D477" t="inlineStr">
        <is>
          <t>Endowment</t>
        </is>
      </c>
      <c r="E477" s="50" t="n">
        <v>2025</v>
      </c>
      <c r="F477" s="50" t="inlineStr">
        <is>
          <t>2026-05-12</t>
        </is>
      </c>
      <c r="G477" s="50" t="inlineStr">
        <is>
          <t>2025-06-30</t>
        </is>
      </c>
      <c r="H477" t="inlineStr">
        <is>
          <t>Sanjeev Daga</t>
        </is>
      </c>
      <c r="I477" t="inlineStr">
        <is>
          <t>MD - COO/CFO &amp; Treasurer</t>
        </is>
      </c>
      <c r="J477" t="inlineStr">
        <is>
          <t>COO (Inv Entity)</t>
        </is>
      </c>
      <c r="K477" t="inlineStr">
        <is>
          <t>COO (Investment Office)</t>
        </is>
      </c>
      <c r="L477" s="28" t="n">
        <v>773242</v>
      </c>
      <c r="M477" s="28" t="n">
        <v>4169385</v>
      </c>
      <c r="N477" s="28" t="n">
        <v>25322</v>
      </c>
      <c r="O477" s="28" t="n">
        <v>113519</v>
      </c>
      <c r="P477" s="28" t="n">
        <v>39051</v>
      </c>
      <c r="Q477" s="28" t="n">
        <v>5120519</v>
      </c>
      <c r="R477" s="28" t="n">
        <v>76462</v>
      </c>
      <c r="S477" s="28">
        <f>Q477-R477</f>
        <v/>
      </c>
      <c r="T477" s="28">
        <f>IF(S477="","",S477*(1+in_GrowthRate)^(YEARFRAC(DATE(2025,6,30),in_AgeToDate)*IF(in_AgeToDate&lt;DATE(2025,6,30),-1,1)+1))</f>
        <v/>
      </c>
      <c r="U477" s="50">
        <f>IF(AND(AND(OR(in_Mode="All Funds",AND(C477&gt;=in_BandFloor,C477&lt;=in_BandCeiling,OR(in_Geography="National",COUNTIFS(lst_GeoPreset,in_Geography,lst_GeoState,B477)&gt;0,AND(in_Geography="Custom",ISNUMBER(SEARCH(B477,SUBSTITUTE(in_CustomStates," ",""))))),OR(AND(D477="Endowment",Inputs!$B$14="Y"),AND(D477="Foundation",Inputs!$B$15="Y"),AND(D477="Healthcare",Inputs!$B$16="Y"),AND(D477="Pension",Inputs!$B$17="Y"),AND(D477="OCIO",Inputs!$B$18="Y"),AND(D477="Other",Inputs!$B$19="Y")))),A477&lt;&gt;in_ClientOrg,NOT(AND(in_ExclHarvard="Y",ISNUMBER(SEARCH("Harvard",A477))))),$AD477="Y",K477&lt;&gt;"",S477&gt;0),"Y","")</f>
        <v/>
      </c>
      <c r="V477" s="30" t="n">
        <v>0.8021424467389955</v>
      </c>
      <c r="W477" t="inlineStr"/>
      <c r="X477" s="28">
        <f>IF(L477+M477=0,"",L477+M477)</f>
        <v/>
      </c>
      <c r="Y477" s="38">
        <f>IF(L477=0,"",M477/L477)</f>
        <v/>
      </c>
      <c r="Z477" t="inlineStr">
        <is>
          <t>COO (Investment Office)</t>
        </is>
      </c>
      <c r="AA477" t="inlineStr">
        <is>
          <t>Operations &amp; Control</t>
        </is>
      </c>
      <c r="AB477" s="50" t="inlineStr"/>
      <c r="AC477" s="43">
        <f>HYPERLINK("https://projects.propublica.org/nonprofits/organizations/237361259/202641329349302354/full","view filing")</f>
        <v/>
      </c>
      <c r="AD477" s="50" t="inlineStr">
        <is>
          <t>Y</t>
        </is>
      </c>
    </row>
    <row r="478">
      <c r="A478" t="inlineStr">
        <is>
          <t>Harvard Management Company Inc</t>
        </is>
      </c>
      <c r="B478" s="50" t="inlineStr">
        <is>
          <t>MA</t>
        </is>
      </c>
      <c r="C478" s="52" t="n">
        <v>53.2</v>
      </c>
      <c r="D478" t="inlineStr">
        <is>
          <t>Endowment</t>
        </is>
      </c>
      <c r="E478" s="50" t="n">
        <v>2025</v>
      </c>
      <c r="F478" s="50" t="inlineStr">
        <is>
          <t>2026-05-12</t>
        </is>
      </c>
      <c r="G478" s="50" t="inlineStr">
        <is>
          <t>2025-06-30</t>
        </is>
      </c>
      <c r="H478" t="inlineStr">
        <is>
          <t>Viral Dholabhai</t>
        </is>
      </c>
      <c r="I478" t="inlineStr">
        <is>
          <t>MD - GENERALIST TEAM</t>
        </is>
      </c>
      <c r="J478" t="inlineStr">
        <is>
          <t>Managing Director</t>
        </is>
      </c>
      <c r="K478" t="inlineStr">
        <is>
          <t>Sr Investment Professional</t>
        </is>
      </c>
      <c r="L478" s="28" t="n">
        <v>399442</v>
      </c>
      <c r="M478" s="28" t="n">
        <v>2480343</v>
      </c>
      <c r="N478" s="28" t="n">
        <v>630</v>
      </c>
      <c r="O478" s="28" t="n">
        <v>81615</v>
      </c>
      <c r="P478" s="28" t="n">
        <v>35683</v>
      </c>
      <c r="Q478" s="28" t="n">
        <v>2997713</v>
      </c>
      <c r="R478" s="28" t="n">
        <v>0</v>
      </c>
      <c r="S478" s="28">
        <f>Q478-R478</f>
        <v/>
      </c>
      <c r="T478" s="28">
        <f>IF(S478="","",S478*(1+in_GrowthRate)^(YEARFRAC(DATE(2025,6,30),in_AgeToDate)*IF(in_AgeToDate&lt;DATE(2025,6,30),-1,1)+1))</f>
        <v/>
      </c>
      <c r="U478" s="50">
        <f>IF(AND(AND(OR(in_Mode="All Funds",AND(C478&gt;=in_BandFloor,C478&lt;=in_BandCeiling,OR(in_Geography="National",COUNTIFS(lst_GeoPreset,in_Geography,lst_GeoState,B478)&gt;0,AND(in_Geography="Custom",ISNUMBER(SEARCH(B478,SUBSTITUTE(in_CustomStates," ",""))))),OR(AND(D478="Endowment",Inputs!$B$14="Y"),AND(D478="Foundation",Inputs!$B$15="Y"),AND(D478="Healthcare",Inputs!$B$16="Y"),AND(D478="Pension",Inputs!$B$17="Y"),AND(D478="OCIO",Inputs!$B$18="Y"),AND(D478="Other",Inputs!$B$19="Y")))),A478&lt;&gt;in_ClientOrg,NOT(AND(in_ExclHarvard="Y",ISNUMBER(SEARCH("Harvard",A478))))),$AD478="Y",K478&lt;&gt;"",S478&gt;0),"Y","")</f>
        <v/>
      </c>
      <c r="V478" s="30" t="n">
        <v>0.4767180149711421</v>
      </c>
      <c r="W478" t="inlineStr"/>
      <c r="X478" s="28">
        <f>IF(L478+M478=0,"",L478+M478)</f>
        <v/>
      </c>
      <c r="Y478" s="38">
        <f>IF(L478=0,"",M478/L478)</f>
        <v/>
      </c>
      <c r="Z478" t="inlineStr">
        <is>
          <t>Managing Director</t>
        </is>
      </c>
      <c r="AA478" t="inlineStr">
        <is>
          <t>Investments</t>
        </is>
      </c>
      <c r="AB478" s="50" t="inlineStr"/>
      <c r="AC478" s="43">
        <f>HYPERLINK("https://projects.propublica.org/nonprofits/organizations/237361259/202641329349302354/full","view filing")</f>
        <v/>
      </c>
      <c r="AD478" s="50" t="inlineStr">
        <is>
          <t>Y</t>
        </is>
      </c>
    </row>
    <row r="479">
      <c r="A479" t="inlineStr">
        <is>
          <t>Harvard Management Company Inc</t>
        </is>
      </c>
      <c r="B479" s="50" t="inlineStr">
        <is>
          <t>MA</t>
        </is>
      </c>
      <c r="C479" s="52" t="n">
        <v>53.2</v>
      </c>
      <c r="D479" t="inlineStr">
        <is>
          <t>Endowment</t>
        </is>
      </c>
      <c r="E479" s="50" t="n">
        <v>2024</v>
      </c>
      <c r="F479" s="50" t="inlineStr">
        <is>
          <t>2025-05-14</t>
        </is>
      </c>
      <c r="G479" s="50" t="inlineStr">
        <is>
          <t>2024-06-30</t>
        </is>
      </c>
      <c r="H479" t="inlineStr">
        <is>
          <t>Adam Goldstein</t>
        </is>
      </c>
      <c r="I479" t="inlineStr">
        <is>
          <t>MD - GENERALIST TEAM</t>
        </is>
      </c>
      <c r="J479" t="inlineStr">
        <is>
          <t>Managing Director</t>
        </is>
      </c>
      <c r="K479" t="inlineStr">
        <is>
          <t>Sr Investment Professional</t>
        </is>
      </c>
      <c r="L479" s="28" t="n">
        <v>699449</v>
      </c>
      <c r="M479" s="28" t="n">
        <v>2886000</v>
      </c>
      <c r="N479" s="28" t="n">
        <v>486</v>
      </c>
      <c r="O479" s="28" t="n">
        <v>87231</v>
      </c>
      <c r="P479" s="28" t="n">
        <v>34684</v>
      </c>
      <c r="Q479" s="28" t="n">
        <v>3707850</v>
      </c>
      <c r="R479" s="28" t="n">
        <v>0</v>
      </c>
      <c r="S479" s="28">
        <f>Q479-R479</f>
        <v/>
      </c>
      <c r="T479" s="28">
        <f>IF(S479="","",S479*(1+in_GrowthRate)^(YEARFRAC(DATE(2024,6,30),in_AgeToDate)*IF(in_AgeToDate&lt;DATE(2024,6,30),-1,1)+1))</f>
        <v/>
      </c>
      <c r="U479" s="50">
        <f>IF(AND(AND(OR(in_Mode="All Funds",AND(C479&gt;=in_BandFloor,C479&lt;=in_BandCeiling,OR(in_Geography="National",COUNTIFS(lst_GeoPreset,in_Geography,lst_GeoState,B479)&gt;0,AND(in_Geography="Custom",ISNUMBER(SEARCH(B479,SUBSTITUTE(in_CustomStates," ",""))))),OR(AND(D479="Endowment",Inputs!$B$14="Y"),AND(D479="Foundation",Inputs!$B$15="Y"),AND(D479="Healthcare",Inputs!$B$16="Y"),AND(D479="Pension",Inputs!$B$17="Y"),AND(D479="OCIO",Inputs!$B$18="Y"),AND(D479="Other",Inputs!$B$19="Y")))),A479&lt;&gt;in_ClientOrg,NOT(AND(in_ExclHarvard="Y",ISNUMBER(SEARCH("Harvard",A479))))),$AD479="Y",K479&lt;&gt;"",S479&gt;0),"Y","")</f>
        <v/>
      </c>
      <c r="V479" s="30" t="n">
        <v>0.5952831056540215</v>
      </c>
      <c r="W479" t="inlineStr"/>
      <c r="X479" s="28">
        <f>IF(L479+M479=0,"",L479+M479)</f>
        <v/>
      </c>
      <c r="Y479" s="38">
        <f>IF(L479=0,"",M479/L479)</f>
        <v/>
      </c>
      <c r="Z479" t="inlineStr">
        <is>
          <t>Managing Director</t>
        </is>
      </c>
      <c r="AA479" t="inlineStr">
        <is>
          <t>Investments</t>
        </is>
      </c>
      <c r="AB479" s="50" t="inlineStr"/>
      <c r="AC479" s="43">
        <f>HYPERLINK("https://projects.propublica.org/nonprofits/organizations/237361259/202541349349310119/full","view filing")</f>
        <v/>
      </c>
      <c r="AD479" s="50" t="inlineStr"/>
    </row>
    <row r="480">
      <c r="A480" t="inlineStr">
        <is>
          <t>Harvard Management Company Inc</t>
        </is>
      </c>
      <c r="B480" s="50" t="inlineStr">
        <is>
          <t>MA</t>
        </is>
      </c>
      <c r="C480" s="52" t="n">
        <v>53.2</v>
      </c>
      <c r="D480" t="inlineStr">
        <is>
          <t>Endowment</t>
        </is>
      </c>
      <c r="E480" s="50" t="n">
        <v>2024</v>
      </c>
      <c r="F480" s="50" t="inlineStr">
        <is>
          <t>2025-05-14</t>
        </is>
      </c>
      <c r="G480" s="50" t="inlineStr">
        <is>
          <t>2024-06-30</t>
        </is>
      </c>
      <c r="H480" t="inlineStr">
        <is>
          <t>Carlos Saravia</t>
        </is>
      </c>
      <c r="I480" t="inlineStr">
        <is>
          <t>MD - Generalist Team</t>
        </is>
      </c>
      <c r="J480" t="inlineStr">
        <is>
          <t>Managing Director</t>
        </is>
      </c>
      <c r="K480" t="inlineStr">
        <is>
          <t>Sr Investment Professional</t>
        </is>
      </c>
      <c r="L480" s="28" t="n">
        <v>538101</v>
      </c>
      <c r="M480" s="28" t="n">
        <v>2867375</v>
      </c>
      <c r="N480" s="28" t="n">
        <v>353</v>
      </c>
      <c r="O480" s="28" t="n">
        <v>24750</v>
      </c>
      <c r="P480" s="28" t="n">
        <v>23508</v>
      </c>
      <c r="Q480" s="28" t="n">
        <v>3454087</v>
      </c>
      <c r="R480" s="28" t="n">
        <v>0</v>
      </c>
      <c r="S480" s="28">
        <f>Q480-R480</f>
        <v/>
      </c>
      <c r="T480" s="28">
        <f>IF(S480="","",S480*(1+in_GrowthRate)^(YEARFRAC(DATE(2024,6,30),in_AgeToDate)*IF(in_AgeToDate&lt;DATE(2024,6,30),-1,1)+1))</f>
        <v/>
      </c>
      <c r="U480" s="50">
        <f>IF(AND(AND(OR(in_Mode="All Funds",AND(C480&gt;=in_BandFloor,C480&lt;=in_BandCeiling,OR(in_Geography="National",COUNTIFS(lst_GeoPreset,in_Geography,lst_GeoState,B480)&gt;0,AND(in_Geography="Custom",ISNUMBER(SEARCH(B480,SUBSTITUTE(in_CustomStates," ",""))))),OR(AND(D480="Endowment",Inputs!$B$14="Y"),AND(D480="Foundation",Inputs!$B$15="Y"),AND(D480="Healthcare",Inputs!$B$16="Y"),AND(D480="Pension",Inputs!$B$17="Y"),AND(D480="OCIO",Inputs!$B$18="Y"),AND(D480="Other",Inputs!$B$19="Y")))),A480&lt;&gt;in_ClientOrg,NOT(AND(in_ExclHarvard="Y",ISNUMBER(SEARCH("Harvard",A480))))),$AD480="Y",K480&lt;&gt;"",S480&gt;0),"Y","")</f>
        <v/>
      </c>
      <c r="V480" s="30" t="n">
        <v>0.5545422917753368</v>
      </c>
      <c r="W480" t="inlineStr"/>
      <c r="X480" s="28">
        <f>IF(L480+M480=0,"",L480+M480)</f>
        <v/>
      </c>
      <c r="Y480" s="38">
        <f>IF(L480=0,"",M480/L480)</f>
        <v/>
      </c>
      <c r="Z480" t="inlineStr">
        <is>
          <t>Managing Director</t>
        </is>
      </c>
      <c r="AA480" t="inlineStr">
        <is>
          <t>Investments</t>
        </is>
      </c>
      <c r="AB480" s="50" t="inlineStr"/>
      <c r="AC480" s="43">
        <f>HYPERLINK("https://projects.propublica.org/nonprofits/organizations/237361259/202541349349310119/full","view filing")</f>
        <v/>
      </c>
      <c r="AD480" s="50" t="inlineStr"/>
    </row>
    <row r="481">
      <c r="A481" t="inlineStr">
        <is>
          <t>Harvard Management Company Inc</t>
        </is>
      </c>
      <c r="B481" s="50" t="inlineStr">
        <is>
          <t>MA</t>
        </is>
      </c>
      <c r="C481" s="52" t="n">
        <v>53.2</v>
      </c>
      <c r="D481" t="inlineStr">
        <is>
          <t>Endowment</t>
        </is>
      </c>
      <c r="E481" s="50" t="n">
        <v>2024</v>
      </c>
      <c r="F481" s="50" t="inlineStr">
        <is>
          <t>2025-05-14</t>
        </is>
      </c>
      <c r="G481" s="50" t="inlineStr">
        <is>
          <t>2024-06-30</t>
        </is>
      </c>
      <c r="H481" t="inlineStr">
        <is>
          <t>Elise Mcdonald</t>
        </is>
      </c>
      <c r="I481" t="inlineStr">
        <is>
          <t>MD - Generalist Team</t>
        </is>
      </c>
      <c r="J481" t="inlineStr">
        <is>
          <t>Managing Director</t>
        </is>
      </c>
      <c r="K481" t="inlineStr">
        <is>
          <t>Sr Investment Professional</t>
        </is>
      </c>
      <c r="L481" s="28" t="n">
        <v>487799</v>
      </c>
      <c r="M481" s="28" t="n">
        <v>2670675</v>
      </c>
      <c r="N481" s="28" t="n">
        <v>1242</v>
      </c>
      <c r="O481" s="28" t="n">
        <v>83192</v>
      </c>
      <c r="P481" s="28" t="n">
        <v>42818</v>
      </c>
      <c r="Q481" s="28" t="n">
        <v>3285726</v>
      </c>
      <c r="R481" s="28" t="n">
        <v>0</v>
      </c>
      <c r="S481" s="28">
        <f>Q481-R481</f>
        <v/>
      </c>
      <c r="T481" s="28">
        <f>IF(S481="","",S481*(1+in_GrowthRate)^(YEARFRAC(DATE(2024,6,30),in_AgeToDate)*IF(in_AgeToDate&lt;DATE(2024,6,30),-1,1)+1))</f>
        <v/>
      </c>
      <c r="U481" s="50">
        <f>IF(AND(AND(OR(in_Mode="All Funds",AND(C481&gt;=in_BandFloor,C481&lt;=in_BandCeiling,OR(in_Geography="National",COUNTIFS(lst_GeoPreset,in_Geography,lst_GeoState,B481)&gt;0,AND(in_Geography="Custom",ISNUMBER(SEARCH(B481,SUBSTITUTE(in_CustomStates," ",""))))),OR(AND(D481="Endowment",Inputs!$B$14="Y"),AND(D481="Foundation",Inputs!$B$15="Y"),AND(D481="Healthcare",Inputs!$B$16="Y"),AND(D481="Pension",Inputs!$B$17="Y"),AND(D481="OCIO",Inputs!$B$18="Y"),AND(D481="Other",Inputs!$B$19="Y")))),A481&lt;&gt;in_ClientOrg,NOT(AND(in_ExclHarvard="Y",ISNUMBER(SEARCH("Harvard",A481))))),$AD481="Y",K481&lt;&gt;"",S481&gt;0),"Y","")</f>
        <v/>
      </c>
      <c r="V481" s="30" t="n">
        <v>0.5275124877241975</v>
      </c>
      <c r="W481" t="inlineStr"/>
      <c r="X481" s="28">
        <f>IF(L481+M481=0,"",L481+M481)</f>
        <v/>
      </c>
      <c r="Y481" s="38">
        <f>IF(L481=0,"",M481/L481)</f>
        <v/>
      </c>
      <c r="Z481" t="inlineStr">
        <is>
          <t>Managing Director</t>
        </is>
      </c>
      <c r="AA481" t="inlineStr">
        <is>
          <t>Investments</t>
        </is>
      </c>
      <c r="AB481" s="50" t="inlineStr"/>
      <c r="AC481" s="43">
        <f>HYPERLINK("https://projects.propublica.org/nonprofits/organizations/237361259/202541349349310119/full","view filing")</f>
        <v/>
      </c>
      <c r="AD481" s="50" t="inlineStr"/>
    </row>
    <row r="482">
      <c r="A482" t="inlineStr">
        <is>
          <t>Harvard Management Company Inc</t>
        </is>
      </c>
      <c r="B482" s="50" t="inlineStr">
        <is>
          <t>MA</t>
        </is>
      </c>
      <c r="C482" s="52" t="n">
        <v>53.2</v>
      </c>
      <c r="D482" t="inlineStr">
        <is>
          <t>Endowment</t>
        </is>
      </c>
      <c r="E482" s="50" t="n">
        <v>2024</v>
      </c>
      <c r="F482" s="50" t="inlineStr">
        <is>
          <t>2025-05-14</t>
        </is>
      </c>
      <c r="G482" s="50" t="inlineStr">
        <is>
          <t>2024-06-30</t>
        </is>
      </c>
      <c r="H482" t="inlineStr">
        <is>
          <t>John Shue</t>
        </is>
      </c>
      <c r="I482" t="inlineStr">
        <is>
          <t>MD - Generalist Team</t>
        </is>
      </c>
      <c r="J482" t="inlineStr">
        <is>
          <t>Managing Director</t>
        </is>
      </c>
      <c r="K482" t="inlineStr">
        <is>
          <t>Sr Investment Professional</t>
        </is>
      </c>
      <c r="L482" s="28" t="n">
        <v>495849</v>
      </c>
      <c r="M482" s="28" t="n">
        <v>2645500</v>
      </c>
      <c r="N482" s="28" t="n">
        <v>1242</v>
      </c>
      <c r="O482" s="28" t="n">
        <v>82712</v>
      </c>
      <c r="P482" s="28" t="n">
        <v>34768</v>
      </c>
      <c r="Q482" s="28" t="n">
        <v>3260071</v>
      </c>
      <c r="R482" s="28" t="n">
        <v>0</v>
      </c>
      <c r="S482" s="28">
        <f>Q482-R482</f>
        <v/>
      </c>
      <c r="T482" s="28">
        <f>IF(S482="","",S482*(1+in_GrowthRate)^(YEARFRAC(DATE(2024,6,30),in_AgeToDate)*IF(in_AgeToDate&lt;DATE(2024,6,30),-1,1)+1))</f>
        <v/>
      </c>
      <c r="U482" s="50">
        <f>IF(AND(AND(OR(in_Mode="All Funds",AND(C482&gt;=in_BandFloor,C482&lt;=in_BandCeiling,OR(in_Geography="National",COUNTIFS(lst_GeoPreset,in_Geography,lst_GeoState,B482)&gt;0,AND(in_Geography="Custom",ISNUMBER(SEARCH(B482,SUBSTITUTE(in_CustomStates," ",""))))),OR(AND(D482="Endowment",Inputs!$B$14="Y"),AND(D482="Foundation",Inputs!$B$15="Y"),AND(D482="Healthcare",Inputs!$B$16="Y"),AND(D482="Pension",Inputs!$B$17="Y"),AND(D482="OCIO",Inputs!$B$18="Y"),AND(D482="Other",Inputs!$B$19="Y")))),A482&lt;&gt;in_ClientOrg,NOT(AND(in_ExclHarvard="Y",ISNUMBER(SEARCH("Harvard",A482))))),$AD482="Y",K482&lt;&gt;"",S482&gt;0),"Y","")</f>
        <v/>
      </c>
      <c r="V482" s="30" t="n">
        <v>0.5233936619692305</v>
      </c>
      <c r="W482" t="inlineStr"/>
      <c r="X482" s="28">
        <f>IF(L482+M482=0,"",L482+M482)</f>
        <v/>
      </c>
      <c r="Y482" s="38">
        <f>IF(L482=0,"",M482/L482)</f>
        <v/>
      </c>
      <c r="Z482" t="inlineStr">
        <is>
          <t>Managing Director</t>
        </is>
      </c>
      <c r="AA482" t="inlineStr">
        <is>
          <t>Investments</t>
        </is>
      </c>
      <c r="AB482" s="50" t="inlineStr"/>
      <c r="AC482" s="43">
        <f>HYPERLINK("https://projects.propublica.org/nonprofits/organizations/237361259/202541349349310119/full","view filing")</f>
        <v/>
      </c>
      <c r="AD482" s="50" t="inlineStr"/>
    </row>
    <row r="483">
      <c r="A483" t="inlineStr">
        <is>
          <t>Harvard Management Company Inc</t>
        </is>
      </c>
      <c r="B483" s="50" t="inlineStr">
        <is>
          <t>MA</t>
        </is>
      </c>
      <c r="C483" s="52" t="n">
        <v>53.2</v>
      </c>
      <c r="D483" t="inlineStr">
        <is>
          <t>Endowment</t>
        </is>
      </c>
      <c r="E483" s="50" t="n">
        <v>2024</v>
      </c>
      <c r="F483" s="50" t="inlineStr">
        <is>
          <t>2025-05-14</t>
        </is>
      </c>
      <c r="G483" s="50" t="inlineStr">
        <is>
          <t>2024-06-30</t>
        </is>
      </c>
      <c r="H483" t="inlineStr">
        <is>
          <t>Kathryn I Murtagh</t>
        </is>
      </c>
      <c r="I483" t="inlineStr">
        <is>
          <t>MD - CCO &amp; CLERK</t>
        </is>
      </c>
      <c r="J483" t="inlineStr">
        <is>
          <t>Chief Compliance Officer (Inv Entity)</t>
        </is>
      </c>
      <c r="K483" t="inlineStr">
        <is>
          <t>Other disclosed professionals</t>
        </is>
      </c>
      <c r="L483" s="28" t="n">
        <v>771528</v>
      </c>
      <c r="M483" s="28" t="n">
        <v>1500000</v>
      </c>
      <c r="N483" s="28" t="n">
        <v>24822</v>
      </c>
      <c r="O483" s="28" t="n">
        <v>33000</v>
      </c>
      <c r="P483" s="28" t="n">
        <v>15682</v>
      </c>
      <c r="Q483" s="28" t="n">
        <v>2345032</v>
      </c>
      <c r="R483" s="28" t="n">
        <v>0</v>
      </c>
      <c r="S483" s="28">
        <f>Q483-R483</f>
        <v/>
      </c>
      <c r="T483" s="28">
        <f>IF(S483="","",S483*(1+in_GrowthRate)^(YEARFRAC(DATE(2024,6,30),in_AgeToDate)*IF(in_AgeToDate&lt;DATE(2024,6,30),-1,1)+1))</f>
        <v/>
      </c>
      <c r="U483" s="50">
        <f>IF(AND(AND(OR(in_Mode="All Funds",AND(C483&gt;=in_BandFloor,C483&lt;=in_BandCeiling,OR(in_Geography="National",COUNTIFS(lst_GeoPreset,in_Geography,lst_GeoState,B483)&gt;0,AND(in_Geography="Custom",ISNUMBER(SEARCH(B483,SUBSTITUTE(in_CustomStates," ",""))))),OR(AND(D483="Endowment",Inputs!$B$14="Y"),AND(D483="Foundation",Inputs!$B$15="Y"),AND(D483="Healthcare",Inputs!$B$16="Y"),AND(D483="Pension",Inputs!$B$17="Y"),AND(D483="OCIO",Inputs!$B$18="Y"),AND(D483="Other",Inputs!$B$19="Y")))),A483&lt;&gt;in_ClientOrg,NOT(AND(in_ExclHarvard="Y",ISNUMBER(SEARCH("Harvard",A483))))),$AD483="Y",K483&lt;&gt;"",S483&gt;0),"Y","")</f>
        <v/>
      </c>
      <c r="V483" s="30" t="n">
        <v>0.3764871642105429</v>
      </c>
      <c r="W483" t="inlineStr">
        <is>
          <t>Other disclosed professionals</t>
        </is>
      </c>
      <c r="X483" s="28">
        <f>IF(L483+M483=0,"",L483+M483)</f>
        <v/>
      </c>
      <c r="Y483" s="38">
        <f>IF(L483=0,"",M483/L483)</f>
        <v/>
      </c>
      <c r="Z483" t="inlineStr">
        <is>
          <t>Other disclosed professionals</t>
        </is>
      </c>
      <c r="AA483" t="inlineStr">
        <is>
          <t>Operations &amp; Control</t>
        </is>
      </c>
      <c r="AB483" s="50" t="inlineStr"/>
      <c r="AC483" s="43">
        <f>HYPERLINK("https://projects.propublica.org/nonprofits/organizations/237361259/202541349349310119/full","view filing")</f>
        <v/>
      </c>
      <c r="AD483" s="50" t="inlineStr"/>
    </row>
    <row r="484">
      <c r="A484" t="inlineStr">
        <is>
          <t>Harvard Management Company Inc</t>
        </is>
      </c>
      <c r="B484" s="50" t="inlineStr">
        <is>
          <t>MA</t>
        </is>
      </c>
      <c r="C484" s="52" t="n">
        <v>53.2</v>
      </c>
      <c r="D484" t="inlineStr">
        <is>
          <t>Endowment</t>
        </is>
      </c>
      <c r="E484" s="50" t="n">
        <v>2024</v>
      </c>
      <c r="F484" s="50" t="inlineStr">
        <is>
          <t>2025-05-14</t>
        </is>
      </c>
      <c r="G484" s="50" t="inlineStr">
        <is>
          <t>2024-06-30</t>
        </is>
      </c>
      <c r="H484" t="inlineStr">
        <is>
          <t>Marcus Loveland</t>
        </is>
      </c>
      <c r="I484" t="inlineStr">
        <is>
          <t>MD - GENERALIST TEAM</t>
        </is>
      </c>
      <c r="J484" t="inlineStr">
        <is>
          <t>Managing Director</t>
        </is>
      </c>
      <c r="K484" t="inlineStr">
        <is>
          <t>Sr Investment Professional</t>
        </is>
      </c>
      <c r="L484" s="28" t="n">
        <v>393925</v>
      </c>
      <c r="M484" s="28" t="n">
        <v>2530350</v>
      </c>
      <c r="N484" s="28" t="n">
        <v>418</v>
      </c>
      <c r="O484" s="28" t="n">
        <v>81077</v>
      </c>
      <c r="P484" s="28" t="n">
        <v>34691</v>
      </c>
      <c r="Q484" s="28" t="n">
        <v>3040461</v>
      </c>
      <c r="R484" s="28" t="n">
        <v>0</v>
      </c>
      <c r="S484" s="28">
        <f>Q484-R484</f>
        <v/>
      </c>
      <c r="T484" s="28">
        <f>IF(S484="","",S484*(1+in_GrowthRate)^(YEARFRAC(DATE(2024,6,30),in_AgeToDate)*IF(in_AgeToDate&lt;DATE(2024,6,30),-1,1)+1))</f>
        <v/>
      </c>
      <c r="U484" s="50">
        <f>IF(AND(AND(OR(in_Mode="All Funds",AND(C484&gt;=in_BandFloor,C484&lt;=in_BandCeiling,OR(in_Geography="National",COUNTIFS(lst_GeoPreset,in_Geography,lst_GeoState,B484)&gt;0,AND(in_Geography="Custom",ISNUMBER(SEARCH(B484,SUBSTITUTE(in_CustomStates," ",""))))),OR(AND(D484="Endowment",Inputs!$B$14="Y"),AND(D484="Foundation",Inputs!$B$15="Y"),AND(D484="Healthcare",Inputs!$B$16="Y"),AND(D484="Pension",Inputs!$B$17="Y"),AND(D484="OCIO",Inputs!$B$18="Y"),AND(D484="Other",Inputs!$B$19="Y")))),A484&lt;&gt;in_ClientOrg,NOT(AND(in_ExclHarvard="Y",ISNUMBER(SEARCH("Harvard",A484))))),$AD484="Y",K484&lt;&gt;"",S484&gt;0),"Y","")</f>
        <v/>
      </c>
      <c r="V484" s="30" t="n">
        <v>0.4881359997572534</v>
      </c>
      <c r="W484" t="inlineStr"/>
      <c r="X484" s="28">
        <f>IF(L484+M484=0,"",L484+M484)</f>
        <v/>
      </c>
      <c r="Y484" s="38">
        <f>IF(L484=0,"",M484/L484)</f>
        <v/>
      </c>
      <c r="Z484" t="inlineStr">
        <is>
          <t>Managing Director</t>
        </is>
      </c>
      <c r="AA484" t="inlineStr">
        <is>
          <t>Investments</t>
        </is>
      </c>
      <c r="AB484" s="50" t="inlineStr"/>
      <c r="AC484" s="43">
        <f>HYPERLINK("https://projects.propublica.org/nonprofits/organizations/237361259/202541349349310119/full","view filing")</f>
        <v/>
      </c>
      <c r="AD484" s="50" t="inlineStr"/>
    </row>
    <row r="485">
      <c r="A485" t="inlineStr">
        <is>
          <t>Harvard Management Company Inc</t>
        </is>
      </c>
      <c r="B485" s="50" t="inlineStr">
        <is>
          <t>MA</t>
        </is>
      </c>
      <c r="C485" s="52" t="n">
        <v>53.2</v>
      </c>
      <c r="D485" t="inlineStr">
        <is>
          <t>Endowment</t>
        </is>
      </c>
      <c r="E485" s="50" t="n">
        <v>2024</v>
      </c>
      <c r="F485" s="50" t="inlineStr">
        <is>
          <t>2025-05-14</t>
        </is>
      </c>
      <c r="G485" s="50" t="inlineStr">
        <is>
          <t>2024-06-30</t>
        </is>
      </c>
      <c r="H485" t="inlineStr">
        <is>
          <t>Nirmal P Narvekar</t>
        </is>
      </c>
      <c r="I485" t="inlineStr">
        <is>
          <t>MD - President &amp; CEO</t>
        </is>
      </c>
      <c r="J485" t="inlineStr">
        <is>
          <t>CEO (Inv Entity)</t>
        </is>
      </c>
      <c r="K485" t="inlineStr">
        <is>
          <t>CIO - Top Investment Executive</t>
        </is>
      </c>
      <c r="L485" s="28" t="n">
        <v>999449</v>
      </c>
      <c r="M485" s="28" t="n">
        <v>5062101</v>
      </c>
      <c r="N485" s="28" t="n">
        <v>3564</v>
      </c>
      <c r="O485" s="28" t="n">
        <v>128577</v>
      </c>
      <c r="P485" s="28" t="n">
        <v>35026</v>
      </c>
      <c r="Q485" s="28" t="n">
        <v>6228717</v>
      </c>
      <c r="R485" s="28" t="n">
        <v>0</v>
      </c>
      <c r="S485" s="28">
        <f>Q485-R485</f>
        <v/>
      </c>
      <c r="T485" s="28">
        <f>IF(S485="","",S485*(1+in_GrowthRate)^(YEARFRAC(DATE(2024,6,30),in_AgeToDate)*IF(in_AgeToDate&lt;DATE(2024,6,30),-1,1)+1))</f>
        <v/>
      </c>
      <c r="U485" s="50">
        <f>IF(AND(AND(OR(in_Mode="All Funds",AND(C485&gt;=in_BandFloor,C485&lt;=in_BandCeiling,OR(in_Geography="National",COUNTIFS(lst_GeoPreset,in_Geography,lst_GeoState,B485)&gt;0,AND(in_Geography="Custom",ISNUMBER(SEARCH(B485,SUBSTITUTE(in_CustomStates," ",""))))),OR(AND(D485="Endowment",Inputs!$B$14="Y"),AND(D485="Foundation",Inputs!$B$15="Y"),AND(D485="Healthcare",Inputs!$B$16="Y"),AND(D485="Pension",Inputs!$B$17="Y"),AND(D485="OCIO",Inputs!$B$18="Y"),AND(D485="Other",Inputs!$B$19="Y")))),A485&lt;&gt;in_ClientOrg,NOT(AND(in_ExclHarvard="Y",ISNUMBER(SEARCH("Harvard",A485))))),$AD485="Y",K485&lt;&gt;"",S485&gt;0),"Y","")</f>
        <v/>
      </c>
      <c r="V485" s="30" t="n">
        <v>1</v>
      </c>
      <c r="W485" t="inlineStr"/>
      <c r="X485" s="28">
        <f>IF(L485+M485=0,"",L485+M485)</f>
        <v/>
      </c>
      <c r="Y485" s="38">
        <f>IF(L485=0,"",M485/L485)</f>
        <v/>
      </c>
      <c r="Z485" t="inlineStr">
        <is>
          <t>CIO - Top Investment Executive</t>
        </is>
      </c>
      <c r="AA485" t="inlineStr">
        <is>
          <t>Leadership</t>
        </is>
      </c>
      <c r="AB485" s="50" t="inlineStr">
        <is>
          <t>Y</t>
        </is>
      </c>
      <c r="AC485" s="43">
        <f>HYPERLINK("https://projects.propublica.org/nonprofits/organizations/237361259/202541349349310119/full","view filing")</f>
        <v/>
      </c>
      <c r="AD485" s="50" t="inlineStr"/>
    </row>
    <row r="486">
      <c r="A486" t="inlineStr">
        <is>
          <t>Harvard Management Company Inc</t>
        </is>
      </c>
      <c r="B486" s="50" t="inlineStr">
        <is>
          <t>MA</t>
        </is>
      </c>
      <c r="C486" s="52" t="n">
        <v>53.2</v>
      </c>
      <c r="D486" t="inlineStr">
        <is>
          <t>Endowment</t>
        </is>
      </c>
      <c r="E486" s="50" t="n">
        <v>2024</v>
      </c>
      <c r="F486" s="50" t="inlineStr">
        <is>
          <t>2025-05-14</t>
        </is>
      </c>
      <c r="G486" s="50" t="inlineStr">
        <is>
          <t>2024-06-30</t>
        </is>
      </c>
      <c r="H486" t="inlineStr">
        <is>
          <t>Richard W Slocum</t>
        </is>
      </c>
      <c r="I486" t="inlineStr">
        <is>
          <t>MD - CIO</t>
        </is>
      </c>
      <c r="J486" t="inlineStr">
        <is>
          <t>CIO</t>
        </is>
      </c>
      <c r="K486" t="inlineStr">
        <is>
          <t>Sr Investment Professional</t>
        </is>
      </c>
      <c r="L486" s="28" t="n">
        <v>799449</v>
      </c>
      <c r="M486" s="28" t="n">
        <v>4049578</v>
      </c>
      <c r="N486" s="28" t="n">
        <v>6858</v>
      </c>
      <c r="O486" s="28" t="n">
        <v>109462</v>
      </c>
      <c r="P486" s="28" t="n">
        <v>35392</v>
      </c>
      <c r="Q486" s="28" t="n">
        <v>5000739</v>
      </c>
      <c r="R486" s="28" t="n">
        <v>0</v>
      </c>
      <c r="S486" s="28">
        <f>Q486-R486</f>
        <v/>
      </c>
      <c r="T486" s="28">
        <f>IF(S486="","",S486*(1+in_GrowthRate)^(YEARFRAC(DATE(2024,6,30),in_AgeToDate)*IF(in_AgeToDate&lt;DATE(2024,6,30),-1,1)+1))</f>
        <v/>
      </c>
      <c r="U486" s="50">
        <f>IF(AND(AND(OR(in_Mode="All Funds",AND(C486&gt;=in_BandFloor,C486&lt;=in_BandCeiling,OR(in_Geography="National",COUNTIFS(lst_GeoPreset,in_Geography,lst_GeoState,B486)&gt;0,AND(in_Geography="Custom",ISNUMBER(SEARCH(B486,SUBSTITUTE(in_CustomStates," ",""))))),OR(AND(D486="Endowment",Inputs!$B$14="Y"),AND(D486="Foundation",Inputs!$B$15="Y"),AND(D486="Healthcare",Inputs!$B$16="Y"),AND(D486="Pension",Inputs!$B$17="Y"),AND(D486="OCIO",Inputs!$B$18="Y"),AND(D486="Other",Inputs!$B$19="Y")))),A486&lt;&gt;in_ClientOrg,NOT(AND(in_ExclHarvard="Y",ISNUMBER(SEARCH("Harvard",A486))))),$AD486="Y",K486&lt;&gt;"",S486&gt;0),"Y","")</f>
        <v/>
      </c>
      <c r="V486" s="30" t="n">
        <v>0.8028521764594538</v>
      </c>
      <c r="W486" t="inlineStr"/>
      <c r="X486" s="28">
        <f>IF(L486+M486=0,"",L486+M486)</f>
        <v/>
      </c>
      <c r="Y486" s="38">
        <f>IF(L486=0,"",M486/L486)</f>
        <v/>
      </c>
      <c r="Z486" t="inlineStr">
        <is>
          <t>Deputy CIO</t>
        </is>
      </c>
      <c r="AA486" t="inlineStr">
        <is>
          <t>Leadership</t>
        </is>
      </c>
      <c r="AB486" s="50" t="inlineStr"/>
      <c r="AC486" s="43">
        <f>HYPERLINK("https://projects.propublica.org/nonprofits/organizations/237361259/202541349349310119/full","view filing")</f>
        <v/>
      </c>
      <c r="AD486" s="50" t="inlineStr"/>
    </row>
    <row r="487">
      <c r="A487" t="inlineStr">
        <is>
          <t>Harvard Management Company Inc</t>
        </is>
      </c>
      <c r="B487" s="50" t="inlineStr">
        <is>
          <t>MA</t>
        </is>
      </c>
      <c r="C487" s="52" t="n">
        <v>53.2</v>
      </c>
      <c r="D487" t="inlineStr">
        <is>
          <t>Endowment</t>
        </is>
      </c>
      <c r="E487" s="50" t="n">
        <v>2024</v>
      </c>
      <c r="F487" s="50" t="inlineStr">
        <is>
          <t>2025-05-14</t>
        </is>
      </c>
      <c r="G487" s="50" t="inlineStr">
        <is>
          <t>2024-06-30</t>
        </is>
      </c>
      <c r="H487" t="inlineStr">
        <is>
          <t>Sanjeev Daga</t>
        </is>
      </c>
      <c r="I487" t="inlineStr">
        <is>
          <t>MD - COO &amp; Treasurer</t>
        </is>
      </c>
      <c r="J487" t="inlineStr">
        <is>
          <t>COO (Inv Entity)</t>
        </is>
      </c>
      <c r="K487" t="inlineStr">
        <is>
          <t>COO (Investment Office)</t>
        </is>
      </c>
      <c r="L487" s="28" t="n">
        <v>775449</v>
      </c>
      <c r="M487" s="28" t="n">
        <v>4049578</v>
      </c>
      <c r="N487" s="28" t="n">
        <v>24822</v>
      </c>
      <c r="O487" s="28" t="n">
        <v>109462</v>
      </c>
      <c r="P487" s="28" t="n">
        <v>36388</v>
      </c>
      <c r="Q487" s="28" t="n">
        <v>4995699</v>
      </c>
      <c r="R487" s="28" t="n">
        <v>0</v>
      </c>
      <c r="S487" s="28">
        <f>Q487-R487</f>
        <v/>
      </c>
      <c r="T487" s="28">
        <f>IF(S487="","",S487*(1+in_GrowthRate)^(YEARFRAC(DATE(2024,6,30),in_AgeToDate)*IF(in_AgeToDate&lt;DATE(2024,6,30),-1,1)+1))</f>
        <v/>
      </c>
      <c r="U487" s="50">
        <f>IF(AND(AND(OR(in_Mode="All Funds",AND(C487&gt;=in_BandFloor,C487&lt;=in_BandCeiling,OR(in_Geography="National",COUNTIFS(lst_GeoPreset,in_Geography,lst_GeoState,B487)&gt;0,AND(in_Geography="Custom",ISNUMBER(SEARCH(B487,SUBSTITUTE(in_CustomStates," ",""))))),OR(AND(D487="Endowment",Inputs!$B$14="Y"),AND(D487="Foundation",Inputs!$B$15="Y"),AND(D487="Healthcare",Inputs!$B$16="Y"),AND(D487="Pension",Inputs!$B$17="Y"),AND(D487="OCIO",Inputs!$B$18="Y"),AND(D487="Other",Inputs!$B$19="Y")))),A487&lt;&gt;in_ClientOrg,NOT(AND(in_ExclHarvard="Y",ISNUMBER(SEARCH("Harvard",A487))))),$AD487="Y",K487&lt;&gt;"",S487&gt;0),"Y","")</f>
        <v/>
      </c>
      <c r="V487" s="30" t="n">
        <v>0.8020430210587509</v>
      </c>
      <c r="W487" t="inlineStr"/>
      <c r="X487" s="28">
        <f>IF(L487+M487=0,"",L487+M487)</f>
        <v/>
      </c>
      <c r="Y487" s="38">
        <f>IF(L487=0,"",M487/L487)</f>
        <v/>
      </c>
      <c r="Z487" t="inlineStr">
        <is>
          <t>COO (Investment Office)</t>
        </is>
      </c>
      <c r="AA487" t="inlineStr">
        <is>
          <t>Operations &amp; Control</t>
        </is>
      </c>
      <c r="AB487" s="50" t="inlineStr"/>
      <c r="AC487" s="43">
        <f>HYPERLINK("https://projects.propublica.org/nonprofits/organizations/237361259/202541349349310119/full","view filing")</f>
        <v/>
      </c>
      <c r="AD487" s="50" t="inlineStr"/>
    </row>
    <row r="488">
      <c r="A488" t="inlineStr">
        <is>
          <t>Harvard Management Company Inc</t>
        </is>
      </c>
      <c r="B488" s="50" t="inlineStr">
        <is>
          <t>MA</t>
        </is>
      </c>
      <c r="C488" s="52" t="n">
        <v>53.2</v>
      </c>
      <c r="D488" t="inlineStr">
        <is>
          <t>Endowment</t>
        </is>
      </c>
      <c r="E488" s="50" t="n">
        <v>2023</v>
      </c>
      <c r="F488" s="50" t="inlineStr">
        <is>
          <t>2024-05-10</t>
        </is>
      </c>
      <c r="G488" s="50" t="inlineStr">
        <is>
          <t>2023-06-30</t>
        </is>
      </c>
      <c r="H488" t="inlineStr">
        <is>
          <t>Adam Goldstein</t>
        </is>
      </c>
      <c r="I488" t="inlineStr">
        <is>
          <t>MD - GENERALIST TEAM</t>
        </is>
      </c>
      <c r="J488" t="inlineStr">
        <is>
          <t>Managing Director</t>
        </is>
      </c>
      <c r="K488" t="inlineStr">
        <is>
          <t>Sr Investment Professional</t>
        </is>
      </c>
      <c r="L488" s="28" t="n">
        <v>699454</v>
      </c>
      <c r="M488" s="28" t="n">
        <v>5237055</v>
      </c>
      <c r="N488" s="28" t="n">
        <v>486</v>
      </c>
      <c r="O488" s="28" t="n">
        <v>30500</v>
      </c>
      <c r="P488" s="28" t="n">
        <v>34893</v>
      </c>
      <c r="Q488" s="28" t="n">
        <v>6002388</v>
      </c>
      <c r="R488" s="28" t="n">
        <v>0</v>
      </c>
      <c r="S488" s="28">
        <f>Q488-R488</f>
        <v/>
      </c>
      <c r="T488" s="28">
        <f>IF(S488="","",S488*(1+in_GrowthRate)^(YEARFRAC(DATE(2023,6,30),in_AgeToDate)*IF(in_AgeToDate&lt;DATE(2023,6,30),-1,1)+1))</f>
        <v/>
      </c>
      <c r="U488" s="50">
        <f>IF(AND(AND(OR(in_Mode="All Funds",AND(C488&gt;=in_BandFloor,C488&lt;=in_BandCeiling,OR(in_Geography="National",COUNTIFS(lst_GeoPreset,in_Geography,lst_GeoState,B488)&gt;0,AND(in_Geography="Custom",ISNUMBER(SEARCH(B488,SUBSTITUTE(in_CustomStates," ",""))))),OR(AND(D488="Endowment",Inputs!$B$14="Y"),AND(D488="Foundation",Inputs!$B$15="Y"),AND(D488="Healthcare",Inputs!$B$16="Y"),AND(D488="Pension",Inputs!$B$17="Y"),AND(D488="OCIO",Inputs!$B$18="Y"),AND(D488="Other",Inputs!$B$19="Y")))),A488&lt;&gt;in_ClientOrg,NOT(AND(in_ExclHarvard="Y",ISNUMBER(SEARCH("Harvard",A488))))),$AD488="Y",K488&lt;&gt;"",S488&gt;0),"Y","")</f>
        <v/>
      </c>
      <c r="V488" s="30" t="n">
        <v>0.7499298157543298</v>
      </c>
      <c r="W488" t="inlineStr"/>
      <c r="X488" s="28">
        <f>IF(L488+M488=0,"",L488+M488)</f>
        <v/>
      </c>
      <c r="Y488" s="38">
        <f>IF(L488=0,"",M488/L488)</f>
        <v/>
      </c>
      <c r="Z488" t="inlineStr">
        <is>
          <t>Managing Director</t>
        </is>
      </c>
      <c r="AA488" t="inlineStr">
        <is>
          <t>Investments</t>
        </is>
      </c>
      <c r="AB488" s="50" t="inlineStr"/>
      <c r="AC488" s="43">
        <f>HYPERLINK("https://projects.propublica.org/nonprofits/organizations/237361259/202411319349301026/full","view filing")</f>
        <v/>
      </c>
      <c r="AD488" s="50" t="inlineStr"/>
    </row>
    <row r="489">
      <c r="A489" t="inlineStr">
        <is>
          <t>Harvard Management Company Inc</t>
        </is>
      </c>
      <c r="B489" s="50" t="inlineStr">
        <is>
          <t>MA</t>
        </is>
      </c>
      <c r="C489" s="52" t="n">
        <v>53.2</v>
      </c>
      <c r="D489" t="inlineStr">
        <is>
          <t>Endowment</t>
        </is>
      </c>
      <c r="E489" s="50" t="n">
        <v>2023</v>
      </c>
      <c r="F489" s="50" t="inlineStr">
        <is>
          <t>2024-05-10</t>
        </is>
      </c>
      <c r="G489" s="50" t="inlineStr">
        <is>
          <t>2023-06-30</t>
        </is>
      </c>
      <c r="H489" t="inlineStr">
        <is>
          <t>Carlos Saravia</t>
        </is>
      </c>
      <c r="I489" t="inlineStr">
        <is>
          <t>MD - Generalist Team</t>
        </is>
      </c>
      <c r="J489" t="inlineStr">
        <is>
          <t>Managing Director</t>
        </is>
      </c>
      <c r="K489" t="inlineStr">
        <is>
          <t>Sr Investment Professional</t>
        </is>
      </c>
      <c r="L489" s="28" t="n">
        <v>699454</v>
      </c>
      <c r="M489" s="28" t="n">
        <v>5914173</v>
      </c>
      <c r="N489" s="28" t="n">
        <v>540</v>
      </c>
      <c r="O489" s="28" t="n">
        <v>30500</v>
      </c>
      <c r="P489" s="28" t="n">
        <v>34899</v>
      </c>
      <c r="Q489" s="28" t="n">
        <v>6679566</v>
      </c>
      <c r="R489" s="28" t="n">
        <v>0</v>
      </c>
      <c r="S489" s="28">
        <f>Q489-R489</f>
        <v/>
      </c>
      <c r="T489" s="28">
        <f>IF(S489="","",S489*(1+in_GrowthRate)^(YEARFRAC(DATE(2023,6,30),in_AgeToDate)*IF(in_AgeToDate&lt;DATE(2023,6,30),-1,1)+1))</f>
        <v/>
      </c>
      <c r="U489" s="50">
        <f>IF(AND(AND(OR(in_Mode="All Funds",AND(C489&gt;=in_BandFloor,C489&lt;=in_BandCeiling,OR(in_Geography="National",COUNTIFS(lst_GeoPreset,in_Geography,lst_GeoState,B489)&gt;0,AND(in_Geography="Custom",ISNUMBER(SEARCH(B489,SUBSTITUTE(in_CustomStates," ",""))))),OR(AND(D489="Endowment",Inputs!$B$14="Y"),AND(D489="Foundation",Inputs!$B$15="Y"),AND(D489="Healthcare",Inputs!$B$16="Y"),AND(D489="Pension",Inputs!$B$17="Y"),AND(D489="OCIO",Inputs!$B$18="Y"),AND(D489="Other",Inputs!$B$19="Y")))),A489&lt;&gt;in_ClientOrg,NOT(AND(in_ExclHarvard="Y",ISNUMBER(SEARCH("Harvard",A489))))),$AD489="Y",K489&lt;&gt;"",S489&gt;0),"Y","")</f>
        <v/>
      </c>
      <c r="V489" s="30" t="n">
        <v>0.8345354714988243</v>
      </c>
      <c r="W489" t="inlineStr"/>
      <c r="X489" s="28">
        <f>IF(L489+M489=0,"",L489+M489)</f>
        <v/>
      </c>
      <c r="Y489" s="38">
        <f>IF(L489=0,"",M489/L489)</f>
        <v/>
      </c>
      <c r="Z489" t="inlineStr">
        <is>
          <t>Managing Director</t>
        </is>
      </c>
      <c r="AA489" t="inlineStr">
        <is>
          <t>Investments</t>
        </is>
      </c>
      <c r="AB489" s="50" t="inlineStr"/>
      <c r="AC489" s="43">
        <f>HYPERLINK("https://projects.propublica.org/nonprofits/organizations/237361259/202411319349301026/full","view filing")</f>
        <v/>
      </c>
      <c r="AD489" s="50" t="inlineStr"/>
    </row>
    <row r="490">
      <c r="A490" t="inlineStr">
        <is>
          <t>Harvard Management Company Inc</t>
        </is>
      </c>
      <c r="B490" s="50" t="inlineStr">
        <is>
          <t>MA</t>
        </is>
      </c>
      <c r="C490" s="52" t="n">
        <v>53.2</v>
      </c>
      <c r="D490" t="inlineStr">
        <is>
          <t>Endowment</t>
        </is>
      </c>
      <c r="E490" s="50" t="n">
        <v>2023</v>
      </c>
      <c r="F490" s="50" t="inlineStr">
        <is>
          <t>2024-05-10</t>
        </is>
      </c>
      <c r="G490" s="50" t="inlineStr">
        <is>
          <t>2023-06-30</t>
        </is>
      </c>
      <c r="H490" t="inlineStr">
        <is>
          <t>Elise Mcdonald</t>
        </is>
      </c>
      <c r="I490" t="inlineStr">
        <is>
          <t>MD - Generalist Team</t>
        </is>
      </c>
      <c r="J490" t="inlineStr">
        <is>
          <t>Managing Director</t>
        </is>
      </c>
      <c r="K490" t="inlineStr">
        <is>
          <t>Sr Investment Professional</t>
        </is>
      </c>
      <c r="L490" s="28" t="n">
        <v>489084</v>
      </c>
      <c r="M490" s="28" t="n">
        <v>3268465</v>
      </c>
      <c r="N490" s="28" t="n">
        <v>1400810</v>
      </c>
      <c r="O490" s="28" t="n">
        <v>30500</v>
      </c>
      <c r="P490" s="28" t="n">
        <v>42779</v>
      </c>
      <c r="Q490" s="28" t="n">
        <v>5231638</v>
      </c>
      <c r="R490" s="28" t="n">
        <v>933333</v>
      </c>
      <c r="S490" s="28">
        <f>Q490-R490</f>
        <v/>
      </c>
      <c r="T490" s="28">
        <f>IF(S490="","",S490*(1+in_GrowthRate)^(YEARFRAC(DATE(2023,6,30),in_AgeToDate)*IF(in_AgeToDate&lt;DATE(2023,6,30),-1,1)+1))</f>
        <v/>
      </c>
      <c r="U490" s="50">
        <f>IF(AND(AND(OR(in_Mode="All Funds",AND(C490&gt;=in_BandFloor,C490&lt;=in_BandCeiling,OR(in_Geography="National",COUNTIFS(lst_GeoPreset,in_Geography,lst_GeoState,B490)&gt;0,AND(in_Geography="Custom",ISNUMBER(SEARCH(B490,SUBSTITUTE(in_CustomStates," ",""))))),OR(AND(D490="Endowment",Inputs!$B$14="Y"),AND(D490="Foundation",Inputs!$B$15="Y"),AND(D490="Healthcare",Inputs!$B$16="Y"),AND(D490="Pension",Inputs!$B$17="Y"),AND(D490="OCIO",Inputs!$B$18="Y"),AND(D490="Other",Inputs!$B$19="Y")))),A490&lt;&gt;in_ClientOrg,NOT(AND(in_ExclHarvard="Y",ISNUMBER(SEARCH("Harvard",A490))))),$AD490="Y",K490&lt;&gt;"",S490&gt;0),"Y","")</f>
        <v/>
      </c>
      <c r="V490" s="30" t="n">
        <v>0.5370241105216648</v>
      </c>
      <c r="W490" t="inlineStr"/>
      <c r="X490" s="28">
        <f>IF(L490+M490=0,"",L490+M490)</f>
        <v/>
      </c>
      <c r="Y490" s="38">
        <f>IF(L490=0,"",M490/L490)</f>
        <v/>
      </c>
      <c r="Z490" t="inlineStr">
        <is>
          <t>Managing Director</t>
        </is>
      </c>
      <c r="AA490" t="inlineStr">
        <is>
          <t>Investments</t>
        </is>
      </c>
      <c r="AB490" s="50" t="inlineStr"/>
      <c r="AC490" s="43">
        <f>HYPERLINK("https://projects.propublica.org/nonprofits/organizations/237361259/202411319349301026/full","view filing")</f>
        <v/>
      </c>
      <c r="AD490" s="50" t="inlineStr"/>
    </row>
    <row r="491">
      <c r="A491" t="inlineStr">
        <is>
          <t>Harvard Management Company Inc</t>
        </is>
      </c>
      <c r="B491" s="50" t="inlineStr">
        <is>
          <t>MA</t>
        </is>
      </c>
      <c r="C491" s="52" t="n">
        <v>53.2</v>
      </c>
      <c r="D491" t="inlineStr">
        <is>
          <t>Endowment</t>
        </is>
      </c>
      <c r="E491" s="50" t="n">
        <v>2023</v>
      </c>
      <c r="F491" s="50" t="inlineStr">
        <is>
          <t>2024-05-10</t>
        </is>
      </c>
      <c r="G491" s="50" t="inlineStr">
        <is>
          <t>2023-06-30</t>
        </is>
      </c>
      <c r="H491" t="inlineStr">
        <is>
          <t>John Shue</t>
        </is>
      </c>
      <c r="I491" t="inlineStr">
        <is>
          <t>MD - Generalist Team</t>
        </is>
      </c>
      <c r="J491" t="inlineStr">
        <is>
          <t>Managing Director</t>
        </is>
      </c>
      <c r="K491" t="inlineStr">
        <is>
          <t>Sr Investment Professional</t>
        </is>
      </c>
      <c r="L491" s="28" t="n">
        <v>493088</v>
      </c>
      <c r="M491" s="28" t="n">
        <v>3234456</v>
      </c>
      <c r="N491" s="28" t="n">
        <v>1351231</v>
      </c>
      <c r="O491" s="28" t="n">
        <v>30500</v>
      </c>
      <c r="P491" s="28" t="n">
        <v>34977</v>
      </c>
      <c r="Q491" s="28" t="n">
        <v>5144252</v>
      </c>
      <c r="R491" s="28" t="n">
        <v>900000</v>
      </c>
      <c r="S491" s="28">
        <f>Q491-R491</f>
        <v/>
      </c>
      <c r="T491" s="28">
        <f>IF(S491="","",S491*(1+in_GrowthRate)^(YEARFRAC(DATE(2023,6,30),in_AgeToDate)*IF(in_AgeToDate&lt;DATE(2023,6,30),-1,1)+1))</f>
        <v/>
      </c>
      <c r="U491" s="50">
        <f>IF(AND(AND(OR(in_Mode="All Funds",AND(C491&gt;=in_BandFloor,C491&lt;=in_BandCeiling,OR(in_Geography="National",COUNTIFS(lst_GeoPreset,in_Geography,lst_GeoState,B491)&gt;0,AND(in_Geography="Custom",ISNUMBER(SEARCH(B491,SUBSTITUTE(in_CustomStates," ",""))))),OR(AND(D491="Endowment",Inputs!$B$14="Y"),AND(D491="Foundation",Inputs!$B$15="Y"),AND(D491="Healthcare",Inputs!$B$16="Y"),AND(D491="Pension",Inputs!$B$17="Y"),AND(D491="OCIO",Inputs!$B$18="Y"),AND(D491="Other",Inputs!$B$19="Y")))),A491&lt;&gt;in_ClientOrg,NOT(AND(in_ExclHarvard="Y",ISNUMBER(SEARCH("Harvard",A491))))),$AD491="Y",K491&lt;&gt;"",S491&gt;0),"Y","")</f>
        <v/>
      </c>
      <c r="V491" s="30" t="n">
        <v>0.5302708056151895</v>
      </c>
      <c r="W491" t="inlineStr"/>
      <c r="X491" s="28">
        <f>IF(L491+M491=0,"",L491+M491)</f>
        <v/>
      </c>
      <c r="Y491" s="38">
        <f>IF(L491=0,"",M491/L491)</f>
        <v/>
      </c>
      <c r="Z491" t="inlineStr">
        <is>
          <t>Managing Director</t>
        </is>
      </c>
      <c r="AA491" t="inlineStr">
        <is>
          <t>Investments</t>
        </is>
      </c>
      <c r="AB491" s="50" t="inlineStr"/>
      <c r="AC491" s="43">
        <f>HYPERLINK("https://projects.propublica.org/nonprofits/organizations/237361259/202411319349301026/full","view filing")</f>
        <v/>
      </c>
      <c r="AD491" s="50" t="inlineStr"/>
    </row>
    <row r="492">
      <c r="A492" t="inlineStr">
        <is>
          <t>Harvard Management Company Inc</t>
        </is>
      </c>
      <c r="B492" s="50" t="inlineStr">
        <is>
          <t>MA</t>
        </is>
      </c>
      <c r="C492" s="52" t="n">
        <v>53.2</v>
      </c>
      <c r="D492" t="inlineStr">
        <is>
          <t>Endowment</t>
        </is>
      </c>
      <c r="E492" s="50" t="n">
        <v>2023</v>
      </c>
      <c r="F492" s="50" t="inlineStr">
        <is>
          <t>2024-05-10</t>
        </is>
      </c>
      <c r="G492" s="50" t="inlineStr">
        <is>
          <t>2023-06-30</t>
        </is>
      </c>
      <c r="H492" t="inlineStr">
        <is>
          <t>Kathryn I Murtagh</t>
        </is>
      </c>
      <c r="I492" t="inlineStr">
        <is>
          <t>MD - CCO &amp; CLERK</t>
        </is>
      </c>
      <c r="J492" t="inlineStr">
        <is>
          <t>Chief Compliance Officer (Inv Entity)</t>
        </is>
      </c>
      <c r="K492" t="inlineStr">
        <is>
          <t>Other disclosed professionals</t>
        </is>
      </c>
      <c r="L492" s="28" t="n">
        <v>629299</v>
      </c>
      <c r="M492" s="28" t="n">
        <v>1600000</v>
      </c>
      <c r="N492" s="28" t="n">
        <v>22822</v>
      </c>
      <c r="O492" s="28" t="n">
        <v>30500</v>
      </c>
      <c r="P492" s="28" t="n">
        <v>15722</v>
      </c>
      <c r="Q492" s="28" t="n">
        <v>2298343</v>
      </c>
      <c r="R492" s="28" t="n">
        <v>0</v>
      </c>
      <c r="S492" s="28">
        <f>Q492-R492</f>
        <v/>
      </c>
      <c r="T492" s="28">
        <f>IF(S492="","",S492*(1+in_GrowthRate)^(YEARFRAC(DATE(2023,6,30),in_AgeToDate)*IF(in_AgeToDate&lt;DATE(2023,6,30),-1,1)+1))</f>
        <v/>
      </c>
      <c r="U492" s="50">
        <f>IF(AND(AND(OR(in_Mode="All Funds",AND(C492&gt;=in_BandFloor,C492&lt;=in_BandCeiling,OR(in_Geography="National",COUNTIFS(lst_GeoPreset,in_Geography,lst_GeoState,B492)&gt;0,AND(in_Geography="Custom",ISNUMBER(SEARCH(B492,SUBSTITUTE(in_CustomStates," ",""))))),OR(AND(D492="Endowment",Inputs!$B$14="Y"),AND(D492="Foundation",Inputs!$B$15="Y"),AND(D492="Healthcare",Inputs!$B$16="Y"),AND(D492="Pension",Inputs!$B$17="Y"),AND(D492="OCIO",Inputs!$B$18="Y"),AND(D492="Other",Inputs!$B$19="Y")))),A492&lt;&gt;in_ClientOrg,NOT(AND(in_ExclHarvard="Y",ISNUMBER(SEARCH("Harvard",A492))))),$AD492="Y",K492&lt;&gt;"",S492&gt;0),"Y","")</f>
        <v/>
      </c>
      <c r="V492" s="30" t="n">
        <v>0.2871517040434996</v>
      </c>
      <c r="W492" t="inlineStr">
        <is>
          <t>Other disclosed professionals</t>
        </is>
      </c>
      <c r="X492" s="28">
        <f>IF(L492+M492=0,"",L492+M492)</f>
        <v/>
      </c>
      <c r="Y492" s="38">
        <f>IF(L492=0,"",M492/L492)</f>
        <v/>
      </c>
      <c r="Z492" t="inlineStr">
        <is>
          <t>Other disclosed professionals</t>
        </is>
      </c>
      <c r="AA492" t="inlineStr">
        <is>
          <t>Operations &amp; Control</t>
        </is>
      </c>
      <c r="AB492" s="50" t="inlineStr"/>
      <c r="AC492" s="43">
        <f>HYPERLINK("https://projects.propublica.org/nonprofits/organizations/237361259/202411319349301026/full","view filing")</f>
        <v/>
      </c>
      <c r="AD492" s="50" t="inlineStr"/>
    </row>
    <row r="493">
      <c r="A493" t="inlineStr">
        <is>
          <t>Harvard Management Company Inc</t>
        </is>
      </c>
      <c r="B493" s="50" t="inlineStr">
        <is>
          <t>MA</t>
        </is>
      </c>
      <c r="C493" s="52" t="n">
        <v>53.2</v>
      </c>
      <c r="D493" t="inlineStr">
        <is>
          <t>Endowment</t>
        </is>
      </c>
      <c r="E493" s="50" t="n">
        <v>2023</v>
      </c>
      <c r="F493" s="50" t="inlineStr">
        <is>
          <t>2024-05-10</t>
        </is>
      </c>
      <c r="G493" s="50" t="inlineStr">
        <is>
          <t>2023-06-30</t>
        </is>
      </c>
      <c r="H493" t="inlineStr">
        <is>
          <t>Nirmal P Narvekar</t>
        </is>
      </c>
      <c r="I493" t="inlineStr">
        <is>
          <t>MD - President &amp; CEO</t>
        </is>
      </c>
      <c r="J493" t="inlineStr">
        <is>
          <t>CEO (Inv Entity)</t>
        </is>
      </c>
      <c r="K493" t="inlineStr">
        <is>
          <t>CIO - Top Investment Executive</t>
        </is>
      </c>
      <c r="L493" s="28" t="n">
        <v>999454</v>
      </c>
      <c r="M493" s="28" t="n">
        <v>6103013</v>
      </c>
      <c r="N493" s="28" t="n">
        <v>2500064</v>
      </c>
      <c r="O493" s="28" t="n">
        <v>30500</v>
      </c>
      <c r="P493" s="28" t="n">
        <v>35235</v>
      </c>
      <c r="Q493" s="28" t="n">
        <v>9668266</v>
      </c>
      <c r="R493" s="28" t="n">
        <v>1664333</v>
      </c>
      <c r="S493" s="28">
        <f>Q493-R493</f>
        <v/>
      </c>
      <c r="T493" s="28">
        <f>IF(S493="","",S493*(1+in_GrowthRate)^(YEARFRAC(DATE(2023,6,30),in_AgeToDate)*IF(in_AgeToDate&lt;DATE(2023,6,30),-1,1)+1))</f>
        <v/>
      </c>
      <c r="U493" s="50">
        <f>IF(AND(AND(OR(in_Mode="All Funds",AND(C493&gt;=in_BandFloor,C493&lt;=in_BandCeiling,OR(in_Geography="National",COUNTIFS(lst_GeoPreset,in_Geography,lst_GeoState,B493)&gt;0,AND(in_Geography="Custom",ISNUMBER(SEARCH(B493,SUBSTITUTE(in_CustomStates," ",""))))),OR(AND(D493="Endowment",Inputs!$B$14="Y"),AND(D493="Foundation",Inputs!$B$15="Y"),AND(D493="Healthcare",Inputs!$B$16="Y"),AND(D493="Pension",Inputs!$B$17="Y"),AND(D493="OCIO",Inputs!$B$18="Y"),AND(D493="Other",Inputs!$B$19="Y")))),A493&lt;&gt;in_ClientOrg,NOT(AND(in_ExclHarvard="Y",ISNUMBER(SEARCH("Harvard",A493))))),$AD493="Y",K493&lt;&gt;"",S493&gt;0),"Y","")</f>
        <v/>
      </c>
      <c r="V493" s="30" t="n">
        <v>1</v>
      </c>
      <c r="W493" t="inlineStr"/>
      <c r="X493" s="28">
        <f>IF(L493+M493=0,"",L493+M493)</f>
        <v/>
      </c>
      <c r="Y493" s="38">
        <f>IF(L493=0,"",M493/L493)</f>
        <v/>
      </c>
      <c r="Z493" t="inlineStr">
        <is>
          <t>CIO - Top Investment Executive</t>
        </is>
      </c>
      <c r="AA493" t="inlineStr">
        <is>
          <t>Leadership</t>
        </is>
      </c>
      <c r="AB493" s="50" t="inlineStr">
        <is>
          <t>Y</t>
        </is>
      </c>
      <c r="AC493" s="43">
        <f>HYPERLINK("https://projects.propublica.org/nonprofits/organizations/237361259/202411319349301026/full","view filing")</f>
        <v/>
      </c>
      <c r="AD493" s="50" t="inlineStr"/>
    </row>
    <row r="494">
      <c r="A494" t="inlineStr">
        <is>
          <t>Harvard Management Company Inc</t>
        </is>
      </c>
      <c r="B494" s="50" t="inlineStr">
        <is>
          <t>MA</t>
        </is>
      </c>
      <c r="C494" s="52" t="n">
        <v>53.2</v>
      </c>
      <c r="D494" t="inlineStr">
        <is>
          <t>Endowment</t>
        </is>
      </c>
      <c r="E494" s="50" t="n">
        <v>2023</v>
      </c>
      <c r="F494" s="50" t="inlineStr">
        <is>
          <t>2024-05-10</t>
        </is>
      </c>
      <c r="G494" s="50" t="inlineStr">
        <is>
          <t>2023-06-30</t>
        </is>
      </c>
      <c r="H494" t="inlineStr">
        <is>
          <t>Richard W Slocum</t>
        </is>
      </c>
      <c r="I494" t="inlineStr">
        <is>
          <t>MD - CIO</t>
        </is>
      </c>
      <c r="J494" t="inlineStr">
        <is>
          <t>CIO</t>
        </is>
      </c>
      <c r="K494" t="inlineStr">
        <is>
          <t>Sr Investment Professional</t>
        </is>
      </c>
      <c r="L494" s="28" t="n">
        <v>799454</v>
      </c>
      <c r="M494" s="28" t="n">
        <v>4882126</v>
      </c>
      <c r="N494" s="28" t="n">
        <v>2000814</v>
      </c>
      <c r="O494" s="28" t="n">
        <v>30500</v>
      </c>
      <c r="P494" s="28" t="n">
        <v>35235</v>
      </c>
      <c r="Q494" s="28" t="n">
        <v>7748129</v>
      </c>
      <c r="R494" s="28" t="n">
        <v>1331500</v>
      </c>
      <c r="S494" s="28">
        <f>Q494-R494</f>
        <v/>
      </c>
      <c r="T494" s="28">
        <f>IF(S494="","",S494*(1+in_GrowthRate)^(YEARFRAC(DATE(2023,6,30),in_AgeToDate)*IF(in_AgeToDate&lt;DATE(2023,6,30),-1,1)+1))</f>
        <v/>
      </c>
      <c r="U494" s="50">
        <f>IF(AND(AND(OR(in_Mode="All Funds",AND(C494&gt;=in_BandFloor,C494&lt;=in_BandCeiling,OR(in_Geography="National",COUNTIFS(lst_GeoPreset,in_Geography,lst_GeoState,B494)&gt;0,AND(in_Geography="Custom",ISNUMBER(SEARCH(B494,SUBSTITUTE(in_CustomStates," ",""))))),OR(AND(D494="Endowment",Inputs!$B$14="Y"),AND(D494="Foundation",Inputs!$B$15="Y"),AND(D494="Healthcare",Inputs!$B$16="Y"),AND(D494="Pension",Inputs!$B$17="Y"),AND(D494="OCIO",Inputs!$B$18="Y"),AND(D494="Other",Inputs!$B$19="Y")))),A494&lt;&gt;in_ClientOrg,NOT(AND(in_ExclHarvard="Y",ISNUMBER(SEARCH("Harvard",A494))))),$AD494="Y",K494&lt;&gt;"",S494&gt;0),"Y","")</f>
        <v/>
      </c>
      <c r="V494" s="30" t="n">
        <v>0.8016844968592316</v>
      </c>
      <c r="W494" t="inlineStr"/>
      <c r="X494" s="28">
        <f>IF(L494+M494=0,"",L494+M494)</f>
        <v/>
      </c>
      <c r="Y494" s="38">
        <f>IF(L494=0,"",M494/L494)</f>
        <v/>
      </c>
      <c r="Z494" t="inlineStr">
        <is>
          <t>Deputy CIO</t>
        </is>
      </c>
      <c r="AA494" t="inlineStr">
        <is>
          <t>Leadership</t>
        </is>
      </c>
      <c r="AB494" s="50" t="inlineStr"/>
      <c r="AC494" s="43">
        <f>HYPERLINK("https://projects.propublica.org/nonprofits/organizations/237361259/202411319349301026/full","view filing")</f>
        <v/>
      </c>
      <c r="AD494" s="50" t="inlineStr"/>
    </row>
    <row r="495">
      <c r="A495" t="inlineStr">
        <is>
          <t>Harvard Management Company Inc</t>
        </is>
      </c>
      <c r="B495" s="50" t="inlineStr">
        <is>
          <t>MA</t>
        </is>
      </c>
      <c r="C495" s="52" t="n">
        <v>53.2</v>
      </c>
      <c r="D495" t="inlineStr">
        <is>
          <t>Endowment</t>
        </is>
      </c>
      <c r="E495" s="50" t="n">
        <v>2023</v>
      </c>
      <c r="F495" s="50" t="inlineStr">
        <is>
          <t>2024-05-10</t>
        </is>
      </c>
      <c r="G495" s="50" t="inlineStr">
        <is>
          <t>2023-06-30</t>
        </is>
      </c>
      <c r="H495" t="inlineStr">
        <is>
          <t>Sanjeev Daga</t>
        </is>
      </c>
      <c r="I495" t="inlineStr">
        <is>
          <t>MD - COO &amp; Treasurer</t>
        </is>
      </c>
      <c r="J495" t="inlineStr">
        <is>
          <t>COO (Inv Entity)</t>
        </is>
      </c>
      <c r="K495" t="inlineStr">
        <is>
          <t>COO (Investment Office)</t>
        </is>
      </c>
      <c r="L495" s="28" t="n">
        <v>777454</v>
      </c>
      <c r="M495" s="28" t="n">
        <v>3115500</v>
      </c>
      <c r="N495" s="28" t="n">
        <v>22822</v>
      </c>
      <c r="O495" s="28" t="n">
        <v>30500</v>
      </c>
      <c r="P495" s="28" t="n">
        <v>36597</v>
      </c>
      <c r="Q495" s="28" t="n">
        <v>3982873</v>
      </c>
      <c r="R495" s="28" t="n">
        <v>0</v>
      </c>
      <c r="S495" s="28">
        <f>Q495-R495</f>
        <v/>
      </c>
      <c r="T495" s="28">
        <f>IF(S495="","",S495*(1+in_GrowthRate)^(YEARFRAC(DATE(2023,6,30),in_AgeToDate)*IF(in_AgeToDate&lt;DATE(2023,6,30),-1,1)+1))</f>
        <v/>
      </c>
      <c r="U495" s="50">
        <f>IF(AND(AND(OR(in_Mode="All Funds",AND(C495&gt;=in_BandFloor,C495&lt;=in_BandCeiling,OR(in_Geography="National",COUNTIFS(lst_GeoPreset,in_Geography,lst_GeoState,B495)&gt;0,AND(in_Geography="Custom",ISNUMBER(SEARCH(B495,SUBSTITUTE(in_CustomStates," ",""))))),OR(AND(D495="Endowment",Inputs!$B$14="Y"),AND(D495="Foundation",Inputs!$B$15="Y"),AND(D495="Healthcare",Inputs!$B$16="Y"),AND(D495="Pension",Inputs!$B$17="Y"),AND(D495="OCIO",Inputs!$B$18="Y"),AND(D495="Other",Inputs!$B$19="Y")))),A495&lt;&gt;in_ClientOrg,NOT(AND(in_ExclHarvard="Y",ISNUMBER(SEARCH("Harvard",A495))))),$AD495="Y",K495&lt;&gt;"",S495&gt;0),"Y","")</f>
        <v/>
      </c>
      <c r="V495" s="30" t="n">
        <v>0.4976144852786749</v>
      </c>
      <c r="W495" t="inlineStr"/>
      <c r="X495" s="28">
        <f>IF(L495+M495=0,"",L495+M495)</f>
        <v/>
      </c>
      <c r="Y495" s="38">
        <f>IF(L495=0,"",M495/L495)</f>
        <v/>
      </c>
      <c r="Z495" t="inlineStr">
        <is>
          <t>COO (Investment Office)</t>
        </is>
      </c>
      <c r="AA495" t="inlineStr">
        <is>
          <t>Operations &amp; Control</t>
        </is>
      </c>
      <c r="AB495" s="50" t="inlineStr"/>
      <c r="AC495" s="43">
        <f>HYPERLINK("https://projects.propublica.org/nonprofits/organizations/237361259/202411319349301026/full","view filing")</f>
        <v/>
      </c>
      <c r="AD495" s="50" t="inlineStr"/>
    </row>
    <row r="496">
      <c r="A496" t="inlineStr">
        <is>
          <t>Harvard Management Company Inc</t>
        </is>
      </c>
      <c r="B496" s="50" t="inlineStr">
        <is>
          <t>MA</t>
        </is>
      </c>
      <c r="C496" s="52" t="n">
        <v>53.2</v>
      </c>
      <c r="D496" t="inlineStr">
        <is>
          <t>Endowment</t>
        </is>
      </c>
      <c r="E496" s="50" t="n">
        <v>2023</v>
      </c>
      <c r="F496" s="50" t="inlineStr">
        <is>
          <t>2024-05-10</t>
        </is>
      </c>
      <c r="G496" s="50" t="inlineStr">
        <is>
          <t>2023-06-30</t>
        </is>
      </c>
      <c r="H496" t="inlineStr">
        <is>
          <t>Viral Dholabhai</t>
        </is>
      </c>
      <c r="I496" t="inlineStr">
        <is>
          <t>MD - GENERALIST TEAM</t>
        </is>
      </c>
      <c r="J496" t="inlineStr">
        <is>
          <t>Managing Director</t>
        </is>
      </c>
      <c r="K496" t="inlineStr">
        <is>
          <t>Sr Investment Professional</t>
        </is>
      </c>
      <c r="L496" s="28" t="n">
        <v>399454</v>
      </c>
      <c r="M496" s="28" t="n">
        <v>3873086</v>
      </c>
      <c r="N496" s="28" t="n">
        <v>420</v>
      </c>
      <c r="O496" s="28" t="n">
        <v>30500</v>
      </c>
      <c r="P496" s="28" t="n">
        <v>34899</v>
      </c>
      <c r="Q496" s="28" t="n">
        <v>4338359</v>
      </c>
      <c r="R496" s="28" t="n">
        <v>0</v>
      </c>
      <c r="S496" s="28">
        <f>Q496-R496</f>
        <v/>
      </c>
      <c r="T496" s="28">
        <f>IF(S496="","",S496*(1+in_GrowthRate)^(YEARFRAC(DATE(2023,6,30),in_AgeToDate)*IF(in_AgeToDate&lt;DATE(2023,6,30),-1,1)+1))</f>
        <v/>
      </c>
      <c r="U496" s="50">
        <f>IF(AND(AND(OR(in_Mode="All Funds",AND(C496&gt;=in_BandFloor,C496&lt;=in_BandCeiling,OR(in_Geography="National",COUNTIFS(lst_GeoPreset,in_Geography,lst_GeoState,B496)&gt;0,AND(in_Geography="Custom",ISNUMBER(SEARCH(B496,SUBSTITUTE(in_CustomStates," ",""))))),OR(AND(D496="Endowment",Inputs!$B$14="Y"),AND(D496="Foundation",Inputs!$B$15="Y"),AND(D496="Healthcare",Inputs!$B$16="Y"),AND(D496="Pension",Inputs!$B$17="Y"),AND(D496="OCIO",Inputs!$B$18="Y"),AND(D496="Other",Inputs!$B$19="Y")))),A496&lt;&gt;in_ClientOrg,NOT(AND(in_ExclHarvard="Y",ISNUMBER(SEARCH("Harvard",A496))))),$AD496="Y",K496&lt;&gt;"",S496&gt;0),"Y","")</f>
        <v/>
      </c>
      <c r="V496" s="30" t="n">
        <v>0.5420284002877086</v>
      </c>
      <c r="W496" t="inlineStr"/>
      <c r="X496" s="28">
        <f>IF(L496+M496=0,"",L496+M496)</f>
        <v/>
      </c>
      <c r="Y496" s="38">
        <f>IF(L496=0,"",M496/L496)</f>
        <v/>
      </c>
      <c r="Z496" t="inlineStr">
        <is>
          <t>Managing Director</t>
        </is>
      </c>
      <c r="AA496" t="inlineStr">
        <is>
          <t>Investments</t>
        </is>
      </c>
      <c r="AB496" s="50" t="inlineStr"/>
      <c r="AC496" s="43">
        <f>HYPERLINK("https://projects.propublica.org/nonprofits/organizations/237361259/202411319349301026/full","view filing")</f>
        <v/>
      </c>
      <c r="AD496" s="50" t="inlineStr"/>
    </row>
    <row r="497">
      <c r="A497" t="inlineStr">
        <is>
          <t>Harvard Management Company Inc</t>
        </is>
      </c>
      <c r="B497" s="50" t="inlineStr">
        <is>
          <t>MA</t>
        </is>
      </c>
      <c r="C497" s="52" t="n">
        <v>53.2</v>
      </c>
      <c r="D497" t="inlineStr">
        <is>
          <t>Endowment</t>
        </is>
      </c>
      <c r="E497" s="50" t="n">
        <v>2022</v>
      </c>
      <c r="F497" s="50" t="inlineStr">
        <is>
          <t>2023-05-11</t>
        </is>
      </c>
      <c r="G497" s="50" t="inlineStr">
        <is>
          <t>2022-06-30</t>
        </is>
      </c>
      <c r="H497" t="inlineStr">
        <is>
          <t>Adam Goldstein</t>
        </is>
      </c>
      <c r="I497" t="inlineStr">
        <is>
          <t>MD - GENERALIST TEAM</t>
        </is>
      </c>
      <c r="J497" t="inlineStr">
        <is>
          <t>Managing Director</t>
        </is>
      </c>
      <c r="K497" t="inlineStr">
        <is>
          <t>Sr Investment Professional</t>
        </is>
      </c>
      <c r="L497" s="28" t="n">
        <v>699463</v>
      </c>
      <c r="M497" s="28" t="n">
        <v>4746150</v>
      </c>
      <c r="N497" s="28" t="n">
        <v>486</v>
      </c>
      <c r="O497" s="28" t="n">
        <v>29000</v>
      </c>
      <c r="P497" s="28" t="n">
        <v>34561</v>
      </c>
      <c r="Q497" s="28" t="n">
        <v>5509660</v>
      </c>
      <c r="R497" s="28" t="n">
        <v>0</v>
      </c>
      <c r="S497" s="28">
        <f>Q497-R497</f>
        <v/>
      </c>
      <c r="T497" s="28">
        <f>IF(S497="","",S497*(1+in_GrowthRate)^(YEARFRAC(DATE(2022,6,30),in_AgeToDate)*IF(in_AgeToDate&lt;DATE(2022,6,30),-1,1)+1))</f>
        <v/>
      </c>
      <c r="U497" s="50">
        <f>IF(AND(AND(OR(in_Mode="All Funds",AND(C497&gt;=in_BandFloor,C497&lt;=in_BandCeiling,OR(in_Geography="National",COUNTIFS(lst_GeoPreset,in_Geography,lst_GeoState,B497)&gt;0,AND(in_Geography="Custom",ISNUMBER(SEARCH(B497,SUBSTITUTE(in_CustomStates," ",""))))),OR(AND(D497="Endowment",Inputs!$B$14="Y"),AND(D497="Foundation",Inputs!$B$15="Y"),AND(D497="Healthcare",Inputs!$B$16="Y"),AND(D497="Pension",Inputs!$B$17="Y"),AND(D497="OCIO",Inputs!$B$18="Y"),AND(D497="Other",Inputs!$B$19="Y")))),A497&lt;&gt;in_ClientOrg,NOT(AND(in_ExclHarvard="Y",ISNUMBER(SEARCH("Harvard",A497))))),$AD497="Y",K497&lt;&gt;"",S497&gt;0),"Y","")</f>
        <v/>
      </c>
      <c r="V497" s="30" t="n">
        <v>0.5258405497711116</v>
      </c>
      <c r="W497" t="inlineStr"/>
      <c r="X497" s="28">
        <f>IF(L497+M497=0,"",L497+M497)</f>
        <v/>
      </c>
      <c r="Y497" s="38">
        <f>IF(L497=0,"",M497/L497)</f>
        <v/>
      </c>
      <c r="Z497" t="inlineStr">
        <is>
          <t>Managing Director</t>
        </is>
      </c>
      <c r="AA497" t="inlineStr">
        <is>
          <t>Investments</t>
        </is>
      </c>
      <c r="AB497" s="50" t="inlineStr"/>
      <c r="AC497" s="43">
        <f>HYPERLINK("https://projects.propublica.org/nonprofits/organizations/237361259/202311319349303021/full","view filing")</f>
        <v/>
      </c>
      <c r="AD497" s="50" t="inlineStr"/>
    </row>
    <row r="498">
      <c r="A498" t="inlineStr">
        <is>
          <t>Harvard Management Company Inc</t>
        </is>
      </c>
      <c r="B498" s="50" t="inlineStr">
        <is>
          <t>MA</t>
        </is>
      </c>
      <c r="C498" s="52" t="n">
        <v>53.2</v>
      </c>
      <c r="D498" t="inlineStr">
        <is>
          <t>Endowment</t>
        </is>
      </c>
      <c r="E498" s="50" t="n">
        <v>2022</v>
      </c>
      <c r="F498" s="50" t="inlineStr">
        <is>
          <t>2023-05-11</t>
        </is>
      </c>
      <c r="G498" s="50" t="inlineStr">
        <is>
          <t>2022-06-30</t>
        </is>
      </c>
      <c r="H498" t="inlineStr">
        <is>
          <t>Carlos Saravia</t>
        </is>
      </c>
      <c r="I498" t="inlineStr">
        <is>
          <t>MD - Generalist Team</t>
        </is>
      </c>
      <c r="J498" t="inlineStr">
        <is>
          <t>Managing Director</t>
        </is>
      </c>
      <c r="K498" t="inlineStr">
        <is>
          <t>Sr Investment Professional</t>
        </is>
      </c>
      <c r="L498" s="28" t="n">
        <v>699463</v>
      </c>
      <c r="M498" s="28" t="n">
        <v>5424850</v>
      </c>
      <c r="N498" s="28" t="n">
        <v>540</v>
      </c>
      <c r="O498" s="28" t="n">
        <v>29000</v>
      </c>
      <c r="P498" s="28" t="n">
        <v>34567</v>
      </c>
      <c r="Q498" s="28" t="n">
        <v>6188420</v>
      </c>
      <c r="R498" s="28" t="n">
        <v>0</v>
      </c>
      <c r="S498" s="28">
        <f>Q498-R498</f>
        <v/>
      </c>
      <c r="T498" s="28">
        <f>IF(S498="","",S498*(1+in_GrowthRate)^(YEARFRAC(DATE(2022,6,30),in_AgeToDate)*IF(in_AgeToDate&lt;DATE(2022,6,30),-1,1)+1))</f>
        <v/>
      </c>
      <c r="U498" s="50">
        <f>IF(AND(AND(OR(in_Mode="All Funds",AND(C498&gt;=in_BandFloor,C498&lt;=in_BandCeiling,OR(in_Geography="National",COUNTIFS(lst_GeoPreset,in_Geography,lst_GeoState,B498)&gt;0,AND(in_Geography="Custom",ISNUMBER(SEARCH(B498,SUBSTITUTE(in_CustomStates," ",""))))),OR(AND(D498="Endowment",Inputs!$B$14="Y"),AND(D498="Foundation",Inputs!$B$15="Y"),AND(D498="Healthcare",Inputs!$B$16="Y"),AND(D498="Pension",Inputs!$B$17="Y"),AND(D498="OCIO",Inputs!$B$18="Y"),AND(D498="Other",Inputs!$B$19="Y")))),A498&lt;&gt;in_ClientOrg,NOT(AND(in_ExclHarvard="Y",ISNUMBER(SEARCH("Harvard",A498))))),$AD498="Y",K498&lt;&gt;"",S498&gt;0),"Y","")</f>
        <v/>
      </c>
      <c r="V498" s="30" t="n">
        <v>0.5906212316212874</v>
      </c>
      <c r="W498" t="inlineStr"/>
      <c r="X498" s="28">
        <f>IF(L498+M498=0,"",L498+M498)</f>
        <v/>
      </c>
      <c r="Y498" s="38">
        <f>IF(L498=0,"",M498/L498)</f>
        <v/>
      </c>
      <c r="Z498" t="inlineStr">
        <is>
          <t>Managing Director</t>
        </is>
      </c>
      <c r="AA498" t="inlineStr">
        <is>
          <t>Investments</t>
        </is>
      </c>
      <c r="AB498" s="50" t="inlineStr"/>
      <c r="AC498" s="43">
        <f>HYPERLINK("https://projects.propublica.org/nonprofits/organizations/237361259/202311319349303021/full","view filing")</f>
        <v/>
      </c>
      <c r="AD498" s="50" t="inlineStr"/>
    </row>
    <row r="499">
      <c r="A499" t="inlineStr">
        <is>
          <t>Harvard Management Company Inc</t>
        </is>
      </c>
      <c r="B499" s="50" t="inlineStr">
        <is>
          <t>MA</t>
        </is>
      </c>
      <c r="C499" s="52" t="n">
        <v>53.2</v>
      </c>
      <c r="D499" t="inlineStr">
        <is>
          <t>Endowment</t>
        </is>
      </c>
      <c r="E499" s="50" t="n">
        <v>2022</v>
      </c>
      <c r="F499" s="50" t="inlineStr">
        <is>
          <t>2023-05-11</t>
        </is>
      </c>
      <c r="G499" s="50" t="inlineStr">
        <is>
          <t>2022-06-30</t>
        </is>
      </c>
      <c r="H499" t="inlineStr">
        <is>
          <t>Elise Mcdonald</t>
        </is>
      </c>
      <c r="I499" t="inlineStr">
        <is>
          <t>MD - Generalist Team</t>
        </is>
      </c>
      <c r="J499" t="inlineStr">
        <is>
          <t>Managing Director</t>
        </is>
      </c>
      <c r="K499" t="inlineStr">
        <is>
          <t>Sr Investment Professional</t>
        </is>
      </c>
      <c r="L499" s="28" t="n">
        <v>491713</v>
      </c>
      <c r="M499" s="28" t="n">
        <v>3385033</v>
      </c>
      <c r="N499" s="28" t="n">
        <v>2800841</v>
      </c>
      <c r="O499" s="28" t="n">
        <v>962333</v>
      </c>
      <c r="P499" s="28" t="n">
        <v>42347</v>
      </c>
      <c r="Q499" s="28" t="n">
        <v>7682267</v>
      </c>
      <c r="R499" s="28" t="n">
        <v>933333</v>
      </c>
      <c r="S499" s="28">
        <f>Q499-R499</f>
        <v/>
      </c>
      <c r="T499" s="28">
        <f>IF(S499="","",S499*(1+in_GrowthRate)^(YEARFRAC(DATE(2022,6,30),in_AgeToDate)*IF(in_AgeToDate&lt;DATE(2022,6,30),-1,1)+1))</f>
        <v/>
      </c>
      <c r="U499" s="50">
        <f>IF(AND(AND(OR(in_Mode="All Funds",AND(C499&gt;=in_BandFloor,C499&lt;=in_BandCeiling,OR(in_Geography="National",COUNTIFS(lst_GeoPreset,in_Geography,lst_GeoState,B499)&gt;0,AND(in_Geography="Custom",ISNUMBER(SEARCH(B499,SUBSTITUTE(in_CustomStates," ",""))))),OR(AND(D499="Endowment",Inputs!$B$14="Y"),AND(D499="Foundation",Inputs!$B$15="Y"),AND(D499="Healthcare",Inputs!$B$16="Y"),AND(D499="Pension",Inputs!$B$17="Y"),AND(D499="OCIO",Inputs!$B$18="Y"),AND(D499="Other",Inputs!$B$19="Y")))),A499&lt;&gt;in_ClientOrg,NOT(AND(in_ExclHarvard="Y",ISNUMBER(SEARCH("Harvard",A499))))),$AD499="Y",K499&lt;&gt;"",S499&gt;0),"Y","")</f>
        <v/>
      </c>
      <c r="V499" s="30" t="n">
        <v>0.64411654529117</v>
      </c>
      <c r="W499" t="inlineStr"/>
      <c r="X499" s="28">
        <f>IF(L499+M499=0,"",L499+M499)</f>
        <v/>
      </c>
      <c r="Y499" s="38">
        <f>IF(L499=0,"",M499/L499)</f>
        <v/>
      </c>
      <c r="Z499" t="inlineStr">
        <is>
          <t>Managing Director</t>
        </is>
      </c>
      <c r="AA499" t="inlineStr">
        <is>
          <t>Investments</t>
        </is>
      </c>
      <c r="AB499" s="50" t="inlineStr"/>
      <c r="AC499" s="43">
        <f>HYPERLINK("https://projects.propublica.org/nonprofits/organizations/237361259/202311319349303021/full","view filing")</f>
        <v/>
      </c>
      <c r="AD499" s="50" t="inlineStr"/>
    </row>
    <row r="500">
      <c r="A500" t="inlineStr">
        <is>
          <t>Harvard Management Company Inc</t>
        </is>
      </c>
      <c r="B500" s="50" t="inlineStr">
        <is>
          <t>MA</t>
        </is>
      </c>
      <c r="C500" s="52" t="n">
        <v>53.2</v>
      </c>
      <c r="D500" t="inlineStr">
        <is>
          <t>Endowment</t>
        </is>
      </c>
      <c r="E500" s="50" t="n">
        <v>2022</v>
      </c>
      <c r="F500" s="50" t="inlineStr">
        <is>
          <t>2023-05-11</t>
        </is>
      </c>
      <c r="G500" s="50" t="inlineStr">
        <is>
          <t>2022-06-30</t>
        </is>
      </c>
      <c r="H500" t="inlineStr">
        <is>
          <t>Jiqing Xia</t>
        </is>
      </c>
      <c r="I500" t="inlineStr">
        <is>
          <t>MD - Generalist Team</t>
        </is>
      </c>
      <c r="J500" t="inlineStr">
        <is>
          <t>Managing Director</t>
        </is>
      </c>
      <c r="K500" t="inlineStr">
        <is>
          <t>Sr Investment Professional</t>
        </is>
      </c>
      <c r="L500" s="28" t="n">
        <v>646713</v>
      </c>
      <c r="M500" s="28" t="n">
        <v>1462500</v>
      </c>
      <c r="N500" s="28" t="n">
        <v>2322</v>
      </c>
      <c r="O500" s="28" t="n">
        <v>29000</v>
      </c>
      <c r="P500" s="28" t="n">
        <v>37515</v>
      </c>
      <c r="Q500" s="28" t="n">
        <v>2178050</v>
      </c>
      <c r="R500" s="28" t="n">
        <v>0</v>
      </c>
      <c r="S500" s="28">
        <f>Q500-R500</f>
        <v/>
      </c>
      <c r="T500" s="28">
        <f>IF(S500="","",S500*(1+in_GrowthRate)^(YEARFRAC(DATE(2022,6,30),in_AgeToDate)*IF(in_AgeToDate&lt;DATE(2022,6,30),-1,1)+1))</f>
        <v/>
      </c>
      <c r="U500" s="50">
        <f>IF(AND(AND(OR(in_Mode="All Funds",AND(C500&gt;=in_BandFloor,C500&lt;=in_BandCeiling,OR(in_Geography="National",COUNTIFS(lst_GeoPreset,in_Geography,lst_GeoState,B500)&gt;0,AND(in_Geography="Custom",ISNUMBER(SEARCH(B500,SUBSTITUTE(in_CustomStates," ",""))))),OR(AND(D500="Endowment",Inputs!$B$14="Y"),AND(D500="Foundation",Inputs!$B$15="Y"),AND(D500="Healthcare",Inputs!$B$16="Y"),AND(D500="Pension",Inputs!$B$17="Y"),AND(D500="OCIO",Inputs!$B$18="Y"),AND(D500="Other",Inputs!$B$19="Y")))),A500&lt;&gt;in_ClientOrg,NOT(AND(in_ExclHarvard="Y",ISNUMBER(SEARCH("Harvard",A500))))),$AD500="Y",K500&lt;&gt;"",S500&gt;0),"Y","")</f>
        <v/>
      </c>
      <c r="V500" s="30" t="n">
        <v>0.207872538310707</v>
      </c>
      <c r="W500" t="inlineStr"/>
      <c r="X500" s="28">
        <f>IF(L500+M500=0,"",L500+M500)</f>
        <v/>
      </c>
      <c r="Y500" s="38">
        <f>IF(L500=0,"",M500/L500)</f>
        <v/>
      </c>
      <c r="Z500" t="inlineStr">
        <is>
          <t>Managing Director</t>
        </is>
      </c>
      <c r="AA500" t="inlineStr">
        <is>
          <t>Investments</t>
        </is>
      </c>
      <c r="AB500" s="50" t="inlineStr"/>
      <c r="AC500" s="43">
        <f>HYPERLINK("https://projects.propublica.org/nonprofits/organizations/237361259/202311319349303021/full","view filing")</f>
        <v/>
      </c>
      <c r="AD500" s="50" t="inlineStr"/>
    </row>
    <row r="501">
      <c r="A501" t="inlineStr">
        <is>
          <t>Harvard Management Company Inc</t>
        </is>
      </c>
      <c r="B501" s="50" t="inlineStr">
        <is>
          <t>MA</t>
        </is>
      </c>
      <c r="C501" s="52" t="n">
        <v>53.2</v>
      </c>
      <c r="D501" t="inlineStr">
        <is>
          <t>Endowment</t>
        </is>
      </c>
      <c r="E501" s="50" t="n">
        <v>2022</v>
      </c>
      <c r="F501" s="50" t="inlineStr">
        <is>
          <t>2023-05-11</t>
        </is>
      </c>
      <c r="G501" s="50" t="inlineStr">
        <is>
          <t>2022-06-30</t>
        </is>
      </c>
      <c r="H501" t="inlineStr">
        <is>
          <t>John Shue</t>
        </is>
      </c>
      <c r="I501" t="inlineStr">
        <is>
          <t>MD - Generalist Team</t>
        </is>
      </c>
      <c r="J501" t="inlineStr">
        <is>
          <t>Managing Director</t>
        </is>
      </c>
      <c r="K501" t="inlineStr">
        <is>
          <t>Sr Investment Professional</t>
        </is>
      </c>
      <c r="L501" s="28" t="n">
        <v>399463</v>
      </c>
      <c r="M501" s="28" t="n">
        <v>3347175</v>
      </c>
      <c r="N501" s="28" t="n">
        <v>2700966</v>
      </c>
      <c r="O501" s="28" t="n">
        <v>929000</v>
      </c>
      <c r="P501" s="28" t="n">
        <v>34645</v>
      </c>
      <c r="Q501" s="28" t="n">
        <v>7411249</v>
      </c>
      <c r="R501" s="28" t="n">
        <v>900000</v>
      </c>
      <c r="S501" s="28">
        <f>Q501-R501</f>
        <v/>
      </c>
      <c r="T501" s="28">
        <f>IF(S501="","",S501*(1+in_GrowthRate)^(YEARFRAC(DATE(2022,6,30),in_AgeToDate)*IF(in_AgeToDate&lt;DATE(2022,6,30),-1,1)+1))</f>
        <v/>
      </c>
      <c r="U501" s="50">
        <f>IF(AND(AND(OR(in_Mode="All Funds",AND(C501&gt;=in_BandFloor,C501&lt;=in_BandCeiling,OR(in_Geography="National",COUNTIFS(lst_GeoPreset,in_Geography,lst_GeoState,B501)&gt;0,AND(in_Geography="Custom",ISNUMBER(SEARCH(B501,SUBSTITUTE(in_CustomStates," ",""))))),OR(AND(D501="Endowment",Inputs!$B$14="Y"),AND(D501="Foundation",Inputs!$B$15="Y"),AND(D501="Healthcare",Inputs!$B$16="Y"),AND(D501="Pension",Inputs!$B$17="Y"),AND(D501="OCIO",Inputs!$B$18="Y"),AND(D501="Other",Inputs!$B$19="Y")))),A501&lt;&gt;in_ClientOrg,NOT(AND(in_ExclHarvard="Y",ISNUMBER(SEARCH("Harvard",A501))))),$AD501="Y",K501&lt;&gt;"",S501&gt;0),"Y","")</f>
        <v/>
      </c>
      <c r="V501" s="30" t="n">
        <v>0.6214319493138598</v>
      </c>
      <c r="W501" t="inlineStr"/>
      <c r="X501" s="28">
        <f>IF(L501+M501=0,"",L501+M501)</f>
        <v/>
      </c>
      <c r="Y501" s="38">
        <f>IF(L501=0,"",M501/L501)</f>
        <v/>
      </c>
      <c r="Z501" t="inlineStr">
        <is>
          <t>Managing Director</t>
        </is>
      </c>
      <c r="AA501" t="inlineStr">
        <is>
          <t>Investments</t>
        </is>
      </c>
      <c r="AB501" s="50" t="inlineStr"/>
      <c r="AC501" s="43">
        <f>HYPERLINK("https://projects.propublica.org/nonprofits/organizations/237361259/202311319349303021/full","view filing")</f>
        <v/>
      </c>
      <c r="AD501" s="50" t="inlineStr"/>
    </row>
    <row r="502">
      <c r="A502" t="inlineStr">
        <is>
          <t>Harvard Management Company Inc</t>
        </is>
      </c>
      <c r="B502" s="50" t="inlineStr">
        <is>
          <t>MA</t>
        </is>
      </c>
      <c r="C502" s="52" t="n">
        <v>53.2</v>
      </c>
      <c r="D502" t="inlineStr">
        <is>
          <t>Endowment</t>
        </is>
      </c>
      <c r="E502" s="50" t="n">
        <v>2022</v>
      </c>
      <c r="F502" s="50" t="inlineStr">
        <is>
          <t>2023-05-11</t>
        </is>
      </c>
      <c r="G502" s="50" t="inlineStr">
        <is>
          <t>2022-06-30</t>
        </is>
      </c>
      <c r="H502" t="inlineStr">
        <is>
          <t>Kathryn I Murtagh</t>
        </is>
      </c>
      <c r="I502" t="inlineStr">
        <is>
          <t>MD - CCO &amp; CLERK</t>
        </is>
      </c>
      <c r="J502" t="inlineStr">
        <is>
          <t>Chief Compliance Officer (Inv Entity)</t>
        </is>
      </c>
      <c r="K502" t="inlineStr">
        <is>
          <t>Other disclosed professionals</t>
        </is>
      </c>
      <c r="L502" s="28" t="n">
        <v>630302</v>
      </c>
      <c r="M502" s="28" t="n">
        <v>1800000</v>
      </c>
      <c r="N502" s="28" t="n">
        <v>21912</v>
      </c>
      <c r="O502" s="28" t="n">
        <v>29000</v>
      </c>
      <c r="P502" s="28" t="n">
        <v>15560</v>
      </c>
      <c r="Q502" s="28" t="n">
        <v>2496774</v>
      </c>
      <c r="R502" s="28" t="n">
        <v>0</v>
      </c>
      <c r="S502" s="28">
        <f>Q502-R502</f>
        <v/>
      </c>
      <c r="T502" s="28">
        <f>IF(S502="","",S502*(1+in_GrowthRate)^(YEARFRAC(DATE(2022,6,30),in_AgeToDate)*IF(in_AgeToDate&lt;DATE(2022,6,30),-1,1)+1))</f>
        <v/>
      </c>
      <c r="U502" s="50">
        <f>IF(AND(AND(OR(in_Mode="All Funds",AND(C502&gt;=in_BandFloor,C502&lt;=in_BandCeiling,OR(in_Geography="National",COUNTIFS(lst_GeoPreset,in_Geography,lst_GeoState,B502)&gt;0,AND(in_Geography="Custom",ISNUMBER(SEARCH(B502,SUBSTITUTE(in_CustomStates," ",""))))),OR(AND(D502="Endowment",Inputs!$B$14="Y"),AND(D502="Foundation",Inputs!$B$15="Y"),AND(D502="Healthcare",Inputs!$B$16="Y"),AND(D502="Pension",Inputs!$B$17="Y"),AND(D502="OCIO",Inputs!$B$18="Y"),AND(D502="Other",Inputs!$B$19="Y")))),A502&lt;&gt;in_ClientOrg,NOT(AND(in_ExclHarvard="Y",ISNUMBER(SEARCH("Harvard",A502))))),$AD502="Y",K502&lt;&gt;"",S502&gt;0),"Y","")</f>
        <v/>
      </c>
      <c r="V502" s="30" t="n">
        <v>0.2382914758468249</v>
      </c>
      <c r="W502" t="inlineStr">
        <is>
          <t>Other disclosed professionals</t>
        </is>
      </c>
      <c r="X502" s="28">
        <f>IF(L502+M502=0,"",L502+M502)</f>
        <v/>
      </c>
      <c r="Y502" s="38">
        <f>IF(L502=0,"",M502/L502)</f>
        <v/>
      </c>
      <c r="Z502" t="inlineStr">
        <is>
          <t>Other disclosed professionals</t>
        </is>
      </c>
      <c r="AA502" t="inlineStr">
        <is>
          <t>Operations &amp; Control</t>
        </is>
      </c>
      <c r="AB502" s="50" t="inlineStr"/>
      <c r="AC502" s="43">
        <f>HYPERLINK("https://projects.propublica.org/nonprofits/organizations/237361259/202311319349303021/full","view filing")</f>
        <v/>
      </c>
      <c r="AD502" s="50" t="inlineStr"/>
    </row>
    <row r="503">
      <c r="A503" t="inlineStr">
        <is>
          <t>Harvard Management Company Inc</t>
        </is>
      </c>
      <c r="B503" s="50" t="inlineStr">
        <is>
          <t>MA</t>
        </is>
      </c>
      <c r="C503" s="52" t="n">
        <v>53.2</v>
      </c>
      <c r="D503" t="inlineStr">
        <is>
          <t>Endowment</t>
        </is>
      </c>
      <c r="E503" s="50" t="n">
        <v>2022</v>
      </c>
      <c r="F503" s="50" t="inlineStr">
        <is>
          <t>2023-05-11</t>
        </is>
      </c>
      <c r="G503" s="50" t="inlineStr">
        <is>
          <t>2022-06-30</t>
        </is>
      </c>
      <c r="H503" t="inlineStr">
        <is>
          <t>Marcus Loveland</t>
        </is>
      </c>
      <c r="I503" t="inlineStr">
        <is>
          <t>MD - GENERALIST TEAM</t>
        </is>
      </c>
      <c r="J503" t="inlineStr">
        <is>
          <t>Managing Director</t>
        </is>
      </c>
      <c r="K503" t="inlineStr">
        <is>
          <t>Sr Investment Professional</t>
        </is>
      </c>
      <c r="L503" s="28" t="n">
        <v>349463</v>
      </c>
      <c r="M503" s="28" t="n">
        <v>4607587</v>
      </c>
      <c r="N503" s="28" t="n">
        <v>360</v>
      </c>
      <c r="O503" s="28" t="n">
        <v>29000</v>
      </c>
      <c r="P503" s="28" t="n">
        <v>34567</v>
      </c>
      <c r="Q503" s="28" t="n">
        <v>5020977</v>
      </c>
      <c r="R503" s="28" t="n">
        <v>0</v>
      </c>
      <c r="S503" s="28">
        <f>Q503-R503</f>
        <v/>
      </c>
      <c r="T503" s="28">
        <f>IF(S503="","",S503*(1+in_GrowthRate)^(YEARFRAC(DATE(2022,6,30),in_AgeToDate)*IF(in_AgeToDate&lt;DATE(2022,6,30),-1,1)+1))</f>
        <v/>
      </c>
      <c r="U503" s="50">
        <f>IF(AND(AND(OR(in_Mode="All Funds",AND(C503&gt;=in_BandFloor,C503&lt;=in_BandCeiling,OR(in_Geography="National",COUNTIFS(lst_GeoPreset,in_Geography,lst_GeoState,B503)&gt;0,AND(in_Geography="Custom",ISNUMBER(SEARCH(B503,SUBSTITUTE(in_CustomStates," ",""))))),OR(AND(D503="Endowment",Inputs!$B$14="Y"),AND(D503="Foundation",Inputs!$B$15="Y"),AND(D503="Healthcare",Inputs!$B$16="Y"),AND(D503="Pension",Inputs!$B$17="Y"),AND(D503="OCIO",Inputs!$B$18="Y"),AND(D503="Other",Inputs!$B$19="Y")))),A503&lt;&gt;in_ClientOrg,NOT(AND(in_ExclHarvard="Y",ISNUMBER(SEARCH("Harvard",A503))))),$AD503="Y",K503&lt;&gt;"",S503&gt;0),"Y","")</f>
        <v/>
      </c>
      <c r="V503" s="30" t="n">
        <v>0.4792007684808331</v>
      </c>
      <c r="W503" t="inlineStr"/>
      <c r="X503" s="28">
        <f>IF(L503+M503=0,"",L503+M503)</f>
        <v/>
      </c>
      <c r="Y503" s="38">
        <f>IF(L503=0,"",M503/L503)</f>
        <v/>
      </c>
      <c r="Z503" t="inlineStr">
        <is>
          <t>Managing Director</t>
        </is>
      </c>
      <c r="AA503" t="inlineStr">
        <is>
          <t>Investments</t>
        </is>
      </c>
      <c r="AB503" s="50" t="inlineStr"/>
      <c r="AC503" s="43">
        <f>HYPERLINK("https://projects.propublica.org/nonprofits/organizations/237361259/202311319349303021/full","view filing")</f>
        <v/>
      </c>
      <c r="AD503" s="50" t="inlineStr"/>
    </row>
    <row r="504">
      <c r="A504" t="inlineStr">
        <is>
          <t>Harvard Management Company Inc</t>
        </is>
      </c>
      <c r="B504" s="50" t="inlineStr">
        <is>
          <t>MA</t>
        </is>
      </c>
      <c r="C504" s="52" t="n">
        <v>53.2</v>
      </c>
      <c r="D504" t="inlineStr">
        <is>
          <t>Endowment</t>
        </is>
      </c>
      <c r="E504" s="50" t="n">
        <v>2022</v>
      </c>
      <c r="F504" s="50" t="inlineStr">
        <is>
          <t>2023-05-11</t>
        </is>
      </c>
      <c r="G504" s="50" t="inlineStr">
        <is>
          <t>2022-06-30</t>
        </is>
      </c>
      <c r="H504" t="inlineStr">
        <is>
          <t>Nirmal P Narvekar</t>
        </is>
      </c>
      <c r="I504" t="inlineStr">
        <is>
          <t>MD - President &amp; CEO</t>
        </is>
      </c>
      <c r="J504" t="inlineStr">
        <is>
          <t>CEO (Inv Entity)</t>
        </is>
      </c>
      <c r="K504" t="inlineStr">
        <is>
          <t>CIO - Top Investment Executive</t>
        </is>
      </c>
      <c r="L504" s="28" t="n">
        <v>999463</v>
      </c>
      <c r="M504" s="28" t="n">
        <v>5251342</v>
      </c>
      <c r="N504" s="28" t="n">
        <v>2498912</v>
      </c>
      <c r="O504" s="28" t="n">
        <v>1693333</v>
      </c>
      <c r="P504" s="28" t="n">
        <v>34765</v>
      </c>
      <c r="Q504" s="28" t="n">
        <v>10477815</v>
      </c>
      <c r="R504" s="28" t="n">
        <v>0</v>
      </c>
      <c r="S504" s="28">
        <f>Q504-R504</f>
        <v/>
      </c>
      <c r="T504" s="28">
        <f>IF(S504="","",S504*(1+in_GrowthRate)^(YEARFRAC(DATE(2022,6,30),in_AgeToDate)*IF(in_AgeToDate&lt;DATE(2022,6,30),-1,1)+1))</f>
        <v/>
      </c>
      <c r="U504" s="50">
        <f>IF(AND(AND(OR(in_Mode="All Funds",AND(C504&gt;=in_BandFloor,C504&lt;=in_BandCeiling,OR(in_Geography="National",COUNTIFS(lst_GeoPreset,in_Geography,lst_GeoState,B504)&gt;0,AND(in_Geography="Custom",ISNUMBER(SEARCH(B504,SUBSTITUTE(in_CustomStates," ",""))))),OR(AND(D504="Endowment",Inputs!$B$14="Y"),AND(D504="Foundation",Inputs!$B$15="Y"),AND(D504="Healthcare",Inputs!$B$16="Y"),AND(D504="Pension",Inputs!$B$17="Y"),AND(D504="OCIO",Inputs!$B$18="Y"),AND(D504="Other",Inputs!$B$19="Y")))),A504&lt;&gt;in_ClientOrg,NOT(AND(in_ExclHarvard="Y",ISNUMBER(SEARCH("Harvard",A504))))),$AD504="Y",K504&lt;&gt;"",S504&gt;0),"Y","")</f>
        <v/>
      </c>
      <c r="V504" s="30" t="n">
        <v>1</v>
      </c>
      <c r="W504" t="inlineStr"/>
      <c r="X504" s="28">
        <f>IF(L504+M504=0,"",L504+M504)</f>
        <v/>
      </c>
      <c r="Y504" s="38">
        <f>IF(L504=0,"",M504/L504)</f>
        <v/>
      </c>
      <c r="Z504" t="inlineStr">
        <is>
          <t>CIO - Top Investment Executive</t>
        </is>
      </c>
      <c r="AA504" t="inlineStr">
        <is>
          <t>Leadership</t>
        </is>
      </c>
      <c r="AB504" s="50" t="inlineStr">
        <is>
          <t>Y</t>
        </is>
      </c>
      <c r="AC504" s="43">
        <f>HYPERLINK("https://projects.propublica.org/nonprofits/organizations/237361259/202311319349303021/full","view filing")</f>
        <v/>
      </c>
      <c r="AD504" s="50" t="inlineStr"/>
    </row>
    <row r="505">
      <c r="A505" t="inlineStr">
        <is>
          <t>Harvard Management Company Inc</t>
        </is>
      </c>
      <c r="B505" s="50" t="inlineStr">
        <is>
          <t>MA</t>
        </is>
      </c>
      <c r="C505" s="52" t="n">
        <v>53.2</v>
      </c>
      <c r="D505" t="inlineStr">
        <is>
          <t>Endowment</t>
        </is>
      </c>
      <c r="E505" s="50" t="n">
        <v>2022</v>
      </c>
      <c r="F505" s="50" t="inlineStr">
        <is>
          <t>2023-05-11</t>
        </is>
      </c>
      <c r="G505" s="50" t="inlineStr">
        <is>
          <t>2022-06-30</t>
        </is>
      </c>
      <c r="H505" t="inlineStr">
        <is>
          <t>Richard W Slocum</t>
        </is>
      </c>
      <c r="I505" t="inlineStr">
        <is>
          <t>MD - CIO</t>
        </is>
      </c>
      <c r="J505" t="inlineStr">
        <is>
          <t>CIO</t>
        </is>
      </c>
      <c r="K505" t="inlineStr">
        <is>
          <t>Sr Investment Professional</t>
        </is>
      </c>
      <c r="L505" s="28" t="n">
        <v>799463</v>
      </c>
      <c r="M505" s="28" t="n">
        <v>4201090</v>
      </c>
      <c r="N505" s="28" t="n">
        <v>2000951</v>
      </c>
      <c r="O505" s="28" t="n">
        <v>1360500</v>
      </c>
      <c r="P505" s="28" t="n">
        <v>34903</v>
      </c>
      <c r="Q505" s="28" t="n">
        <v>8396907</v>
      </c>
      <c r="R505" s="28" t="n">
        <v>0</v>
      </c>
      <c r="S505" s="28">
        <f>Q505-R505</f>
        <v/>
      </c>
      <c r="T505" s="28">
        <f>IF(S505="","",S505*(1+in_GrowthRate)^(YEARFRAC(DATE(2022,6,30),in_AgeToDate)*IF(in_AgeToDate&lt;DATE(2022,6,30),-1,1)+1))</f>
        <v/>
      </c>
      <c r="U505" s="50">
        <f>IF(AND(AND(OR(in_Mode="All Funds",AND(C505&gt;=in_BandFloor,C505&lt;=in_BandCeiling,OR(in_Geography="National",COUNTIFS(lst_GeoPreset,in_Geography,lst_GeoState,B505)&gt;0,AND(in_Geography="Custom",ISNUMBER(SEARCH(B505,SUBSTITUTE(in_CustomStates," ",""))))),OR(AND(D505="Endowment",Inputs!$B$14="Y"),AND(D505="Foundation",Inputs!$B$15="Y"),AND(D505="Healthcare",Inputs!$B$16="Y"),AND(D505="Pension",Inputs!$B$17="Y"),AND(D505="OCIO",Inputs!$B$18="Y"),AND(D505="Other",Inputs!$B$19="Y")))),A505&lt;&gt;in_ClientOrg,NOT(AND(in_ExclHarvard="Y",ISNUMBER(SEARCH("Harvard",A505))))),$AD505="Y",K505&lt;&gt;"",S505&gt;0),"Y","")</f>
        <v/>
      </c>
      <c r="V505" s="30" t="n">
        <v>0.801398669474504</v>
      </c>
      <c r="W505" t="inlineStr"/>
      <c r="X505" s="28">
        <f>IF(L505+M505=0,"",L505+M505)</f>
        <v/>
      </c>
      <c r="Y505" s="38">
        <f>IF(L505=0,"",M505/L505)</f>
        <v/>
      </c>
      <c r="Z505" t="inlineStr">
        <is>
          <t>Deputy CIO</t>
        </is>
      </c>
      <c r="AA505" t="inlineStr">
        <is>
          <t>Leadership</t>
        </is>
      </c>
      <c r="AB505" s="50" t="inlineStr"/>
      <c r="AC505" s="43">
        <f>HYPERLINK("https://projects.propublica.org/nonprofits/organizations/237361259/202311319349303021/full","view filing")</f>
        <v/>
      </c>
      <c r="AD505" s="50" t="inlineStr"/>
    </row>
    <row r="506">
      <c r="A506" t="inlineStr">
        <is>
          <t>Harvard Management Company Inc</t>
        </is>
      </c>
      <c r="B506" s="50" t="inlineStr">
        <is>
          <t>MA</t>
        </is>
      </c>
      <c r="C506" s="52" t="n">
        <v>53.2</v>
      </c>
      <c r="D506" t="inlineStr">
        <is>
          <t>Endowment</t>
        </is>
      </c>
      <c r="E506" s="50" t="n">
        <v>2022</v>
      </c>
      <c r="F506" s="50" t="inlineStr">
        <is>
          <t>2023-05-11</t>
        </is>
      </c>
      <c r="G506" s="50" t="inlineStr">
        <is>
          <t>2022-06-30</t>
        </is>
      </c>
      <c r="H506" t="inlineStr">
        <is>
          <t>Sanjeev Daga</t>
        </is>
      </c>
      <c r="I506" t="inlineStr">
        <is>
          <t>MD - COO &amp; Treasurer</t>
        </is>
      </c>
      <c r="J506" t="inlineStr">
        <is>
          <t>COO (Inv Entity)</t>
        </is>
      </c>
      <c r="K506" t="inlineStr">
        <is>
          <t>COO (Investment Office)</t>
        </is>
      </c>
      <c r="L506" s="28" t="n">
        <v>779963</v>
      </c>
      <c r="M506" s="28" t="n">
        <v>1520000</v>
      </c>
      <c r="N506" s="28" t="n">
        <v>3221822</v>
      </c>
      <c r="O506" s="28" t="n">
        <v>29000</v>
      </c>
      <c r="P506" s="28" t="n">
        <v>34765</v>
      </c>
      <c r="Q506" s="28" t="n">
        <v>5585550</v>
      </c>
      <c r="R506" s="28" t="n">
        <v>2163380</v>
      </c>
      <c r="S506" s="28">
        <f>Q506-R506</f>
        <v/>
      </c>
      <c r="T506" s="28">
        <f>IF(S506="","",S506*(1+in_GrowthRate)^(YEARFRAC(DATE(2022,6,30),in_AgeToDate)*IF(in_AgeToDate&lt;DATE(2022,6,30),-1,1)+1))</f>
        <v/>
      </c>
      <c r="U506" s="50">
        <f>IF(AND(AND(OR(in_Mode="All Funds",AND(C506&gt;=in_BandFloor,C506&lt;=in_BandCeiling,OR(in_Geography="National",COUNTIFS(lst_GeoPreset,in_Geography,lst_GeoState,B506)&gt;0,AND(in_Geography="Custom",ISNUMBER(SEARCH(B506,SUBSTITUTE(in_CustomStates," ",""))))),OR(AND(D506="Endowment",Inputs!$B$14="Y"),AND(D506="Foundation",Inputs!$B$15="Y"),AND(D506="Healthcare",Inputs!$B$16="Y"),AND(D506="Pension",Inputs!$B$17="Y"),AND(D506="OCIO",Inputs!$B$18="Y"),AND(D506="Other",Inputs!$B$19="Y")))),A506&lt;&gt;in_ClientOrg,NOT(AND(in_ExclHarvard="Y",ISNUMBER(SEARCH("Harvard",A506))))),$AD506="Y",K506&lt;&gt;"",S506&gt;0),"Y","")</f>
        <v/>
      </c>
      <c r="V506" s="30" t="n">
        <v>0.3266110348388476</v>
      </c>
      <c r="W506" t="inlineStr"/>
      <c r="X506" s="28">
        <f>IF(L506+M506=0,"",L506+M506)</f>
        <v/>
      </c>
      <c r="Y506" s="38">
        <f>IF(L506=0,"",M506/L506)</f>
        <v/>
      </c>
      <c r="Z506" t="inlineStr">
        <is>
          <t>COO (Investment Office)</t>
        </is>
      </c>
      <c r="AA506" t="inlineStr">
        <is>
          <t>Operations &amp; Control</t>
        </is>
      </c>
      <c r="AB506" s="50" t="inlineStr"/>
      <c r="AC506" s="43">
        <f>HYPERLINK("https://projects.propublica.org/nonprofits/organizations/237361259/202311319349303021/full","view filing")</f>
        <v/>
      </c>
      <c r="AD506" s="50" t="inlineStr"/>
    </row>
    <row r="507">
      <c r="A507" t="inlineStr">
        <is>
          <t>Henry J Kaiser Family Foundation</t>
        </is>
      </c>
      <c r="B507" s="50" t="inlineStr">
        <is>
          <t>CA</t>
        </is>
      </c>
      <c r="C507" s="52" t="n">
        <v>0.6899999999999999</v>
      </c>
      <c r="D507" t="inlineStr">
        <is>
          <t>Foundation</t>
        </is>
      </c>
      <c r="E507" s="50" t="n">
        <v>2024</v>
      </c>
      <c r="F507" s="50" t="inlineStr">
        <is>
          <t>2025-10-28</t>
        </is>
      </c>
      <c r="G507" s="50" t="inlineStr">
        <is>
          <t>2024-12-31</t>
        </is>
      </c>
      <c r="H507" t="inlineStr">
        <is>
          <t>Dean Duchak</t>
        </is>
      </c>
      <c r="I507" t="inlineStr">
        <is>
          <t>CHIEF INVESTMENT OFFICER</t>
        </is>
      </c>
      <c r="J507" t="inlineStr">
        <is>
          <t>CIO</t>
        </is>
      </c>
      <c r="K507" t="inlineStr">
        <is>
          <t>CIO - Top Investment Executive</t>
        </is>
      </c>
      <c r="L507" s="28" t="n">
        <v>482292</v>
      </c>
      <c r="M507" s="28" t="n">
        <v>0</v>
      </c>
      <c r="N507" s="28" t="n">
        <v>0</v>
      </c>
      <c r="O507" s="28" t="n">
        <v>34000</v>
      </c>
      <c r="P507" s="28" t="n">
        <v>67969</v>
      </c>
      <c r="Q507" s="28" t="n">
        <v>575041</v>
      </c>
      <c r="R507" s="28" t="n">
        <v>0</v>
      </c>
      <c r="S507" s="28">
        <f>Q507-R507</f>
        <v/>
      </c>
      <c r="T507" s="28">
        <f>IF(S507="","",S507*(1+in_GrowthRate)^(YEARFRAC(DATE(2024,12,31),in_AgeToDate)*IF(in_AgeToDate&lt;DATE(2024,12,31),-1,1)+1))</f>
        <v/>
      </c>
      <c r="U507" s="50">
        <f>IF(AND(AND(OR(in_Mode="All Funds",AND(C507&gt;=in_BandFloor,C507&lt;=in_BandCeiling,OR(in_Geography="National",COUNTIFS(lst_GeoPreset,in_Geography,lst_GeoState,B507)&gt;0,AND(in_Geography="Custom",ISNUMBER(SEARCH(B507,SUBSTITUTE(in_CustomStates," ",""))))),OR(AND(D507="Endowment",Inputs!$B$14="Y"),AND(D507="Foundation",Inputs!$B$15="Y"),AND(D507="Healthcare",Inputs!$B$16="Y"),AND(D507="Pension",Inputs!$B$17="Y"),AND(D507="OCIO",Inputs!$B$18="Y"),AND(D507="Other",Inputs!$B$19="Y")))),A507&lt;&gt;in_ClientOrg,NOT(AND(in_ExclHarvard="Y",ISNUMBER(SEARCH("Harvard",A507))))),$AD507="Y",K507&lt;&gt;"",S507&gt;0),"Y","")</f>
        <v/>
      </c>
      <c r="V507" s="30" t="n">
        <v>1</v>
      </c>
      <c r="W507" t="inlineStr"/>
      <c r="X507" s="28">
        <f>IF(L507+M507=0,"",L507+M507)</f>
        <v/>
      </c>
      <c r="Y507" s="38">
        <f>IF(L507=0,"",M507/L507)</f>
        <v/>
      </c>
      <c r="Z507" t="inlineStr">
        <is>
          <t>CIO - Top Investment Executive</t>
        </is>
      </c>
      <c r="AA507" t="inlineStr">
        <is>
          <t>Leadership</t>
        </is>
      </c>
      <c r="AB507" s="50" t="inlineStr">
        <is>
          <t>Y</t>
        </is>
      </c>
      <c r="AC507" s="43">
        <f>HYPERLINK("https://projects.propublica.org/nonprofits/organizations/946064808/202503019349303005/full","view filing")</f>
        <v/>
      </c>
      <c r="AD507" s="50" t="inlineStr">
        <is>
          <t>Y</t>
        </is>
      </c>
    </row>
    <row r="508">
      <c r="A508" t="inlineStr">
        <is>
          <t>Henry J Kaiser Family Foundation</t>
        </is>
      </c>
      <c r="B508" s="50" t="inlineStr">
        <is>
          <t>CA</t>
        </is>
      </c>
      <c r="C508" s="52" t="n">
        <v>0.6899999999999999</v>
      </c>
      <c r="D508" t="inlineStr">
        <is>
          <t>Foundation</t>
        </is>
      </c>
      <c r="E508" s="50" t="n">
        <v>2023</v>
      </c>
      <c r="F508" s="50" t="inlineStr">
        <is>
          <t>2024-11-06</t>
        </is>
      </c>
      <c r="G508" s="50" t="inlineStr">
        <is>
          <t>2023-12-31</t>
        </is>
      </c>
      <c r="H508" t="inlineStr">
        <is>
          <t>Dean Duchak</t>
        </is>
      </c>
      <c r="I508" t="inlineStr">
        <is>
          <t>CHIEF INVESTMENT OFFICER</t>
        </is>
      </c>
      <c r="J508" t="inlineStr">
        <is>
          <t>CIO</t>
        </is>
      </c>
      <c r="K508" t="inlineStr">
        <is>
          <t>CIO - Top Investment Executive</t>
        </is>
      </c>
      <c r="L508" s="28" t="n">
        <v>411875</v>
      </c>
      <c r="M508" s="28" t="n">
        <v>50000</v>
      </c>
      <c r="N508" s="28" t="n">
        <v>0</v>
      </c>
      <c r="O508" s="28" t="n">
        <v>34000</v>
      </c>
      <c r="P508" s="28" t="n">
        <v>62019</v>
      </c>
      <c r="Q508" s="28" t="n">
        <v>549084</v>
      </c>
      <c r="R508" s="28" t="n">
        <v>0</v>
      </c>
      <c r="S508" s="28">
        <f>Q508-R508</f>
        <v/>
      </c>
      <c r="T508" s="28">
        <f>IF(S508="","",S508*(1+in_GrowthRate)^(YEARFRAC(DATE(2023,12,31),in_AgeToDate)*IF(in_AgeToDate&lt;DATE(2023,12,31),-1,1)+1))</f>
        <v/>
      </c>
      <c r="U508" s="50">
        <f>IF(AND(AND(OR(in_Mode="All Funds",AND(C508&gt;=in_BandFloor,C508&lt;=in_BandCeiling,OR(in_Geography="National",COUNTIFS(lst_GeoPreset,in_Geography,lst_GeoState,B508)&gt;0,AND(in_Geography="Custom",ISNUMBER(SEARCH(B508,SUBSTITUTE(in_CustomStates," ",""))))),OR(AND(D508="Endowment",Inputs!$B$14="Y"),AND(D508="Foundation",Inputs!$B$15="Y"),AND(D508="Healthcare",Inputs!$B$16="Y"),AND(D508="Pension",Inputs!$B$17="Y"),AND(D508="OCIO",Inputs!$B$18="Y"),AND(D508="Other",Inputs!$B$19="Y")))),A508&lt;&gt;in_ClientOrg,NOT(AND(in_ExclHarvard="Y",ISNUMBER(SEARCH("Harvard",A508))))),$AD508="Y",K508&lt;&gt;"",S508&gt;0),"Y","")</f>
        <v/>
      </c>
      <c r="V508" s="30" t="n">
        <v>0.6318282242474454</v>
      </c>
      <c r="W508" t="inlineStr"/>
      <c r="X508" s="28">
        <f>IF(L508+M508=0,"",L508+M508)</f>
        <v/>
      </c>
      <c r="Y508" s="38">
        <f>IF(L508=0,"",M508/L508)</f>
        <v/>
      </c>
      <c r="Z508" t="inlineStr">
        <is>
          <t>CIO - Top Investment Executive</t>
        </is>
      </c>
      <c r="AA508" t="inlineStr">
        <is>
          <t>Leadership</t>
        </is>
      </c>
      <c r="AB508" s="50" t="inlineStr">
        <is>
          <t>Y</t>
        </is>
      </c>
      <c r="AC508" s="43">
        <f>HYPERLINK("https://projects.propublica.org/nonprofits/organizations/946064808/202443119349302129/full","view filing")</f>
        <v/>
      </c>
      <c r="AD508" s="50" t="inlineStr"/>
    </row>
    <row r="509">
      <c r="A509" t="inlineStr">
        <is>
          <t>Henry J Kaiser Family Foundation</t>
        </is>
      </c>
      <c r="B509" s="50" t="inlineStr">
        <is>
          <t>CA</t>
        </is>
      </c>
      <c r="C509" s="52" t="n">
        <v>0.6899999999999999</v>
      </c>
      <c r="D509" t="inlineStr">
        <is>
          <t>Foundation</t>
        </is>
      </c>
      <c r="E509" s="50" t="n">
        <v>2023</v>
      </c>
      <c r="F509" s="50" t="inlineStr">
        <is>
          <t>2024-11-06</t>
        </is>
      </c>
      <c r="G509" s="50" t="inlineStr">
        <is>
          <t>2023-12-31</t>
        </is>
      </c>
      <c r="H509" t="inlineStr">
        <is>
          <t>Eleanor Hsu</t>
        </is>
      </c>
      <c r="I509" t="inlineStr">
        <is>
          <t>CO-CHIEF INVESTMENT OFFICER</t>
        </is>
      </c>
      <c r="J509" t="inlineStr">
        <is>
          <t>Co-CIO</t>
        </is>
      </c>
      <c r="K509" t="inlineStr">
        <is>
          <t>CIO - Top Investment Executive</t>
        </is>
      </c>
      <c r="L509" s="28" t="n">
        <v>308125</v>
      </c>
      <c r="M509" s="28" t="n">
        <v>50000</v>
      </c>
      <c r="N509" s="28" t="n">
        <v>420278</v>
      </c>
      <c r="O509" s="28" t="n">
        <v>34000</v>
      </c>
      <c r="P509" s="28" t="n">
        <v>56637</v>
      </c>
      <c r="Q509" s="28" t="n">
        <v>869040</v>
      </c>
      <c r="R509" s="28" t="n">
        <v>0</v>
      </c>
      <c r="S509" s="28">
        <f>Q509-R509</f>
        <v/>
      </c>
      <c r="T509" s="28">
        <f>IF(S509="","",S509*(1+in_GrowthRate)^(YEARFRAC(DATE(2023,12,31),in_AgeToDate)*IF(in_AgeToDate&lt;DATE(2023,12,31),-1,1)+1))</f>
        <v/>
      </c>
      <c r="U509" s="50">
        <f>IF(AND(AND(OR(in_Mode="All Funds",AND(C509&gt;=in_BandFloor,C509&lt;=in_BandCeiling,OR(in_Geography="National",COUNTIFS(lst_GeoPreset,in_Geography,lst_GeoState,B509)&gt;0,AND(in_Geography="Custom",ISNUMBER(SEARCH(B509,SUBSTITUTE(in_CustomStates," ",""))))),OR(AND(D509="Endowment",Inputs!$B$14="Y"),AND(D509="Foundation",Inputs!$B$15="Y"),AND(D509="Healthcare",Inputs!$B$16="Y"),AND(D509="Pension",Inputs!$B$17="Y"),AND(D509="OCIO",Inputs!$B$18="Y"),AND(D509="Other",Inputs!$B$19="Y")))),A509&lt;&gt;in_ClientOrg,NOT(AND(in_ExclHarvard="Y",ISNUMBER(SEARCH("Harvard",A509))))),$AD509="Y",K509&lt;&gt;"",S509&gt;0),"Y","")</f>
        <v/>
      </c>
      <c r="V509" s="30" t="n">
        <v>1</v>
      </c>
      <c r="W509" t="inlineStr"/>
      <c r="X509" s="28">
        <f>IF(L509+M509=0,"",L509+M509)</f>
        <v/>
      </c>
      <c r="Y509" s="38">
        <f>IF(L509=0,"",M509/L509)</f>
        <v/>
      </c>
      <c r="Z509" t="inlineStr">
        <is>
          <t>CIO - Top Investment Executive</t>
        </is>
      </c>
      <c r="AA509" t="inlineStr">
        <is>
          <t>Leadership</t>
        </is>
      </c>
      <c r="AB509" s="50" t="inlineStr">
        <is>
          <t>Y</t>
        </is>
      </c>
      <c r="AC509" s="43">
        <f>HYPERLINK("https://projects.propublica.org/nonprofits/organizations/946064808/202443119349302129/full","view filing")</f>
        <v/>
      </c>
      <c r="AD509" s="50" t="inlineStr"/>
    </row>
    <row r="510">
      <c r="A510" t="inlineStr">
        <is>
          <t>Henry J Kaiser Family Foundation</t>
        </is>
      </c>
      <c r="B510" s="50" t="inlineStr">
        <is>
          <t>CA</t>
        </is>
      </c>
      <c r="C510" s="52" t="n">
        <v>0.6899999999999999</v>
      </c>
      <c r="D510" t="inlineStr">
        <is>
          <t>Foundation</t>
        </is>
      </c>
      <c r="E510" s="50" t="n">
        <v>2022</v>
      </c>
      <c r="F510" s="50" t="inlineStr">
        <is>
          <t>2023-11-02</t>
        </is>
      </c>
      <c r="G510" s="50" t="inlineStr">
        <is>
          <t>2022-12-31</t>
        </is>
      </c>
      <c r="H510" t="inlineStr">
        <is>
          <t>Dean Duchak</t>
        </is>
      </c>
      <c r="I510" t="inlineStr">
        <is>
          <t>CO-CHIEF INVESTMENT OFFICER</t>
        </is>
      </c>
      <c r="J510" t="inlineStr">
        <is>
          <t>Co-CIO</t>
        </is>
      </c>
      <c r="K510" t="inlineStr">
        <is>
          <t>CIO - Top Investment Executive</t>
        </is>
      </c>
      <c r="L510" s="28" t="n">
        <v>395833</v>
      </c>
      <c r="M510" s="28" t="n">
        <v>76000</v>
      </c>
      <c r="N510" s="28" t="n">
        <v>0</v>
      </c>
      <c r="O510" s="28" t="n">
        <v>34000</v>
      </c>
      <c r="P510" s="28" t="n">
        <v>51135</v>
      </c>
      <c r="Q510" s="28" t="n">
        <v>555104</v>
      </c>
      <c r="R510" s="28" t="n">
        <v>0</v>
      </c>
      <c r="S510" s="28">
        <f>Q510-R510</f>
        <v/>
      </c>
      <c r="T510" s="28">
        <f>IF(S510="","",S510*(1+in_GrowthRate)^(YEARFRAC(DATE(2022,12,31),in_AgeToDate)*IF(in_AgeToDate&lt;DATE(2022,12,31),-1,1)+1))</f>
        <v/>
      </c>
      <c r="U510" s="50">
        <f>IF(AND(AND(OR(in_Mode="All Funds",AND(C510&gt;=in_BandFloor,C510&lt;=in_BandCeiling,OR(in_Geography="National",COUNTIFS(lst_GeoPreset,in_Geography,lst_GeoState,B510)&gt;0,AND(in_Geography="Custom",ISNUMBER(SEARCH(B510,SUBSTITUTE(in_CustomStates," ",""))))),OR(AND(D510="Endowment",Inputs!$B$14="Y"),AND(D510="Foundation",Inputs!$B$15="Y"),AND(D510="Healthcare",Inputs!$B$16="Y"),AND(D510="Pension",Inputs!$B$17="Y"),AND(D510="OCIO",Inputs!$B$18="Y"),AND(D510="Other",Inputs!$B$19="Y")))),A510&lt;&gt;in_ClientOrg,NOT(AND(in_ExclHarvard="Y",ISNUMBER(SEARCH("Harvard",A510))))),$AD510="Y",K510&lt;&gt;"",S510&gt;0),"Y","")</f>
        <v/>
      </c>
      <c r="V510" s="30" t="n">
        <v>1</v>
      </c>
      <c r="W510" t="inlineStr"/>
      <c r="X510" s="28">
        <f>IF(L510+M510=0,"",L510+M510)</f>
        <v/>
      </c>
      <c r="Y510" s="38">
        <f>IF(L510=0,"",M510/L510)</f>
        <v/>
      </c>
      <c r="Z510" t="inlineStr">
        <is>
          <t>CIO - Top Investment Executive</t>
        </is>
      </c>
      <c r="AA510" t="inlineStr">
        <is>
          <t>Leadership</t>
        </is>
      </c>
      <c r="AB510" s="50" t="inlineStr">
        <is>
          <t>Y</t>
        </is>
      </c>
      <c r="AC510" s="43">
        <f>HYPERLINK("https://projects.propublica.org/nonprofits/organizations/946064808/202333069349302053/full","view filing")</f>
        <v/>
      </c>
      <c r="AD510" s="50" t="inlineStr"/>
    </row>
    <row r="511">
      <c r="A511" t="inlineStr">
        <is>
          <t>Henry J Kaiser Family Foundation</t>
        </is>
      </c>
      <c r="B511" s="50" t="inlineStr">
        <is>
          <t>CA</t>
        </is>
      </c>
      <c r="C511" s="52" t="n">
        <v>0.6899999999999999</v>
      </c>
      <c r="D511" t="inlineStr">
        <is>
          <t>Foundation</t>
        </is>
      </c>
      <c r="E511" s="50" t="n">
        <v>2022</v>
      </c>
      <c r="F511" s="50" t="inlineStr">
        <is>
          <t>2023-11-02</t>
        </is>
      </c>
      <c r="G511" s="50" t="inlineStr">
        <is>
          <t>2022-12-31</t>
        </is>
      </c>
      <c r="H511" t="inlineStr">
        <is>
          <t>Eleanor Hsu</t>
        </is>
      </c>
      <c r="I511" t="inlineStr">
        <is>
          <t>CO-CHIEF INVESTMENT OFFICER</t>
        </is>
      </c>
      <c r="J511" t="inlineStr">
        <is>
          <t>Co-CIO</t>
        </is>
      </c>
      <c r="K511" t="inlineStr">
        <is>
          <t>CIO - Top Investment Executive</t>
        </is>
      </c>
      <c r="L511" s="28" t="n">
        <v>395833</v>
      </c>
      <c r="M511" s="28" t="n">
        <v>76000</v>
      </c>
      <c r="N511" s="28" t="n">
        <v>0</v>
      </c>
      <c r="O511" s="28" t="n">
        <v>34000</v>
      </c>
      <c r="P511" s="28" t="n">
        <v>54516</v>
      </c>
      <c r="Q511" s="28" t="n">
        <v>553391</v>
      </c>
      <c r="R511" s="28" t="n">
        <v>0</v>
      </c>
      <c r="S511" s="28">
        <f>Q511-R511</f>
        <v/>
      </c>
      <c r="T511" s="28">
        <f>IF(S511="","",S511*(1+in_GrowthRate)^(YEARFRAC(DATE(2022,12,31),in_AgeToDate)*IF(in_AgeToDate&lt;DATE(2022,12,31),-1,1)+1))</f>
        <v/>
      </c>
      <c r="U511" s="50">
        <f>IF(AND(AND(OR(in_Mode="All Funds",AND(C511&gt;=in_BandFloor,C511&lt;=in_BandCeiling,OR(in_Geography="National",COUNTIFS(lst_GeoPreset,in_Geography,lst_GeoState,B511)&gt;0,AND(in_Geography="Custom",ISNUMBER(SEARCH(B511,SUBSTITUTE(in_CustomStates," ",""))))),OR(AND(D511="Endowment",Inputs!$B$14="Y"),AND(D511="Foundation",Inputs!$B$15="Y"),AND(D511="Healthcare",Inputs!$B$16="Y"),AND(D511="Pension",Inputs!$B$17="Y"),AND(D511="OCIO",Inputs!$B$18="Y"),AND(D511="Other",Inputs!$B$19="Y")))),A511&lt;&gt;in_ClientOrg,NOT(AND(in_ExclHarvard="Y",ISNUMBER(SEARCH("Harvard",A511))))),$AD511="Y",K511&lt;&gt;"",S511&gt;0),"Y","")</f>
        <v/>
      </c>
      <c r="V511" s="30" t="n">
        <v>0.9969140917737938</v>
      </c>
      <c r="W511" t="inlineStr"/>
      <c r="X511" s="28">
        <f>IF(L511+M511=0,"",L511+M511)</f>
        <v/>
      </c>
      <c r="Y511" s="38">
        <f>IF(L511=0,"",M511/L511)</f>
        <v/>
      </c>
      <c r="Z511" t="inlineStr">
        <is>
          <t>CIO - Top Investment Executive</t>
        </is>
      </c>
      <c r="AA511" t="inlineStr">
        <is>
          <t>Leadership</t>
        </is>
      </c>
      <c r="AB511" s="50" t="inlineStr">
        <is>
          <t>Y</t>
        </is>
      </c>
      <c r="AC511" s="43">
        <f>HYPERLINK("https://projects.propublica.org/nonprofits/organizations/946064808/202333069349302053/full","view filing")</f>
        <v/>
      </c>
      <c r="AD511" s="50" t="inlineStr"/>
    </row>
    <row r="512">
      <c r="A512" t="inlineStr">
        <is>
          <t>Howard Hughes Medical Institute</t>
        </is>
      </c>
      <c r="B512" s="50" t="inlineStr">
        <is>
          <t>MD</t>
        </is>
      </c>
      <c r="C512" s="52" t="n">
        <v>27.97</v>
      </c>
      <c r="D512" t="inlineStr">
        <is>
          <t>Other</t>
        </is>
      </c>
      <c r="E512" s="50" t="n">
        <v>2025</v>
      </c>
      <c r="F512" s="50" t="inlineStr">
        <is>
          <t>2026-02-10</t>
        </is>
      </c>
      <c r="G512" s="50" t="inlineStr">
        <is>
          <t>2025-08-31</t>
        </is>
      </c>
      <c r="H512" t="inlineStr">
        <is>
          <t>Donald Koch</t>
        </is>
      </c>
      <c r="I512" t="inlineStr">
        <is>
          <t>VP &amp; CHIEF INVESTMENT OFFICER</t>
        </is>
      </c>
      <c r="J512" t="inlineStr">
        <is>
          <t>CIO</t>
        </is>
      </c>
      <c r="K512" t="inlineStr">
        <is>
          <t>CIO - Top Investment Executive</t>
        </is>
      </c>
      <c r="L512" s="28" t="n">
        <v>1140785</v>
      </c>
      <c r="M512" s="28" t="n">
        <v>765853</v>
      </c>
      <c r="N512" s="28" t="n">
        <v>21382</v>
      </c>
      <c r="O512" s="28" t="n">
        <v>34500</v>
      </c>
      <c r="P512" s="28" t="n">
        <v>42446</v>
      </c>
      <c r="Q512" s="28" t="n">
        <v>2004966</v>
      </c>
      <c r="R512" s="28" t="n">
        <v>0</v>
      </c>
      <c r="S512" s="28">
        <f>Q512-R512</f>
        <v/>
      </c>
      <c r="T512" s="28">
        <f>IF(S512="","",S512*(1+in_GrowthRate)^(YEARFRAC(DATE(2025,8,31),in_AgeToDate)*IF(in_AgeToDate&lt;DATE(2025,8,31),-1,1)+1))</f>
        <v/>
      </c>
      <c r="U512" s="50">
        <f>IF(AND(AND(OR(in_Mode="All Funds",AND(C512&gt;=in_BandFloor,C512&lt;=in_BandCeiling,OR(in_Geography="National",COUNTIFS(lst_GeoPreset,in_Geography,lst_GeoState,B512)&gt;0,AND(in_Geography="Custom",ISNUMBER(SEARCH(B512,SUBSTITUTE(in_CustomStates," ",""))))),OR(AND(D512="Endowment",Inputs!$B$14="Y"),AND(D512="Foundation",Inputs!$B$15="Y"),AND(D512="Healthcare",Inputs!$B$16="Y"),AND(D512="Pension",Inputs!$B$17="Y"),AND(D512="OCIO",Inputs!$B$18="Y"),AND(D512="Other",Inputs!$B$19="Y")))),A512&lt;&gt;in_ClientOrg,NOT(AND(in_ExclHarvard="Y",ISNUMBER(SEARCH("Harvard",A512))))),$AD512="Y",K512&lt;&gt;"",S512&gt;0),"Y","")</f>
        <v/>
      </c>
      <c r="V512" s="30" t="n">
        <v>1</v>
      </c>
      <c r="W512" t="inlineStr"/>
      <c r="X512" s="28">
        <f>IF(L512+M512=0,"",L512+M512)</f>
        <v/>
      </c>
      <c r="Y512" s="38">
        <f>IF(L512=0,"",M512/L512)</f>
        <v/>
      </c>
      <c r="Z512" t="inlineStr">
        <is>
          <t>CIO - Top Investment Executive</t>
        </is>
      </c>
      <c r="AA512" t="inlineStr">
        <is>
          <t>Leadership</t>
        </is>
      </c>
      <c r="AB512" s="50" t="inlineStr">
        <is>
          <t>Y</t>
        </is>
      </c>
      <c r="AC512" s="43">
        <f>HYPERLINK("https://projects.propublica.org/nonprofits/organizations/590735717/202640419349301864/full","view filing")</f>
        <v/>
      </c>
      <c r="AD512" s="50" t="inlineStr">
        <is>
          <t>Y</t>
        </is>
      </c>
    </row>
    <row r="513">
      <c r="A513" t="inlineStr">
        <is>
          <t>Howard Hughes Medical Institute</t>
        </is>
      </c>
      <c r="B513" s="50" t="inlineStr">
        <is>
          <t>MD</t>
        </is>
      </c>
      <c r="C513" s="52" t="n">
        <v>27.97</v>
      </c>
      <c r="D513" t="inlineStr">
        <is>
          <t>Other</t>
        </is>
      </c>
      <c r="E513" s="50" t="n">
        <v>2025</v>
      </c>
      <c r="F513" s="50" t="inlineStr">
        <is>
          <t>2026-02-10</t>
        </is>
      </c>
      <c r="G513" s="50" t="inlineStr">
        <is>
          <t>2025-08-31</t>
        </is>
      </c>
      <c r="H513" t="inlineStr">
        <is>
          <t>Glen Zwicker</t>
        </is>
      </c>
      <c r="I513" t="inlineStr">
        <is>
          <t>MANAGING DIRECTOR &amp; HEAD OF INVESTMENT OPERATIONS</t>
        </is>
      </c>
      <c r="J513" t="inlineStr">
        <is>
          <t>Managing Director</t>
        </is>
      </c>
      <c r="K513" t="inlineStr">
        <is>
          <t>COO (Investment Office)</t>
        </is>
      </c>
      <c r="L513" s="28" t="n">
        <v>546919</v>
      </c>
      <c r="M513" s="28" t="n">
        <v>472358</v>
      </c>
      <c r="N513" s="28" t="n">
        <v>24412</v>
      </c>
      <c r="O513" s="28" t="n">
        <v>34500</v>
      </c>
      <c r="P513" s="28" t="n">
        <v>40335</v>
      </c>
      <c r="Q513" s="28" t="n">
        <v>1118524</v>
      </c>
      <c r="R513" s="28" t="n">
        <v>0</v>
      </c>
      <c r="S513" s="28">
        <f>Q513-R513</f>
        <v/>
      </c>
      <c r="T513" s="28">
        <f>IF(S513="","",S513*(1+in_GrowthRate)^(YEARFRAC(DATE(2025,8,31),in_AgeToDate)*IF(in_AgeToDate&lt;DATE(2025,8,31),-1,1)+1))</f>
        <v/>
      </c>
      <c r="U513" s="50">
        <f>IF(AND(AND(OR(in_Mode="All Funds",AND(C513&gt;=in_BandFloor,C513&lt;=in_BandCeiling,OR(in_Geography="National",COUNTIFS(lst_GeoPreset,in_Geography,lst_GeoState,B513)&gt;0,AND(in_Geography="Custom",ISNUMBER(SEARCH(B513,SUBSTITUTE(in_CustomStates," ",""))))),OR(AND(D513="Endowment",Inputs!$B$14="Y"),AND(D513="Foundation",Inputs!$B$15="Y"),AND(D513="Healthcare",Inputs!$B$16="Y"),AND(D513="Pension",Inputs!$B$17="Y"),AND(D513="OCIO",Inputs!$B$18="Y"),AND(D513="Other",Inputs!$B$19="Y")))),A513&lt;&gt;in_ClientOrg,NOT(AND(in_ExclHarvard="Y",ISNUMBER(SEARCH("Harvard",A513))))),$AD513="Y",K513&lt;&gt;"",S513&gt;0),"Y","")</f>
        <v/>
      </c>
      <c r="V513" s="30" t="n">
        <v>0.5578767919256487</v>
      </c>
      <c r="W513" t="inlineStr"/>
      <c r="X513" s="28">
        <f>IF(L513+M513=0,"",L513+M513)</f>
        <v/>
      </c>
      <c r="Y513" s="38">
        <f>IF(L513=0,"",M513/L513)</f>
        <v/>
      </c>
      <c r="Z513" t="inlineStr">
        <is>
          <t>COO (Investment Office)</t>
        </is>
      </c>
      <c r="AA513" t="inlineStr">
        <is>
          <t>Operations &amp; Control</t>
        </is>
      </c>
      <c r="AB513" s="50" t="inlineStr"/>
      <c r="AC513" s="43">
        <f>HYPERLINK("https://projects.propublica.org/nonprofits/organizations/590735717/202640419349301864/full","view filing")</f>
        <v/>
      </c>
      <c r="AD513" s="50" t="inlineStr">
        <is>
          <t>Y</t>
        </is>
      </c>
    </row>
    <row r="514">
      <c r="A514" t="inlineStr">
        <is>
          <t>Howard Hughes Medical Institute</t>
        </is>
      </c>
      <c r="B514" s="50" t="inlineStr">
        <is>
          <t>MD</t>
        </is>
      </c>
      <c r="C514" s="52" t="n">
        <v>27.97</v>
      </c>
      <c r="D514" t="inlineStr">
        <is>
          <t>Other</t>
        </is>
      </c>
      <c r="E514" s="50" t="n">
        <v>2025</v>
      </c>
      <c r="F514" s="50" t="inlineStr">
        <is>
          <t>2026-02-10</t>
        </is>
      </c>
      <c r="G514" s="50" t="inlineStr">
        <is>
          <t>2025-08-31</t>
        </is>
      </c>
      <c r="H514" t="inlineStr">
        <is>
          <t>Karen Eifler</t>
        </is>
      </c>
      <c r="I514" t="inlineStr">
        <is>
          <t>MANAGING DIRECTOR, PUBLIC MARKETS</t>
        </is>
      </c>
      <c r="J514" t="inlineStr">
        <is>
          <t>Managing Director</t>
        </is>
      </c>
      <c r="K514" t="inlineStr">
        <is>
          <t>Sr Investment Professional</t>
        </is>
      </c>
      <c r="L514" s="28" t="n">
        <v>619136</v>
      </c>
      <c r="M514" s="28" t="n">
        <v>538964</v>
      </c>
      <c r="N514" s="28" t="n">
        <v>1955</v>
      </c>
      <c r="O514" s="28" t="n">
        <v>34500</v>
      </c>
      <c r="P514" s="28" t="n">
        <v>1652</v>
      </c>
      <c r="Q514" s="28" t="n">
        <v>1196207</v>
      </c>
      <c r="R514" s="28" t="n">
        <v>0</v>
      </c>
      <c r="S514" s="28">
        <f>Q514-R514</f>
        <v/>
      </c>
      <c r="T514" s="28">
        <f>IF(S514="","",S514*(1+in_GrowthRate)^(YEARFRAC(DATE(2025,8,31),in_AgeToDate)*IF(in_AgeToDate&lt;DATE(2025,8,31),-1,1)+1))</f>
        <v/>
      </c>
      <c r="U514" s="50">
        <f>IF(AND(AND(OR(in_Mode="All Funds",AND(C514&gt;=in_BandFloor,C514&lt;=in_BandCeiling,OR(in_Geography="National",COUNTIFS(lst_GeoPreset,in_Geography,lst_GeoState,B514)&gt;0,AND(in_Geography="Custom",ISNUMBER(SEARCH(B514,SUBSTITUTE(in_CustomStates," ",""))))),OR(AND(D514="Endowment",Inputs!$B$14="Y"),AND(D514="Foundation",Inputs!$B$15="Y"),AND(D514="Healthcare",Inputs!$B$16="Y"),AND(D514="Pension",Inputs!$B$17="Y"),AND(D514="OCIO",Inputs!$B$18="Y"),AND(D514="Other",Inputs!$B$19="Y")))),A514&lt;&gt;in_ClientOrg,NOT(AND(in_ExclHarvard="Y",ISNUMBER(SEARCH("Harvard",A514))))),$AD514="Y",K514&lt;&gt;"",S514&gt;0),"Y","")</f>
        <v/>
      </c>
      <c r="V514" s="30" t="n">
        <v>0.5966220873570923</v>
      </c>
      <c r="W514" t="inlineStr"/>
      <c r="X514" s="28">
        <f>IF(L514+M514=0,"",L514+M514)</f>
        <v/>
      </c>
      <c r="Y514" s="38">
        <f>IF(L514=0,"",M514/L514)</f>
        <v/>
      </c>
      <c r="Z514" t="inlineStr">
        <is>
          <t>Managing Director</t>
        </is>
      </c>
      <c r="AA514" t="inlineStr">
        <is>
          <t>Investments</t>
        </is>
      </c>
      <c r="AB514" s="50" t="inlineStr"/>
      <c r="AC514" s="43">
        <f>HYPERLINK("https://projects.propublica.org/nonprofits/organizations/590735717/202640419349301864/full","view filing")</f>
        <v/>
      </c>
      <c r="AD514" s="50" t="inlineStr">
        <is>
          <t>Y</t>
        </is>
      </c>
    </row>
    <row r="515">
      <c r="A515" t="inlineStr">
        <is>
          <t>Howard Hughes Medical Institute</t>
        </is>
      </c>
      <c r="B515" s="50" t="inlineStr">
        <is>
          <t>MD</t>
        </is>
      </c>
      <c r="C515" s="52" t="n">
        <v>27.97</v>
      </c>
      <c r="D515" t="inlineStr">
        <is>
          <t>Other</t>
        </is>
      </c>
      <c r="E515" s="50" t="n">
        <v>2025</v>
      </c>
      <c r="F515" s="50" t="inlineStr">
        <is>
          <t>2026-02-10</t>
        </is>
      </c>
      <c r="G515" s="50" t="inlineStr">
        <is>
          <t>2025-08-31</t>
        </is>
      </c>
      <c r="H515" t="inlineStr">
        <is>
          <t>Mark Sproles</t>
        </is>
      </c>
      <c r="I515" t="inlineStr">
        <is>
          <t>MANAGING DIRECTOR, PRIVATE MARKETS</t>
        </is>
      </c>
      <c r="J515" t="inlineStr">
        <is>
          <t>Managing Director</t>
        </is>
      </c>
      <c r="K515" t="inlineStr">
        <is>
          <t>Sr Investment Professional</t>
        </is>
      </c>
      <c r="L515" s="28" t="n">
        <v>605195</v>
      </c>
      <c r="M515" s="28" t="n">
        <v>576365</v>
      </c>
      <c r="N515" s="28" t="n">
        <v>25859</v>
      </c>
      <c r="O515" s="28" t="n">
        <v>34500</v>
      </c>
      <c r="P515" s="28" t="n">
        <v>2151</v>
      </c>
      <c r="Q515" s="28" t="n">
        <v>1244070</v>
      </c>
      <c r="R515" s="28" t="n">
        <v>0</v>
      </c>
      <c r="S515" s="28">
        <f>Q515-R515</f>
        <v/>
      </c>
      <c r="T515" s="28">
        <f>IF(S515="","",S515*(1+in_GrowthRate)^(YEARFRAC(DATE(2025,8,31),in_AgeToDate)*IF(in_AgeToDate&lt;DATE(2025,8,31),-1,1)+1))</f>
        <v/>
      </c>
      <c r="U515" s="50">
        <f>IF(AND(AND(OR(in_Mode="All Funds",AND(C515&gt;=in_BandFloor,C515&lt;=in_BandCeiling,OR(in_Geography="National",COUNTIFS(lst_GeoPreset,in_Geography,lst_GeoState,B515)&gt;0,AND(in_Geography="Custom",ISNUMBER(SEARCH(B515,SUBSTITUTE(in_CustomStates," ",""))))),OR(AND(D515="Endowment",Inputs!$B$14="Y"),AND(D515="Foundation",Inputs!$B$15="Y"),AND(D515="Healthcare",Inputs!$B$16="Y"),AND(D515="Pension",Inputs!$B$17="Y"),AND(D515="OCIO",Inputs!$B$18="Y"),AND(D515="Other",Inputs!$B$19="Y")))),A515&lt;&gt;in_ClientOrg,NOT(AND(in_ExclHarvard="Y",ISNUMBER(SEARCH("Harvard",A515))))),$AD515="Y",K515&lt;&gt;"",S515&gt;0),"Y","")</f>
        <v/>
      </c>
      <c r="V515" s="30" t="n">
        <v>0.6204943126217601</v>
      </c>
      <c r="W515" t="inlineStr"/>
      <c r="X515" s="28">
        <f>IF(L515+M515=0,"",L515+M515)</f>
        <v/>
      </c>
      <c r="Y515" s="38">
        <f>IF(L515=0,"",M515/L515)</f>
        <v/>
      </c>
      <c r="Z515" t="inlineStr">
        <is>
          <t>Managing Director</t>
        </is>
      </c>
      <c r="AA515" t="inlineStr">
        <is>
          <t>Investments</t>
        </is>
      </c>
      <c r="AB515" s="50" t="inlineStr"/>
      <c r="AC515" s="43">
        <f>HYPERLINK("https://projects.propublica.org/nonprofits/organizations/590735717/202640419349301864/full","view filing")</f>
        <v/>
      </c>
      <c r="AD515" s="50" t="inlineStr">
        <is>
          <t>Y</t>
        </is>
      </c>
    </row>
    <row r="516">
      <c r="A516" t="inlineStr">
        <is>
          <t>Howard Hughes Medical Institute</t>
        </is>
      </c>
      <c r="B516" s="50" t="inlineStr">
        <is>
          <t>MD</t>
        </is>
      </c>
      <c r="C516" s="52" t="n">
        <v>27.97</v>
      </c>
      <c r="D516" t="inlineStr">
        <is>
          <t>Other</t>
        </is>
      </c>
      <c r="E516" s="50" t="n">
        <v>2024</v>
      </c>
      <c r="F516" s="50" t="inlineStr">
        <is>
          <t>2025-02-14</t>
        </is>
      </c>
      <c r="G516" s="50" t="inlineStr">
        <is>
          <t>2024-08-31</t>
        </is>
      </c>
      <c r="H516" t="inlineStr">
        <is>
          <t>Donald Koch</t>
        </is>
      </c>
      <c r="I516" t="inlineStr">
        <is>
          <t>VP &amp; CHIEF INVESTMENT OFFICER</t>
        </is>
      </c>
      <c r="J516" t="inlineStr">
        <is>
          <t>CIO</t>
        </is>
      </c>
      <c r="K516" t="inlineStr">
        <is>
          <t>CIO - Top Investment Executive</t>
        </is>
      </c>
      <c r="L516" s="28" t="n">
        <v>1096955</v>
      </c>
      <c r="M516" s="28" t="n">
        <v>2472130</v>
      </c>
      <c r="N516" s="28" t="n">
        <v>23810</v>
      </c>
      <c r="O516" s="28" t="n">
        <v>33000</v>
      </c>
      <c r="P516" s="28" t="n">
        <v>38621</v>
      </c>
      <c r="Q516" s="28" t="n">
        <v>3664516</v>
      </c>
      <c r="R516" s="28" t="n">
        <v>0</v>
      </c>
      <c r="S516" s="28">
        <f>Q516-R516</f>
        <v/>
      </c>
      <c r="T516" s="28">
        <f>IF(S516="","",S516*(1+in_GrowthRate)^(YEARFRAC(DATE(2024,8,31),in_AgeToDate)*IF(in_AgeToDate&lt;DATE(2024,8,31),-1,1)+1))</f>
        <v/>
      </c>
      <c r="U516" s="50">
        <f>IF(AND(AND(OR(in_Mode="All Funds",AND(C516&gt;=in_BandFloor,C516&lt;=in_BandCeiling,OR(in_Geography="National",COUNTIFS(lst_GeoPreset,in_Geography,lst_GeoState,B516)&gt;0,AND(in_Geography="Custom",ISNUMBER(SEARCH(B516,SUBSTITUTE(in_CustomStates," ",""))))),OR(AND(D516="Endowment",Inputs!$B$14="Y"),AND(D516="Foundation",Inputs!$B$15="Y"),AND(D516="Healthcare",Inputs!$B$16="Y"),AND(D516="Pension",Inputs!$B$17="Y"),AND(D516="OCIO",Inputs!$B$18="Y"),AND(D516="Other",Inputs!$B$19="Y")))),A516&lt;&gt;in_ClientOrg,NOT(AND(in_ExclHarvard="Y",ISNUMBER(SEARCH("Harvard",A516))))),$AD516="Y",K516&lt;&gt;"",S516&gt;0),"Y","")</f>
        <v/>
      </c>
      <c r="V516" s="30" t="n">
        <v>1</v>
      </c>
      <c r="W516" t="inlineStr"/>
      <c r="X516" s="28">
        <f>IF(L516+M516=0,"",L516+M516)</f>
        <v/>
      </c>
      <c r="Y516" s="38">
        <f>IF(L516=0,"",M516/L516)</f>
        <v/>
      </c>
      <c r="Z516" t="inlineStr">
        <is>
          <t>CIO - Top Investment Executive</t>
        </is>
      </c>
      <c r="AA516" t="inlineStr">
        <is>
          <t>Leadership</t>
        </is>
      </c>
      <c r="AB516" s="50" t="inlineStr">
        <is>
          <t>Y</t>
        </is>
      </c>
      <c r="AC516" s="43">
        <f>HYPERLINK("https://projects.propublica.org/nonprofits/organizations/590735717/202510459349301966/full","view filing")</f>
        <v/>
      </c>
      <c r="AD516" s="50" t="inlineStr"/>
    </row>
    <row r="517">
      <c r="A517" t="inlineStr">
        <is>
          <t>Howard Hughes Medical Institute</t>
        </is>
      </c>
      <c r="B517" s="50" t="inlineStr">
        <is>
          <t>MD</t>
        </is>
      </c>
      <c r="C517" s="52" t="n">
        <v>27.97</v>
      </c>
      <c r="D517" t="inlineStr">
        <is>
          <t>Other</t>
        </is>
      </c>
      <c r="E517" s="50" t="n">
        <v>2024</v>
      </c>
      <c r="F517" s="50" t="inlineStr">
        <is>
          <t>2025-02-14</t>
        </is>
      </c>
      <c r="G517" s="50" t="inlineStr">
        <is>
          <t>2024-08-31</t>
        </is>
      </c>
      <c r="H517" t="inlineStr">
        <is>
          <t>Glen Zwicker</t>
        </is>
      </c>
      <c r="I517" t="inlineStr">
        <is>
          <t>MANAGING DIRECTOR &amp; HEAD OF INVESTMENT OPERATIONS</t>
        </is>
      </c>
      <c r="J517" t="inlineStr">
        <is>
          <t>Managing Director</t>
        </is>
      </c>
      <c r="K517" t="inlineStr">
        <is>
          <t>COO (Investment Office)</t>
        </is>
      </c>
      <c r="L517" s="28" t="n">
        <v>530316</v>
      </c>
      <c r="M517" s="28" t="n">
        <v>897639</v>
      </c>
      <c r="N517" s="28" t="n">
        <v>26357</v>
      </c>
      <c r="O517" s="28" t="n">
        <v>33000</v>
      </c>
      <c r="P517" s="28" t="n">
        <v>37597</v>
      </c>
      <c r="Q517" s="28" t="n">
        <v>1524909</v>
      </c>
      <c r="R517" s="28" t="n">
        <v>0</v>
      </c>
      <c r="S517" s="28">
        <f>Q517-R517</f>
        <v/>
      </c>
      <c r="T517" s="28">
        <f>IF(S517="","",S517*(1+in_GrowthRate)^(YEARFRAC(DATE(2024,8,31),in_AgeToDate)*IF(in_AgeToDate&lt;DATE(2024,8,31),-1,1)+1))</f>
        <v/>
      </c>
      <c r="U517" s="50">
        <f>IF(AND(AND(OR(in_Mode="All Funds",AND(C517&gt;=in_BandFloor,C517&lt;=in_BandCeiling,OR(in_Geography="National",COUNTIFS(lst_GeoPreset,in_Geography,lst_GeoState,B517)&gt;0,AND(in_Geography="Custom",ISNUMBER(SEARCH(B517,SUBSTITUTE(in_CustomStates," ",""))))),OR(AND(D517="Endowment",Inputs!$B$14="Y"),AND(D517="Foundation",Inputs!$B$15="Y"),AND(D517="Healthcare",Inputs!$B$16="Y"),AND(D517="Pension",Inputs!$B$17="Y"),AND(D517="OCIO",Inputs!$B$18="Y"),AND(D517="Other",Inputs!$B$19="Y")))),A517&lt;&gt;in_ClientOrg,NOT(AND(in_ExclHarvard="Y",ISNUMBER(SEARCH("Harvard",A517))))),$AD517="Y",K517&lt;&gt;"",S517&gt;0),"Y","")</f>
        <v/>
      </c>
      <c r="V517" s="30" t="n">
        <v>0.4161283509200124</v>
      </c>
      <c r="W517" t="inlineStr"/>
      <c r="X517" s="28">
        <f>IF(L517+M517=0,"",L517+M517)</f>
        <v/>
      </c>
      <c r="Y517" s="38">
        <f>IF(L517=0,"",M517/L517)</f>
        <v/>
      </c>
      <c r="Z517" t="inlineStr">
        <is>
          <t>COO (Investment Office)</t>
        </is>
      </c>
      <c r="AA517" t="inlineStr">
        <is>
          <t>Operations &amp; Control</t>
        </is>
      </c>
      <c r="AB517" s="50" t="inlineStr"/>
      <c r="AC517" s="43">
        <f>HYPERLINK("https://projects.propublica.org/nonprofits/organizations/590735717/202510459349301966/full","view filing")</f>
        <v/>
      </c>
      <c r="AD517" s="50" t="inlineStr"/>
    </row>
    <row r="518">
      <c r="A518" t="inlineStr">
        <is>
          <t>Howard Hughes Medical Institute</t>
        </is>
      </c>
      <c r="B518" s="50" t="inlineStr">
        <is>
          <t>MD</t>
        </is>
      </c>
      <c r="C518" s="52" t="n">
        <v>27.97</v>
      </c>
      <c r="D518" t="inlineStr">
        <is>
          <t>Other</t>
        </is>
      </c>
      <c r="E518" s="50" t="n">
        <v>2024</v>
      </c>
      <c r="F518" s="50" t="inlineStr">
        <is>
          <t>2025-02-14</t>
        </is>
      </c>
      <c r="G518" s="50" t="inlineStr">
        <is>
          <t>2024-08-31</t>
        </is>
      </c>
      <c r="H518" t="inlineStr">
        <is>
          <t>Karen Eifler</t>
        </is>
      </c>
      <c r="I518" t="inlineStr">
        <is>
          <t>MANAGING DIRECTOR, PUBLIC MARKETS</t>
        </is>
      </c>
      <c r="J518" t="inlineStr">
        <is>
          <t>Managing Director</t>
        </is>
      </c>
      <c r="K518" t="inlineStr">
        <is>
          <t>Sr Investment Professional</t>
        </is>
      </c>
      <c r="L518" s="28" t="n">
        <v>599652</v>
      </c>
      <c r="M518" s="28" t="n">
        <v>385500</v>
      </c>
      <c r="N518" s="28" t="n">
        <v>4230</v>
      </c>
      <c r="O518" s="28" t="n">
        <v>33000</v>
      </c>
      <c r="P518" s="28" t="n">
        <v>1649</v>
      </c>
      <c r="Q518" s="28" t="n">
        <v>1024031</v>
      </c>
      <c r="R518" s="28" t="n">
        <v>0</v>
      </c>
      <c r="S518" s="28">
        <f>Q518-R518</f>
        <v/>
      </c>
      <c r="T518" s="28">
        <f>IF(S518="","",S518*(1+in_GrowthRate)^(YEARFRAC(DATE(2024,8,31),in_AgeToDate)*IF(in_AgeToDate&lt;DATE(2024,8,31),-1,1)+1))</f>
        <v/>
      </c>
      <c r="U518" s="50">
        <f>IF(AND(AND(OR(in_Mode="All Funds",AND(C518&gt;=in_BandFloor,C518&lt;=in_BandCeiling,OR(in_Geography="National",COUNTIFS(lst_GeoPreset,in_Geography,lst_GeoState,B518)&gt;0,AND(in_Geography="Custom",ISNUMBER(SEARCH(B518,SUBSTITUTE(in_CustomStates," ",""))))),OR(AND(D518="Endowment",Inputs!$B$14="Y"),AND(D518="Foundation",Inputs!$B$15="Y"),AND(D518="Healthcare",Inputs!$B$16="Y"),AND(D518="Pension",Inputs!$B$17="Y"),AND(D518="OCIO",Inputs!$B$18="Y"),AND(D518="Other",Inputs!$B$19="Y")))),A518&lt;&gt;in_ClientOrg,NOT(AND(in_ExclHarvard="Y",ISNUMBER(SEARCH("Harvard",A518))))),$AD518="Y",K518&lt;&gt;"",S518&gt;0),"Y","")</f>
        <v/>
      </c>
      <c r="V518" s="30" t="n">
        <v>0.2794450890649679</v>
      </c>
      <c r="W518" t="inlineStr"/>
      <c r="X518" s="28">
        <f>IF(L518+M518=0,"",L518+M518)</f>
        <v/>
      </c>
      <c r="Y518" s="38">
        <f>IF(L518=0,"",M518/L518)</f>
        <v/>
      </c>
      <c r="Z518" t="inlineStr">
        <is>
          <t>Managing Director</t>
        </is>
      </c>
      <c r="AA518" t="inlineStr">
        <is>
          <t>Investments</t>
        </is>
      </c>
      <c r="AB518" s="50" t="inlineStr"/>
      <c r="AC518" s="43">
        <f>HYPERLINK("https://projects.propublica.org/nonprofits/organizations/590735717/202510459349301966/full","view filing")</f>
        <v/>
      </c>
      <c r="AD518" s="50" t="inlineStr"/>
    </row>
    <row r="519">
      <c r="A519" t="inlineStr">
        <is>
          <t>Howard Hughes Medical Institute</t>
        </is>
      </c>
      <c r="B519" s="50" t="inlineStr">
        <is>
          <t>MD</t>
        </is>
      </c>
      <c r="C519" s="52" t="n">
        <v>27.97</v>
      </c>
      <c r="D519" t="inlineStr">
        <is>
          <t>Other</t>
        </is>
      </c>
      <c r="E519" s="50" t="n">
        <v>2024</v>
      </c>
      <c r="F519" s="50" t="inlineStr">
        <is>
          <t>2025-02-14</t>
        </is>
      </c>
      <c r="G519" s="50" t="inlineStr">
        <is>
          <t>2024-08-31</t>
        </is>
      </c>
      <c r="H519" t="inlineStr">
        <is>
          <t>Mark Sproles</t>
        </is>
      </c>
      <c r="I519" t="inlineStr">
        <is>
          <t>MANAGING DIRECTOR, PRIVATE MARKETS</t>
        </is>
      </c>
      <c r="J519" t="inlineStr">
        <is>
          <t>Managing Director</t>
        </is>
      </c>
      <c r="K519" t="inlineStr">
        <is>
          <t>Sr Investment Professional</t>
        </is>
      </c>
      <c r="L519" s="28" t="n">
        <v>576384</v>
      </c>
      <c r="M519" s="28" t="n">
        <v>1022597</v>
      </c>
      <c r="N519" s="28" t="n">
        <v>26471</v>
      </c>
      <c r="O519" s="28" t="n">
        <v>33000</v>
      </c>
      <c r="P519" s="28" t="n">
        <v>34452</v>
      </c>
      <c r="Q519" s="28" t="n">
        <v>1692904</v>
      </c>
      <c r="R519" s="28" t="n">
        <v>0</v>
      </c>
      <c r="S519" s="28">
        <f>Q519-R519</f>
        <v/>
      </c>
      <c r="T519" s="28">
        <f>IF(S519="","",S519*(1+in_GrowthRate)^(YEARFRAC(DATE(2024,8,31),in_AgeToDate)*IF(in_AgeToDate&lt;DATE(2024,8,31),-1,1)+1))</f>
        <v/>
      </c>
      <c r="U519" s="50">
        <f>IF(AND(AND(OR(in_Mode="All Funds",AND(C519&gt;=in_BandFloor,C519&lt;=in_BandCeiling,OR(in_Geography="National",COUNTIFS(lst_GeoPreset,in_Geography,lst_GeoState,B519)&gt;0,AND(in_Geography="Custom",ISNUMBER(SEARCH(B519,SUBSTITUTE(in_CustomStates," ",""))))),OR(AND(D519="Endowment",Inputs!$B$14="Y"),AND(D519="Foundation",Inputs!$B$15="Y"),AND(D519="Healthcare",Inputs!$B$16="Y"),AND(D519="Pension",Inputs!$B$17="Y"),AND(D519="OCIO",Inputs!$B$18="Y"),AND(D519="Other",Inputs!$B$19="Y")))),A519&lt;&gt;in_ClientOrg,NOT(AND(in_ExclHarvard="Y",ISNUMBER(SEARCH("Harvard",A519))))),$AD519="Y",K519&lt;&gt;"",S519&gt;0),"Y","")</f>
        <v/>
      </c>
      <c r="V519" s="30" t="n">
        <v>0.4619720585201429</v>
      </c>
      <c r="W519" t="inlineStr"/>
      <c r="X519" s="28">
        <f>IF(L519+M519=0,"",L519+M519)</f>
        <v/>
      </c>
      <c r="Y519" s="38">
        <f>IF(L519=0,"",M519/L519)</f>
        <v/>
      </c>
      <c r="Z519" t="inlineStr">
        <is>
          <t>Managing Director</t>
        </is>
      </c>
      <c r="AA519" t="inlineStr">
        <is>
          <t>Investments</t>
        </is>
      </c>
      <c r="AB519" s="50" t="inlineStr"/>
      <c r="AC519" s="43">
        <f>HYPERLINK("https://projects.propublica.org/nonprofits/organizations/590735717/202510459349301966/full","view filing")</f>
        <v/>
      </c>
      <c r="AD519" s="50" t="inlineStr"/>
    </row>
    <row r="520">
      <c r="A520" t="inlineStr">
        <is>
          <t>Howard Hughes Medical Institute</t>
        </is>
      </c>
      <c r="B520" s="50" t="inlineStr">
        <is>
          <t>MD</t>
        </is>
      </c>
      <c r="C520" s="52" t="n">
        <v>27.97</v>
      </c>
      <c r="D520" t="inlineStr">
        <is>
          <t>Other</t>
        </is>
      </c>
      <c r="E520" s="50" t="n">
        <v>2023</v>
      </c>
      <c r="F520" s="50" t="inlineStr">
        <is>
          <t>2024-02-21</t>
        </is>
      </c>
      <c r="G520" s="50" t="inlineStr">
        <is>
          <t>2023-08-31</t>
        </is>
      </c>
      <c r="H520" t="inlineStr">
        <is>
          <t>Donald Koch</t>
        </is>
      </c>
      <c r="I520" t="inlineStr">
        <is>
          <t>VP &amp; CHIEF INVESTMENT OFFICER</t>
        </is>
      </c>
      <c r="J520" t="inlineStr">
        <is>
          <t>CIO</t>
        </is>
      </c>
      <c r="K520" t="inlineStr">
        <is>
          <t>CIO - Top Investment Executive</t>
        </is>
      </c>
      <c r="L520" s="28" t="n">
        <v>1051554</v>
      </c>
      <c r="M520" s="28" t="n">
        <v>1394179</v>
      </c>
      <c r="N520" s="28" t="n">
        <v>25656</v>
      </c>
      <c r="O520" s="28" t="n">
        <v>30500</v>
      </c>
      <c r="P520" s="28" t="n">
        <v>38794</v>
      </c>
      <c r="Q520" s="28" t="n">
        <v>2540683</v>
      </c>
      <c r="R520" s="28" t="n">
        <v>0</v>
      </c>
      <c r="S520" s="28">
        <f>Q520-R520</f>
        <v/>
      </c>
      <c r="T520" s="28">
        <f>IF(S520="","",S520*(1+in_GrowthRate)^(YEARFRAC(DATE(2023,8,31),in_AgeToDate)*IF(in_AgeToDate&lt;DATE(2023,8,31),-1,1)+1))</f>
        <v/>
      </c>
      <c r="U520" s="50">
        <f>IF(AND(AND(OR(in_Mode="All Funds",AND(C520&gt;=in_BandFloor,C520&lt;=in_BandCeiling,OR(in_Geography="National",COUNTIFS(lst_GeoPreset,in_Geography,lst_GeoState,B520)&gt;0,AND(in_Geography="Custom",ISNUMBER(SEARCH(B520,SUBSTITUTE(in_CustomStates," ",""))))),OR(AND(D520="Endowment",Inputs!$B$14="Y"),AND(D520="Foundation",Inputs!$B$15="Y"),AND(D520="Healthcare",Inputs!$B$16="Y"),AND(D520="Pension",Inputs!$B$17="Y"),AND(D520="OCIO",Inputs!$B$18="Y"),AND(D520="Other",Inputs!$B$19="Y")))),A520&lt;&gt;in_ClientOrg,NOT(AND(in_ExclHarvard="Y",ISNUMBER(SEARCH("Harvard",A520))))),$AD520="Y",K520&lt;&gt;"",S520&gt;0),"Y","")</f>
        <v/>
      </c>
      <c r="V520" s="30" t="n">
        <v>1</v>
      </c>
      <c r="W520" t="inlineStr"/>
      <c r="X520" s="28">
        <f>IF(L520+M520=0,"",L520+M520)</f>
        <v/>
      </c>
      <c r="Y520" s="38">
        <f>IF(L520=0,"",M520/L520)</f>
        <v/>
      </c>
      <c r="Z520" t="inlineStr">
        <is>
          <t>CIO - Top Investment Executive</t>
        </is>
      </c>
      <c r="AA520" t="inlineStr">
        <is>
          <t>Leadership</t>
        </is>
      </c>
      <c r="AB520" s="50" t="inlineStr">
        <is>
          <t>Y</t>
        </is>
      </c>
      <c r="AC520" s="43">
        <f>HYPERLINK("https://projects.propublica.org/nonprofits/organizations/590735717/202420529349301717/full","view filing")</f>
        <v/>
      </c>
      <c r="AD520" s="50" t="inlineStr"/>
    </row>
    <row r="521">
      <c r="A521" t="inlineStr">
        <is>
          <t>Howard Hughes Medical Institute</t>
        </is>
      </c>
      <c r="B521" s="50" t="inlineStr">
        <is>
          <t>MD</t>
        </is>
      </c>
      <c r="C521" s="52" t="n">
        <v>27.97</v>
      </c>
      <c r="D521" t="inlineStr">
        <is>
          <t>Other</t>
        </is>
      </c>
      <c r="E521" s="50" t="n">
        <v>2023</v>
      </c>
      <c r="F521" s="50" t="inlineStr">
        <is>
          <t>2024-02-21</t>
        </is>
      </c>
      <c r="G521" s="50" t="inlineStr">
        <is>
          <t>2023-08-31</t>
        </is>
      </c>
      <c r="H521" t="inlineStr">
        <is>
          <t>Glen Zwicker</t>
        </is>
      </c>
      <c r="I521" t="inlineStr">
        <is>
          <t>MANAGING DIRECTOR &amp; HEAD OF INVESTMENT OPS</t>
        </is>
      </c>
      <c r="J521" t="inlineStr">
        <is>
          <t>Managing Director</t>
        </is>
      </c>
      <c r="K521" t="inlineStr">
        <is>
          <t>COO (Investment Office)</t>
        </is>
      </c>
      <c r="L521" s="28" t="n">
        <v>510082</v>
      </c>
      <c r="M521" s="28" t="n">
        <v>833214</v>
      </c>
      <c r="N521" s="28" t="n">
        <v>26795</v>
      </c>
      <c r="O521" s="28" t="n">
        <v>30500</v>
      </c>
      <c r="P521" s="28" t="n">
        <v>37263</v>
      </c>
      <c r="Q521" s="28" t="n">
        <v>1437854</v>
      </c>
      <c r="R521" s="28" t="n">
        <v>0</v>
      </c>
      <c r="S521" s="28">
        <f>Q521-R521</f>
        <v/>
      </c>
      <c r="T521" s="28">
        <f>IF(S521="","",S521*(1+in_GrowthRate)^(YEARFRAC(DATE(2023,8,31),in_AgeToDate)*IF(in_AgeToDate&lt;DATE(2023,8,31),-1,1)+1))</f>
        <v/>
      </c>
      <c r="U521" s="50">
        <f>IF(AND(AND(OR(in_Mode="All Funds",AND(C521&gt;=in_BandFloor,C521&lt;=in_BandCeiling,OR(in_Geography="National",COUNTIFS(lst_GeoPreset,in_Geography,lst_GeoState,B521)&gt;0,AND(in_Geography="Custom",ISNUMBER(SEARCH(B521,SUBSTITUTE(in_CustomStates," ",""))))),OR(AND(D521="Endowment",Inputs!$B$14="Y"),AND(D521="Foundation",Inputs!$B$15="Y"),AND(D521="Healthcare",Inputs!$B$16="Y"),AND(D521="Pension",Inputs!$B$17="Y"),AND(D521="OCIO",Inputs!$B$18="Y"),AND(D521="Other",Inputs!$B$19="Y")))),A521&lt;&gt;in_ClientOrg,NOT(AND(in_ExclHarvard="Y",ISNUMBER(SEARCH("Harvard",A521))))),$AD521="Y",K521&lt;&gt;"",S521&gt;0),"Y","")</f>
        <v/>
      </c>
      <c r="V521" s="30" t="n">
        <v>0.5659320741706069</v>
      </c>
      <c r="W521" t="inlineStr"/>
      <c r="X521" s="28">
        <f>IF(L521+M521=0,"",L521+M521)</f>
        <v/>
      </c>
      <c r="Y521" s="38">
        <f>IF(L521=0,"",M521/L521)</f>
        <v/>
      </c>
      <c r="Z521" t="inlineStr">
        <is>
          <t>COO (Investment Office)</t>
        </is>
      </c>
      <c r="AA521" t="inlineStr">
        <is>
          <t>Operations &amp; Control</t>
        </is>
      </c>
      <c r="AB521" s="50" t="inlineStr"/>
      <c r="AC521" s="43">
        <f>HYPERLINK("https://projects.propublica.org/nonprofits/organizations/590735717/202420529349301717/full","view filing")</f>
        <v/>
      </c>
      <c r="AD521" s="50" t="inlineStr"/>
    </row>
    <row r="522">
      <c r="A522" t="inlineStr">
        <is>
          <t>Howard Hughes Medical Institute</t>
        </is>
      </c>
      <c r="B522" s="50" t="inlineStr">
        <is>
          <t>MD</t>
        </is>
      </c>
      <c r="C522" s="52" t="n">
        <v>27.97</v>
      </c>
      <c r="D522" t="inlineStr">
        <is>
          <t>Other</t>
        </is>
      </c>
      <c r="E522" s="50" t="n">
        <v>2023</v>
      </c>
      <c r="F522" s="50" t="inlineStr">
        <is>
          <t>2024-02-21</t>
        </is>
      </c>
      <c r="G522" s="50" t="inlineStr">
        <is>
          <t>2023-08-31</t>
        </is>
      </c>
      <c r="H522" t="inlineStr">
        <is>
          <t>Mark Sproles</t>
        </is>
      </c>
      <c r="I522" t="inlineStr">
        <is>
          <t>MANAGING DIRECTOR, PRIVATE MARKETS</t>
        </is>
      </c>
      <c r="J522" t="inlineStr">
        <is>
          <t>Managing Director</t>
        </is>
      </c>
      <c r="K522" t="inlineStr">
        <is>
          <t>Sr Investment Professional</t>
        </is>
      </c>
      <c r="L522" s="28" t="n">
        <v>507969</v>
      </c>
      <c r="M522" s="28" t="n">
        <v>415968</v>
      </c>
      <c r="N522" s="28" t="n">
        <v>26739</v>
      </c>
      <c r="O522" s="28" t="n">
        <v>30500</v>
      </c>
      <c r="P522" s="28" t="n">
        <v>1677</v>
      </c>
      <c r="Q522" s="28" t="n">
        <v>982853</v>
      </c>
      <c r="R522" s="28" t="n">
        <v>0</v>
      </c>
      <c r="S522" s="28">
        <f>Q522-R522</f>
        <v/>
      </c>
      <c r="T522" s="28">
        <f>IF(S522="","",S522*(1+in_GrowthRate)^(YEARFRAC(DATE(2023,8,31),in_AgeToDate)*IF(in_AgeToDate&lt;DATE(2023,8,31),-1,1)+1))</f>
        <v/>
      </c>
      <c r="U522" s="50">
        <f>IF(AND(AND(OR(in_Mode="All Funds",AND(C522&gt;=in_BandFloor,C522&lt;=in_BandCeiling,OR(in_Geography="National",COUNTIFS(lst_GeoPreset,in_Geography,lst_GeoState,B522)&gt;0,AND(in_Geography="Custom",ISNUMBER(SEARCH(B522,SUBSTITUTE(in_CustomStates," ",""))))),OR(AND(D522="Endowment",Inputs!$B$14="Y"),AND(D522="Foundation",Inputs!$B$15="Y"),AND(D522="Healthcare",Inputs!$B$16="Y"),AND(D522="Pension",Inputs!$B$17="Y"),AND(D522="OCIO",Inputs!$B$18="Y"),AND(D522="Other",Inputs!$B$19="Y")))),A522&lt;&gt;in_ClientOrg,NOT(AND(in_ExclHarvard="Y",ISNUMBER(SEARCH("Harvard",A522))))),$AD522="Y",K522&lt;&gt;"",S522&gt;0),"Y","")</f>
        <v/>
      </c>
      <c r="V522" s="30" t="n">
        <v>0.3868459780303171</v>
      </c>
      <c r="W522" t="inlineStr"/>
      <c r="X522" s="28">
        <f>IF(L522+M522=0,"",L522+M522)</f>
        <v/>
      </c>
      <c r="Y522" s="38">
        <f>IF(L522=0,"",M522/L522)</f>
        <v/>
      </c>
      <c r="Z522" t="inlineStr">
        <is>
          <t>Managing Director</t>
        </is>
      </c>
      <c r="AA522" t="inlineStr">
        <is>
          <t>Investments</t>
        </is>
      </c>
      <c r="AB522" s="50" t="inlineStr"/>
      <c r="AC522" s="43">
        <f>HYPERLINK("https://projects.propublica.org/nonprofits/organizations/590735717/202420529349301717/full","view filing")</f>
        <v/>
      </c>
      <c r="AD522" s="50" t="inlineStr"/>
    </row>
    <row r="523">
      <c r="A523" t="inlineStr">
        <is>
          <t>Howard Hughes Medical Institute</t>
        </is>
      </c>
      <c r="B523" s="50" t="inlineStr">
        <is>
          <t>MD</t>
        </is>
      </c>
      <c r="C523" s="52" t="n">
        <v>27.97</v>
      </c>
      <c r="D523" t="inlineStr">
        <is>
          <t>Other</t>
        </is>
      </c>
      <c r="E523" s="50" t="n">
        <v>2022</v>
      </c>
      <c r="F523" s="50" t="inlineStr">
        <is>
          <t>2023-02-22</t>
        </is>
      </c>
      <c r="G523" s="50" t="inlineStr">
        <is>
          <t>2022-08-31</t>
        </is>
      </c>
      <c r="H523" t="inlineStr">
        <is>
          <t>Donald Koch</t>
        </is>
      </c>
      <c r="I523" t="inlineStr">
        <is>
          <t>VP &amp; CHIEF INVESTMENT OFFICER</t>
        </is>
      </c>
      <c r="J523" t="inlineStr">
        <is>
          <t>CIO</t>
        </is>
      </c>
      <c r="K523" t="inlineStr">
        <is>
          <t>CIO - Top Investment Executive</t>
        </is>
      </c>
      <c r="L523" s="28" t="n">
        <v>805028</v>
      </c>
      <c r="M523" s="28" t="n">
        <v>534180</v>
      </c>
      <c r="N523" s="28" t="n">
        <v>40116</v>
      </c>
      <c r="O523" s="28" t="n">
        <v>29000</v>
      </c>
      <c r="P523" s="28" t="n">
        <v>39162</v>
      </c>
      <c r="Q523" s="28" t="n">
        <v>1447486</v>
      </c>
      <c r="R523" s="28" t="n">
        <v>0</v>
      </c>
      <c r="S523" s="28">
        <f>Q523-R523</f>
        <v/>
      </c>
      <c r="T523" s="28">
        <f>IF(S523="","",S523*(1+in_GrowthRate)^(YEARFRAC(DATE(2022,8,31),in_AgeToDate)*IF(in_AgeToDate&lt;DATE(2022,8,31),-1,1)+1))</f>
        <v/>
      </c>
      <c r="U523" s="50">
        <f>IF(AND(AND(OR(in_Mode="All Funds",AND(C523&gt;=in_BandFloor,C523&lt;=in_BandCeiling,OR(in_Geography="National",COUNTIFS(lst_GeoPreset,in_Geography,lst_GeoState,B523)&gt;0,AND(in_Geography="Custom",ISNUMBER(SEARCH(B523,SUBSTITUTE(in_CustomStates," ",""))))),OR(AND(D523="Endowment",Inputs!$B$14="Y"),AND(D523="Foundation",Inputs!$B$15="Y"),AND(D523="Healthcare",Inputs!$B$16="Y"),AND(D523="Pension",Inputs!$B$17="Y"),AND(D523="OCIO",Inputs!$B$18="Y"),AND(D523="Other",Inputs!$B$19="Y")))),A523&lt;&gt;in_ClientOrg,NOT(AND(in_ExclHarvard="Y",ISNUMBER(SEARCH("Harvard",A523))))),$AD523="Y",K523&lt;&gt;"",S523&gt;0),"Y","")</f>
        <v/>
      </c>
      <c r="V523" s="30" t="n">
        <v>1</v>
      </c>
      <c r="W523" t="inlineStr"/>
      <c r="X523" s="28">
        <f>IF(L523+M523=0,"",L523+M523)</f>
        <v/>
      </c>
      <c r="Y523" s="38">
        <f>IF(L523=0,"",M523/L523)</f>
        <v/>
      </c>
      <c r="Z523" t="inlineStr">
        <is>
          <t>CIO - Top Investment Executive</t>
        </is>
      </c>
      <c r="AA523" t="inlineStr">
        <is>
          <t>Leadership</t>
        </is>
      </c>
      <c r="AB523" s="50" t="inlineStr">
        <is>
          <t>Y</t>
        </is>
      </c>
      <c r="AC523" s="43">
        <f>HYPERLINK("https://projects.propublica.org/nonprofits/organizations/590735717/202330539349300943/full","view filing")</f>
        <v/>
      </c>
      <c r="AD523" s="50" t="inlineStr"/>
    </row>
    <row r="524">
      <c r="A524" t="inlineStr">
        <is>
          <t>Howard Hughes Medical Institute</t>
        </is>
      </c>
      <c r="B524" s="50" t="inlineStr">
        <is>
          <t>MD</t>
        </is>
      </c>
      <c r="C524" s="52" t="n">
        <v>27.97</v>
      </c>
      <c r="D524" t="inlineStr">
        <is>
          <t>Other</t>
        </is>
      </c>
      <c r="E524" s="50" t="n">
        <v>2022</v>
      </c>
      <c r="F524" s="50" t="inlineStr">
        <is>
          <t>2023-02-22</t>
        </is>
      </c>
      <c r="G524" s="50" t="inlineStr">
        <is>
          <t>2022-08-31</t>
        </is>
      </c>
      <c r="H524" t="inlineStr">
        <is>
          <t>Glen Zwicker</t>
        </is>
      </c>
      <c r="I524" t="inlineStr">
        <is>
          <t>MANAGING DIRECTOR &amp; HEAD OF INVESTMENT OPS</t>
        </is>
      </c>
      <c r="J524" t="inlineStr">
        <is>
          <t>Managing Director</t>
        </is>
      </c>
      <c r="K524" t="inlineStr">
        <is>
          <t>COO (Investment Office)</t>
        </is>
      </c>
      <c r="L524" s="28" t="n">
        <v>490350</v>
      </c>
      <c r="M524" s="28" t="n">
        <v>468463</v>
      </c>
      <c r="N524" s="28" t="n">
        <v>38030</v>
      </c>
      <c r="O524" s="28" t="n">
        <v>29000</v>
      </c>
      <c r="P524" s="28" t="n">
        <v>38298</v>
      </c>
      <c r="Q524" s="28" t="n">
        <v>1064141</v>
      </c>
      <c r="R524" s="28" t="n">
        <v>0</v>
      </c>
      <c r="S524" s="28">
        <f>Q524-R524</f>
        <v/>
      </c>
      <c r="T524" s="28">
        <f>IF(S524="","",S524*(1+in_GrowthRate)^(YEARFRAC(DATE(2022,8,31),in_AgeToDate)*IF(in_AgeToDate&lt;DATE(2022,8,31),-1,1)+1))</f>
        <v/>
      </c>
      <c r="U524" s="50">
        <f>IF(AND(AND(OR(in_Mode="All Funds",AND(C524&gt;=in_BandFloor,C524&lt;=in_BandCeiling,OR(in_Geography="National",COUNTIFS(lst_GeoPreset,in_Geography,lst_GeoState,B524)&gt;0,AND(in_Geography="Custom",ISNUMBER(SEARCH(B524,SUBSTITUTE(in_CustomStates," ",""))))),OR(AND(D524="Endowment",Inputs!$B$14="Y"),AND(D524="Foundation",Inputs!$B$15="Y"),AND(D524="Healthcare",Inputs!$B$16="Y"),AND(D524="Pension",Inputs!$B$17="Y"),AND(D524="OCIO",Inputs!$B$18="Y"),AND(D524="Other",Inputs!$B$19="Y")))),A524&lt;&gt;in_ClientOrg,NOT(AND(in_ExclHarvard="Y",ISNUMBER(SEARCH("Harvard",A524))))),$AD524="Y",K524&lt;&gt;"",S524&gt;0),"Y","")</f>
        <v/>
      </c>
      <c r="V524" s="30" t="n">
        <v>0.7351649687803543</v>
      </c>
      <c r="W524" t="inlineStr"/>
      <c r="X524" s="28">
        <f>IF(L524+M524=0,"",L524+M524)</f>
        <v/>
      </c>
      <c r="Y524" s="38">
        <f>IF(L524=0,"",M524/L524)</f>
        <v/>
      </c>
      <c r="Z524" t="inlineStr">
        <is>
          <t>COO (Investment Office)</t>
        </is>
      </c>
      <c r="AA524" t="inlineStr">
        <is>
          <t>Operations &amp; Control</t>
        </is>
      </c>
      <c r="AB524" s="50" t="inlineStr"/>
      <c r="AC524" s="43">
        <f>HYPERLINK("https://projects.propublica.org/nonprofits/organizations/590735717/202330539349300943/full","view filing")</f>
        <v/>
      </c>
      <c r="AD524" s="50" t="inlineStr"/>
    </row>
    <row r="525">
      <c r="A525" t="inlineStr">
        <is>
          <t>Howard Hughes Medical Institute</t>
        </is>
      </c>
      <c r="B525" s="50" t="inlineStr">
        <is>
          <t>MD</t>
        </is>
      </c>
      <c r="C525" s="52" t="n">
        <v>27.97</v>
      </c>
      <c r="D525" t="inlineStr">
        <is>
          <t>Other</t>
        </is>
      </c>
      <c r="E525" s="50" t="n">
        <v>2022</v>
      </c>
      <c r="F525" s="50" t="inlineStr">
        <is>
          <t>2023-02-22</t>
        </is>
      </c>
      <c r="G525" s="50" t="inlineStr">
        <is>
          <t>2022-08-31</t>
        </is>
      </c>
      <c r="H525" t="inlineStr">
        <is>
          <t>Gregory Deninno</t>
        </is>
      </c>
      <c r="I525" t="inlineStr">
        <is>
          <t>MANAGING DIRECTOR, PRIVATE MARKETS</t>
        </is>
      </c>
      <c r="J525" t="inlineStr">
        <is>
          <t>Managing Director</t>
        </is>
      </c>
      <c r="K525" t="inlineStr">
        <is>
          <t>Sr Investment Professional</t>
        </is>
      </c>
      <c r="L525" s="28" t="n">
        <v>466526</v>
      </c>
      <c r="M525" s="28" t="n">
        <v>776049</v>
      </c>
      <c r="N525" s="28" t="n">
        <v>37146</v>
      </c>
      <c r="O525" s="28" t="n">
        <v>29000</v>
      </c>
      <c r="P525" s="28" t="n">
        <v>21754</v>
      </c>
      <c r="Q525" s="28" t="n">
        <v>1330475</v>
      </c>
      <c r="R525" s="28" t="n">
        <v>0</v>
      </c>
      <c r="S525" s="28">
        <f>Q525-R525</f>
        <v/>
      </c>
      <c r="T525" s="28">
        <f>IF(S525="","",S525*(1+in_GrowthRate)^(YEARFRAC(DATE(2022,8,31),in_AgeToDate)*IF(in_AgeToDate&lt;DATE(2022,8,31),-1,1)+1))</f>
        <v/>
      </c>
      <c r="U525" s="50">
        <f>IF(AND(AND(OR(in_Mode="All Funds",AND(C525&gt;=in_BandFloor,C525&lt;=in_BandCeiling,OR(in_Geography="National",COUNTIFS(lst_GeoPreset,in_Geography,lst_GeoState,B525)&gt;0,AND(in_Geography="Custom",ISNUMBER(SEARCH(B525,SUBSTITUTE(in_CustomStates," ",""))))),OR(AND(D525="Endowment",Inputs!$B$14="Y"),AND(D525="Foundation",Inputs!$B$15="Y"),AND(D525="Healthcare",Inputs!$B$16="Y"),AND(D525="Pension",Inputs!$B$17="Y"),AND(D525="OCIO",Inputs!$B$18="Y"),AND(D525="Other",Inputs!$B$19="Y")))),A525&lt;&gt;in_ClientOrg,NOT(AND(in_ExclHarvard="Y",ISNUMBER(SEARCH("Harvard",A525))))),$AD525="Y",K525&lt;&gt;"",S525&gt;0),"Y","")</f>
        <v/>
      </c>
      <c r="V525" s="30" t="n">
        <v>0.9191626032997902</v>
      </c>
      <c r="W525" t="inlineStr"/>
      <c r="X525" s="28">
        <f>IF(L525+M525=0,"",L525+M525)</f>
        <v/>
      </c>
      <c r="Y525" s="38">
        <f>IF(L525=0,"",M525/L525)</f>
        <v/>
      </c>
      <c r="Z525" t="inlineStr">
        <is>
          <t>Managing Director</t>
        </is>
      </c>
      <c r="AA525" t="inlineStr">
        <is>
          <t>Investments</t>
        </is>
      </c>
      <c r="AB525" s="50" t="inlineStr"/>
      <c r="AC525" s="43">
        <f>HYPERLINK("https://projects.propublica.org/nonprofits/organizations/590735717/202330539349300943/full","view filing")</f>
        <v/>
      </c>
      <c r="AD525" s="50" t="inlineStr"/>
    </row>
    <row r="526">
      <c r="A526" t="inlineStr">
        <is>
          <t>Howard Hughes Medical Institute</t>
        </is>
      </c>
      <c r="B526" s="50" t="inlineStr">
        <is>
          <t>MD</t>
        </is>
      </c>
      <c r="C526" s="52" t="n">
        <v>27.97</v>
      </c>
      <c r="D526" t="inlineStr">
        <is>
          <t>Other</t>
        </is>
      </c>
      <c r="E526" s="50" t="n">
        <v>2022</v>
      </c>
      <c r="F526" s="50" t="inlineStr">
        <is>
          <t>2023-02-22</t>
        </is>
      </c>
      <c r="G526" s="50" t="inlineStr">
        <is>
          <t>2022-08-31</t>
        </is>
      </c>
      <c r="H526" t="inlineStr">
        <is>
          <t>Richard A Pender</t>
        </is>
      </c>
      <c r="I526" t="inlineStr">
        <is>
          <t>MANAGING DIRECTOR, PUBLIC MARKETS</t>
        </is>
      </c>
      <c r="J526" t="inlineStr">
        <is>
          <t>Managing Director</t>
        </is>
      </c>
      <c r="K526" t="inlineStr">
        <is>
          <t>Sr Investment Professional</t>
        </is>
      </c>
      <c r="L526" s="28" t="n">
        <v>546151</v>
      </c>
      <c r="M526" s="28" t="n">
        <v>891582</v>
      </c>
      <c r="N526" s="28" t="n">
        <v>42355</v>
      </c>
      <c r="O526" s="28" t="n">
        <v>29000</v>
      </c>
      <c r="P526" s="28" t="n">
        <v>35173</v>
      </c>
      <c r="Q526" s="28" t="n">
        <v>1544261</v>
      </c>
      <c r="R526" s="28" t="n">
        <v>0</v>
      </c>
      <c r="S526" s="28">
        <f>Q526-R526</f>
        <v/>
      </c>
      <c r="T526" s="28">
        <f>IF(S526="","",S526*(1+in_GrowthRate)^(YEARFRAC(DATE(2022,8,31),in_AgeToDate)*IF(in_AgeToDate&lt;DATE(2022,8,31),-1,1)+1))</f>
        <v/>
      </c>
      <c r="U526" s="50">
        <f>IF(AND(AND(OR(in_Mode="All Funds",AND(C526&gt;=in_BandFloor,C526&lt;=in_BandCeiling,OR(in_Geography="National",COUNTIFS(lst_GeoPreset,in_Geography,lst_GeoState,B526)&gt;0,AND(in_Geography="Custom",ISNUMBER(SEARCH(B526,SUBSTITUTE(in_CustomStates," ",""))))),OR(AND(D526="Endowment",Inputs!$B$14="Y"),AND(D526="Foundation",Inputs!$B$15="Y"),AND(D526="Healthcare",Inputs!$B$16="Y"),AND(D526="Pension",Inputs!$B$17="Y"),AND(D526="OCIO",Inputs!$B$18="Y"),AND(D526="Other",Inputs!$B$19="Y")))),A526&lt;&gt;in_ClientOrg,NOT(AND(in_ExclHarvard="Y",ISNUMBER(SEARCH("Harvard",A526))))),$AD526="Y",K526&lt;&gt;"",S526&gt;0),"Y","")</f>
        <v/>
      </c>
      <c r="V526" s="30" t="n">
        <v>1.066857296029115</v>
      </c>
      <c r="W526" t="inlineStr"/>
      <c r="X526" s="28">
        <f>IF(L526+M526=0,"",L526+M526)</f>
        <v/>
      </c>
      <c r="Y526" s="38">
        <f>IF(L526=0,"",M526/L526)</f>
        <v/>
      </c>
      <c r="Z526" t="inlineStr">
        <is>
          <t>Managing Director</t>
        </is>
      </c>
      <c r="AA526" t="inlineStr">
        <is>
          <t>Investments</t>
        </is>
      </c>
      <c r="AB526" s="50" t="inlineStr"/>
      <c r="AC526" s="43">
        <f>HYPERLINK("https://projects.propublica.org/nonprofits/organizations/590735717/202330539349300943/full","view filing")</f>
        <v/>
      </c>
      <c r="AD526" s="50" t="inlineStr"/>
    </row>
    <row r="527">
      <c r="A527" t="inlineStr">
        <is>
          <t>Inatai Foundation</t>
        </is>
      </c>
      <c r="B527" s="50" t="inlineStr">
        <is>
          <t>WA</t>
        </is>
      </c>
      <c r="C527" s="52" t="n">
        <v>2.35</v>
      </c>
      <c r="D527" t="inlineStr">
        <is>
          <t>Foundation</t>
        </is>
      </c>
      <c r="E527" s="50" t="n">
        <v>2024</v>
      </c>
      <c r="F527" s="50" t="inlineStr">
        <is>
          <t>2025-11-07</t>
        </is>
      </c>
      <c r="G527" s="50" t="inlineStr">
        <is>
          <t>2024-12-31</t>
        </is>
      </c>
      <c r="H527" t="inlineStr">
        <is>
          <t>Anji Lin</t>
        </is>
      </c>
      <c r="I527" t="inlineStr">
        <is>
          <t>SENIOR PORTFOLIO MANAGER</t>
        </is>
      </c>
      <c r="J527" t="inlineStr">
        <is>
          <t>Senior Portfolio Manager</t>
        </is>
      </c>
      <c r="K527" t="inlineStr">
        <is>
          <t>Sr Investment Professional</t>
        </is>
      </c>
      <c r="L527" s="28" t="n">
        <v>228113</v>
      </c>
      <c r="M527" s="28" t="n">
        <v>75737</v>
      </c>
      <c r="N527" s="28" t="n">
        <v>0</v>
      </c>
      <c r="O527" s="28" t="n">
        <v>21694</v>
      </c>
      <c r="P527" s="28" t="n">
        <v>13519</v>
      </c>
      <c r="Q527" s="28" t="n">
        <v>339063</v>
      </c>
      <c r="R527" s="28" t="n">
        <v>0</v>
      </c>
      <c r="S527" s="28">
        <f>Q527-R527</f>
        <v/>
      </c>
      <c r="T527" s="28">
        <f>IF(S527="","",S527*(1+in_GrowthRate)^(YEARFRAC(DATE(2024,12,31),in_AgeToDate)*IF(in_AgeToDate&lt;DATE(2024,12,31),-1,1)+1))</f>
        <v/>
      </c>
      <c r="U527" s="50">
        <f>IF(AND(AND(OR(in_Mode="All Funds",AND(C527&gt;=in_BandFloor,C527&lt;=in_BandCeiling,OR(in_Geography="National",COUNTIFS(lst_GeoPreset,in_Geography,lst_GeoState,B527)&gt;0,AND(in_Geography="Custom",ISNUMBER(SEARCH(B527,SUBSTITUTE(in_CustomStates," ",""))))),OR(AND(D527="Endowment",Inputs!$B$14="Y"),AND(D527="Foundation",Inputs!$B$15="Y"),AND(D527="Healthcare",Inputs!$B$16="Y"),AND(D527="Pension",Inputs!$B$17="Y"),AND(D527="OCIO",Inputs!$B$18="Y"),AND(D527="Other",Inputs!$B$19="Y")))),A527&lt;&gt;in_ClientOrg,NOT(AND(in_ExclHarvard="Y",ISNUMBER(SEARCH("Harvard",A527))))),$AD527="Y",K527&lt;&gt;"",S527&gt;0),"Y","")</f>
        <v/>
      </c>
      <c r="V527" s="30" t="n">
        <v>0.365716806580385</v>
      </c>
      <c r="W527" t="inlineStr"/>
      <c r="X527" s="28">
        <f>IF(L527+M527=0,"",L527+M527)</f>
        <v/>
      </c>
      <c r="Y527" s="38">
        <f>IF(L527=0,"",M527/L527)</f>
        <v/>
      </c>
      <c r="Z527" t="inlineStr">
        <is>
          <t>Other investment staff</t>
        </is>
      </c>
      <c r="AA527" t="inlineStr">
        <is>
          <t>Investments</t>
        </is>
      </c>
      <c r="AB527" s="50" t="inlineStr"/>
      <c r="AC527" s="43">
        <f>HYPERLINK("https://projects.propublica.org/nonprofits/organizations/300889914/202503119349302995/full","view filing")</f>
        <v/>
      </c>
      <c r="AD527" s="50" t="inlineStr">
        <is>
          <t>Y</t>
        </is>
      </c>
    </row>
    <row r="528">
      <c r="A528" t="inlineStr">
        <is>
          <t>Inatai Foundation</t>
        </is>
      </c>
      <c r="B528" s="50" t="inlineStr">
        <is>
          <t>WA</t>
        </is>
      </c>
      <c r="C528" s="52" t="n">
        <v>2.35</v>
      </c>
      <c r="D528" t="inlineStr">
        <is>
          <t>Foundation</t>
        </is>
      </c>
      <c r="E528" s="50" t="n">
        <v>2024</v>
      </c>
      <c r="F528" s="50" t="inlineStr">
        <is>
          <t>2025-11-07</t>
        </is>
      </c>
      <c r="G528" s="50" t="inlineStr">
        <is>
          <t>2024-12-31</t>
        </is>
      </c>
      <c r="H528" t="inlineStr">
        <is>
          <t>Charlotte Zhang</t>
        </is>
      </c>
      <c r="I528" t="inlineStr">
        <is>
          <t>SENIOR PORTFOLIO MANAGER</t>
        </is>
      </c>
      <c r="J528" t="inlineStr">
        <is>
          <t>Senior Portfolio Manager</t>
        </is>
      </c>
      <c r="K528" t="inlineStr">
        <is>
          <t>Sr Investment Professional</t>
        </is>
      </c>
      <c r="L528" s="28" t="n">
        <v>291567</v>
      </c>
      <c r="M528" s="28" t="n">
        <v>120000</v>
      </c>
      <c r="N528" s="28" t="n">
        <v>6907</v>
      </c>
      <c r="O528" s="28" t="n">
        <v>34500</v>
      </c>
      <c r="P528" s="28" t="n">
        <v>10110</v>
      </c>
      <c r="Q528" s="28" t="n">
        <v>463084</v>
      </c>
      <c r="R528" s="28" t="n">
        <v>0</v>
      </c>
      <c r="S528" s="28">
        <f>Q528-R528</f>
        <v/>
      </c>
      <c r="T528" s="28">
        <f>IF(S528="","",S528*(1+in_GrowthRate)^(YEARFRAC(DATE(2024,12,31),in_AgeToDate)*IF(in_AgeToDate&lt;DATE(2024,12,31),-1,1)+1))</f>
        <v/>
      </c>
      <c r="U528" s="50">
        <f>IF(AND(AND(OR(in_Mode="All Funds",AND(C528&gt;=in_BandFloor,C528&lt;=in_BandCeiling,OR(in_Geography="National",COUNTIFS(lst_GeoPreset,in_Geography,lst_GeoState,B528)&gt;0,AND(in_Geography="Custom",ISNUMBER(SEARCH(B528,SUBSTITUTE(in_CustomStates," ",""))))),OR(AND(D528="Endowment",Inputs!$B$14="Y"),AND(D528="Foundation",Inputs!$B$15="Y"),AND(D528="Healthcare",Inputs!$B$16="Y"),AND(D528="Pension",Inputs!$B$17="Y"),AND(D528="OCIO",Inputs!$B$18="Y"),AND(D528="Other",Inputs!$B$19="Y")))),A528&lt;&gt;in_ClientOrg,NOT(AND(in_ExclHarvard="Y",ISNUMBER(SEARCH("Harvard",A528))))),$AD528="Y",K528&lt;&gt;"",S528&gt;0),"Y","")</f>
        <v/>
      </c>
      <c r="V528" s="30" t="n">
        <v>0.4994871208550359</v>
      </c>
      <c r="W528" t="inlineStr"/>
      <c r="X528" s="28">
        <f>IF(L528+M528=0,"",L528+M528)</f>
        <v/>
      </c>
      <c r="Y528" s="38">
        <f>IF(L528=0,"",M528/L528)</f>
        <v/>
      </c>
      <c r="Z528" t="inlineStr">
        <is>
          <t>Other investment staff</t>
        </is>
      </c>
      <c r="AA528" t="inlineStr">
        <is>
          <t>Investments</t>
        </is>
      </c>
      <c r="AB528" s="50" t="inlineStr"/>
      <c r="AC528" s="43">
        <f>HYPERLINK("https://projects.propublica.org/nonprofits/organizations/300889914/202503119349302995/full","view filing")</f>
        <v/>
      </c>
      <c r="AD528" s="50" t="inlineStr">
        <is>
          <t>Y</t>
        </is>
      </c>
    </row>
    <row r="529">
      <c r="A529" t="inlineStr">
        <is>
          <t>Inatai Foundation</t>
        </is>
      </c>
      <c r="B529" s="50" t="inlineStr">
        <is>
          <t>WA</t>
        </is>
      </c>
      <c r="C529" s="52" t="n">
        <v>2.35</v>
      </c>
      <c r="D529" t="inlineStr">
        <is>
          <t>Foundation</t>
        </is>
      </c>
      <c r="E529" s="50" t="n">
        <v>2024</v>
      </c>
      <c r="F529" s="50" t="inlineStr">
        <is>
          <t>2025-11-07</t>
        </is>
      </c>
      <c r="G529" s="50" t="inlineStr">
        <is>
          <t>2024-12-31</t>
        </is>
      </c>
      <c r="H529" t="inlineStr">
        <is>
          <t>Peng Wang</t>
        </is>
      </c>
      <c r="I529" t="inlineStr">
        <is>
          <t>CHIEF INVESTMENT OFFICER</t>
        </is>
      </c>
      <c r="J529" t="inlineStr">
        <is>
          <t>CIO</t>
        </is>
      </c>
      <c r="K529" t="inlineStr">
        <is>
          <t>CIO - Top Investment Executive</t>
        </is>
      </c>
      <c r="L529" s="28" t="n">
        <v>496238</v>
      </c>
      <c r="M529" s="28" t="n">
        <v>70000</v>
      </c>
      <c r="N529" s="28" t="n">
        <v>22950</v>
      </c>
      <c r="O529" s="28" t="n">
        <v>314500</v>
      </c>
      <c r="P529" s="28" t="n">
        <v>23431</v>
      </c>
      <c r="Q529" s="28" t="n">
        <v>927119</v>
      </c>
      <c r="R529" s="28" t="n">
        <v>0</v>
      </c>
      <c r="S529" s="28">
        <f>Q529-R529</f>
        <v/>
      </c>
      <c r="T529" s="28">
        <f>IF(S529="","",S529*(1+in_GrowthRate)^(YEARFRAC(DATE(2024,12,31),in_AgeToDate)*IF(in_AgeToDate&lt;DATE(2024,12,31),-1,1)+1))</f>
        <v/>
      </c>
      <c r="U529" s="50">
        <f>IF(AND(AND(OR(in_Mode="All Funds",AND(C529&gt;=in_BandFloor,C529&lt;=in_BandCeiling,OR(in_Geography="National",COUNTIFS(lst_GeoPreset,in_Geography,lst_GeoState,B529)&gt;0,AND(in_Geography="Custom",ISNUMBER(SEARCH(B529,SUBSTITUTE(in_CustomStates," ",""))))),OR(AND(D529="Endowment",Inputs!$B$14="Y"),AND(D529="Foundation",Inputs!$B$15="Y"),AND(D529="Healthcare",Inputs!$B$16="Y"),AND(D529="Pension",Inputs!$B$17="Y"),AND(D529="OCIO",Inputs!$B$18="Y"),AND(D529="Other",Inputs!$B$19="Y")))),A529&lt;&gt;in_ClientOrg,NOT(AND(in_ExclHarvard="Y",ISNUMBER(SEARCH("Harvard",A529))))),$AD529="Y",K529&lt;&gt;"",S529&gt;0),"Y","")</f>
        <v/>
      </c>
      <c r="V529" s="30" t="n">
        <v>1</v>
      </c>
      <c r="W529" t="inlineStr"/>
      <c r="X529" s="28">
        <f>IF(L529+M529=0,"",L529+M529)</f>
        <v/>
      </c>
      <c r="Y529" s="38">
        <f>IF(L529=0,"",M529/L529)</f>
        <v/>
      </c>
      <c r="Z529" t="inlineStr">
        <is>
          <t>CIO - Top Investment Executive</t>
        </is>
      </c>
      <c r="AA529" t="inlineStr">
        <is>
          <t>Leadership</t>
        </is>
      </c>
      <c r="AB529" s="50" t="inlineStr">
        <is>
          <t>Y</t>
        </is>
      </c>
      <c r="AC529" s="43">
        <f>HYPERLINK("https://projects.propublica.org/nonprofits/organizations/300889914/202503119349302995/full","view filing")</f>
        <v/>
      </c>
      <c r="AD529" s="50" t="inlineStr">
        <is>
          <t>Y</t>
        </is>
      </c>
    </row>
    <row r="530">
      <c r="A530" t="inlineStr">
        <is>
          <t>Inatai Foundation</t>
        </is>
      </c>
      <c r="B530" s="50" t="inlineStr">
        <is>
          <t>WA</t>
        </is>
      </c>
      <c r="C530" s="52" t="n">
        <v>2.35</v>
      </c>
      <c r="D530" t="inlineStr">
        <is>
          <t>Foundation</t>
        </is>
      </c>
      <c r="E530" s="50" t="n">
        <v>2023</v>
      </c>
      <c r="F530" s="50" t="inlineStr">
        <is>
          <t>2024-11-13</t>
        </is>
      </c>
      <c r="G530" s="50" t="inlineStr">
        <is>
          <t>2023-12-31</t>
        </is>
      </c>
      <c r="H530" t="inlineStr">
        <is>
          <t>Charlotte Zhang</t>
        </is>
      </c>
      <c r="I530" t="inlineStr">
        <is>
          <t>SENIOR PORTFOLIO MANAGER</t>
        </is>
      </c>
      <c r="J530" t="inlineStr">
        <is>
          <t>Senior Portfolio Manager</t>
        </is>
      </c>
      <c r="K530" t="inlineStr">
        <is>
          <t>Sr Investment Professional</t>
        </is>
      </c>
      <c r="L530" s="28" t="n">
        <v>269350</v>
      </c>
      <c r="M530" s="28" t="n">
        <v>66667</v>
      </c>
      <c r="N530" s="28" t="n">
        <v>752</v>
      </c>
      <c r="O530" s="28" t="n">
        <v>33752</v>
      </c>
      <c r="P530" s="28" t="n">
        <v>9827</v>
      </c>
      <c r="Q530" s="28" t="n">
        <v>380348</v>
      </c>
      <c r="R530" s="28" t="n">
        <v>0</v>
      </c>
      <c r="S530" s="28">
        <f>Q530-R530</f>
        <v/>
      </c>
      <c r="T530" s="28">
        <f>IF(S530="","",S530*(1+in_GrowthRate)^(YEARFRAC(DATE(2023,12,31),in_AgeToDate)*IF(in_AgeToDate&lt;DATE(2023,12,31),-1,1)+1))</f>
        <v/>
      </c>
      <c r="U530" s="50">
        <f>IF(AND(AND(OR(in_Mode="All Funds",AND(C530&gt;=in_BandFloor,C530&lt;=in_BandCeiling,OR(in_Geography="National",COUNTIFS(lst_GeoPreset,in_Geography,lst_GeoState,B530)&gt;0,AND(in_Geography="Custom",ISNUMBER(SEARCH(B530,SUBSTITUTE(in_CustomStates," ",""))))),OR(AND(D530="Endowment",Inputs!$B$14="Y"),AND(D530="Foundation",Inputs!$B$15="Y"),AND(D530="Healthcare",Inputs!$B$16="Y"),AND(D530="Pension",Inputs!$B$17="Y"),AND(D530="OCIO",Inputs!$B$18="Y"),AND(D530="Other",Inputs!$B$19="Y")))),A530&lt;&gt;in_ClientOrg,NOT(AND(in_ExclHarvard="Y",ISNUMBER(SEARCH("Harvard",A530))))),$AD530="Y",K530&lt;&gt;"",S530&gt;0),"Y","")</f>
        <v/>
      </c>
      <c r="V530" s="30" t="n">
        <v>0.6249751471044939</v>
      </c>
      <c r="W530" t="inlineStr"/>
      <c r="X530" s="28">
        <f>IF(L530+M530=0,"",L530+M530)</f>
        <v/>
      </c>
      <c r="Y530" s="38">
        <f>IF(L530=0,"",M530/L530)</f>
        <v/>
      </c>
      <c r="Z530" t="inlineStr">
        <is>
          <t>Other investment staff</t>
        </is>
      </c>
      <c r="AA530" t="inlineStr">
        <is>
          <t>Investments</t>
        </is>
      </c>
      <c r="AB530" s="50" t="inlineStr"/>
      <c r="AC530" s="43">
        <f>HYPERLINK("https://projects.propublica.org/nonprofits/organizations/300889914/202443189349307024/full","view filing")</f>
        <v/>
      </c>
      <c r="AD530" s="50" t="inlineStr"/>
    </row>
    <row r="531">
      <c r="A531" t="inlineStr">
        <is>
          <t>Inatai Foundation</t>
        </is>
      </c>
      <c r="B531" s="50" t="inlineStr">
        <is>
          <t>WA</t>
        </is>
      </c>
      <c r="C531" s="52" t="n">
        <v>2.35</v>
      </c>
      <c r="D531" t="inlineStr">
        <is>
          <t>Foundation</t>
        </is>
      </c>
      <c r="E531" s="50" t="n">
        <v>2023</v>
      </c>
      <c r="F531" s="50" t="inlineStr">
        <is>
          <t>2024-11-13</t>
        </is>
      </c>
      <c r="G531" s="50" t="inlineStr">
        <is>
          <t>2023-12-31</t>
        </is>
      </c>
      <c r="H531" t="inlineStr">
        <is>
          <t>Dawn Wilson</t>
        </is>
      </c>
      <c r="I531" t="inlineStr">
        <is>
          <t>INVESTMENT OPERATIONS DIRECTOR</t>
        </is>
      </c>
      <c r="J531" t="inlineStr">
        <is>
          <t>Head of Inv Ops (Inv Entity)</t>
        </is>
      </c>
      <c r="K531" t="inlineStr">
        <is>
          <t>COO (Investment Office)</t>
        </is>
      </c>
      <c r="L531" s="28" t="n">
        <v>244791</v>
      </c>
      <c r="M531" s="28" t="n">
        <v>151667</v>
      </c>
      <c r="N531" s="28" t="n">
        <v>7336</v>
      </c>
      <c r="O531" s="28" t="n">
        <v>37025</v>
      </c>
      <c r="P531" s="28" t="n">
        <v>14973</v>
      </c>
      <c r="Q531" s="28" t="n">
        <v>455792</v>
      </c>
      <c r="R531" s="28" t="n">
        <v>0</v>
      </c>
      <c r="S531" s="28">
        <f>Q531-R531</f>
        <v/>
      </c>
      <c r="T531" s="28">
        <f>IF(S531="","",S531*(1+in_GrowthRate)^(YEARFRAC(DATE(2023,12,31),in_AgeToDate)*IF(in_AgeToDate&lt;DATE(2023,12,31),-1,1)+1))</f>
        <v/>
      </c>
      <c r="U531" s="50">
        <f>IF(AND(AND(OR(in_Mode="All Funds",AND(C531&gt;=in_BandFloor,C531&lt;=in_BandCeiling,OR(in_Geography="National",COUNTIFS(lst_GeoPreset,in_Geography,lst_GeoState,B531)&gt;0,AND(in_Geography="Custom",ISNUMBER(SEARCH(B531,SUBSTITUTE(in_CustomStates," ",""))))),OR(AND(D531="Endowment",Inputs!$B$14="Y"),AND(D531="Foundation",Inputs!$B$15="Y"),AND(D531="Healthcare",Inputs!$B$16="Y"),AND(D531="Pension",Inputs!$B$17="Y"),AND(D531="OCIO",Inputs!$B$18="Y"),AND(D531="Other",Inputs!$B$19="Y")))),A531&lt;&gt;in_ClientOrg,NOT(AND(in_ExclHarvard="Y",ISNUMBER(SEARCH("Harvard",A531))))),$AD531="Y",K531&lt;&gt;"",S531&gt;0),"Y","")</f>
        <v/>
      </c>
      <c r="V531" s="30" t="n">
        <v>0.7489422114722609</v>
      </c>
      <c r="W531" t="inlineStr"/>
      <c r="X531" s="28">
        <f>IF(L531+M531=0,"",L531+M531)</f>
        <v/>
      </c>
      <c r="Y531" s="38">
        <f>IF(L531=0,"",M531/L531)</f>
        <v/>
      </c>
      <c r="Z531" t="inlineStr">
        <is>
          <t>COO (Investment Office)</t>
        </is>
      </c>
      <c r="AA531" t="inlineStr">
        <is>
          <t>Operations &amp; Control</t>
        </is>
      </c>
      <c r="AB531" s="50" t="inlineStr"/>
      <c r="AC531" s="43">
        <f>HYPERLINK("https://projects.propublica.org/nonprofits/organizations/300889914/202443189349307024/full","view filing")</f>
        <v/>
      </c>
      <c r="AD531" s="50" t="inlineStr"/>
    </row>
    <row r="532">
      <c r="A532" t="inlineStr">
        <is>
          <t>Inatai Foundation</t>
        </is>
      </c>
      <c r="B532" s="50" t="inlineStr">
        <is>
          <t>WA</t>
        </is>
      </c>
      <c r="C532" s="52" t="n">
        <v>2.35</v>
      </c>
      <c r="D532" t="inlineStr">
        <is>
          <t>Foundation</t>
        </is>
      </c>
      <c r="E532" s="50" t="n">
        <v>2023</v>
      </c>
      <c r="F532" s="50" t="inlineStr">
        <is>
          <t>2024-11-13</t>
        </is>
      </c>
      <c r="G532" s="50" t="inlineStr">
        <is>
          <t>2023-12-31</t>
        </is>
      </c>
      <c r="H532" t="inlineStr">
        <is>
          <t>Peng Wang</t>
        </is>
      </c>
      <c r="I532" t="inlineStr">
        <is>
          <t>CHIEF INVESTMENT OFFICER</t>
        </is>
      </c>
      <c r="J532" t="inlineStr">
        <is>
          <t>CIO</t>
        </is>
      </c>
      <c r="K532" t="inlineStr">
        <is>
          <t>CIO - Top Investment Executive</t>
        </is>
      </c>
      <c r="L532" s="28" t="n">
        <v>502776</v>
      </c>
      <c r="M532" s="28" t="n">
        <v>13764</v>
      </c>
      <c r="N532" s="28" t="n">
        <v>19356</v>
      </c>
      <c r="O532" s="28" t="n">
        <v>52356</v>
      </c>
      <c r="P532" s="28" t="n">
        <v>20329</v>
      </c>
      <c r="Q532" s="28" t="n">
        <v>608581</v>
      </c>
      <c r="R532" s="28" t="n">
        <v>0</v>
      </c>
      <c r="S532" s="28">
        <f>Q532-R532</f>
        <v/>
      </c>
      <c r="T532" s="28">
        <f>IF(S532="","",S532*(1+in_GrowthRate)^(YEARFRAC(DATE(2023,12,31),in_AgeToDate)*IF(in_AgeToDate&lt;DATE(2023,12,31),-1,1)+1))</f>
        <v/>
      </c>
      <c r="U532" s="50">
        <f>IF(AND(AND(OR(in_Mode="All Funds",AND(C532&gt;=in_BandFloor,C532&lt;=in_BandCeiling,OR(in_Geography="National",COUNTIFS(lst_GeoPreset,in_Geography,lst_GeoState,B532)&gt;0,AND(in_Geography="Custom",ISNUMBER(SEARCH(B532,SUBSTITUTE(in_CustomStates," ",""))))),OR(AND(D532="Endowment",Inputs!$B$14="Y"),AND(D532="Foundation",Inputs!$B$15="Y"),AND(D532="Healthcare",Inputs!$B$16="Y"),AND(D532="Pension",Inputs!$B$17="Y"),AND(D532="OCIO",Inputs!$B$18="Y"),AND(D532="Other",Inputs!$B$19="Y")))),A532&lt;&gt;in_ClientOrg,NOT(AND(in_ExclHarvard="Y",ISNUMBER(SEARCH("Harvard",A532))))),$AD532="Y",K532&lt;&gt;"",S532&gt;0),"Y","")</f>
        <v/>
      </c>
      <c r="V532" s="30" t="n">
        <v>1</v>
      </c>
      <c r="W532" t="inlineStr"/>
      <c r="X532" s="28">
        <f>IF(L532+M532=0,"",L532+M532)</f>
        <v/>
      </c>
      <c r="Y532" s="38">
        <f>IF(L532=0,"",M532/L532)</f>
        <v/>
      </c>
      <c r="Z532" t="inlineStr">
        <is>
          <t>CIO - Top Investment Executive</t>
        </is>
      </c>
      <c r="AA532" t="inlineStr">
        <is>
          <t>Leadership</t>
        </is>
      </c>
      <c r="AB532" s="50" t="inlineStr">
        <is>
          <t>Y</t>
        </is>
      </c>
      <c r="AC532" s="43">
        <f>HYPERLINK("https://projects.propublica.org/nonprofits/organizations/300889914/202443189349307024/full","view filing")</f>
        <v/>
      </c>
      <c r="AD532" s="50" t="inlineStr"/>
    </row>
    <row r="533">
      <c r="A533" t="inlineStr">
        <is>
          <t>Inatai Foundation</t>
        </is>
      </c>
      <c r="B533" s="50" t="inlineStr">
        <is>
          <t>WA</t>
        </is>
      </c>
      <c r="C533" s="52" t="n">
        <v>2.35</v>
      </c>
      <c r="D533" t="inlineStr">
        <is>
          <t>Foundation</t>
        </is>
      </c>
      <c r="E533" s="50" t="n">
        <v>2022</v>
      </c>
      <c r="F533" s="50" t="inlineStr">
        <is>
          <t>2023-11-14</t>
        </is>
      </c>
      <c r="G533" s="50" t="inlineStr">
        <is>
          <t>2022-12-31</t>
        </is>
      </c>
      <c r="H533" t="inlineStr">
        <is>
          <t>Charlotte Zhang</t>
        </is>
      </c>
      <c r="I533" t="inlineStr">
        <is>
          <t>PORTFOLIO MANAGER</t>
        </is>
      </c>
      <c r="J533" t="inlineStr">
        <is>
          <t>Portfolio Manager</t>
        </is>
      </c>
      <c r="K533" t="inlineStr">
        <is>
          <t>Sr Investment Professional</t>
        </is>
      </c>
      <c r="L533" s="28" t="n">
        <v>249443</v>
      </c>
      <c r="M533" s="28" t="n">
        <v>100000</v>
      </c>
      <c r="N533" s="28" t="n">
        <v>4544</v>
      </c>
      <c r="O533" s="28" t="n">
        <v>30500</v>
      </c>
      <c r="P533" s="28" t="n">
        <v>9443</v>
      </c>
      <c r="Q533" s="28" t="n">
        <v>393930</v>
      </c>
      <c r="R533" s="28" t="n">
        <v>0</v>
      </c>
      <c r="S533" s="28">
        <f>Q533-R533</f>
        <v/>
      </c>
      <c r="T533" s="28">
        <f>IF(S533="","",S533*(1+in_GrowthRate)^(YEARFRAC(DATE(2022,12,31),in_AgeToDate)*IF(in_AgeToDate&lt;DATE(2022,12,31),-1,1)+1))</f>
        <v/>
      </c>
      <c r="U533" s="50">
        <f>IF(AND(AND(OR(in_Mode="All Funds",AND(C533&gt;=in_BandFloor,C533&lt;=in_BandCeiling,OR(in_Geography="National",COUNTIFS(lst_GeoPreset,in_Geography,lst_GeoState,B533)&gt;0,AND(in_Geography="Custom",ISNUMBER(SEARCH(B533,SUBSTITUTE(in_CustomStates," ",""))))),OR(AND(D533="Endowment",Inputs!$B$14="Y"),AND(D533="Foundation",Inputs!$B$15="Y"),AND(D533="Healthcare",Inputs!$B$16="Y"),AND(D533="Pension",Inputs!$B$17="Y"),AND(D533="OCIO",Inputs!$B$18="Y"),AND(D533="Other",Inputs!$B$19="Y")))),A533&lt;&gt;in_ClientOrg,NOT(AND(in_ExclHarvard="Y",ISNUMBER(SEARCH("Harvard",A533))))),$AD533="Y",K533&lt;&gt;"",S533&gt;0),"Y","")</f>
        <v/>
      </c>
      <c r="V533" s="30" t="n">
        <v>0.5174587995449756</v>
      </c>
      <c r="W533" t="inlineStr"/>
      <c r="X533" s="28">
        <f>IF(L533+M533=0,"",L533+M533)</f>
        <v/>
      </c>
      <c r="Y533" s="38">
        <f>IF(L533=0,"",M533/L533)</f>
        <v/>
      </c>
      <c r="Z533" t="inlineStr">
        <is>
          <t>Other investment staff</t>
        </is>
      </c>
      <c r="AA533" t="inlineStr">
        <is>
          <t>Investments</t>
        </is>
      </c>
      <c r="AB533" s="50" t="inlineStr"/>
      <c r="AC533" s="43">
        <f>HYPERLINK("https://projects.propublica.org/nonprofits/organizations/300889914/202313189349305281/full","view filing")</f>
        <v/>
      </c>
      <c r="AD533" s="50" t="inlineStr"/>
    </row>
    <row r="534">
      <c r="A534" t="inlineStr">
        <is>
          <t>Inatai Foundation</t>
        </is>
      </c>
      <c r="B534" s="50" t="inlineStr">
        <is>
          <t>WA</t>
        </is>
      </c>
      <c r="C534" s="52" t="n">
        <v>2.35</v>
      </c>
      <c r="D534" t="inlineStr">
        <is>
          <t>Foundation</t>
        </is>
      </c>
      <c r="E534" s="50" t="n">
        <v>2022</v>
      </c>
      <c r="F534" s="50" t="inlineStr">
        <is>
          <t>2023-11-14</t>
        </is>
      </c>
      <c r="G534" s="50" t="inlineStr">
        <is>
          <t>2022-12-31</t>
        </is>
      </c>
      <c r="H534" t="inlineStr">
        <is>
          <t>Dawn Wilson</t>
        </is>
      </c>
      <c r="I534" t="inlineStr">
        <is>
          <t>INVESTMENT OPERATIONS DIRECTOR</t>
        </is>
      </c>
      <c r="J534" t="inlineStr">
        <is>
          <t>Head of Inv Ops (Inv Entity)</t>
        </is>
      </c>
      <c r="K534" t="inlineStr">
        <is>
          <t>COO (Investment Office)</t>
        </is>
      </c>
      <c r="L534" s="28" t="n">
        <v>258037</v>
      </c>
      <c r="M534" s="28" t="n">
        <v>140000</v>
      </c>
      <c r="N534" s="28" t="n">
        <v>10012</v>
      </c>
      <c r="O534" s="28" t="n">
        <v>30168</v>
      </c>
      <c r="P534" s="28" t="n">
        <v>14646</v>
      </c>
      <c r="Q534" s="28" t="n">
        <v>452863</v>
      </c>
      <c r="R534" s="28" t="n">
        <v>0</v>
      </c>
      <c r="S534" s="28">
        <f>Q534-R534</f>
        <v/>
      </c>
      <c r="T534" s="28">
        <f>IF(S534="","",S534*(1+in_GrowthRate)^(YEARFRAC(DATE(2022,12,31),in_AgeToDate)*IF(in_AgeToDate&lt;DATE(2022,12,31),-1,1)+1))</f>
        <v/>
      </c>
      <c r="U534" s="50">
        <f>IF(AND(AND(OR(in_Mode="All Funds",AND(C534&gt;=in_BandFloor,C534&lt;=in_BandCeiling,OR(in_Geography="National",COUNTIFS(lst_GeoPreset,in_Geography,lst_GeoState,B534)&gt;0,AND(in_Geography="Custom",ISNUMBER(SEARCH(B534,SUBSTITUTE(in_CustomStates," ",""))))),OR(AND(D534="Endowment",Inputs!$B$14="Y"),AND(D534="Foundation",Inputs!$B$15="Y"),AND(D534="Healthcare",Inputs!$B$16="Y"),AND(D534="Pension",Inputs!$B$17="Y"),AND(D534="OCIO",Inputs!$B$18="Y"),AND(D534="Other",Inputs!$B$19="Y")))),A534&lt;&gt;in_ClientOrg,NOT(AND(in_ExclHarvard="Y",ISNUMBER(SEARCH("Harvard",A534))))),$AD534="Y",K534&lt;&gt;"",S534&gt;0),"Y","")</f>
        <v/>
      </c>
      <c r="V534" s="30" t="n">
        <v>0.5948720441152904</v>
      </c>
      <c r="W534" t="inlineStr"/>
      <c r="X534" s="28">
        <f>IF(L534+M534=0,"",L534+M534)</f>
        <v/>
      </c>
      <c r="Y534" s="38">
        <f>IF(L534=0,"",M534/L534)</f>
        <v/>
      </c>
      <c r="Z534" t="inlineStr">
        <is>
          <t>COO (Investment Office)</t>
        </is>
      </c>
      <c r="AA534" t="inlineStr">
        <is>
          <t>Operations &amp; Control</t>
        </is>
      </c>
      <c r="AB534" s="50" t="inlineStr"/>
      <c r="AC534" s="43">
        <f>HYPERLINK("https://projects.propublica.org/nonprofits/organizations/300889914/202313189349305281/full","view filing")</f>
        <v/>
      </c>
      <c r="AD534" s="50" t="inlineStr"/>
    </row>
    <row r="535">
      <c r="A535" t="inlineStr">
        <is>
          <t>Inatai Foundation</t>
        </is>
      </c>
      <c r="B535" s="50" t="inlineStr">
        <is>
          <t>WA</t>
        </is>
      </c>
      <c r="C535" s="52" t="n">
        <v>2.35</v>
      </c>
      <c r="D535" t="inlineStr">
        <is>
          <t>Foundation</t>
        </is>
      </c>
      <c r="E535" s="50" t="n">
        <v>2022</v>
      </c>
      <c r="F535" s="50" t="inlineStr">
        <is>
          <t>2023-11-14</t>
        </is>
      </c>
      <c r="G535" s="50" t="inlineStr">
        <is>
          <t>2022-12-31</t>
        </is>
      </c>
      <c r="H535" t="inlineStr">
        <is>
          <t>Peng Wang</t>
        </is>
      </c>
      <c r="I535" t="inlineStr">
        <is>
          <t>CHIEF INVESTMENT OFFICER (FROM 12/22)</t>
        </is>
      </c>
      <c r="J535" t="inlineStr">
        <is>
          <t>CIO</t>
        </is>
      </c>
      <c r="K535" t="inlineStr">
        <is>
          <t>CIO - Top Investment Executive</t>
        </is>
      </c>
      <c r="L535" s="28" t="n">
        <v>370888</v>
      </c>
      <c r="M535" s="28" t="n">
        <v>320000</v>
      </c>
      <c r="N535" s="28" t="n">
        <v>20500</v>
      </c>
      <c r="O535" s="28" t="n">
        <v>30500</v>
      </c>
      <c r="P535" s="28" t="n">
        <v>19390</v>
      </c>
      <c r="Q535" s="28" t="n">
        <v>761278</v>
      </c>
      <c r="R535" s="28" t="n">
        <v>0</v>
      </c>
      <c r="S535" s="28">
        <f>Q535-R535</f>
        <v/>
      </c>
      <c r="T535" s="28">
        <f>IF(S535="","",S535*(1+in_GrowthRate)^(YEARFRAC(DATE(2022,12,31),in_AgeToDate)*IF(in_AgeToDate&lt;DATE(2022,12,31),-1,1)+1))</f>
        <v/>
      </c>
      <c r="U535" s="50">
        <f>IF(AND(AND(OR(in_Mode="All Funds",AND(C535&gt;=in_BandFloor,C535&lt;=in_BandCeiling,OR(in_Geography="National",COUNTIFS(lst_GeoPreset,in_Geography,lst_GeoState,B535)&gt;0,AND(in_Geography="Custom",ISNUMBER(SEARCH(B535,SUBSTITUTE(in_CustomStates," ",""))))),OR(AND(D535="Endowment",Inputs!$B$14="Y"),AND(D535="Foundation",Inputs!$B$15="Y"),AND(D535="Healthcare",Inputs!$B$16="Y"),AND(D535="Pension",Inputs!$B$17="Y"),AND(D535="OCIO",Inputs!$B$18="Y"),AND(D535="Other",Inputs!$B$19="Y")))),A535&lt;&gt;in_ClientOrg,NOT(AND(in_ExclHarvard="Y",ISNUMBER(SEARCH("Harvard",A535))))),$AD535="Y",K535&lt;&gt;"",S535&gt;0),"Y","")</f>
        <v/>
      </c>
      <c r="V535" s="30" t="n">
        <v>1</v>
      </c>
      <c r="W535" t="inlineStr"/>
      <c r="X535" s="28">
        <f>IF(L535+M535=0,"",L535+M535)</f>
        <v/>
      </c>
      <c r="Y535" s="38">
        <f>IF(L535=0,"",M535/L535)</f>
        <v/>
      </c>
      <c r="Z535" t="inlineStr">
        <is>
          <t>CIO - Top Investment Executive</t>
        </is>
      </c>
      <c r="AA535" t="inlineStr">
        <is>
          <t>Leadership</t>
        </is>
      </c>
      <c r="AB535" s="50" t="inlineStr">
        <is>
          <t>Y</t>
        </is>
      </c>
      <c r="AC535" s="43">
        <f>HYPERLINK("https://projects.propublica.org/nonprofits/organizations/300889914/202313189349305281/full","view filing")</f>
        <v/>
      </c>
      <c r="AD535" s="50" t="inlineStr"/>
    </row>
    <row r="536">
      <c r="A536" t="inlineStr">
        <is>
          <t>Indiana University Foundation</t>
        </is>
      </c>
      <c r="B536" s="50" t="inlineStr">
        <is>
          <t>IN</t>
        </is>
      </c>
      <c r="C536" s="52" t="n">
        <v>4.05</v>
      </c>
      <c r="D536" t="inlineStr">
        <is>
          <t>Endowment</t>
        </is>
      </c>
      <c r="E536" s="50" t="n">
        <v>2025</v>
      </c>
      <c r="F536" s="50" t="inlineStr">
        <is>
          <t>2026-05-12</t>
        </is>
      </c>
      <c r="G536" s="50" t="inlineStr">
        <is>
          <t>2025-06-30</t>
        </is>
      </c>
      <c r="H536" t="inlineStr">
        <is>
          <t>D Abe Weldy</t>
        </is>
      </c>
      <c r="I536" t="inlineStr">
        <is>
          <t>Co-CIO</t>
        </is>
      </c>
      <c r="J536" t="inlineStr">
        <is>
          <t>Co-CIO</t>
        </is>
      </c>
      <c r="K536" t="inlineStr">
        <is>
          <t>CIO - Top Investment Executive</t>
        </is>
      </c>
      <c r="L536" s="28" t="n">
        <v>331440</v>
      </c>
      <c r="M536" s="28" t="n">
        <v>103125</v>
      </c>
      <c r="N536" s="28" t="n">
        <v>6181</v>
      </c>
      <c r="O536" s="28" t="n">
        <v>43320</v>
      </c>
      <c r="P536" s="28" t="n">
        <v>42720</v>
      </c>
      <c r="Q536" s="28" t="n">
        <v>526786</v>
      </c>
      <c r="R536" s="28" t="n">
        <v>0</v>
      </c>
      <c r="S536" s="28">
        <f>Q536-R536</f>
        <v/>
      </c>
      <c r="T536" s="28">
        <f>IF(S536="","",S536*(1+in_GrowthRate)^(YEARFRAC(DATE(2025,6,30),in_AgeToDate)*IF(in_AgeToDate&lt;DATE(2025,6,30),-1,1)+1))</f>
        <v/>
      </c>
      <c r="U536" s="50">
        <f>IF(AND(AND(OR(in_Mode="All Funds",AND(C536&gt;=in_BandFloor,C536&lt;=in_BandCeiling,OR(in_Geography="National",COUNTIFS(lst_GeoPreset,in_Geography,lst_GeoState,B536)&gt;0,AND(in_Geography="Custom",ISNUMBER(SEARCH(B536,SUBSTITUTE(in_CustomStates," ",""))))),OR(AND(D536="Endowment",Inputs!$B$14="Y"),AND(D536="Foundation",Inputs!$B$15="Y"),AND(D536="Healthcare",Inputs!$B$16="Y"),AND(D536="Pension",Inputs!$B$17="Y"),AND(D536="OCIO",Inputs!$B$18="Y"),AND(D536="Other",Inputs!$B$19="Y")))),A536&lt;&gt;in_ClientOrg,NOT(AND(in_ExclHarvard="Y",ISNUMBER(SEARCH("Harvard",A536))))),$AD536="Y",K536&lt;&gt;"",S536&gt;0),"Y","")</f>
        <v/>
      </c>
      <c r="V536" s="30" t="n">
        <v>1</v>
      </c>
      <c r="W536" t="inlineStr"/>
      <c r="X536" s="28">
        <f>IF(L536+M536=0,"",L536+M536)</f>
        <v/>
      </c>
      <c r="Y536" s="38">
        <f>IF(L536=0,"",M536/L536)</f>
        <v/>
      </c>
      <c r="Z536" t="inlineStr">
        <is>
          <t>CIO - Top Investment Executive</t>
        </is>
      </c>
      <c r="AA536" t="inlineStr">
        <is>
          <t>Leadership</t>
        </is>
      </c>
      <c r="AB536" s="50" t="inlineStr">
        <is>
          <t>Y</t>
        </is>
      </c>
      <c r="AC536" s="43">
        <f>HYPERLINK("https://projects.propublica.org/nonprofits/organizations/356018940/202611329349300021/full","view filing")</f>
        <v/>
      </c>
      <c r="AD536" s="50" t="inlineStr">
        <is>
          <t>Y</t>
        </is>
      </c>
    </row>
    <row r="537">
      <c r="A537" t="inlineStr">
        <is>
          <t>Indiana University Foundation</t>
        </is>
      </c>
      <c r="B537" s="50" t="inlineStr">
        <is>
          <t>IN</t>
        </is>
      </c>
      <c r="C537" s="52" t="n">
        <v>4.05</v>
      </c>
      <c r="D537" t="inlineStr">
        <is>
          <t>Endowment</t>
        </is>
      </c>
      <c r="E537" s="50" t="n">
        <v>2025</v>
      </c>
      <c r="F537" s="50" t="inlineStr">
        <is>
          <t>2026-05-12</t>
        </is>
      </c>
      <c r="G537" s="50" t="inlineStr">
        <is>
          <t>2025-06-30</t>
        </is>
      </c>
      <c r="H537" t="inlineStr">
        <is>
          <t>James Bergstrom</t>
        </is>
      </c>
      <c r="I537" t="inlineStr">
        <is>
          <t>Co-CIO</t>
        </is>
      </c>
      <c r="J537" t="inlineStr">
        <is>
          <t>Co-CIO</t>
        </is>
      </c>
      <c r="K537" t="inlineStr">
        <is>
          <t>CIO - Top Investment Executive</t>
        </is>
      </c>
      <c r="L537" s="28" t="n">
        <v>331996</v>
      </c>
      <c r="M537" s="28" t="n">
        <v>103125</v>
      </c>
      <c r="N537" s="28" t="n">
        <v>865</v>
      </c>
      <c r="O537" s="28" t="n">
        <v>43320</v>
      </c>
      <c r="P537" s="28" t="n">
        <v>42164</v>
      </c>
      <c r="Q537" s="28" t="n">
        <v>521470</v>
      </c>
      <c r="R537" s="28" t="n">
        <v>0</v>
      </c>
      <c r="S537" s="28">
        <f>Q537-R537</f>
        <v/>
      </c>
      <c r="T537" s="28">
        <f>IF(S537="","",S537*(1+in_GrowthRate)^(YEARFRAC(DATE(2025,6,30),in_AgeToDate)*IF(in_AgeToDate&lt;DATE(2025,6,30),-1,1)+1))</f>
        <v/>
      </c>
      <c r="U537" s="50">
        <f>IF(AND(AND(OR(in_Mode="All Funds",AND(C537&gt;=in_BandFloor,C537&lt;=in_BandCeiling,OR(in_Geography="National",COUNTIFS(lst_GeoPreset,in_Geography,lst_GeoState,B537)&gt;0,AND(in_Geography="Custom",ISNUMBER(SEARCH(B537,SUBSTITUTE(in_CustomStates," ",""))))),OR(AND(D537="Endowment",Inputs!$B$14="Y"),AND(D537="Foundation",Inputs!$B$15="Y"),AND(D537="Healthcare",Inputs!$B$16="Y"),AND(D537="Pension",Inputs!$B$17="Y"),AND(D537="OCIO",Inputs!$B$18="Y"),AND(D537="Other",Inputs!$B$19="Y")))),A537&lt;&gt;in_ClientOrg,NOT(AND(in_ExclHarvard="Y",ISNUMBER(SEARCH("Harvard",A537))))),$AD537="Y",K537&lt;&gt;"",S537&gt;0),"Y","")</f>
        <v/>
      </c>
      <c r="V537" s="30" t="n">
        <v>0.9899086156427848</v>
      </c>
      <c r="W537" t="inlineStr"/>
      <c r="X537" s="28">
        <f>IF(L537+M537=0,"",L537+M537)</f>
        <v/>
      </c>
      <c r="Y537" s="38">
        <f>IF(L537=0,"",M537/L537)</f>
        <v/>
      </c>
      <c r="Z537" t="inlineStr">
        <is>
          <t>CIO - Top Investment Executive</t>
        </is>
      </c>
      <c r="AA537" t="inlineStr">
        <is>
          <t>Leadership</t>
        </is>
      </c>
      <c r="AB537" s="50" t="inlineStr">
        <is>
          <t>Y</t>
        </is>
      </c>
      <c r="AC537" s="43">
        <f>HYPERLINK("https://projects.propublica.org/nonprofits/organizations/356018940/202611329349300021/full","view filing")</f>
        <v/>
      </c>
      <c r="AD537" s="50" t="inlineStr">
        <is>
          <t>Y</t>
        </is>
      </c>
    </row>
    <row r="538">
      <c r="A538" t="inlineStr">
        <is>
          <t>Indiana University Foundation</t>
        </is>
      </c>
      <c r="B538" s="50" t="inlineStr">
        <is>
          <t>IN</t>
        </is>
      </c>
      <c r="C538" s="52" t="n">
        <v>4.05</v>
      </c>
      <c r="D538" t="inlineStr">
        <is>
          <t>Endowment</t>
        </is>
      </c>
      <c r="E538" s="50" t="n">
        <v>2024</v>
      </c>
      <c r="F538" s="50" t="inlineStr">
        <is>
          <t>2025-04-29</t>
        </is>
      </c>
      <c r="G538" s="50" t="inlineStr">
        <is>
          <t>2024-06-30</t>
        </is>
      </c>
      <c r="H538" t="inlineStr">
        <is>
          <t>D Abe Weldy</t>
        </is>
      </c>
      <c r="I538" t="inlineStr">
        <is>
          <t>Co-CIO</t>
        </is>
      </c>
      <c r="J538" t="inlineStr">
        <is>
          <t>Co-CIO</t>
        </is>
      </c>
      <c r="K538" t="inlineStr">
        <is>
          <t>CIO - Top Investment Executive</t>
        </is>
      </c>
      <c r="L538" s="28" t="n">
        <v>315931</v>
      </c>
      <c r="M538" s="28" t="n">
        <v>413646</v>
      </c>
      <c r="N538" s="28" t="n">
        <v>6759</v>
      </c>
      <c r="O538" s="28" t="n">
        <v>41490</v>
      </c>
      <c r="P538" s="28" t="n">
        <v>40375</v>
      </c>
      <c r="Q538" s="28" t="n">
        <v>818201</v>
      </c>
      <c r="R538" s="28" t="n">
        <v>0</v>
      </c>
      <c r="S538" s="28">
        <f>Q538-R538</f>
        <v/>
      </c>
      <c r="T538" s="28">
        <f>IF(S538="","",S538*(1+in_GrowthRate)^(YEARFRAC(DATE(2024,6,30),in_AgeToDate)*IF(in_AgeToDate&lt;DATE(2024,6,30),-1,1)+1))</f>
        <v/>
      </c>
      <c r="U538" s="50">
        <f>IF(AND(AND(OR(in_Mode="All Funds",AND(C538&gt;=in_BandFloor,C538&lt;=in_BandCeiling,OR(in_Geography="National",COUNTIFS(lst_GeoPreset,in_Geography,lst_GeoState,B538)&gt;0,AND(in_Geography="Custom",ISNUMBER(SEARCH(B538,SUBSTITUTE(in_CustomStates," ",""))))),OR(AND(D538="Endowment",Inputs!$B$14="Y"),AND(D538="Foundation",Inputs!$B$15="Y"),AND(D538="Healthcare",Inputs!$B$16="Y"),AND(D538="Pension",Inputs!$B$17="Y"),AND(D538="OCIO",Inputs!$B$18="Y"),AND(D538="Other",Inputs!$B$19="Y")))),A538&lt;&gt;in_ClientOrg,NOT(AND(in_ExclHarvard="Y",ISNUMBER(SEARCH("Harvard",A538))))),$AD538="Y",K538&lt;&gt;"",S538&gt;0),"Y","")</f>
        <v/>
      </c>
      <c r="V538" s="30" t="n">
        <v>1</v>
      </c>
      <c r="W538" t="inlineStr"/>
      <c r="X538" s="28">
        <f>IF(L538+M538=0,"",L538+M538)</f>
        <v/>
      </c>
      <c r="Y538" s="38">
        <f>IF(L538=0,"",M538/L538)</f>
        <v/>
      </c>
      <c r="Z538" t="inlineStr">
        <is>
          <t>CIO - Top Investment Executive</t>
        </is>
      </c>
      <c r="AA538" t="inlineStr">
        <is>
          <t>Leadership</t>
        </is>
      </c>
      <c r="AB538" s="50" t="inlineStr">
        <is>
          <t>Y</t>
        </is>
      </c>
      <c r="AC538" s="43">
        <f>HYPERLINK("https://projects.propublica.org/nonprofits/organizations/356018940/202531199349300633/full","view filing")</f>
        <v/>
      </c>
      <c r="AD538" s="50" t="inlineStr"/>
    </row>
    <row r="539">
      <c r="A539" t="inlineStr">
        <is>
          <t>Indiana University Foundation</t>
        </is>
      </c>
      <c r="B539" s="50" t="inlineStr">
        <is>
          <t>IN</t>
        </is>
      </c>
      <c r="C539" s="52" t="n">
        <v>4.05</v>
      </c>
      <c r="D539" t="inlineStr">
        <is>
          <t>Endowment</t>
        </is>
      </c>
      <c r="E539" s="50" t="n">
        <v>2024</v>
      </c>
      <c r="F539" s="50" t="inlineStr">
        <is>
          <t>2025-04-29</t>
        </is>
      </c>
      <c r="G539" s="50" t="inlineStr">
        <is>
          <t>2024-06-30</t>
        </is>
      </c>
      <c r="H539" t="inlineStr">
        <is>
          <t>James Bergstrom</t>
        </is>
      </c>
      <c r="I539" t="inlineStr">
        <is>
          <t>Co-CIO</t>
        </is>
      </c>
      <c r="J539" t="inlineStr">
        <is>
          <t>Co-CIO</t>
        </is>
      </c>
      <c r="K539" t="inlineStr">
        <is>
          <t>CIO - Top Investment Executive</t>
        </is>
      </c>
      <c r="L539" s="28" t="n">
        <v>317140</v>
      </c>
      <c r="M539" s="28" t="n">
        <v>413646</v>
      </c>
      <c r="N539" s="28" t="n">
        <v>1293</v>
      </c>
      <c r="O539" s="28" t="n">
        <v>41490</v>
      </c>
      <c r="P539" s="28" t="n">
        <v>42644</v>
      </c>
      <c r="Q539" s="28" t="n">
        <v>816213</v>
      </c>
      <c r="R539" s="28" t="n">
        <v>0</v>
      </c>
      <c r="S539" s="28">
        <f>Q539-R539</f>
        <v/>
      </c>
      <c r="T539" s="28">
        <f>IF(S539="","",S539*(1+in_GrowthRate)^(YEARFRAC(DATE(2024,6,30),in_AgeToDate)*IF(in_AgeToDate&lt;DATE(2024,6,30),-1,1)+1))</f>
        <v/>
      </c>
      <c r="U539" s="50">
        <f>IF(AND(AND(OR(in_Mode="All Funds",AND(C539&gt;=in_BandFloor,C539&lt;=in_BandCeiling,OR(in_Geography="National",COUNTIFS(lst_GeoPreset,in_Geography,lst_GeoState,B539)&gt;0,AND(in_Geography="Custom",ISNUMBER(SEARCH(B539,SUBSTITUTE(in_CustomStates," ",""))))),OR(AND(D539="Endowment",Inputs!$B$14="Y"),AND(D539="Foundation",Inputs!$B$15="Y"),AND(D539="Healthcare",Inputs!$B$16="Y"),AND(D539="Pension",Inputs!$B$17="Y"),AND(D539="OCIO",Inputs!$B$18="Y"),AND(D539="Other",Inputs!$B$19="Y")))),A539&lt;&gt;in_ClientOrg,NOT(AND(in_ExclHarvard="Y",ISNUMBER(SEARCH("Harvard",A539))))),$AD539="Y",K539&lt;&gt;"",S539&gt;0),"Y","")</f>
        <v/>
      </c>
      <c r="V539" s="30" t="n">
        <v>0.9975702791856769</v>
      </c>
      <c r="W539" t="inlineStr"/>
      <c r="X539" s="28">
        <f>IF(L539+M539=0,"",L539+M539)</f>
        <v/>
      </c>
      <c r="Y539" s="38">
        <f>IF(L539=0,"",M539/L539)</f>
        <v/>
      </c>
      <c r="Z539" t="inlineStr">
        <is>
          <t>CIO - Top Investment Executive</t>
        </is>
      </c>
      <c r="AA539" t="inlineStr">
        <is>
          <t>Leadership</t>
        </is>
      </c>
      <c r="AB539" s="50" t="inlineStr">
        <is>
          <t>Y</t>
        </is>
      </c>
      <c r="AC539" s="43">
        <f>HYPERLINK("https://projects.propublica.org/nonprofits/organizations/356018940/202531199349300633/full","view filing")</f>
        <v/>
      </c>
      <c r="AD539" s="50" t="inlineStr"/>
    </row>
    <row r="540">
      <c r="A540" t="inlineStr">
        <is>
          <t>Indiana University Foundation</t>
        </is>
      </c>
      <c r="B540" s="50" t="inlineStr">
        <is>
          <t>IN</t>
        </is>
      </c>
      <c r="C540" s="52" t="n">
        <v>4.05</v>
      </c>
      <c r="D540" t="inlineStr">
        <is>
          <t>Endowment</t>
        </is>
      </c>
      <c r="E540" s="50" t="n">
        <v>2024</v>
      </c>
      <c r="F540" s="50" t="inlineStr">
        <is>
          <t>2025-04-29</t>
        </is>
      </c>
      <c r="G540" s="50" t="inlineStr">
        <is>
          <t>2024-06-30</t>
        </is>
      </c>
      <c r="H540" t="inlineStr">
        <is>
          <t>Scott Ryan</t>
        </is>
      </c>
      <c r="I540" t="inlineStr">
        <is>
          <t>Director of Investments</t>
        </is>
      </c>
      <c r="J540" t="inlineStr">
        <is>
          <t>Director of Investments</t>
        </is>
      </c>
      <c r="K540" t="inlineStr">
        <is>
          <t>Sr Investment Professional</t>
        </is>
      </c>
      <c r="L540" s="28" t="n">
        <v>165600</v>
      </c>
      <c r="M540" s="28" t="n">
        <v>247208</v>
      </c>
      <c r="N540" s="28" t="n">
        <v>0</v>
      </c>
      <c r="O540" s="28" t="n">
        <v>41490</v>
      </c>
      <c r="P540" s="28" t="n">
        <v>47915</v>
      </c>
      <c r="Q540" s="28" t="n">
        <v>502213</v>
      </c>
      <c r="R540" s="28" t="n">
        <v>0</v>
      </c>
      <c r="S540" s="28">
        <f>Q540-R540</f>
        <v/>
      </c>
      <c r="T540" s="28">
        <f>IF(S540="","",S540*(1+in_GrowthRate)^(YEARFRAC(DATE(2024,6,30),in_AgeToDate)*IF(in_AgeToDate&lt;DATE(2024,6,30),-1,1)+1))</f>
        <v/>
      </c>
      <c r="U540" s="50">
        <f>IF(AND(AND(OR(in_Mode="All Funds",AND(C540&gt;=in_BandFloor,C540&lt;=in_BandCeiling,OR(in_Geography="National",COUNTIFS(lst_GeoPreset,in_Geography,lst_GeoState,B540)&gt;0,AND(in_Geography="Custom",ISNUMBER(SEARCH(B540,SUBSTITUTE(in_CustomStates," ",""))))),OR(AND(D540="Endowment",Inputs!$B$14="Y"),AND(D540="Foundation",Inputs!$B$15="Y"),AND(D540="Healthcare",Inputs!$B$16="Y"),AND(D540="Pension",Inputs!$B$17="Y"),AND(D540="OCIO",Inputs!$B$18="Y"),AND(D540="Other",Inputs!$B$19="Y")))),A540&lt;&gt;in_ClientOrg,NOT(AND(in_ExclHarvard="Y",ISNUMBER(SEARCH("Harvard",A540))))),$AD540="Y",K540&lt;&gt;"",S540&gt;0),"Y","")</f>
        <v/>
      </c>
      <c r="V540" s="30" t="n">
        <v>0.6138014986537538</v>
      </c>
      <c r="W540" t="inlineStr"/>
      <c r="X540" s="28">
        <f>IF(L540+M540=0,"",L540+M540)</f>
        <v/>
      </c>
      <c r="Y540" s="38">
        <f>IF(L540=0,"",M540/L540)</f>
        <v/>
      </c>
      <c r="Z540" t="inlineStr">
        <is>
          <t>Director &amp; Investment Officer</t>
        </is>
      </c>
      <c r="AA540" t="inlineStr">
        <is>
          <t>Investments</t>
        </is>
      </c>
      <c r="AB540" s="50" t="inlineStr"/>
      <c r="AC540" s="43">
        <f>HYPERLINK("https://projects.propublica.org/nonprofits/organizations/356018940/202531199349300633/full","view filing")</f>
        <v/>
      </c>
      <c r="AD540" s="50" t="inlineStr"/>
    </row>
    <row r="541">
      <c r="A541" t="inlineStr">
        <is>
          <t>Indiana University Foundation</t>
        </is>
      </c>
      <c r="B541" s="50" t="inlineStr">
        <is>
          <t>IN</t>
        </is>
      </c>
      <c r="C541" s="52" t="n">
        <v>4.05</v>
      </c>
      <c r="D541" t="inlineStr">
        <is>
          <t>Endowment</t>
        </is>
      </c>
      <c r="E541" s="50" t="n">
        <v>2023</v>
      </c>
      <c r="F541" s="50" t="inlineStr">
        <is>
          <t>2024-05-13</t>
        </is>
      </c>
      <c r="G541" s="50" t="inlineStr">
        <is>
          <t>2023-06-30</t>
        </is>
      </c>
      <c r="H541" t="inlineStr">
        <is>
          <t>D Abe Weldy</t>
        </is>
      </c>
      <c r="I541" t="inlineStr">
        <is>
          <t>Co-CIO</t>
        </is>
      </c>
      <c r="J541" t="inlineStr">
        <is>
          <t>Co-CIO</t>
        </is>
      </c>
      <c r="K541" t="inlineStr">
        <is>
          <t>CIO - Top Investment Executive</t>
        </is>
      </c>
      <c r="L541" s="28" t="n">
        <v>292400</v>
      </c>
      <c r="M541" s="28" t="n">
        <v>450521</v>
      </c>
      <c r="N541" s="28" t="n">
        <v>950</v>
      </c>
      <c r="O541" s="28" t="n">
        <v>38400</v>
      </c>
      <c r="P541" s="28" t="n">
        <v>30002</v>
      </c>
      <c r="Q541" s="28" t="n">
        <v>812273</v>
      </c>
      <c r="R541" s="28" t="n">
        <v>0</v>
      </c>
      <c r="S541" s="28">
        <f>Q541-R541</f>
        <v/>
      </c>
      <c r="T541" s="28">
        <f>IF(S541="","",S541*(1+in_GrowthRate)^(YEARFRAC(DATE(2023,6,30),in_AgeToDate)*IF(in_AgeToDate&lt;DATE(2023,6,30),-1,1)+1))</f>
        <v/>
      </c>
      <c r="U541" s="50">
        <f>IF(AND(AND(OR(in_Mode="All Funds",AND(C541&gt;=in_BandFloor,C541&lt;=in_BandCeiling,OR(in_Geography="National",COUNTIFS(lst_GeoPreset,in_Geography,lst_GeoState,B541)&gt;0,AND(in_Geography="Custom",ISNUMBER(SEARCH(B541,SUBSTITUTE(in_CustomStates," ",""))))),OR(AND(D541="Endowment",Inputs!$B$14="Y"),AND(D541="Foundation",Inputs!$B$15="Y"),AND(D541="Healthcare",Inputs!$B$16="Y"),AND(D541="Pension",Inputs!$B$17="Y"),AND(D541="OCIO",Inputs!$B$18="Y"),AND(D541="Other",Inputs!$B$19="Y")))),A541&lt;&gt;in_ClientOrg,NOT(AND(in_ExclHarvard="Y",ISNUMBER(SEARCH("Harvard",A541))))),$AD541="Y",K541&lt;&gt;"",S541&gt;0),"Y","")</f>
        <v/>
      </c>
      <c r="V541" s="30" t="n">
        <v>0.9938541238425246</v>
      </c>
      <c r="W541" t="inlineStr"/>
      <c r="X541" s="28">
        <f>IF(L541+M541=0,"",L541+M541)</f>
        <v/>
      </c>
      <c r="Y541" s="38">
        <f>IF(L541=0,"",M541/L541)</f>
        <v/>
      </c>
      <c r="Z541" t="inlineStr">
        <is>
          <t>CIO - Top Investment Executive</t>
        </is>
      </c>
      <c r="AA541" t="inlineStr">
        <is>
          <t>Leadership</t>
        </is>
      </c>
      <c r="AB541" s="50" t="inlineStr">
        <is>
          <t>Y</t>
        </is>
      </c>
      <c r="AC541" s="43">
        <f>HYPERLINK("https://projects.propublica.org/nonprofits/organizations/356018940/202431349349308023/full","view filing")</f>
        <v/>
      </c>
      <c r="AD541" s="50" t="inlineStr"/>
    </row>
    <row r="542">
      <c r="A542" t="inlineStr">
        <is>
          <t>Indiana University Foundation</t>
        </is>
      </c>
      <c r="B542" s="50" t="inlineStr">
        <is>
          <t>IN</t>
        </is>
      </c>
      <c r="C542" s="52" t="n">
        <v>4.05</v>
      </c>
      <c r="D542" t="inlineStr">
        <is>
          <t>Endowment</t>
        </is>
      </c>
      <c r="E542" s="50" t="n">
        <v>2023</v>
      </c>
      <c r="F542" s="50" t="inlineStr">
        <is>
          <t>2024-05-13</t>
        </is>
      </c>
      <c r="G542" s="50" t="inlineStr">
        <is>
          <t>2023-06-30</t>
        </is>
      </c>
      <c r="H542" t="inlineStr">
        <is>
          <t>James Bergstrom</t>
        </is>
      </c>
      <c r="I542" t="inlineStr">
        <is>
          <t>Co-CIO</t>
        </is>
      </c>
      <c r="J542" t="inlineStr">
        <is>
          <t>Co-CIO</t>
        </is>
      </c>
      <c r="K542" t="inlineStr">
        <is>
          <t>CIO - Top Investment Executive</t>
        </is>
      </c>
      <c r="L542" s="28" t="n">
        <v>293258</v>
      </c>
      <c r="M542" s="28" t="n">
        <v>450521</v>
      </c>
      <c r="N542" s="28" t="n">
        <v>665</v>
      </c>
      <c r="O542" s="28" t="n">
        <v>38400</v>
      </c>
      <c r="P542" s="28" t="n">
        <v>34452</v>
      </c>
      <c r="Q542" s="28" t="n">
        <v>817296</v>
      </c>
      <c r="R542" s="28" t="n">
        <v>0</v>
      </c>
      <c r="S542" s="28">
        <f>Q542-R542</f>
        <v/>
      </c>
      <c r="T542" s="28">
        <f>IF(S542="","",S542*(1+in_GrowthRate)^(YEARFRAC(DATE(2023,6,30),in_AgeToDate)*IF(in_AgeToDate&lt;DATE(2023,6,30),-1,1)+1))</f>
        <v/>
      </c>
      <c r="U542" s="50">
        <f>IF(AND(AND(OR(in_Mode="All Funds",AND(C542&gt;=in_BandFloor,C542&lt;=in_BandCeiling,OR(in_Geography="National",COUNTIFS(lst_GeoPreset,in_Geography,lst_GeoState,B542)&gt;0,AND(in_Geography="Custom",ISNUMBER(SEARCH(B542,SUBSTITUTE(in_CustomStates," ",""))))),OR(AND(D542="Endowment",Inputs!$B$14="Y"),AND(D542="Foundation",Inputs!$B$15="Y"),AND(D542="Healthcare",Inputs!$B$16="Y"),AND(D542="Pension",Inputs!$B$17="Y"),AND(D542="OCIO",Inputs!$B$18="Y"),AND(D542="Other",Inputs!$B$19="Y")))),A542&lt;&gt;in_ClientOrg,NOT(AND(in_ExclHarvard="Y",ISNUMBER(SEARCH("Harvard",A542))))),$AD542="Y",K542&lt;&gt;"",S542&gt;0),"Y","")</f>
        <v/>
      </c>
      <c r="V542" s="30" t="n">
        <v>1</v>
      </c>
      <c r="W542" t="inlineStr"/>
      <c r="X542" s="28">
        <f>IF(L542+M542=0,"",L542+M542)</f>
        <v/>
      </c>
      <c r="Y542" s="38">
        <f>IF(L542=0,"",M542/L542)</f>
        <v/>
      </c>
      <c r="Z542" t="inlineStr">
        <is>
          <t>CIO - Top Investment Executive</t>
        </is>
      </c>
      <c r="AA542" t="inlineStr">
        <is>
          <t>Leadership</t>
        </is>
      </c>
      <c r="AB542" s="50" t="inlineStr">
        <is>
          <t>Y</t>
        </is>
      </c>
      <c r="AC542" s="43">
        <f>HYPERLINK("https://projects.propublica.org/nonprofits/organizations/356018940/202431349349308023/full","view filing")</f>
        <v/>
      </c>
      <c r="AD542" s="50" t="inlineStr"/>
    </row>
    <row r="543">
      <c r="A543" t="inlineStr">
        <is>
          <t>Indiana University Foundation</t>
        </is>
      </c>
      <c r="B543" s="50" t="inlineStr">
        <is>
          <t>IN</t>
        </is>
      </c>
      <c r="C543" s="52" t="n">
        <v>4.05</v>
      </c>
      <c r="D543" t="inlineStr">
        <is>
          <t>Endowment</t>
        </is>
      </c>
      <c r="E543" s="50" t="n">
        <v>2023</v>
      </c>
      <c r="F543" s="50" t="inlineStr">
        <is>
          <t>2024-05-13</t>
        </is>
      </c>
      <c r="G543" s="50" t="inlineStr">
        <is>
          <t>2023-06-30</t>
        </is>
      </c>
      <c r="H543" t="inlineStr">
        <is>
          <t>Scott Ryan</t>
        </is>
      </c>
      <c r="I543" t="inlineStr">
        <is>
          <t>Director of Investments</t>
        </is>
      </c>
      <c r="J543" t="inlineStr">
        <is>
          <t>Director of Investments</t>
        </is>
      </c>
      <c r="K543" t="inlineStr">
        <is>
          <t>Sr Investment Professional</t>
        </is>
      </c>
      <c r="L543" s="28" t="n">
        <v>160500</v>
      </c>
      <c r="M543" s="28" t="n">
        <v>165000</v>
      </c>
      <c r="N543" s="28" t="n">
        <v>0</v>
      </c>
      <c r="O543" s="28" t="n">
        <v>38400</v>
      </c>
      <c r="P543" s="28" t="n">
        <v>40102</v>
      </c>
      <c r="Q543" s="28" t="n">
        <v>404002</v>
      </c>
      <c r="R543" s="28" t="n">
        <v>0</v>
      </c>
      <c r="S543" s="28">
        <f>Q543-R543</f>
        <v/>
      </c>
      <c r="T543" s="28">
        <f>IF(S543="","",S543*(1+in_GrowthRate)^(YEARFRAC(DATE(2023,6,30),in_AgeToDate)*IF(in_AgeToDate&lt;DATE(2023,6,30),-1,1)+1))</f>
        <v/>
      </c>
      <c r="U543" s="50">
        <f>IF(AND(AND(OR(in_Mode="All Funds",AND(C543&gt;=in_BandFloor,C543&lt;=in_BandCeiling,OR(in_Geography="National",COUNTIFS(lst_GeoPreset,in_Geography,lst_GeoState,B543)&gt;0,AND(in_Geography="Custom",ISNUMBER(SEARCH(B543,SUBSTITUTE(in_CustomStates," ",""))))),OR(AND(D543="Endowment",Inputs!$B$14="Y"),AND(D543="Foundation",Inputs!$B$15="Y"),AND(D543="Healthcare",Inputs!$B$16="Y"),AND(D543="Pension",Inputs!$B$17="Y"),AND(D543="OCIO",Inputs!$B$18="Y"),AND(D543="Other",Inputs!$B$19="Y")))),A543&lt;&gt;in_ClientOrg,NOT(AND(in_ExclHarvard="Y",ISNUMBER(SEARCH("Harvard",A543))))),$AD543="Y",K543&lt;&gt;"",S543&gt;0),"Y","")</f>
        <v/>
      </c>
      <c r="V543" s="30" t="n">
        <v>0.4943154010297371</v>
      </c>
      <c r="W543" t="inlineStr"/>
      <c r="X543" s="28">
        <f>IF(L543+M543=0,"",L543+M543)</f>
        <v/>
      </c>
      <c r="Y543" s="38">
        <f>IF(L543=0,"",M543/L543)</f>
        <v/>
      </c>
      <c r="Z543" t="inlineStr">
        <is>
          <t>Director &amp; Investment Officer</t>
        </is>
      </c>
      <c r="AA543" t="inlineStr">
        <is>
          <t>Investments</t>
        </is>
      </c>
      <c r="AB543" s="50" t="inlineStr"/>
      <c r="AC543" s="43">
        <f>HYPERLINK("https://projects.propublica.org/nonprofits/organizations/356018940/202431349349308023/full","view filing")</f>
        <v/>
      </c>
      <c r="AD543" s="50" t="inlineStr"/>
    </row>
    <row r="544">
      <c r="A544" t="inlineStr">
        <is>
          <t>Indiana University Foundation</t>
        </is>
      </c>
      <c r="B544" s="50" t="inlineStr">
        <is>
          <t>IN</t>
        </is>
      </c>
      <c r="C544" s="52" t="n">
        <v>4.05</v>
      </c>
      <c r="D544" t="inlineStr">
        <is>
          <t>Endowment</t>
        </is>
      </c>
      <c r="E544" s="50" t="n">
        <v>2022</v>
      </c>
      <c r="F544" s="50" t="inlineStr">
        <is>
          <t>2023-05-04</t>
        </is>
      </c>
      <c r="G544" s="50" t="inlineStr">
        <is>
          <t>2022-06-30</t>
        </is>
      </c>
      <c r="H544" t="inlineStr">
        <is>
          <t>D Abe Weldy</t>
        </is>
      </c>
      <c r="I544" t="inlineStr">
        <is>
          <t>CO-CIO</t>
        </is>
      </c>
      <c r="J544" t="inlineStr">
        <is>
          <t>Co-CIO</t>
        </is>
      </c>
      <c r="K544" t="inlineStr">
        <is>
          <t>CIO - Top Investment Executive</t>
        </is>
      </c>
      <c r="L544" s="28" t="n">
        <v>258856</v>
      </c>
      <c r="M544" s="28" t="n">
        <v>135109</v>
      </c>
      <c r="N544" s="28" t="n">
        <v>825</v>
      </c>
      <c r="O544" s="28" t="n">
        <v>36360</v>
      </c>
      <c r="P544" s="28" t="n">
        <v>40555</v>
      </c>
      <c r="Q544" s="28" t="n">
        <v>471705</v>
      </c>
      <c r="R544" s="28" t="n">
        <v>0</v>
      </c>
      <c r="S544" s="28">
        <f>Q544-R544</f>
        <v/>
      </c>
      <c r="T544" s="28">
        <f>IF(S544="","",S544*(1+in_GrowthRate)^(YEARFRAC(DATE(2022,6,30),in_AgeToDate)*IF(in_AgeToDate&lt;DATE(2022,6,30),-1,1)+1))</f>
        <v/>
      </c>
      <c r="U544" s="50">
        <f>IF(AND(AND(OR(in_Mode="All Funds",AND(C544&gt;=in_BandFloor,C544&lt;=in_BandCeiling,OR(in_Geography="National",COUNTIFS(lst_GeoPreset,in_Geography,lst_GeoState,B544)&gt;0,AND(in_Geography="Custom",ISNUMBER(SEARCH(B544,SUBSTITUTE(in_CustomStates," ",""))))),OR(AND(D544="Endowment",Inputs!$B$14="Y"),AND(D544="Foundation",Inputs!$B$15="Y"),AND(D544="Healthcare",Inputs!$B$16="Y"),AND(D544="Pension",Inputs!$B$17="Y"),AND(D544="OCIO",Inputs!$B$18="Y"),AND(D544="Other",Inputs!$B$19="Y")))),A544&lt;&gt;in_ClientOrg,NOT(AND(in_ExclHarvard="Y",ISNUMBER(SEARCH("Harvard",A544))))),$AD544="Y",K544&lt;&gt;"",S544&gt;0),"Y","")</f>
        <v/>
      </c>
      <c r="V544" s="30" t="n">
        <v>0.9883275086113695</v>
      </c>
      <c r="W544" t="inlineStr"/>
      <c r="X544" s="28">
        <f>IF(L544+M544=0,"",L544+M544)</f>
        <v/>
      </c>
      <c r="Y544" s="38">
        <f>IF(L544=0,"",M544/L544)</f>
        <v/>
      </c>
      <c r="Z544" t="inlineStr">
        <is>
          <t>CIO - Top Investment Executive</t>
        </is>
      </c>
      <c r="AA544" t="inlineStr">
        <is>
          <t>Leadership</t>
        </is>
      </c>
      <c r="AB544" s="50" t="inlineStr">
        <is>
          <t>Y</t>
        </is>
      </c>
      <c r="AC544" s="43">
        <f>HYPERLINK("https://projects.propublica.org/nonprofits/organizations/356018940/202331249349302338/full","view filing")</f>
        <v/>
      </c>
      <c r="AD544" s="50" t="inlineStr"/>
    </row>
    <row r="545">
      <c r="A545" t="inlineStr">
        <is>
          <t>Indiana University Foundation</t>
        </is>
      </c>
      <c r="B545" s="50" t="inlineStr">
        <is>
          <t>IN</t>
        </is>
      </c>
      <c r="C545" s="52" t="n">
        <v>4.05</v>
      </c>
      <c r="D545" t="inlineStr">
        <is>
          <t>Endowment</t>
        </is>
      </c>
      <c r="E545" s="50" t="n">
        <v>2022</v>
      </c>
      <c r="F545" s="50" t="inlineStr">
        <is>
          <t>2023-05-04</t>
        </is>
      </c>
      <c r="G545" s="50" t="inlineStr">
        <is>
          <t>2022-06-30</t>
        </is>
      </c>
      <c r="H545" t="inlineStr">
        <is>
          <t>James Bergstrom</t>
        </is>
      </c>
      <c r="I545" t="inlineStr">
        <is>
          <t>Co-CIO</t>
        </is>
      </c>
      <c r="J545" t="inlineStr">
        <is>
          <t>Co-CIO</t>
        </is>
      </c>
      <c r="K545" t="inlineStr">
        <is>
          <t>CIO - Top Investment Executive</t>
        </is>
      </c>
      <c r="L545" s="28" t="n">
        <v>258649</v>
      </c>
      <c r="M545" s="28" t="n">
        <v>135109</v>
      </c>
      <c r="N545" s="28" t="n">
        <v>665</v>
      </c>
      <c r="O545" s="28" t="n">
        <v>36360</v>
      </c>
      <c r="P545" s="28" t="n">
        <v>46493</v>
      </c>
      <c r="Q545" s="28" t="n">
        <v>477276</v>
      </c>
      <c r="R545" s="28" t="n">
        <v>0</v>
      </c>
      <c r="S545" s="28">
        <f>Q545-R545</f>
        <v/>
      </c>
      <c r="T545" s="28">
        <f>IF(S545="","",S545*(1+in_GrowthRate)^(YEARFRAC(DATE(2022,6,30),in_AgeToDate)*IF(in_AgeToDate&lt;DATE(2022,6,30),-1,1)+1))</f>
        <v/>
      </c>
      <c r="U545" s="50">
        <f>IF(AND(AND(OR(in_Mode="All Funds",AND(C545&gt;=in_BandFloor,C545&lt;=in_BandCeiling,OR(in_Geography="National",COUNTIFS(lst_GeoPreset,in_Geography,lst_GeoState,B545)&gt;0,AND(in_Geography="Custom",ISNUMBER(SEARCH(B545,SUBSTITUTE(in_CustomStates," ",""))))),OR(AND(D545="Endowment",Inputs!$B$14="Y"),AND(D545="Foundation",Inputs!$B$15="Y"),AND(D545="Healthcare",Inputs!$B$16="Y"),AND(D545="Pension",Inputs!$B$17="Y"),AND(D545="OCIO",Inputs!$B$18="Y"),AND(D545="Other",Inputs!$B$19="Y")))),A545&lt;&gt;in_ClientOrg,NOT(AND(in_ExclHarvard="Y",ISNUMBER(SEARCH("Harvard",A545))))),$AD545="Y",K545&lt;&gt;"",S545&gt;0),"Y","")</f>
        <v/>
      </c>
      <c r="V545" s="30" t="n">
        <v>1</v>
      </c>
      <c r="W545" t="inlineStr"/>
      <c r="X545" s="28">
        <f>IF(L545+M545=0,"",L545+M545)</f>
        <v/>
      </c>
      <c r="Y545" s="38">
        <f>IF(L545=0,"",M545/L545)</f>
        <v/>
      </c>
      <c r="Z545" t="inlineStr">
        <is>
          <t>CIO - Top Investment Executive</t>
        </is>
      </c>
      <c r="AA545" t="inlineStr">
        <is>
          <t>Leadership</t>
        </is>
      </c>
      <c r="AB545" s="50" t="inlineStr">
        <is>
          <t>Y</t>
        </is>
      </c>
      <c r="AC545" s="43">
        <f>HYPERLINK("https://projects.propublica.org/nonprofits/organizations/356018940/202331249349302338/full","view filing")</f>
        <v/>
      </c>
      <c r="AD545" s="50" t="inlineStr"/>
    </row>
    <row r="546">
      <c r="A546" t="inlineStr">
        <is>
          <t>Indiana University Foundation</t>
        </is>
      </c>
      <c r="B546" s="50" t="inlineStr">
        <is>
          <t>IN</t>
        </is>
      </c>
      <c r="C546" s="52" t="n">
        <v>4.05</v>
      </c>
      <c r="D546" t="inlineStr">
        <is>
          <t>Endowment</t>
        </is>
      </c>
      <c r="E546" s="50" t="n">
        <v>2022</v>
      </c>
      <c r="F546" s="50" t="inlineStr">
        <is>
          <t>2023-05-04</t>
        </is>
      </c>
      <c r="G546" s="50" t="inlineStr">
        <is>
          <t>2022-06-30</t>
        </is>
      </c>
      <c r="H546" t="inlineStr">
        <is>
          <t>Scott Ryan</t>
        </is>
      </c>
      <c r="I546" t="inlineStr">
        <is>
          <t>Director of Investments</t>
        </is>
      </c>
      <c r="J546" t="inlineStr">
        <is>
          <t>Director of Investments</t>
        </is>
      </c>
      <c r="K546" t="inlineStr">
        <is>
          <t>Sr Investment Professional</t>
        </is>
      </c>
      <c r="L546" s="28" t="n">
        <v>134952</v>
      </c>
      <c r="M546" s="28" t="n">
        <v>74533</v>
      </c>
      <c r="N546" s="28" t="n">
        <v>300</v>
      </c>
      <c r="O546" s="28" t="n">
        <v>26960</v>
      </c>
      <c r="P546" s="28" t="n">
        <v>54513</v>
      </c>
      <c r="Q546" s="28" t="n">
        <v>291258</v>
      </c>
      <c r="R546" s="28" t="n">
        <v>0</v>
      </c>
      <c r="S546" s="28">
        <f>Q546-R546</f>
        <v/>
      </c>
      <c r="T546" s="28">
        <f>IF(S546="","",S546*(1+in_GrowthRate)^(YEARFRAC(DATE(2022,6,30),in_AgeToDate)*IF(in_AgeToDate&lt;DATE(2022,6,30),-1,1)+1))</f>
        <v/>
      </c>
      <c r="U546" s="50">
        <f>IF(AND(AND(OR(in_Mode="All Funds",AND(C546&gt;=in_BandFloor,C546&lt;=in_BandCeiling,OR(in_Geography="National",COUNTIFS(lst_GeoPreset,in_Geography,lst_GeoState,B546)&gt;0,AND(in_Geography="Custom",ISNUMBER(SEARCH(B546,SUBSTITUTE(in_CustomStates," ",""))))),OR(AND(D546="Endowment",Inputs!$B$14="Y"),AND(D546="Foundation",Inputs!$B$15="Y"),AND(D546="Healthcare",Inputs!$B$16="Y"),AND(D546="Pension",Inputs!$B$17="Y"),AND(D546="OCIO",Inputs!$B$18="Y"),AND(D546="Other",Inputs!$B$19="Y")))),A546&lt;&gt;in_ClientOrg,NOT(AND(in_ExclHarvard="Y",ISNUMBER(SEARCH("Harvard",A546))))),$AD546="Y",K546&lt;&gt;"",S546&gt;0),"Y","")</f>
        <v/>
      </c>
      <c r="V546" s="30" t="n">
        <v>0.6102506725668166</v>
      </c>
      <c r="W546" t="inlineStr"/>
      <c r="X546" s="28">
        <f>IF(L546+M546=0,"",L546+M546)</f>
        <v/>
      </c>
      <c r="Y546" s="38">
        <f>IF(L546=0,"",M546/L546)</f>
        <v/>
      </c>
      <c r="Z546" t="inlineStr">
        <is>
          <t>Director &amp; Investment Officer</t>
        </is>
      </c>
      <c r="AA546" t="inlineStr">
        <is>
          <t>Investments</t>
        </is>
      </c>
      <c r="AB546" s="50" t="inlineStr"/>
      <c r="AC546" s="43">
        <f>HYPERLINK("https://projects.propublica.org/nonprofits/organizations/356018940/202331249349302338/full","view filing")</f>
        <v/>
      </c>
      <c r="AD546" s="50" t="inlineStr"/>
    </row>
    <row r="547">
      <c r="A547" t="inlineStr">
        <is>
          <t>Institute For Advanced Study</t>
        </is>
      </c>
      <c r="B547" s="50" t="inlineStr">
        <is>
          <t>NJ</t>
        </is>
      </c>
      <c r="C547" s="52" t="n">
        <v>1.27</v>
      </c>
      <c r="D547" t="inlineStr">
        <is>
          <t>Other</t>
        </is>
      </c>
      <c r="E547" s="50" t="n">
        <v>2025</v>
      </c>
      <c r="F547" s="50" t="inlineStr">
        <is>
          <t>2026-05-06</t>
        </is>
      </c>
      <c r="G547" s="50" t="inlineStr">
        <is>
          <t>2025-06-30</t>
        </is>
      </c>
      <c r="H547" t="inlineStr">
        <is>
          <t>Adam Solan</t>
        </is>
      </c>
      <c r="I547" t="inlineStr">
        <is>
          <t>INVESTMENT OFFICER</t>
        </is>
      </c>
      <c r="J547" t="inlineStr">
        <is>
          <t>Investment Officer</t>
        </is>
      </c>
      <c r="K547" t="inlineStr">
        <is>
          <t>Sr Investment Professional</t>
        </is>
      </c>
      <c r="L547" s="28" t="n">
        <v>475712</v>
      </c>
      <c r="M547" s="28" t="n">
        <v>0</v>
      </c>
      <c r="N547" s="28" t="n">
        <v>5853</v>
      </c>
      <c r="O547" s="28" t="n">
        <v>42477</v>
      </c>
      <c r="P547" s="28" t="n">
        <v>8737</v>
      </c>
      <c r="Q547" s="28" t="n">
        <v>532779</v>
      </c>
      <c r="R547" s="28" t="n">
        <v>0</v>
      </c>
      <c r="S547" s="28">
        <f>Q547-R547</f>
        <v/>
      </c>
      <c r="T547" s="28">
        <f>IF(S547="","",S547*(1+in_GrowthRate)^(YEARFRAC(DATE(2025,6,30),in_AgeToDate)*IF(in_AgeToDate&lt;DATE(2025,6,30),-1,1)+1))</f>
        <v/>
      </c>
      <c r="U547" s="50">
        <f>IF(AND(AND(OR(in_Mode="All Funds",AND(C547&gt;=in_BandFloor,C547&lt;=in_BandCeiling,OR(in_Geography="National",COUNTIFS(lst_GeoPreset,in_Geography,lst_GeoState,B547)&gt;0,AND(in_Geography="Custom",ISNUMBER(SEARCH(B547,SUBSTITUTE(in_CustomStates," ",""))))),OR(AND(D547="Endowment",Inputs!$B$14="Y"),AND(D547="Foundation",Inputs!$B$15="Y"),AND(D547="Healthcare",Inputs!$B$16="Y"),AND(D547="Pension",Inputs!$B$17="Y"),AND(D547="OCIO",Inputs!$B$18="Y"),AND(D547="Other",Inputs!$B$19="Y")))),A547&lt;&gt;in_ClientOrg,NOT(AND(in_ExclHarvard="Y",ISNUMBER(SEARCH("Harvard",A547))))),$AD547="Y",K547&lt;&gt;"",S547&gt;0),"Y","")</f>
        <v/>
      </c>
      <c r="V547" s="30" t="n">
        <v>0.6757304530794002</v>
      </c>
      <c r="W547" t="inlineStr"/>
      <c r="X547" s="28">
        <f>IF(L547+M547=0,"",L547+M547)</f>
        <v/>
      </c>
      <c r="Y547" s="38">
        <f>IF(L547=0,"",M547/L547)</f>
        <v/>
      </c>
      <c r="Z547" t="inlineStr">
        <is>
          <t>Director &amp; Investment Officer</t>
        </is>
      </c>
      <c r="AA547" t="inlineStr">
        <is>
          <t>Investments</t>
        </is>
      </c>
      <c r="AB547" s="50" t="inlineStr"/>
      <c r="AC547" s="43">
        <f>HYPERLINK("https://projects.propublica.org/nonprofits/organizations/210634988/202631269349301938/full","view filing")</f>
        <v/>
      </c>
      <c r="AD547" s="50" t="inlineStr">
        <is>
          <t>Y</t>
        </is>
      </c>
    </row>
    <row r="548">
      <c r="A548" t="inlineStr">
        <is>
          <t>Institute For Advanced Study</t>
        </is>
      </c>
      <c r="B548" s="50" t="inlineStr">
        <is>
          <t>NJ</t>
        </is>
      </c>
      <c r="C548" s="52" t="n">
        <v>1.27</v>
      </c>
      <c r="D548" t="inlineStr">
        <is>
          <t>Other</t>
        </is>
      </c>
      <c r="E548" s="50" t="n">
        <v>2025</v>
      </c>
      <c r="F548" s="50" t="inlineStr">
        <is>
          <t>2026-05-06</t>
        </is>
      </c>
      <c r="G548" s="50" t="inlineStr">
        <is>
          <t>2025-06-30</t>
        </is>
      </c>
      <c r="H548" t="inlineStr">
        <is>
          <t>Jeffrey Gatto</t>
        </is>
      </c>
      <c r="I548" t="inlineStr">
        <is>
          <t>CHIEF INVESTMENT OFFICER</t>
        </is>
      </c>
      <c r="J548" t="inlineStr">
        <is>
          <t>CIO</t>
        </is>
      </c>
      <c r="K548" t="inlineStr">
        <is>
          <t>CIO - Top Investment Executive</t>
        </is>
      </c>
      <c r="L548" s="28" t="n">
        <v>721063</v>
      </c>
      <c r="M548" s="28" t="n">
        <v>0</v>
      </c>
      <c r="N548" s="28" t="n">
        <v>6010</v>
      </c>
      <c r="O548" s="28" t="n">
        <v>42477</v>
      </c>
      <c r="P548" s="28" t="n">
        <v>18899</v>
      </c>
      <c r="Q548" s="28" t="n">
        <v>788449</v>
      </c>
      <c r="R548" s="28" t="n">
        <v>0</v>
      </c>
      <c r="S548" s="28">
        <f>Q548-R548</f>
        <v/>
      </c>
      <c r="T548" s="28">
        <f>IF(S548="","",S548*(1+in_GrowthRate)^(YEARFRAC(DATE(2025,6,30),in_AgeToDate)*IF(in_AgeToDate&lt;DATE(2025,6,30),-1,1)+1))</f>
        <v/>
      </c>
      <c r="U548" s="50">
        <f>IF(AND(AND(OR(in_Mode="All Funds",AND(C548&gt;=in_BandFloor,C548&lt;=in_BandCeiling,OR(in_Geography="National",COUNTIFS(lst_GeoPreset,in_Geography,lst_GeoState,B548)&gt;0,AND(in_Geography="Custom",ISNUMBER(SEARCH(B548,SUBSTITUTE(in_CustomStates," ",""))))),OR(AND(D548="Endowment",Inputs!$B$14="Y"),AND(D548="Foundation",Inputs!$B$15="Y"),AND(D548="Healthcare",Inputs!$B$16="Y"),AND(D548="Pension",Inputs!$B$17="Y"),AND(D548="OCIO",Inputs!$B$18="Y"),AND(D548="Other",Inputs!$B$19="Y")))),A548&lt;&gt;in_ClientOrg,NOT(AND(in_ExclHarvard="Y",ISNUMBER(SEARCH("Harvard",A548))))),$AD548="Y",K548&lt;&gt;"",S548&gt;0),"Y","")</f>
        <v/>
      </c>
      <c r="V548" s="30" t="n">
        <v>1</v>
      </c>
      <c r="W548" t="inlineStr"/>
      <c r="X548" s="28">
        <f>IF(L548+M548=0,"",L548+M548)</f>
        <v/>
      </c>
      <c r="Y548" s="38">
        <f>IF(L548=0,"",M548/L548)</f>
        <v/>
      </c>
      <c r="Z548" t="inlineStr">
        <is>
          <t>CIO - Top Investment Executive</t>
        </is>
      </c>
      <c r="AA548" t="inlineStr">
        <is>
          <t>Leadership</t>
        </is>
      </c>
      <c r="AB548" s="50" t="inlineStr">
        <is>
          <t>Y</t>
        </is>
      </c>
      <c r="AC548" s="43">
        <f>HYPERLINK("https://projects.propublica.org/nonprofits/organizations/210634988/202631269349301938/full","view filing")</f>
        <v/>
      </c>
      <c r="AD548" s="50" t="inlineStr">
        <is>
          <t>Y</t>
        </is>
      </c>
    </row>
    <row r="549">
      <c r="A549" t="inlineStr">
        <is>
          <t>Institute For Advanced Study</t>
        </is>
      </c>
      <c r="B549" s="50" t="inlineStr">
        <is>
          <t>NJ</t>
        </is>
      </c>
      <c r="C549" s="52" t="n">
        <v>1.27</v>
      </c>
      <c r="D549" t="inlineStr">
        <is>
          <t>Other</t>
        </is>
      </c>
      <c r="E549" s="50" t="n">
        <v>2024</v>
      </c>
      <c r="F549" s="50" t="inlineStr">
        <is>
          <t>2025-05-06</t>
        </is>
      </c>
      <c r="G549" s="50" t="inlineStr">
        <is>
          <t>2024-06-30</t>
        </is>
      </c>
      <c r="H549" t="inlineStr">
        <is>
          <t>Adam Solan</t>
        </is>
      </c>
      <c r="I549" t="inlineStr">
        <is>
          <t>INVESTMENT OFFICER</t>
        </is>
      </c>
      <c r="J549" t="inlineStr">
        <is>
          <t>Investment Officer</t>
        </is>
      </c>
      <c r="K549" t="inlineStr">
        <is>
          <t>Sr Investment Professional</t>
        </is>
      </c>
      <c r="L549" s="28" t="n">
        <v>452514</v>
      </c>
      <c r="M549" s="28" t="n">
        <v>0</v>
      </c>
      <c r="N549" s="28" t="n">
        <v>5696</v>
      </c>
      <c r="O549" s="28" t="n">
        <v>40689</v>
      </c>
      <c r="P549" s="28" t="n">
        <v>8692</v>
      </c>
      <c r="Q549" s="28" t="n">
        <v>507591</v>
      </c>
      <c r="R549" s="28" t="n">
        <v>0</v>
      </c>
      <c r="S549" s="28">
        <f>Q549-R549</f>
        <v/>
      </c>
      <c r="T549" s="28">
        <f>IF(S549="","",S549*(1+in_GrowthRate)^(YEARFRAC(DATE(2024,6,30),in_AgeToDate)*IF(in_AgeToDate&lt;DATE(2024,6,30),-1,1)+1))</f>
        <v/>
      </c>
      <c r="U549" s="50">
        <f>IF(AND(AND(OR(in_Mode="All Funds",AND(C549&gt;=in_BandFloor,C549&lt;=in_BandCeiling,OR(in_Geography="National",COUNTIFS(lst_GeoPreset,in_Geography,lst_GeoState,B549)&gt;0,AND(in_Geography="Custom",ISNUMBER(SEARCH(B549,SUBSTITUTE(in_CustomStates," ",""))))),OR(AND(D549="Endowment",Inputs!$B$14="Y"),AND(D549="Foundation",Inputs!$B$15="Y"),AND(D549="Healthcare",Inputs!$B$16="Y"),AND(D549="Pension",Inputs!$B$17="Y"),AND(D549="OCIO",Inputs!$B$18="Y"),AND(D549="Other",Inputs!$B$19="Y")))),A549&lt;&gt;in_ClientOrg,NOT(AND(in_ExclHarvard="Y",ISNUMBER(SEARCH("Harvard",A549))))),$AD549="Y",K549&lt;&gt;"",S549&gt;0),"Y","")</f>
        <v/>
      </c>
      <c r="V549" s="30" t="n">
        <v>0.6770931433099183</v>
      </c>
      <c r="W549" t="inlineStr"/>
      <c r="X549" s="28">
        <f>IF(L549+M549=0,"",L549+M549)</f>
        <v/>
      </c>
      <c r="Y549" s="38">
        <f>IF(L549=0,"",M549/L549)</f>
        <v/>
      </c>
      <c r="Z549" t="inlineStr">
        <is>
          <t>Director &amp; Investment Officer</t>
        </is>
      </c>
      <c r="AA549" t="inlineStr">
        <is>
          <t>Investments</t>
        </is>
      </c>
      <c r="AB549" s="50" t="inlineStr"/>
      <c r="AC549" s="43">
        <f>HYPERLINK("https://projects.propublica.org/nonprofits/organizations/210634988/202541269349300204/full","view filing")</f>
        <v/>
      </c>
      <c r="AD549" s="50" t="inlineStr"/>
    </row>
    <row r="550">
      <c r="A550" t="inlineStr">
        <is>
          <t>Institute For Advanced Study</t>
        </is>
      </c>
      <c r="B550" s="50" t="inlineStr">
        <is>
          <t>NJ</t>
        </is>
      </c>
      <c r="C550" s="52" t="n">
        <v>1.27</v>
      </c>
      <c r="D550" t="inlineStr">
        <is>
          <t>Other</t>
        </is>
      </c>
      <c r="E550" s="50" t="n">
        <v>2024</v>
      </c>
      <c r="F550" s="50" t="inlineStr">
        <is>
          <t>2025-05-06</t>
        </is>
      </c>
      <c r="G550" s="50" t="inlineStr">
        <is>
          <t>2024-06-30</t>
        </is>
      </c>
      <c r="H550" t="inlineStr">
        <is>
          <t>Jeffrey Gatto</t>
        </is>
      </c>
      <c r="I550" t="inlineStr">
        <is>
          <t>CHIEF INVESTMENT OFFICER</t>
        </is>
      </c>
      <c r="J550" t="inlineStr">
        <is>
          <t>CIO</t>
        </is>
      </c>
      <c r="K550" t="inlineStr">
        <is>
          <t>CIO - Top Investment Executive</t>
        </is>
      </c>
      <c r="L550" s="28" t="n">
        <v>684901</v>
      </c>
      <c r="M550" s="28" t="n">
        <v>0</v>
      </c>
      <c r="N550" s="28" t="n">
        <v>6446</v>
      </c>
      <c r="O550" s="28" t="n">
        <v>40689</v>
      </c>
      <c r="P550" s="28" t="n">
        <v>17626</v>
      </c>
      <c r="Q550" s="28" t="n">
        <v>749662</v>
      </c>
      <c r="R550" s="28" t="n">
        <v>0</v>
      </c>
      <c r="S550" s="28">
        <f>Q550-R550</f>
        <v/>
      </c>
      <c r="T550" s="28">
        <f>IF(S550="","",S550*(1+in_GrowthRate)^(YEARFRAC(DATE(2024,6,30),in_AgeToDate)*IF(in_AgeToDate&lt;DATE(2024,6,30),-1,1)+1))</f>
        <v/>
      </c>
      <c r="U550" s="50">
        <f>IF(AND(AND(OR(in_Mode="All Funds",AND(C550&gt;=in_BandFloor,C550&lt;=in_BandCeiling,OR(in_Geography="National",COUNTIFS(lst_GeoPreset,in_Geography,lst_GeoState,B550)&gt;0,AND(in_Geography="Custom",ISNUMBER(SEARCH(B550,SUBSTITUTE(in_CustomStates," ",""))))),OR(AND(D550="Endowment",Inputs!$B$14="Y"),AND(D550="Foundation",Inputs!$B$15="Y"),AND(D550="Healthcare",Inputs!$B$16="Y"),AND(D550="Pension",Inputs!$B$17="Y"),AND(D550="OCIO",Inputs!$B$18="Y"),AND(D550="Other",Inputs!$B$19="Y")))),A550&lt;&gt;in_ClientOrg,NOT(AND(in_ExclHarvard="Y",ISNUMBER(SEARCH("Harvard",A550))))),$AD550="Y",K550&lt;&gt;"",S550&gt;0),"Y","")</f>
        <v/>
      </c>
      <c r="V550" s="30" t="n">
        <v>1</v>
      </c>
      <c r="W550" t="inlineStr"/>
      <c r="X550" s="28">
        <f>IF(L550+M550=0,"",L550+M550)</f>
        <v/>
      </c>
      <c r="Y550" s="38">
        <f>IF(L550=0,"",M550/L550)</f>
        <v/>
      </c>
      <c r="Z550" t="inlineStr">
        <is>
          <t>CIO - Top Investment Executive</t>
        </is>
      </c>
      <c r="AA550" t="inlineStr">
        <is>
          <t>Leadership</t>
        </is>
      </c>
      <c r="AB550" s="50" t="inlineStr">
        <is>
          <t>Y</t>
        </is>
      </c>
      <c r="AC550" s="43">
        <f>HYPERLINK("https://projects.propublica.org/nonprofits/organizations/210634988/202541269349300204/full","view filing")</f>
        <v/>
      </c>
      <c r="AD550" s="50" t="inlineStr"/>
    </row>
    <row r="551">
      <c r="A551" t="inlineStr">
        <is>
          <t>Institute For Advanced Study</t>
        </is>
      </c>
      <c r="B551" s="50" t="inlineStr">
        <is>
          <t>NJ</t>
        </is>
      </c>
      <c r="C551" s="52" t="n">
        <v>1.27</v>
      </c>
      <c r="D551" t="inlineStr">
        <is>
          <t>Other</t>
        </is>
      </c>
      <c r="E551" s="50" t="n">
        <v>2023</v>
      </c>
      <c r="F551" s="50" t="inlineStr">
        <is>
          <t>2024-05-06</t>
        </is>
      </c>
      <c r="G551" s="50" t="inlineStr">
        <is>
          <t>2023-06-30</t>
        </is>
      </c>
      <c r="H551" t="inlineStr">
        <is>
          <t>Jeffrey Gatto</t>
        </is>
      </c>
      <c r="I551" t="inlineStr">
        <is>
          <t>CHIEF INVESTMENT OFFICER</t>
        </is>
      </c>
      <c r="J551" t="inlineStr">
        <is>
          <t>CIO</t>
        </is>
      </c>
      <c r="K551" t="inlineStr">
        <is>
          <t>CIO - Top Investment Executive</t>
        </is>
      </c>
      <c r="L551" s="28" t="n">
        <v>624651</v>
      </c>
      <c r="M551" s="28" t="n">
        <v>0</v>
      </c>
      <c r="N551" s="28" t="n">
        <v>5283</v>
      </c>
      <c r="O551" s="28" t="n">
        <v>37665</v>
      </c>
      <c r="P551" s="28" t="n">
        <v>15819</v>
      </c>
      <c r="Q551" s="28" t="n">
        <v>683418</v>
      </c>
      <c r="R551" s="28" t="n">
        <v>0</v>
      </c>
      <c r="S551" s="28">
        <f>Q551-R551</f>
        <v/>
      </c>
      <c r="T551" s="28">
        <f>IF(S551="","",S551*(1+in_GrowthRate)^(YEARFRAC(DATE(2023,6,30),in_AgeToDate)*IF(in_AgeToDate&lt;DATE(2023,6,30),-1,1)+1))</f>
        <v/>
      </c>
      <c r="U551" s="50">
        <f>IF(AND(AND(OR(in_Mode="All Funds",AND(C551&gt;=in_BandFloor,C551&lt;=in_BandCeiling,OR(in_Geography="National",COUNTIFS(lst_GeoPreset,in_Geography,lst_GeoState,B551)&gt;0,AND(in_Geography="Custom",ISNUMBER(SEARCH(B551,SUBSTITUTE(in_CustomStates," ",""))))),OR(AND(D551="Endowment",Inputs!$B$14="Y"),AND(D551="Foundation",Inputs!$B$15="Y"),AND(D551="Healthcare",Inputs!$B$16="Y"),AND(D551="Pension",Inputs!$B$17="Y"),AND(D551="OCIO",Inputs!$B$18="Y"),AND(D551="Other",Inputs!$B$19="Y")))),A551&lt;&gt;in_ClientOrg,NOT(AND(in_ExclHarvard="Y",ISNUMBER(SEARCH("Harvard",A551))))),$AD551="Y",K551&lt;&gt;"",S551&gt;0),"Y","")</f>
        <v/>
      </c>
      <c r="V551" s="30" t="n">
        <v>1</v>
      </c>
      <c r="W551" t="inlineStr"/>
      <c r="X551" s="28">
        <f>IF(L551+M551=0,"",L551+M551)</f>
        <v/>
      </c>
      <c r="Y551" s="38">
        <f>IF(L551=0,"",M551/L551)</f>
        <v/>
      </c>
      <c r="Z551" t="inlineStr">
        <is>
          <t>CIO - Top Investment Executive</t>
        </is>
      </c>
      <c r="AA551" t="inlineStr">
        <is>
          <t>Leadership</t>
        </is>
      </c>
      <c r="AB551" s="50" t="inlineStr">
        <is>
          <t>Y</t>
        </is>
      </c>
      <c r="AC551" s="43">
        <f>HYPERLINK("https://projects.propublica.org/nonprofits/organizations/210634988/202401279349303070/full","view filing")</f>
        <v/>
      </c>
      <c r="AD551" s="50" t="inlineStr"/>
    </row>
    <row r="552">
      <c r="A552" t="inlineStr">
        <is>
          <t>Institute For Advanced Study</t>
        </is>
      </c>
      <c r="B552" s="50" t="inlineStr">
        <is>
          <t>NJ</t>
        </is>
      </c>
      <c r="C552" s="52" t="n">
        <v>1.27</v>
      </c>
      <c r="D552" t="inlineStr">
        <is>
          <t>Other</t>
        </is>
      </c>
      <c r="E552" s="50" t="n">
        <v>2022</v>
      </c>
      <c r="F552" s="50" t="inlineStr">
        <is>
          <t>2023-05-10</t>
        </is>
      </c>
      <c r="G552" s="50" t="inlineStr">
        <is>
          <t>2022-06-30</t>
        </is>
      </c>
      <c r="H552" t="inlineStr">
        <is>
          <t>Adam Solan</t>
        </is>
      </c>
      <c r="I552" t="inlineStr">
        <is>
          <t>INVESTMENT OFFICER</t>
        </is>
      </c>
      <c r="J552" t="inlineStr">
        <is>
          <t>Investment Officer</t>
        </is>
      </c>
      <c r="K552" t="inlineStr">
        <is>
          <t>Sr Investment Professional</t>
        </is>
      </c>
      <c r="L552" s="28" t="n">
        <v>293000</v>
      </c>
      <c r="M552" s="28" t="n">
        <v>176625</v>
      </c>
      <c r="N552" s="28" t="n">
        <v>5437</v>
      </c>
      <c r="O552" s="28" t="n">
        <v>35646</v>
      </c>
      <c r="P552" s="28" t="n">
        <v>5863</v>
      </c>
      <c r="Q552" s="28" t="n">
        <v>516571</v>
      </c>
      <c r="R552" s="28" t="n">
        <v>0</v>
      </c>
      <c r="S552" s="28">
        <f>Q552-R552</f>
        <v/>
      </c>
      <c r="T552" s="28">
        <f>IF(S552="","",S552*(1+in_GrowthRate)^(YEARFRAC(DATE(2022,6,30),in_AgeToDate)*IF(in_AgeToDate&lt;DATE(2022,6,30),-1,1)+1))</f>
        <v/>
      </c>
      <c r="U552" s="50">
        <f>IF(AND(AND(OR(in_Mode="All Funds",AND(C552&gt;=in_BandFloor,C552&lt;=in_BandCeiling,OR(in_Geography="National",COUNTIFS(lst_GeoPreset,in_Geography,lst_GeoState,B552)&gt;0,AND(in_Geography="Custom",ISNUMBER(SEARCH(B552,SUBSTITUTE(in_CustomStates," ",""))))),OR(AND(D552="Endowment",Inputs!$B$14="Y"),AND(D552="Foundation",Inputs!$B$15="Y"),AND(D552="Healthcare",Inputs!$B$16="Y"),AND(D552="Pension",Inputs!$B$17="Y"),AND(D552="OCIO",Inputs!$B$18="Y"),AND(D552="Other",Inputs!$B$19="Y")))),A552&lt;&gt;in_ClientOrg,NOT(AND(in_ExclHarvard="Y",ISNUMBER(SEARCH("Harvard",A552))))),$AD552="Y",K552&lt;&gt;"",S552&gt;0),"Y","")</f>
        <v/>
      </c>
      <c r="V552" s="30" t="n">
        <v>0.6076555249057469</v>
      </c>
      <c r="W552" t="inlineStr"/>
      <c r="X552" s="28">
        <f>IF(L552+M552=0,"",L552+M552)</f>
        <v/>
      </c>
      <c r="Y552" s="38">
        <f>IF(L552=0,"",M552/L552)</f>
        <v/>
      </c>
      <c r="Z552" t="inlineStr">
        <is>
          <t>Director &amp; Investment Officer</t>
        </is>
      </c>
      <c r="AA552" t="inlineStr">
        <is>
          <t>Investments</t>
        </is>
      </c>
      <c r="AB552" s="50" t="inlineStr"/>
      <c r="AC552" s="43">
        <f>HYPERLINK("https://projects.propublica.org/nonprofits/organizations/210634988/202331309349302973/full","view filing")</f>
        <v/>
      </c>
      <c r="AD552" s="50" t="inlineStr"/>
    </row>
    <row r="553">
      <c r="A553" t="inlineStr">
        <is>
          <t>Institute For Advanced Study</t>
        </is>
      </c>
      <c r="B553" s="50" t="inlineStr">
        <is>
          <t>NJ</t>
        </is>
      </c>
      <c r="C553" s="52" t="n">
        <v>1.27</v>
      </c>
      <c r="D553" t="inlineStr">
        <is>
          <t>Other</t>
        </is>
      </c>
      <c r="E553" s="50" t="n">
        <v>2022</v>
      </c>
      <c r="F553" s="50" t="inlineStr">
        <is>
          <t>2023-05-10</t>
        </is>
      </c>
      <c r="G553" s="50" t="inlineStr">
        <is>
          <t>2022-06-30</t>
        </is>
      </c>
      <c r="H553" t="inlineStr">
        <is>
          <t>Jeffrey Gatto</t>
        </is>
      </c>
      <c r="I553" t="inlineStr">
        <is>
          <t>CHIEF INVESTMENT OFFICER</t>
        </is>
      </c>
      <c r="J553" t="inlineStr">
        <is>
          <t>CIO</t>
        </is>
      </c>
      <c r="K553" t="inlineStr">
        <is>
          <t>CIO - Top Investment Executive</t>
        </is>
      </c>
      <c r="L553" s="28" t="n">
        <v>600321</v>
      </c>
      <c r="M553" s="28" t="n">
        <v>196330</v>
      </c>
      <c r="N553" s="28" t="n">
        <v>5031</v>
      </c>
      <c r="O553" s="28" t="n">
        <v>35646</v>
      </c>
      <c r="P553" s="28" t="n">
        <v>12777</v>
      </c>
      <c r="Q553" s="28" t="n">
        <v>850105</v>
      </c>
      <c r="R553" s="28" t="n">
        <v>0</v>
      </c>
      <c r="S553" s="28">
        <f>Q553-R553</f>
        <v/>
      </c>
      <c r="T553" s="28">
        <f>IF(S553="","",S553*(1+in_GrowthRate)^(YEARFRAC(DATE(2022,6,30),in_AgeToDate)*IF(in_AgeToDate&lt;DATE(2022,6,30),-1,1)+1))</f>
        <v/>
      </c>
      <c r="U553" s="50">
        <f>IF(AND(AND(OR(in_Mode="All Funds",AND(C553&gt;=in_BandFloor,C553&lt;=in_BandCeiling,OR(in_Geography="National",COUNTIFS(lst_GeoPreset,in_Geography,lst_GeoState,B553)&gt;0,AND(in_Geography="Custom",ISNUMBER(SEARCH(B553,SUBSTITUTE(in_CustomStates," ",""))))),OR(AND(D553="Endowment",Inputs!$B$14="Y"),AND(D553="Foundation",Inputs!$B$15="Y"),AND(D553="Healthcare",Inputs!$B$16="Y"),AND(D553="Pension",Inputs!$B$17="Y"),AND(D553="OCIO",Inputs!$B$18="Y"),AND(D553="Other",Inputs!$B$19="Y")))),A553&lt;&gt;in_ClientOrg,NOT(AND(in_ExclHarvard="Y",ISNUMBER(SEARCH("Harvard",A553))))),$AD553="Y",K553&lt;&gt;"",S553&gt;0),"Y","")</f>
        <v/>
      </c>
      <c r="V553" s="30" t="n">
        <v>1</v>
      </c>
      <c r="W553" t="inlineStr"/>
      <c r="X553" s="28">
        <f>IF(L553+M553=0,"",L553+M553)</f>
        <v/>
      </c>
      <c r="Y553" s="38">
        <f>IF(L553=0,"",M553/L553)</f>
        <v/>
      </c>
      <c r="Z553" t="inlineStr">
        <is>
          <t>CIO - Top Investment Executive</t>
        </is>
      </c>
      <c r="AA553" t="inlineStr">
        <is>
          <t>Leadership</t>
        </is>
      </c>
      <c r="AB553" s="50" t="inlineStr">
        <is>
          <t>Y</t>
        </is>
      </c>
      <c r="AC553" s="43">
        <f>HYPERLINK("https://projects.propublica.org/nonprofits/organizations/210634988/202331309349302973/full","view filing")</f>
        <v/>
      </c>
      <c r="AD553" s="50" t="inlineStr"/>
    </row>
    <row r="554">
      <c r="A554" t="inlineStr">
        <is>
          <t>Intermountain Health Care Inc</t>
        </is>
      </c>
      <c r="B554" s="50" t="inlineStr">
        <is>
          <t>UT</t>
        </is>
      </c>
      <c r="C554" s="52" t="n">
        <v>3.07</v>
      </c>
      <c r="D554" t="inlineStr">
        <is>
          <t>Healthcare</t>
        </is>
      </c>
      <c r="E554" s="50" t="n">
        <v>2024</v>
      </c>
      <c r="F554" s="50" t="inlineStr">
        <is>
          <t>2025-11-07</t>
        </is>
      </c>
      <c r="G554" s="50" t="inlineStr">
        <is>
          <t>2024-12-31</t>
        </is>
      </c>
      <c r="H554" t="inlineStr">
        <is>
          <t>Craig Richardville</t>
        </is>
      </c>
      <c r="I554" t="inlineStr">
        <is>
          <t>SVP/CIO (PARTIAL)</t>
        </is>
      </c>
      <c r="J554" t="inlineStr">
        <is>
          <t>CIO</t>
        </is>
      </c>
      <c r="K554" t="inlineStr">
        <is>
          <t>Sr Investment Professional</t>
        </is>
      </c>
      <c r="L554" s="28" t="n">
        <v>0</v>
      </c>
      <c r="M554" s="28" t="n">
        <v>0</v>
      </c>
      <c r="N554" s="28" t="n">
        <v>0</v>
      </c>
      <c r="O554" s="28" t="n">
        <v>0</v>
      </c>
      <c r="P554" s="28" t="n">
        <v>0</v>
      </c>
      <c r="Q554" s="28" t="n">
        <v>70517</v>
      </c>
      <c r="R554" s="28" t="n">
        <v>0</v>
      </c>
      <c r="S554" s="28">
        <f>Q554-R554</f>
        <v/>
      </c>
      <c r="T554" s="28">
        <f>IF(S554="","",S554*(1+in_GrowthRate)^(YEARFRAC(DATE(2024,12,31),in_AgeToDate)*IF(in_AgeToDate&lt;DATE(2024,12,31),-1,1)+1))</f>
        <v/>
      </c>
      <c r="U554" s="50">
        <f>IF(AND(AND(OR(in_Mode="All Funds",AND(C554&gt;=in_BandFloor,C554&lt;=in_BandCeiling,OR(in_Geography="National",COUNTIFS(lst_GeoPreset,in_Geography,lst_GeoState,B554)&gt;0,AND(in_Geography="Custom",ISNUMBER(SEARCH(B554,SUBSTITUTE(in_CustomStates," ",""))))),OR(AND(D554="Endowment",Inputs!$B$14="Y"),AND(D554="Foundation",Inputs!$B$15="Y"),AND(D554="Healthcare",Inputs!$B$16="Y"),AND(D554="Pension",Inputs!$B$17="Y"),AND(D554="OCIO",Inputs!$B$18="Y"),AND(D554="Other",Inputs!$B$19="Y")))),A554&lt;&gt;in_ClientOrg,NOT(AND(in_ExclHarvard="Y",ISNUMBER(SEARCH("Harvard",A554))))),$AD554="Y",K554&lt;&gt;"",S554&gt;0),"Y","")</f>
        <v/>
      </c>
      <c r="V554" s="30" t="n">
        <v>0.0622764549306646</v>
      </c>
      <c r="W554" t="inlineStr"/>
      <c r="X554" s="28">
        <f>IF(L554+M554=0,"",L554+M554)</f>
        <v/>
      </c>
      <c r="Y554" s="38">
        <f>IF(L554=0,"",M554/L554)</f>
        <v/>
      </c>
      <c r="Z554" t="inlineStr">
        <is>
          <t>Deputy CIO</t>
        </is>
      </c>
      <c r="AA554" t="inlineStr">
        <is>
          <t>Leadership</t>
        </is>
      </c>
      <c r="AB554" s="50" t="inlineStr"/>
      <c r="AC554" s="43">
        <f>HYPERLINK("https://projects.propublica.org/nonprofits/organizations/870269232/202523119349302662/full","view filing")</f>
        <v/>
      </c>
      <c r="AD554" s="50" t="inlineStr">
        <is>
          <t>Y</t>
        </is>
      </c>
    </row>
    <row r="555">
      <c r="A555" t="inlineStr">
        <is>
          <t>Intermountain Health Care Inc</t>
        </is>
      </c>
      <c r="B555" s="50" t="inlineStr">
        <is>
          <t>UT</t>
        </is>
      </c>
      <c r="C555" s="52" t="n">
        <v>3.07</v>
      </c>
      <c r="D555" t="inlineStr">
        <is>
          <t>Healthcare</t>
        </is>
      </c>
      <c r="E555" s="50" t="n">
        <v>2024</v>
      </c>
      <c r="F555" s="50" t="inlineStr">
        <is>
          <t>2025-11-07</t>
        </is>
      </c>
      <c r="G555" s="50" t="inlineStr">
        <is>
          <t>2024-12-31</t>
        </is>
      </c>
      <c r="H555" t="inlineStr">
        <is>
          <t>Stacy Jennings</t>
        </is>
      </c>
      <c r="I555" t="inlineStr">
        <is>
          <t>VP/CHIEF INVESTMENT OFFICER</t>
        </is>
      </c>
      <c r="J555" t="inlineStr">
        <is>
          <t>CIO</t>
        </is>
      </c>
      <c r="K555" t="inlineStr">
        <is>
          <t>CIO - Top Investment Executive</t>
        </is>
      </c>
      <c r="L555" s="28" t="n">
        <v>0</v>
      </c>
      <c r="M555" s="28" t="n">
        <v>0</v>
      </c>
      <c r="N555" s="28" t="n">
        <v>0</v>
      </c>
      <c r="O555" s="28" t="n">
        <v>0</v>
      </c>
      <c r="P555" s="28" t="n">
        <v>0</v>
      </c>
      <c r="Q555" s="28" t="n">
        <v>1132322</v>
      </c>
      <c r="R555" s="28" t="n">
        <v>0</v>
      </c>
      <c r="S555" s="28">
        <f>Q555-R555</f>
        <v/>
      </c>
      <c r="T555" s="28">
        <f>IF(S555="","",S555*(1+in_GrowthRate)^(YEARFRAC(DATE(2024,12,31),in_AgeToDate)*IF(in_AgeToDate&lt;DATE(2024,12,31),-1,1)+1))</f>
        <v/>
      </c>
      <c r="U555" s="50">
        <f>IF(AND(AND(OR(in_Mode="All Funds",AND(C555&gt;=in_BandFloor,C555&lt;=in_BandCeiling,OR(in_Geography="National",COUNTIFS(lst_GeoPreset,in_Geography,lst_GeoState,B555)&gt;0,AND(in_Geography="Custom",ISNUMBER(SEARCH(B555,SUBSTITUTE(in_CustomStates," ",""))))),OR(AND(D555="Endowment",Inputs!$B$14="Y"),AND(D555="Foundation",Inputs!$B$15="Y"),AND(D555="Healthcare",Inputs!$B$16="Y"),AND(D555="Pension",Inputs!$B$17="Y"),AND(D555="OCIO",Inputs!$B$18="Y"),AND(D555="Other",Inputs!$B$19="Y")))),A555&lt;&gt;in_ClientOrg,NOT(AND(in_ExclHarvard="Y",ISNUMBER(SEARCH("Harvard",A555))))),$AD555="Y",K555&lt;&gt;"",S555&gt;0),"Y","")</f>
        <v/>
      </c>
      <c r="V555" s="30" t="n">
        <v>1</v>
      </c>
      <c r="W555" t="inlineStr"/>
      <c r="X555" s="28">
        <f>IF(L555+M555=0,"",L555+M555)</f>
        <v/>
      </c>
      <c r="Y555" s="38">
        <f>IF(L555=0,"",M555/L555)</f>
        <v/>
      </c>
      <c r="Z555" t="inlineStr">
        <is>
          <t>CIO - Top Investment Executive</t>
        </is>
      </c>
      <c r="AA555" t="inlineStr">
        <is>
          <t>Leadership</t>
        </is>
      </c>
      <c r="AB555" s="50" t="inlineStr">
        <is>
          <t>Y</t>
        </is>
      </c>
      <c r="AC555" s="43">
        <f>HYPERLINK("https://projects.propublica.org/nonprofits/organizations/870269232/202523119349302662/full","view filing")</f>
        <v/>
      </c>
      <c r="AD555" s="50" t="inlineStr">
        <is>
          <t>Y</t>
        </is>
      </c>
    </row>
    <row r="556">
      <c r="A556" t="inlineStr">
        <is>
          <t>Intermountain Health Care Inc</t>
        </is>
      </c>
      <c r="B556" s="50" t="inlineStr">
        <is>
          <t>UT</t>
        </is>
      </c>
      <c r="C556" s="52" t="n">
        <v>3.07</v>
      </c>
      <c r="D556" t="inlineStr">
        <is>
          <t>Healthcare</t>
        </is>
      </c>
      <c r="E556" s="50" t="n">
        <v>2022</v>
      </c>
      <c r="F556" s="50" t="inlineStr">
        <is>
          <t>2023-11-02</t>
        </is>
      </c>
      <c r="G556" s="50" t="inlineStr">
        <is>
          <t>2022-12-31</t>
        </is>
      </c>
      <c r="H556" t="inlineStr">
        <is>
          <t>Stacy Jennings</t>
        </is>
      </c>
      <c r="I556" t="inlineStr">
        <is>
          <t>VP / CIO (PARTIAL)</t>
        </is>
      </c>
      <c r="J556" t="inlineStr">
        <is>
          <t>CIO</t>
        </is>
      </c>
      <c r="K556" t="inlineStr">
        <is>
          <t>CIO - Top Investment Executive</t>
        </is>
      </c>
      <c r="L556" s="28" t="n">
        <v>0</v>
      </c>
      <c r="M556" s="28" t="n">
        <v>0</v>
      </c>
      <c r="N556" s="28" t="n">
        <v>0</v>
      </c>
      <c r="O556" s="28" t="n">
        <v>0</v>
      </c>
      <c r="P556" s="28" t="n">
        <v>0</v>
      </c>
      <c r="Q556" s="28" t="n">
        <v>960945</v>
      </c>
      <c r="R556" s="28" t="n">
        <v>0</v>
      </c>
      <c r="S556" s="28">
        <f>Q556-R556</f>
        <v/>
      </c>
      <c r="T556" s="28">
        <f>IF(S556="","",S556*(1+in_GrowthRate)^(YEARFRAC(DATE(2022,12,31),in_AgeToDate)*IF(in_AgeToDate&lt;DATE(2022,12,31),-1,1)+1))</f>
        <v/>
      </c>
      <c r="U556" s="50">
        <f>IF(AND(AND(OR(in_Mode="All Funds",AND(C556&gt;=in_BandFloor,C556&lt;=in_BandCeiling,OR(in_Geography="National",COUNTIFS(lst_GeoPreset,in_Geography,lst_GeoState,B556)&gt;0,AND(in_Geography="Custom",ISNUMBER(SEARCH(B556,SUBSTITUTE(in_CustomStates," ",""))))),OR(AND(D556="Endowment",Inputs!$B$14="Y"),AND(D556="Foundation",Inputs!$B$15="Y"),AND(D556="Healthcare",Inputs!$B$16="Y"),AND(D556="Pension",Inputs!$B$17="Y"),AND(D556="OCIO",Inputs!$B$18="Y"),AND(D556="Other",Inputs!$B$19="Y")))),A556&lt;&gt;in_ClientOrg,NOT(AND(in_ExclHarvard="Y",ISNUMBER(SEARCH("Harvard",A556))))),$AD556="Y",K556&lt;&gt;"",S556&gt;0),"Y","")</f>
        <v/>
      </c>
      <c r="V556" s="30" t="n">
        <v>1</v>
      </c>
      <c r="W556" t="inlineStr"/>
      <c r="X556" s="28">
        <f>IF(L556+M556=0,"",L556+M556)</f>
        <v/>
      </c>
      <c r="Y556" s="38">
        <f>IF(L556=0,"",M556/L556)</f>
        <v/>
      </c>
      <c r="Z556" t="inlineStr">
        <is>
          <t>CIO - Top Investment Executive</t>
        </is>
      </c>
      <c r="AA556" t="inlineStr">
        <is>
          <t>Leadership</t>
        </is>
      </c>
      <c r="AB556" s="50" t="inlineStr">
        <is>
          <t>Y</t>
        </is>
      </c>
      <c r="AC556" s="43">
        <f>HYPERLINK("https://projects.propublica.org/nonprofits/organizations/870269232/202343069349302379/full","view filing")</f>
        <v/>
      </c>
      <c r="AD556" s="50" t="inlineStr"/>
    </row>
    <row r="557">
      <c r="A557" t="inlineStr">
        <is>
          <t>International City Management Association Retirement Corporation</t>
        </is>
      </c>
      <c r="B557" s="50" t="inlineStr">
        <is>
          <t>DC</t>
        </is>
      </c>
      <c r="C557" s="52" t="n">
        <v>0.63</v>
      </c>
      <c r="D557" t="inlineStr">
        <is>
          <t>Pension</t>
        </is>
      </c>
      <c r="E557" s="50" t="n">
        <v>2024</v>
      </c>
      <c r="F557" s="50" t="inlineStr">
        <is>
          <t>2025-11-14</t>
        </is>
      </c>
      <c r="G557" s="50" t="inlineStr">
        <is>
          <t>2024-12-31</t>
        </is>
      </c>
      <c r="H557" t="inlineStr">
        <is>
          <t>Karen Chong-Wulff</t>
        </is>
      </c>
      <c r="I557" t="inlineStr">
        <is>
          <t>MVP, Fixed Income Investments</t>
        </is>
      </c>
      <c r="J557" t="inlineStr">
        <is>
          <t>Investment Manager</t>
        </is>
      </c>
      <c r="K557" t="inlineStr">
        <is>
          <t>Sr Investment Professional</t>
        </is>
      </c>
      <c r="L557" s="28" t="n">
        <v>408642</v>
      </c>
      <c r="M557" s="28" t="n">
        <v>787760</v>
      </c>
      <c r="N557" s="28" t="n">
        <v>2919</v>
      </c>
      <c r="O557" s="28" t="n">
        <v>123030</v>
      </c>
      <c r="P557" s="28" t="n">
        <v>36209</v>
      </c>
      <c r="Q557" s="28" t="n">
        <v>1358560</v>
      </c>
      <c r="R557" s="28" t="n">
        <v>47180</v>
      </c>
      <c r="S557" s="28">
        <f>Q557-R557</f>
        <v/>
      </c>
      <c r="T557" s="28">
        <f>IF(S557="","",S557*(1+in_GrowthRate)^(YEARFRAC(DATE(2024,12,31),in_AgeToDate)*IF(in_AgeToDate&lt;DATE(2024,12,31),-1,1)+1))</f>
        <v/>
      </c>
      <c r="U557" s="50">
        <f>IF(AND(AND(OR(in_Mode="All Funds",AND(C557&gt;=in_BandFloor,C557&lt;=in_BandCeiling,OR(in_Geography="National",COUNTIFS(lst_GeoPreset,in_Geography,lst_GeoState,B557)&gt;0,AND(in_Geography="Custom",ISNUMBER(SEARCH(B557,SUBSTITUTE(in_CustomStates," ",""))))),OR(AND(D557="Endowment",Inputs!$B$14="Y"),AND(D557="Foundation",Inputs!$B$15="Y"),AND(D557="Healthcare",Inputs!$B$16="Y"),AND(D557="Pension",Inputs!$B$17="Y"),AND(D557="OCIO",Inputs!$B$18="Y"),AND(D557="Other",Inputs!$B$19="Y")))),A557&lt;&gt;in_ClientOrg,NOT(AND(in_ExclHarvard="Y",ISNUMBER(SEARCH("Harvard",A557))))),$AD557="Y",K557&lt;&gt;"",S557&gt;0),"Y","")</f>
        <v/>
      </c>
      <c r="V557" s="30" t="n">
        <v>0.8106507558935963</v>
      </c>
      <c r="W557" t="inlineStr"/>
      <c r="X557" s="28">
        <f>IF(L557+M557=0,"",L557+M557)</f>
        <v/>
      </c>
      <c r="Y557" s="38">
        <f>IF(L557=0,"",M557/L557)</f>
        <v/>
      </c>
      <c r="Z557" t="inlineStr">
        <is>
          <t>Director &amp; Investment Officer</t>
        </is>
      </c>
      <c r="AA557" t="inlineStr">
        <is>
          <t>Investments</t>
        </is>
      </c>
      <c r="AB557" s="50" t="inlineStr"/>
      <c r="AC557" s="43">
        <f>HYPERLINK("https://projects.propublica.org/nonprofits/organizations/237268394/202533189349305858/full","view filing")</f>
        <v/>
      </c>
      <c r="AD557" s="50" t="inlineStr">
        <is>
          <t>Y</t>
        </is>
      </c>
    </row>
    <row r="558">
      <c r="A558" t="inlineStr">
        <is>
          <t>International City Management Association Retirement Corporation</t>
        </is>
      </c>
      <c r="B558" s="50" t="inlineStr">
        <is>
          <t>DC</t>
        </is>
      </c>
      <c r="C558" s="52" t="n">
        <v>0.63</v>
      </c>
      <c r="D558" t="inlineStr">
        <is>
          <t>Pension</t>
        </is>
      </c>
      <c r="E558" s="50" t="n">
        <v>2024</v>
      </c>
      <c r="F558" s="50" t="inlineStr">
        <is>
          <t>2025-11-14</t>
        </is>
      </c>
      <c r="G558" s="50" t="inlineStr">
        <is>
          <t>2024-12-31</t>
        </is>
      </c>
      <c r="H558" t="inlineStr">
        <is>
          <t>Venkatakrishnan Balakrishnan</t>
        </is>
      </c>
      <c r="I558" t="inlineStr">
        <is>
          <t>MVP, Asset Allocation Investments</t>
        </is>
      </c>
      <c r="J558" t="inlineStr">
        <is>
          <t>Investment Manager</t>
        </is>
      </c>
      <c r="K558" t="inlineStr">
        <is>
          <t>Sr Investment Professional</t>
        </is>
      </c>
      <c r="L558" s="28" t="n">
        <v>846381</v>
      </c>
      <c r="M558" s="28" t="n">
        <v>0</v>
      </c>
      <c r="N558" s="28" t="n">
        <v>0</v>
      </c>
      <c r="O558" s="28" t="n">
        <v>24150</v>
      </c>
      <c r="P558" s="28" t="n">
        <v>47995</v>
      </c>
      <c r="Q558" s="28" t="n">
        <v>918526</v>
      </c>
      <c r="R558" s="28" t="n">
        <v>0</v>
      </c>
      <c r="S558" s="28">
        <f>Q558-R558</f>
        <v/>
      </c>
      <c r="T558" s="28">
        <f>IF(S558="","",S558*(1+in_GrowthRate)^(YEARFRAC(DATE(2024,12,31),in_AgeToDate)*IF(in_AgeToDate&lt;DATE(2024,12,31),-1,1)+1))</f>
        <v/>
      </c>
      <c r="U558" s="50">
        <f>IF(AND(AND(OR(in_Mode="All Funds",AND(C558&gt;=in_BandFloor,C558&lt;=in_BandCeiling,OR(in_Geography="National",COUNTIFS(lst_GeoPreset,in_Geography,lst_GeoState,B558)&gt;0,AND(in_Geography="Custom",ISNUMBER(SEARCH(B558,SUBSTITUTE(in_CustomStates," ",""))))),OR(AND(D558="Endowment",Inputs!$B$14="Y"),AND(D558="Foundation",Inputs!$B$15="Y"),AND(D558="Healthcare",Inputs!$B$16="Y"),AND(D558="Pension",Inputs!$B$17="Y"),AND(D558="OCIO",Inputs!$B$18="Y"),AND(D558="Other",Inputs!$B$19="Y")))),A558&lt;&gt;in_ClientOrg,NOT(AND(in_ExclHarvard="Y",ISNUMBER(SEARCH("Harvard",A558))))),$AD558="Y",K558&lt;&gt;"",S558&gt;0),"Y","")</f>
        <v/>
      </c>
      <c r="V558" s="30" t="n">
        <v>0.5678017021823738</v>
      </c>
      <c r="W558" t="inlineStr"/>
      <c r="X558" s="28">
        <f>IF(L558+M558=0,"",L558+M558)</f>
        <v/>
      </c>
      <c r="Y558" s="38">
        <f>IF(L558=0,"",M558/L558)</f>
        <v/>
      </c>
      <c r="Z558" t="inlineStr">
        <is>
          <t>Director &amp; Investment Officer</t>
        </is>
      </c>
      <c r="AA558" t="inlineStr">
        <is>
          <t>Investments</t>
        </is>
      </c>
      <c r="AB558" s="50" t="inlineStr"/>
      <c r="AC558" s="43">
        <f>HYPERLINK("https://projects.propublica.org/nonprofits/organizations/237268394/202533189349305858/full","view filing")</f>
        <v/>
      </c>
      <c r="AD558" s="50" t="inlineStr">
        <is>
          <t>Y</t>
        </is>
      </c>
    </row>
    <row r="559">
      <c r="A559" t="inlineStr">
        <is>
          <t>International City Management Association Retirement Corporation</t>
        </is>
      </c>
      <c r="B559" s="50" t="inlineStr">
        <is>
          <t>DC</t>
        </is>
      </c>
      <c r="C559" s="52" t="n">
        <v>0.63</v>
      </c>
      <c r="D559" t="inlineStr">
        <is>
          <t>Pension</t>
        </is>
      </c>
      <c r="E559" s="50" t="n">
        <v>2024</v>
      </c>
      <c r="F559" s="50" t="inlineStr">
        <is>
          <t>2025-11-14</t>
        </is>
      </c>
      <c r="G559" s="50" t="inlineStr">
        <is>
          <t>2024-12-31</t>
        </is>
      </c>
      <c r="H559" t="inlineStr">
        <is>
          <t>Wayne Wicker Until 40524</t>
        </is>
      </c>
      <c r="I559" t="inlineStr">
        <is>
          <t>SVP, Chief Investment Officer</t>
        </is>
      </c>
      <c r="J559" t="inlineStr">
        <is>
          <t>CIO</t>
        </is>
      </c>
      <c r="K559" t="inlineStr">
        <is>
          <t>CIO - Top Investment Executive</t>
        </is>
      </c>
      <c r="L559" s="28" t="n">
        <v>209880</v>
      </c>
      <c r="M559" s="28" t="n">
        <v>1191859</v>
      </c>
      <c r="N559" s="28" t="n">
        <v>145052</v>
      </c>
      <c r="O559" s="28" t="n">
        <v>54650</v>
      </c>
      <c r="P559" s="28" t="n">
        <v>16247</v>
      </c>
      <c r="Q559" s="28" t="n">
        <v>1617688</v>
      </c>
      <c r="R559" s="28" t="n">
        <v>0</v>
      </c>
      <c r="S559" s="28">
        <f>Q559-R559</f>
        <v/>
      </c>
      <c r="T559" s="28">
        <f>IF(S559="","",S559*(1+in_GrowthRate)^(YEARFRAC(DATE(2024,12,31),in_AgeToDate)*IF(in_AgeToDate&lt;DATE(2024,12,31),-1,1)+1))</f>
        <v/>
      </c>
      <c r="U559" s="50">
        <f>IF(AND(AND(OR(in_Mode="All Funds",AND(C559&gt;=in_BandFloor,C559&lt;=in_BandCeiling,OR(in_Geography="National",COUNTIFS(lst_GeoPreset,in_Geography,lst_GeoState,B559)&gt;0,AND(in_Geography="Custom",ISNUMBER(SEARCH(B559,SUBSTITUTE(in_CustomStates," ",""))))),OR(AND(D559="Endowment",Inputs!$B$14="Y"),AND(D559="Foundation",Inputs!$B$15="Y"),AND(D559="Healthcare",Inputs!$B$16="Y"),AND(D559="Pension",Inputs!$B$17="Y"),AND(D559="OCIO",Inputs!$B$18="Y"),AND(D559="Other",Inputs!$B$19="Y")))),A559&lt;&gt;in_ClientOrg,NOT(AND(in_ExclHarvard="Y",ISNUMBER(SEARCH("Harvard",A559))))),$AD559="Y",K559&lt;&gt;"",S559&gt;0),"Y","")</f>
        <v/>
      </c>
      <c r="V559" s="30" t="n">
        <v>1</v>
      </c>
      <c r="W559" t="inlineStr"/>
      <c r="X559" s="28">
        <f>IF(L559+M559=0,"",L559+M559)</f>
        <v/>
      </c>
      <c r="Y559" s="38">
        <f>IF(L559=0,"",M559/L559)</f>
        <v/>
      </c>
      <c r="Z559" t="inlineStr">
        <is>
          <t>CIO - Top Investment Executive</t>
        </is>
      </c>
      <c r="AA559" t="inlineStr">
        <is>
          <t>Leadership</t>
        </is>
      </c>
      <c r="AB559" s="50" t="inlineStr">
        <is>
          <t>Y</t>
        </is>
      </c>
      <c r="AC559" s="43">
        <f>HYPERLINK("https://projects.propublica.org/nonprofits/organizations/237268394/202533189349305858/full","view filing")</f>
        <v/>
      </c>
      <c r="AD559" s="50" t="inlineStr">
        <is>
          <t>Y</t>
        </is>
      </c>
    </row>
    <row r="560">
      <c r="A560" t="inlineStr">
        <is>
          <t>International City Management Association Retirement Corporation</t>
        </is>
      </c>
      <c r="B560" s="50" t="inlineStr">
        <is>
          <t>DC</t>
        </is>
      </c>
      <c r="C560" s="52" t="n">
        <v>0.63</v>
      </c>
      <c r="D560" t="inlineStr">
        <is>
          <t>Pension</t>
        </is>
      </c>
      <c r="E560" s="50" t="n">
        <v>2023</v>
      </c>
      <c r="F560" s="50" t="inlineStr">
        <is>
          <t>2024-11-12</t>
        </is>
      </c>
      <c r="G560" s="50" t="inlineStr">
        <is>
          <t>2023-12-31</t>
        </is>
      </c>
      <c r="H560" t="inlineStr">
        <is>
          <t>Karen Chong-Wulff</t>
        </is>
      </c>
      <c r="I560" t="inlineStr">
        <is>
          <t>MVP, FIXED INCOME INVESTMENTS</t>
        </is>
      </c>
      <c r="J560" t="inlineStr">
        <is>
          <t>Investment Manager</t>
        </is>
      </c>
      <c r="K560" t="inlineStr">
        <is>
          <t>Sr Investment Professional</t>
        </is>
      </c>
      <c r="L560" s="28" t="n">
        <v>402577</v>
      </c>
      <c r="M560" s="28" t="n">
        <v>636408</v>
      </c>
      <c r="N560" s="28" t="n">
        <v>2867</v>
      </c>
      <c r="O560" s="28" t="n">
        <v>159060</v>
      </c>
      <c r="P560" s="28" t="n">
        <v>32935</v>
      </c>
      <c r="Q560" s="28" t="n">
        <v>1233847</v>
      </c>
      <c r="R560" s="28" t="n">
        <v>0</v>
      </c>
      <c r="S560" s="28">
        <f>Q560-R560</f>
        <v/>
      </c>
      <c r="T560" s="28">
        <f>IF(S560="","",S560*(1+in_GrowthRate)^(YEARFRAC(DATE(2023,12,31),in_AgeToDate)*IF(in_AgeToDate&lt;DATE(2023,12,31),-1,1)+1))</f>
        <v/>
      </c>
      <c r="U560" s="50">
        <f>IF(AND(AND(OR(in_Mode="All Funds",AND(C560&gt;=in_BandFloor,C560&lt;=in_BandCeiling,OR(in_Geography="National",COUNTIFS(lst_GeoPreset,in_Geography,lst_GeoState,B560)&gt;0,AND(in_Geography="Custom",ISNUMBER(SEARCH(B560,SUBSTITUTE(in_CustomStates," ",""))))),OR(AND(D560="Endowment",Inputs!$B$14="Y"),AND(D560="Foundation",Inputs!$B$15="Y"),AND(D560="Healthcare",Inputs!$B$16="Y"),AND(D560="Pension",Inputs!$B$17="Y"),AND(D560="OCIO",Inputs!$B$18="Y"),AND(D560="Other",Inputs!$B$19="Y")))),A560&lt;&gt;in_ClientOrg,NOT(AND(in_ExclHarvard="Y",ISNUMBER(SEARCH("Harvard",A560))))),$AD560="Y",K560&lt;&gt;"",S560&gt;0),"Y","")</f>
        <v/>
      </c>
      <c r="V560" s="30" t="n">
        <v>0.635037304061037</v>
      </c>
      <c r="W560" t="inlineStr"/>
      <c r="X560" s="28">
        <f>IF(L560+M560=0,"",L560+M560)</f>
        <v/>
      </c>
      <c r="Y560" s="38">
        <f>IF(L560=0,"",M560/L560)</f>
        <v/>
      </c>
      <c r="Z560" t="inlineStr">
        <is>
          <t>Director &amp; Investment Officer</t>
        </is>
      </c>
      <c r="AA560" t="inlineStr">
        <is>
          <t>Investments</t>
        </is>
      </c>
      <c r="AB560" s="50" t="inlineStr"/>
      <c r="AC560" s="43">
        <f>HYPERLINK("https://projects.propublica.org/nonprofits/organizations/237268394/202413179349307346/full","view filing")</f>
        <v/>
      </c>
      <c r="AD560" s="50" t="inlineStr"/>
    </row>
    <row r="561">
      <c r="A561" t="inlineStr">
        <is>
          <t>International City Management Association Retirement Corporation</t>
        </is>
      </c>
      <c r="B561" s="50" t="inlineStr">
        <is>
          <t>DC</t>
        </is>
      </c>
      <c r="C561" s="52" t="n">
        <v>0.63</v>
      </c>
      <c r="D561" t="inlineStr">
        <is>
          <t>Pension</t>
        </is>
      </c>
      <c r="E561" s="50" t="n">
        <v>2023</v>
      </c>
      <c r="F561" s="50" t="inlineStr">
        <is>
          <t>2024-11-12</t>
        </is>
      </c>
      <c r="G561" s="50" t="inlineStr">
        <is>
          <t>2023-12-31</t>
        </is>
      </c>
      <c r="H561" t="inlineStr">
        <is>
          <t>Venkatakrishnan Balakrishnan</t>
        </is>
      </c>
      <c r="I561" t="inlineStr">
        <is>
          <t>MVP, ASSET ALLOC'N INVESTMENTS</t>
        </is>
      </c>
      <c r="J561" t="inlineStr">
        <is>
          <t>Investment Manager</t>
        </is>
      </c>
      <c r="K561" t="inlineStr">
        <is>
          <t>Sr Investment Professional</t>
        </is>
      </c>
      <c r="L561" s="28" t="n">
        <v>241137</v>
      </c>
      <c r="M561" s="28" t="n">
        <v>522421</v>
      </c>
      <c r="N561" s="28" t="n">
        <v>2800</v>
      </c>
      <c r="O561" s="28" t="n">
        <v>23100</v>
      </c>
      <c r="P561" s="28" t="n">
        <v>45481</v>
      </c>
      <c r="Q561" s="28" t="n">
        <v>834939</v>
      </c>
      <c r="R561" s="28" t="n">
        <v>0</v>
      </c>
      <c r="S561" s="28">
        <f>Q561-R561</f>
        <v/>
      </c>
      <c r="T561" s="28">
        <f>IF(S561="","",S561*(1+in_GrowthRate)^(YEARFRAC(DATE(2023,12,31),in_AgeToDate)*IF(in_AgeToDate&lt;DATE(2023,12,31),-1,1)+1))</f>
        <v/>
      </c>
      <c r="U561" s="50">
        <f>IF(AND(AND(OR(in_Mode="All Funds",AND(C561&gt;=in_BandFloor,C561&lt;=in_BandCeiling,OR(in_Geography="National",COUNTIFS(lst_GeoPreset,in_Geography,lst_GeoState,B561)&gt;0,AND(in_Geography="Custom",ISNUMBER(SEARCH(B561,SUBSTITUTE(in_CustomStates," ",""))))),OR(AND(D561="Endowment",Inputs!$B$14="Y"),AND(D561="Foundation",Inputs!$B$15="Y"),AND(D561="Healthcare",Inputs!$B$16="Y"),AND(D561="Pension",Inputs!$B$17="Y"),AND(D561="OCIO",Inputs!$B$18="Y"),AND(D561="Other",Inputs!$B$19="Y")))),A561&lt;&gt;in_ClientOrg,NOT(AND(in_ExclHarvard="Y",ISNUMBER(SEARCH("Harvard",A561))))),$AD561="Y",K561&lt;&gt;"",S561&gt;0),"Y","")</f>
        <v/>
      </c>
      <c r="V561" s="30" t="n">
        <v>0.429727033915403</v>
      </c>
      <c r="W561" t="inlineStr"/>
      <c r="X561" s="28">
        <f>IF(L561+M561=0,"",L561+M561)</f>
        <v/>
      </c>
      <c r="Y561" s="38">
        <f>IF(L561=0,"",M561/L561)</f>
        <v/>
      </c>
      <c r="Z561" t="inlineStr">
        <is>
          <t>Director &amp; Investment Officer</t>
        </is>
      </c>
      <c r="AA561" t="inlineStr">
        <is>
          <t>Investments</t>
        </is>
      </c>
      <c r="AB561" s="50" t="inlineStr"/>
      <c r="AC561" s="43">
        <f>HYPERLINK("https://projects.propublica.org/nonprofits/organizations/237268394/202413179349307346/full","view filing")</f>
        <v/>
      </c>
      <c r="AD561" s="50" t="inlineStr"/>
    </row>
    <row r="562">
      <c r="A562" t="inlineStr">
        <is>
          <t>International City Management Association Retirement Corporation</t>
        </is>
      </c>
      <c r="B562" s="50" t="inlineStr">
        <is>
          <t>DC</t>
        </is>
      </c>
      <c r="C562" s="52" t="n">
        <v>0.63</v>
      </c>
      <c r="D562" t="inlineStr">
        <is>
          <t>Pension</t>
        </is>
      </c>
      <c r="E562" s="50" t="n">
        <v>2023</v>
      </c>
      <c r="F562" s="50" t="inlineStr">
        <is>
          <t>2024-11-12</t>
        </is>
      </c>
      <c r="G562" s="50" t="inlineStr">
        <is>
          <t>2023-12-31</t>
        </is>
      </c>
      <c r="H562" t="inlineStr">
        <is>
          <t>Wayne Wicker</t>
        </is>
      </c>
      <c r="I562" t="inlineStr">
        <is>
          <t>SVP, CHIEF INVESTMENT OFFICER</t>
        </is>
      </c>
      <c r="J562" t="inlineStr">
        <is>
          <t>CIO</t>
        </is>
      </c>
      <c r="K562" t="inlineStr">
        <is>
          <t>CIO - Top Investment Executive</t>
        </is>
      </c>
      <c r="L562" s="28" t="n">
        <v>455616</v>
      </c>
      <c r="M562" s="28" t="n">
        <v>1408403</v>
      </c>
      <c r="N562" s="28" t="n">
        <v>7719</v>
      </c>
      <c r="O562" s="28" t="n">
        <v>23100</v>
      </c>
      <c r="P562" s="28" t="n">
        <v>48114</v>
      </c>
      <c r="Q562" s="28" t="n">
        <v>1942952</v>
      </c>
      <c r="R562" s="28" t="n">
        <v>0</v>
      </c>
      <c r="S562" s="28">
        <f>Q562-R562</f>
        <v/>
      </c>
      <c r="T562" s="28">
        <f>IF(S562="","",S562*(1+in_GrowthRate)^(YEARFRAC(DATE(2023,12,31),in_AgeToDate)*IF(in_AgeToDate&lt;DATE(2023,12,31),-1,1)+1))</f>
        <v/>
      </c>
      <c r="U562" s="50">
        <f>IF(AND(AND(OR(in_Mode="All Funds",AND(C562&gt;=in_BandFloor,C562&lt;=in_BandCeiling,OR(in_Geography="National",COUNTIFS(lst_GeoPreset,in_Geography,lst_GeoState,B562)&gt;0,AND(in_Geography="Custom",ISNUMBER(SEARCH(B562,SUBSTITUTE(in_CustomStates," ",""))))),OR(AND(D562="Endowment",Inputs!$B$14="Y"),AND(D562="Foundation",Inputs!$B$15="Y"),AND(D562="Healthcare",Inputs!$B$16="Y"),AND(D562="Pension",Inputs!$B$17="Y"),AND(D562="OCIO",Inputs!$B$18="Y"),AND(D562="Other",Inputs!$B$19="Y")))),A562&lt;&gt;in_ClientOrg,NOT(AND(in_ExclHarvard="Y",ISNUMBER(SEARCH("Harvard",A562))))),$AD562="Y",K562&lt;&gt;"",S562&gt;0),"Y","")</f>
        <v/>
      </c>
      <c r="V562" s="30" t="n">
        <v>1</v>
      </c>
      <c r="W562" t="inlineStr"/>
      <c r="X562" s="28">
        <f>IF(L562+M562=0,"",L562+M562)</f>
        <v/>
      </c>
      <c r="Y562" s="38">
        <f>IF(L562=0,"",M562/L562)</f>
        <v/>
      </c>
      <c r="Z562" t="inlineStr">
        <is>
          <t>CIO - Top Investment Executive</t>
        </is>
      </c>
      <c r="AA562" t="inlineStr">
        <is>
          <t>Leadership</t>
        </is>
      </c>
      <c r="AB562" s="50" t="inlineStr">
        <is>
          <t>Y</t>
        </is>
      </c>
      <c r="AC562" s="43">
        <f>HYPERLINK("https://projects.propublica.org/nonprofits/organizations/237268394/202413179349307346/full","view filing")</f>
        <v/>
      </c>
      <c r="AD562" s="50" t="inlineStr"/>
    </row>
    <row r="563">
      <c r="A563" t="inlineStr">
        <is>
          <t>Iowa State University Foundation</t>
        </is>
      </c>
      <c r="B563" s="50" t="inlineStr">
        <is>
          <t>IA</t>
        </is>
      </c>
      <c r="C563" s="52" t="n">
        <v>1.91</v>
      </c>
      <c r="D563" t="inlineStr">
        <is>
          <t>Endowment</t>
        </is>
      </c>
      <c r="E563" s="50" t="n">
        <v>2022</v>
      </c>
      <c r="F563" s="50" t="inlineStr">
        <is>
          <t>2024-05-15</t>
        </is>
      </c>
      <c r="G563" s="50" t="inlineStr">
        <is>
          <t>2022-06-30</t>
        </is>
      </c>
      <c r="H563" t="inlineStr">
        <is>
          <t>Michael Wahlin</t>
        </is>
      </c>
      <c r="I563" t="inlineStr">
        <is>
          <t>ASSISTANT VP OF INVESTMENTS</t>
        </is>
      </c>
      <c r="J563" t="inlineStr">
        <is>
          <t>Director of Investments</t>
        </is>
      </c>
      <c r="K563" t="inlineStr">
        <is>
          <t>Sr Investment Professional</t>
        </is>
      </c>
      <c r="L563" s="28" t="n">
        <v>143776</v>
      </c>
      <c r="M563" s="28" t="n">
        <v>0</v>
      </c>
      <c r="N563" s="28" t="n">
        <v>2231</v>
      </c>
      <c r="O563" s="28" t="n">
        <v>14736</v>
      </c>
      <c r="P563" s="28" t="n">
        <v>21274</v>
      </c>
      <c r="Q563" s="28" t="n">
        <v>182017</v>
      </c>
      <c r="R563" s="28" t="n">
        <v>0</v>
      </c>
      <c r="S563" s="28">
        <f>Q563-R563</f>
        <v/>
      </c>
      <c r="T563" s="28">
        <f>IF(S563="","",S563*(1+in_GrowthRate)^(YEARFRAC(DATE(2022,6,30),in_AgeToDate)*IF(in_AgeToDate&lt;DATE(2022,6,30),-1,1)+1))</f>
        <v/>
      </c>
      <c r="U563" s="50">
        <f>IF(AND(AND(OR(in_Mode="All Funds",AND(C563&gt;=in_BandFloor,C563&lt;=in_BandCeiling,OR(in_Geography="National",COUNTIFS(lst_GeoPreset,in_Geography,lst_GeoState,B563)&gt;0,AND(in_Geography="Custom",ISNUMBER(SEARCH(B563,SUBSTITUTE(in_CustomStates," ",""))))),OR(AND(D563="Endowment",Inputs!$B$14="Y"),AND(D563="Foundation",Inputs!$B$15="Y"),AND(D563="Healthcare",Inputs!$B$16="Y"),AND(D563="Pension",Inputs!$B$17="Y"),AND(D563="OCIO",Inputs!$B$18="Y"),AND(D563="Other",Inputs!$B$19="Y")))),A563&lt;&gt;in_ClientOrg,NOT(AND(in_ExclHarvard="Y",ISNUMBER(SEARCH("Harvard",A563))))),$AD563="Y",K563&lt;&gt;"",S563&gt;0),"Y","")</f>
        <v/>
      </c>
      <c r="V563" s="30" t="n"/>
      <c r="W563" t="inlineStr"/>
      <c r="X563" s="28">
        <f>IF(L563+M563=0,"",L563+M563)</f>
        <v/>
      </c>
      <c r="Y563" s="38">
        <f>IF(L563=0,"",M563/L563)</f>
        <v/>
      </c>
      <c r="Z563" t="inlineStr">
        <is>
          <t>Director &amp; Investment Officer</t>
        </is>
      </c>
      <c r="AA563" t="inlineStr">
        <is>
          <t>Investments</t>
        </is>
      </c>
      <c r="AB563" s="50" t="inlineStr"/>
      <c r="AC563" s="43">
        <f>HYPERLINK("https://projects.propublica.org/nonprofits/organizations/421143702/202311169349300101/full","view filing")</f>
        <v/>
      </c>
      <c r="AD563" s="50" t="inlineStr"/>
    </row>
    <row r="564">
      <c r="A564" t="inlineStr">
        <is>
          <t>J Paul Getty Trust</t>
        </is>
      </c>
      <c r="B564" s="50" t="inlineStr">
        <is>
          <t>CA</t>
        </is>
      </c>
      <c r="C564" s="52" t="n">
        <v>9.880000000000001</v>
      </c>
      <c r="D564" t="inlineStr">
        <is>
          <t>Foundation</t>
        </is>
      </c>
      <c r="E564" s="50" t="n">
        <v>2025</v>
      </c>
      <c r="F564" s="50" t="inlineStr">
        <is>
          <t>2026-05-07</t>
        </is>
      </c>
      <c r="G564" s="50" t="inlineStr">
        <is>
          <t>2025-06-30</t>
        </is>
      </c>
      <c r="H564" t="inlineStr">
        <is>
          <t>Barbara Jesuele</t>
        </is>
      </c>
      <c r="I564" t="inlineStr">
        <is>
          <t>DEPUTY CHIEF INV OFFICER</t>
        </is>
      </c>
      <c r="J564" t="inlineStr">
        <is>
          <t>CIO</t>
        </is>
      </c>
      <c r="K564" t="inlineStr">
        <is>
          <t>Sr Investment Professional</t>
        </is>
      </c>
      <c r="L564" s="28" t="n">
        <v>0</v>
      </c>
      <c r="M564" s="28" t="n">
        <v>0</v>
      </c>
      <c r="N564" s="28" t="n">
        <v>0</v>
      </c>
      <c r="O564" s="28" t="n">
        <v>0</v>
      </c>
      <c r="P564" s="28" t="n">
        <v>272124</v>
      </c>
      <c r="Q564" s="28" t="n">
        <v>1197855</v>
      </c>
      <c r="R564" s="28" t="n">
        <v>0</v>
      </c>
      <c r="S564" s="28">
        <f>Q564-R564</f>
        <v/>
      </c>
      <c r="T564" s="28">
        <f>IF(S564="","",S564*(1+in_GrowthRate)^(YEARFRAC(DATE(2025,6,30),in_AgeToDate)*IF(in_AgeToDate&lt;DATE(2025,6,30),-1,1)+1))</f>
        <v/>
      </c>
      <c r="U564" s="50">
        <f>IF(AND(AND(OR(in_Mode="All Funds",AND(C564&gt;=in_BandFloor,C564&lt;=in_BandCeiling,OR(in_Geography="National",COUNTIFS(lst_GeoPreset,in_Geography,lst_GeoState,B564)&gt;0,AND(in_Geography="Custom",ISNUMBER(SEARCH(B564,SUBSTITUTE(in_CustomStates," ",""))))),OR(AND(D564="Endowment",Inputs!$B$14="Y"),AND(D564="Foundation",Inputs!$B$15="Y"),AND(D564="Healthcare",Inputs!$B$16="Y"),AND(D564="Pension",Inputs!$B$17="Y"),AND(D564="OCIO",Inputs!$B$18="Y"),AND(D564="Other",Inputs!$B$19="Y")))),A564&lt;&gt;in_ClientOrg,NOT(AND(in_ExclHarvard="Y",ISNUMBER(SEARCH("Harvard",A564))))),$AD564="Y",K564&lt;&gt;"",S564&gt;0),"Y","")</f>
        <v/>
      </c>
      <c r="V564" s="30" t="n">
        <v>0.5257169465928936</v>
      </c>
      <c r="W564" t="inlineStr"/>
      <c r="X564" s="28">
        <f>IF(L564+M564=0,"",L564+M564)</f>
        <v/>
      </c>
      <c r="Y564" s="38">
        <f>IF(L564=0,"",M564/L564)</f>
        <v/>
      </c>
      <c r="Z564" t="inlineStr">
        <is>
          <t>Deputy CIO</t>
        </is>
      </c>
      <c r="AA564" t="inlineStr">
        <is>
          <t>Leadership</t>
        </is>
      </c>
      <c r="AB564" s="50" t="inlineStr"/>
      <c r="AC564" s="43">
        <f>HYPERLINK("https://projects.propublica.org/nonprofits/organizations/951790021/202611279349102996/full","view filing")</f>
        <v/>
      </c>
      <c r="AD564" s="50" t="inlineStr">
        <is>
          <t>Y</t>
        </is>
      </c>
    </row>
    <row r="565">
      <c r="A565" t="inlineStr">
        <is>
          <t>J Paul Getty Trust</t>
        </is>
      </c>
      <c r="B565" s="50" t="inlineStr">
        <is>
          <t>CA</t>
        </is>
      </c>
      <c r="C565" s="52" t="n">
        <v>9.880000000000001</v>
      </c>
      <c r="D565" t="inlineStr">
        <is>
          <t>Foundation</t>
        </is>
      </c>
      <c r="E565" s="50" t="n">
        <v>2025</v>
      </c>
      <c r="F565" s="50" t="inlineStr">
        <is>
          <t>2026-05-07</t>
        </is>
      </c>
      <c r="G565" s="50" t="inlineStr">
        <is>
          <t>2025-06-30</t>
        </is>
      </c>
      <c r="H565" t="inlineStr">
        <is>
          <t>Benjamin Liou</t>
        </is>
      </c>
      <c r="I565" t="inlineStr">
        <is>
          <t>SR MNG DIR EQ &amp; BONDS</t>
        </is>
      </c>
      <c r="J565" t="inlineStr">
        <is>
          <t>Managing Director</t>
        </is>
      </c>
      <c r="K565" t="inlineStr">
        <is>
          <t>Sr Investment Professional</t>
        </is>
      </c>
      <c r="L565" s="28" t="n">
        <v>0</v>
      </c>
      <c r="M565" s="28" t="n">
        <v>0</v>
      </c>
      <c r="N565" s="28" t="n">
        <v>0</v>
      </c>
      <c r="O565" s="28" t="n">
        <v>0</v>
      </c>
      <c r="P565" s="28" t="n">
        <v>252287</v>
      </c>
      <c r="Q565" s="28" t="n">
        <v>1093125</v>
      </c>
      <c r="R565" s="28" t="n">
        <v>0</v>
      </c>
      <c r="S565" s="28">
        <f>Q565-R565</f>
        <v/>
      </c>
      <c r="T565" s="28">
        <f>IF(S565="","",S565*(1+in_GrowthRate)^(YEARFRAC(DATE(2025,6,30),in_AgeToDate)*IF(in_AgeToDate&lt;DATE(2025,6,30),-1,1)+1))</f>
        <v/>
      </c>
      <c r="U565" s="50">
        <f>IF(AND(AND(OR(in_Mode="All Funds",AND(C565&gt;=in_BandFloor,C565&lt;=in_BandCeiling,OR(in_Geography="National",COUNTIFS(lst_GeoPreset,in_Geography,lst_GeoState,B565)&gt;0,AND(in_Geography="Custom",ISNUMBER(SEARCH(B565,SUBSTITUTE(in_CustomStates," ",""))))),OR(AND(D565="Endowment",Inputs!$B$14="Y"),AND(D565="Foundation",Inputs!$B$15="Y"),AND(D565="Healthcare",Inputs!$B$16="Y"),AND(D565="Pension",Inputs!$B$17="Y"),AND(D565="OCIO",Inputs!$B$18="Y"),AND(D565="Other",Inputs!$B$19="Y")))),A565&lt;&gt;in_ClientOrg,NOT(AND(in_ExclHarvard="Y",ISNUMBER(SEARCH("Harvard",A565))))),$AD565="Y",K565&lt;&gt;"",S565&gt;0),"Y","")</f>
        <v/>
      </c>
      <c r="V565" s="30" t="n">
        <v>0.4797528392371003</v>
      </c>
      <c r="W565" t="inlineStr"/>
      <c r="X565" s="28">
        <f>IF(L565+M565=0,"",L565+M565)</f>
        <v/>
      </c>
      <c r="Y565" s="38">
        <f>IF(L565=0,"",M565/L565)</f>
        <v/>
      </c>
      <c r="Z565" t="inlineStr">
        <is>
          <t>Managing Director</t>
        </is>
      </c>
      <c r="AA565" t="inlineStr">
        <is>
          <t>Investments</t>
        </is>
      </c>
      <c r="AB565" s="50" t="inlineStr"/>
      <c r="AC565" s="43">
        <f>HYPERLINK("https://projects.propublica.org/nonprofits/organizations/951790021/202611279349102996/full","view filing")</f>
        <v/>
      </c>
      <c r="AD565" s="50" t="inlineStr">
        <is>
          <t>Y</t>
        </is>
      </c>
    </row>
    <row r="566">
      <c r="A566" t="inlineStr">
        <is>
          <t>J Paul Getty Trust</t>
        </is>
      </c>
      <c r="B566" s="50" t="inlineStr">
        <is>
          <t>CA</t>
        </is>
      </c>
      <c r="C566" s="52" t="n">
        <v>9.880000000000001</v>
      </c>
      <c r="D566" t="inlineStr">
        <is>
          <t>Foundation</t>
        </is>
      </c>
      <c r="E566" s="50" t="n">
        <v>2025</v>
      </c>
      <c r="F566" s="50" t="inlineStr">
        <is>
          <t>2026-05-07</t>
        </is>
      </c>
      <c r="G566" s="50" t="inlineStr">
        <is>
          <t>2025-06-30</t>
        </is>
      </c>
      <c r="H566" t="inlineStr">
        <is>
          <t>Katharine Krieger</t>
        </is>
      </c>
      <c r="I566" t="inlineStr">
        <is>
          <t>VP, TREASURER &amp; CIO</t>
        </is>
      </c>
      <c r="J566" t="inlineStr">
        <is>
          <t>CIO</t>
        </is>
      </c>
      <c r="K566" t="inlineStr">
        <is>
          <t>CIO - Top Investment Executive</t>
        </is>
      </c>
      <c r="L566" s="28" t="n">
        <v>0</v>
      </c>
      <c r="M566" s="28" t="n">
        <v>0</v>
      </c>
      <c r="N566" s="28" t="n">
        <v>0</v>
      </c>
      <c r="O566" s="28" t="n">
        <v>0</v>
      </c>
      <c r="P566" s="28" t="n">
        <v>426036</v>
      </c>
      <c r="Q566" s="28" t="n">
        <v>2278517</v>
      </c>
      <c r="R566" s="28" t="n">
        <v>0</v>
      </c>
      <c r="S566" s="28">
        <f>Q566-R566</f>
        <v/>
      </c>
      <c r="T566" s="28">
        <f>IF(S566="","",S566*(1+in_GrowthRate)^(YEARFRAC(DATE(2025,6,30),in_AgeToDate)*IF(in_AgeToDate&lt;DATE(2025,6,30),-1,1)+1))</f>
        <v/>
      </c>
      <c r="U566" s="50">
        <f>IF(AND(AND(OR(in_Mode="All Funds",AND(C566&gt;=in_BandFloor,C566&lt;=in_BandCeiling,OR(in_Geography="National",COUNTIFS(lst_GeoPreset,in_Geography,lst_GeoState,B566)&gt;0,AND(in_Geography="Custom",ISNUMBER(SEARCH(B566,SUBSTITUTE(in_CustomStates," ",""))))),OR(AND(D566="Endowment",Inputs!$B$14="Y"),AND(D566="Foundation",Inputs!$B$15="Y"),AND(D566="Healthcare",Inputs!$B$16="Y"),AND(D566="Pension",Inputs!$B$17="Y"),AND(D566="OCIO",Inputs!$B$18="Y"),AND(D566="Other",Inputs!$B$19="Y")))),A566&lt;&gt;in_ClientOrg,NOT(AND(in_ExclHarvard="Y",ISNUMBER(SEARCH("Harvard",A566))))),$AD566="Y",K566&lt;&gt;"",S566&gt;0),"Y","")</f>
        <v/>
      </c>
      <c r="V566" s="30" t="n">
        <v>1</v>
      </c>
      <c r="W566" t="inlineStr"/>
      <c r="X566" s="28">
        <f>IF(L566+M566=0,"",L566+M566)</f>
        <v/>
      </c>
      <c r="Y566" s="38">
        <f>IF(L566=0,"",M566/L566)</f>
        <v/>
      </c>
      <c r="Z566" t="inlineStr">
        <is>
          <t>CIO - Top Investment Executive</t>
        </is>
      </c>
      <c r="AA566" t="inlineStr">
        <is>
          <t>Leadership</t>
        </is>
      </c>
      <c r="AB566" s="50" t="inlineStr">
        <is>
          <t>Y</t>
        </is>
      </c>
      <c r="AC566" s="43">
        <f>HYPERLINK("https://projects.propublica.org/nonprofits/organizations/951790021/202611279349102996/full","view filing")</f>
        <v/>
      </c>
      <c r="AD566" s="50" t="inlineStr">
        <is>
          <t>Y</t>
        </is>
      </c>
    </row>
    <row r="567">
      <c r="A567" t="inlineStr">
        <is>
          <t>J Paul Getty Trust</t>
        </is>
      </c>
      <c r="B567" s="50" t="inlineStr">
        <is>
          <t>CA</t>
        </is>
      </c>
      <c r="C567" s="52" t="n">
        <v>9.880000000000001</v>
      </c>
      <c r="D567" t="inlineStr">
        <is>
          <t>Foundation</t>
        </is>
      </c>
      <c r="E567" s="50" t="n">
        <v>2024</v>
      </c>
      <c r="F567" s="50" t="inlineStr">
        <is>
          <t>2025-05-15</t>
        </is>
      </c>
      <c r="G567" s="50" t="inlineStr">
        <is>
          <t>2024-06-30</t>
        </is>
      </c>
      <c r="H567" t="inlineStr">
        <is>
          <t>Barbara Jesuele</t>
        </is>
      </c>
      <c r="I567" t="inlineStr">
        <is>
          <t>DEPUTY CHIEF INV OFFICER, ASST TREAS</t>
        </is>
      </c>
      <c r="J567" t="inlineStr">
        <is>
          <t>CIO</t>
        </is>
      </c>
      <c r="K567" t="inlineStr">
        <is>
          <t>Sr Investment Professional</t>
        </is>
      </c>
      <c r="L567" s="28" t="n">
        <v>0</v>
      </c>
      <c r="M567" s="28" t="n">
        <v>0</v>
      </c>
      <c r="N567" s="28" t="n">
        <v>0</v>
      </c>
      <c r="O567" s="28" t="n">
        <v>0</v>
      </c>
      <c r="P567" s="28" t="n">
        <v>1230039</v>
      </c>
      <c r="Q567" s="28" t="n">
        <v>2452075</v>
      </c>
      <c r="R567" s="28" t="n">
        <v>0</v>
      </c>
      <c r="S567" s="28">
        <f>Q567-R567</f>
        <v/>
      </c>
      <c r="T567" s="28">
        <f>IF(S567="","",S567*(1+in_GrowthRate)^(YEARFRAC(DATE(2024,6,30),in_AgeToDate)*IF(in_AgeToDate&lt;DATE(2024,6,30),-1,1)+1))</f>
        <v/>
      </c>
      <c r="U567" s="50">
        <f>IF(AND(AND(OR(in_Mode="All Funds",AND(C567&gt;=in_BandFloor,C567&lt;=in_BandCeiling,OR(in_Geography="National",COUNTIFS(lst_GeoPreset,in_Geography,lst_GeoState,B567)&gt;0,AND(in_Geography="Custom",ISNUMBER(SEARCH(B567,SUBSTITUTE(in_CustomStates," ",""))))),OR(AND(D567="Endowment",Inputs!$B$14="Y"),AND(D567="Foundation",Inputs!$B$15="Y"),AND(D567="Healthcare",Inputs!$B$16="Y"),AND(D567="Pension",Inputs!$B$17="Y"),AND(D567="OCIO",Inputs!$B$18="Y"),AND(D567="Other",Inputs!$B$19="Y")))),A567&lt;&gt;in_ClientOrg,NOT(AND(in_ExclHarvard="Y",ISNUMBER(SEARCH("Harvard",A567))))),$AD567="Y",K567&lt;&gt;"",S567&gt;0),"Y","")</f>
        <v/>
      </c>
      <c r="V567" s="30" t="n">
        <v>0.5572122695661421</v>
      </c>
      <c r="W567" t="inlineStr"/>
      <c r="X567" s="28">
        <f>IF(L567+M567=0,"",L567+M567)</f>
        <v/>
      </c>
      <c r="Y567" s="38">
        <f>IF(L567=0,"",M567/L567)</f>
        <v/>
      </c>
      <c r="Z567" t="inlineStr">
        <is>
          <t>Deputy CIO</t>
        </is>
      </c>
      <c r="AA567" t="inlineStr">
        <is>
          <t>Leadership</t>
        </is>
      </c>
      <c r="AB567" s="50" t="inlineStr"/>
      <c r="AC567" s="43">
        <f>HYPERLINK("https://projects.propublica.org/nonprofits/organizations/951790021/202531359349102323/full","view filing")</f>
        <v/>
      </c>
      <c r="AD567" s="50" t="inlineStr"/>
    </row>
    <row r="568">
      <c r="A568" t="inlineStr">
        <is>
          <t>J Paul Getty Trust</t>
        </is>
      </c>
      <c r="B568" s="50" t="inlineStr">
        <is>
          <t>CA</t>
        </is>
      </c>
      <c r="C568" s="52" t="n">
        <v>9.880000000000001</v>
      </c>
      <c r="D568" t="inlineStr">
        <is>
          <t>Foundation</t>
        </is>
      </c>
      <c r="E568" s="50" t="n">
        <v>2024</v>
      </c>
      <c r="F568" s="50" t="inlineStr">
        <is>
          <t>2025-05-15</t>
        </is>
      </c>
      <c r="G568" s="50" t="inlineStr">
        <is>
          <t>2024-06-30</t>
        </is>
      </c>
      <c r="H568" t="inlineStr">
        <is>
          <t>Benjamin Liou</t>
        </is>
      </c>
      <c r="I568" t="inlineStr">
        <is>
          <t>MNG DIR EQ &amp; BONDS, ASST TRE</t>
        </is>
      </c>
      <c r="J568" t="inlineStr">
        <is>
          <t>Managing Director</t>
        </is>
      </c>
      <c r="K568" t="inlineStr">
        <is>
          <t>Sr Investment Professional</t>
        </is>
      </c>
      <c r="L568" s="28" t="n">
        <v>0</v>
      </c>
      <c r="M568" s="28" t="n">
        <v>0</v>
      </c>
      <c r="N568" s="28" t="n">
        <v>0</v>
      </c>
      <c r="O568" s="28" t="n">
        <v>0</v>
      </c>
      <c r="P568" s="28" t="n">
        <v>1044956</v>
      </c>
      <c r="Q568" s="28" t="n">
        <v>2161026</v>
      </c>
      <c r="R568" s="28" t="n">
        <v>0</v>
      </c>
      <c r="S568" s="28">
        <f>Q568-R568</f>
        <v/>
      </c>
      <c r="T568" s="28">
        <f>IF(S568="","",S568*(1+in_GrowthRate)^(YEARFRAC(DATE(2024,6,30),in_AgeToDate)*IF(in_AgeToDate&lt;DATE(2024,6,30),-1,1)+1))</f>
        <v/>
      </c>
      <c r="U568" s="50">
        <f>IF(AND(AND(OR(in_Mode="All Funds",AND(C568&gt;=in_BandFloor,C568&lt;=in_BandCeiling,OR(in_Geography="National",COUNTIFS(lst_GeoPreset,in_Geography,lst_GeoState,B568)&gt;0,AND(in_Geography="Custom",ISNUMBER(SEARCH(B568,SUBSTITUTE(in_CustomStates," ",""))))),OR(AND(D568="Endowment",Inputs!$B$14="Y"),AND(D568="Foundation",Inputs!$B$15="Y"),AND(D568="Healthcare",Inputs!$B$16="Y"),AND(D568="Pension",Inputs!$B$17="Y"),AND(D568="OCIO",Inputs!$B$18="Y"),AND(D568="Other",Inputs!$B$19="Y")))),A568&lt;&gt;in_ClientOrg,NOT(AND(in_ExclHarvard="Y",ISNUMBER(SEARCH("Harvard",A568))))),$AD568="Y",K568&lt;&gt;"",S568&gt;0),"Y","")</f>
        <v/>
      </c>
      <c r="V568" s="30" t="n">
        <v>0.4910739688025211</v>
      </c>
      <c r="W568" t="inlineStr"/>
      <c r="X568" s="28">
        <f>IF(L568+M568=0,"",L568+M568)</f>
        <v/>
      </c>
      <c r="Y568" s="38">
        <f>IF(L568=0,"",M568/L568)</f>
        <v/>
      </c>
      <c r="Z568" t="inlineStr">
        <is>
          <t>Managing Director</t>
        </is>
      </c>
      <c r="AA568" t="inlineStr">
        <is>
          <t>Investments</t>
        </is>
      </c>
      <c r="AB568" s="50" t="inlineStr"/>
      <c r="AC568" s="43">
        <f>HYPERLINK("https://projects.propublica.org/nonprofits/organizations/951790021/202531359349102323/full","view filing")</f>
        <v/>
      </c>
      <c r="AD568" s="50" t="inlineStr"/>
    </row>
    <row r="569">
      <c r="A569" t="inlineStr">
        <is>
          <t>J Paul Getty Trust</t>
        </is>
      </c>
      <c r="B569" s="50" t="inlineStr">
        <is>
          <t>CA</t>
        </is>
      </c>
      <c r="C569" s="52" t="n">
        <v>9.880000000000001</v>
      </c>
      <c r="D569" t="inlineStr">
        <is>
          <t>Foundation</t>
        </is>
      </c>
      <c r="E569" s="50" t="n">
        <v>2024</v>
      </c>
      <c r="F569" s="50" t="inlineStr">
        <is>
          <t>2025-05-15</t>
        </is>
      </c>
      <c r="G569" s="50" t="inlineStr">
        <is>
          <t>2024-06-30</t>
        </is>
      </c>
      <c r="H569" t="inlineStr">
        <is>
          <t>David Hughes</t>
        </is>
      </c>
      <c r="I569" t="inlineStr">
        <is>
          <t>MNG DIR PUB SEC, ASST TREAS</t>
        </is>
      </c>
      <c r="J569" t="inlineStr">
        <is>
          <t>Managing Director</t>
        </is>
      </c>
      <c r="K569" t="inlineStr">
        <is>
          <t>Sr Investment Professional</t>
        </is>
      </c>
      <c r="L569" s="28" t="n">
        <v>0</v>
      </c>
      <c r="M569" s="28" t="n">
        <v>0</v>
      </c>
      <c r="N569" s="28" t="n">
        <v>0</v>
      </c>
      <c r="O569" s="28" t="n">
        <v>0</v>
      </c>
      <c r="P569" s="28" t="n">
        <v>973508</v>
      </c>
      <c r="Q569" s="28" t="n">
        <v>2073931</v>
      </c>
      <c r="R569" s="28" t="n">
        <v>0</v>
      </c>
      <c r="S569" s="28">
        <f>Q569-R569</f>
        <v/>
      </c>
      <c r="T569" s="28">
        <f>IF(S569="","",S569*(1+in_GrowthRate)^(YEARFRAC(DATE(2024,6,30),in_AgeToDate)*IF(in_AgeToDate&lt;DATE(2024,6,30),-1,1)+1))</f>
        <v/>
      </c>
      <c r="U569" s="50">
        <f>IF(AND(AND(OR(in_Mode="All Funds",AND(C569&gt;=in_BandFloor,C569&lt;=in_BandCeiling,OR(in_Geography="National",COUNTIFS(lst_GeoPreset,in_Geography,lst_GeoState,B569)&gt;0,AND(in_Geography="Custom",ISNUMBER(SEARCH(B569,SUBSTITUTE(in_CustomStates," ",""))))),OR(AND(D569="Endowment",Inputs!$B$14="Y"),AND(D569="Foundation",Inputs!$B$15="Y"),AND(D569="Healthcare",Inputs!$B$16="Y"),AND(D569="Pension",Inputs!$B$17="Y"),AND(D569="OCIO",Inputs!$B$18="Y"),AND(D569="Other",Inputs!$B$19="Y")))),A569&lt;&gt;in_ClientOrg,NOT(AND(in_ExclHarvard="Y",ISNUMBER(SEARCH("Harvard",A569))))),$AD569="Y",K569&lt;&gt;"",S569&gt;0),"Y","")</f>
        <v/>
      </c>
      <c r="V569" s="30" t="n">
        <v>0.4712824034475205</v>
      </c>
      <c r="W569" t="inlineStr"/>
      <c r="X569" s="28">
        <f>IF(L569+M569=0,"",L569+M569)</f>
        <v/>
      </c>
      <c r="Y569" s="38">
        <f>IF(L569=0,"",M569/L569)</f>
        <v/>
      </c>
      <c r="Z569" t="inlineStr">
        <is>
          <t>Managing Director</t>
        </is>
      </c>
      <c r="AA569" t="inlineStr">
        <is>
          <t>Investments</t>
        </is>
      </c>
      <c r="AB569" s="50" t="inlineStr"/>
      <c r="AC569" s="43">
        <f>HYPERLINK("https://projects.propublica.org/nonprofits/organizations/951790021/202531359349102323/full","view filing")</f>
        <v/>
      </c>
      <c r="AD569" s="50" t="inlineStr"/>
    </row>
    <row r="570">
      <c r="A570" t="inlineStr">
        <is>
          <t>J Paul Getty Trust</t>
        </is>
      </c>
      <c r="B570" s="50" t="inlineStr">
        <is>
          <t>CA</t>
        </is>
      </c>
      <c r="C570" s="52" t="n">
        <v>9.880000000000001</v>
      </c>
      <c r="D570" t="inlineStr">
        <is>
          <t>Foundation</t>
        </is>
      </c>
      <c r="E570" s="50" t="n">
        <v>2024</v>
      </c>
      <c r="F570" s="50" t="inlineStr">
        <is>
          <t>2025-05-15</t>
        </is>
      </c>
      <c r="G570" s="50" t="inlineStr">
        <is>
          <t>2024-06-30</t>
        </is>
      </c>
      <c r="H570" t="inlineStr">
        <is>
          <t>James M Williams</t>
        </is>
      </c>
      <c r="I570" t="inlineStr">
        <is>
          <t>VP, TREASURER &amp; CIO</t>
        </is>
      </c>
      <c r="J570" t="inlineStr">
        <is>
          <t>CIO</t>
        </is>
      </c>
      <c r="K570" t="inlineStr">
        <is>
          <t>CIO - Top Investment Executive</t>
        </is>
      </c>
      <c r="L570" s="28" t="n">
        <v>0</v>
      </c>
      <c r="M570" s="28" t="n">
        <v>0</v>
      </c>
      <c r="N570" s="28" t="n">
        <v>0</v>
      </c>
      <c r="O570" s="28" t="n">
        <v>0</v>
      </c>
      <c r="P570" s="28" t="n">
        <v>2016507</v>
      </c>
      <c r="Q570" s="28" t="n">
        <v>4400612</v>
      </c>
      <c r="R570" s="28" t="n">
        <v>0</v>
      </c>
      <c r="S570" s="28">
        <f>Q570-R570</f>
        <v/>
      </c>
      <c r="T570" s="28">
        <f>IF(S570="","",S570*(1+in_GrowthRate)^(YEARFRAC(DATE(2024,6,30),in_AgeToDate)*IF(in_AgeToDate&lt;DATE(2024,6,30),-1,1)+1))</f>
        <v/>
      </c>
      <c r="U570" s="50">
        <f>IF(AND(AND(OR(in_Mode="All Funds",AND(C570&gt;=in_BandFloor,C570&lt;=in_BandCeiling,OR(in_Geography="National",COUNTIFS(lst_GeoPreset,in_Geography,lst_GeoState,B570)&gt;0,AND(in_Geography="Custom",ISNUMBER(SEARCH(B570,SUBSTITUTE(in_CustomStates," ",""))))),OR(AND(D570="Endowment",Inputs!$B$14="Y"),AND(D570="Foundation",Inputs!$B$15="Y"),AND(D570="Healthcare",Inputs!$B$16="Y"),AND(D570="Pension",Inputs!$B$17="Y"),AND(D570="OCIO",Inputs!$B$18="Y"),AND(D570="Other",Inputs!$B$19="Y")))),A570&lt;&gt;in_ClientOrg,NOT(AND(in_ExclHarvard="Y",ISNUMBER(SEARCH("Harvard",A570))))),$AD570="Y",K570&lt;&gt;"",S570&gt;0),"Y","")</f>
        <v/>
      </c>
      <c r="V570" s="30" t="n">
        <v>1</v>
      </c>
      <c r="W570" t="inlineStr"/>
      <c r="X570" s="28">
        <f>IF(L570+M570=0,"",L570+M570)</f>
        <v/>
      </c>
      <c r="Y570" s="38">
        <f>IF(L570=0,"",M570/L570)</f>
        <v/>
      </c>
      <c r="Z570" t="inlineStr">
        <is>
          <t>CIO - Top Investment Executive</t>
        </is>
      </c>
      <c r="AA570" t="inlineStr">
        <is>
          <t>Leadership</t>
        </is>
      </c>
      <c r="AB570" s="50" t="inlineStr">
        <is>
          <t>Y</t>
        </is>
      </c>
      <c r="AC570" s="43">
        <f>HYPERLINK("https://projects.propublica.org/nonprofits/organizations/951790021/202531359349102323/full","view filing")</f>
        <v/>
      </c>
      <c r="AD570" s="50" t="inlineStr"/>
    </row>
    <row r="571">
      <c r="A571" t="inlineStr">
        <is>
          <t>J Paul Getty Trust</t>
        </is>
      </c>
      <c r="B571" s="50" t="inlineStr">
        <is>
          <t>CA</t>
        </is>
      </c>
      <c r="C571" s="52" t="n">
        <v>9.880000000000001</v>
      </c>
      <c r="D571" t="inlineStr">
        <is>
          <t>Foundation</t>
        </is>
      </c>
      <c r="E571" s="50" t="n">
        <v>2024</v>
      </c>
      <c r="F571" s="50" t="inlineStr">
        <is>
          <t>2025-05-15</t>
        </is>
      </c>
      <c r="G571" s="50" t="inlineStr">
        <is>
          <t>2024-06-30</t>
        </is>
      </c>
      <c r="H571" t="inlineStr">
        <is>
          <t>Katharine Krieger</t>
        </is>
      </c>
      <c r="I571" t="inlineStr">
        <is>
          <t>VP, TREASURER &amp; CIO</t>
        </is>
      </c>
      <c r="J571" t="inlineStr">
        <is>
          <t>CIO</t>
        </is>
      </c>
      <c r="K571" t="inlineStr">
        <is>
          <t>Sr Investment Professional</t>
        </is>
      </c>
      <c r="L571" s="28" t="n">
        <v>0</v>
      </c>
      <c r="M571" s="28" t="n">
        <v>0</v>
      </c>
      <c r="N571" s="28" t="n">
        <v>0</v>
      </c>
      <c r="O571" s="28" t="n">
        <v>0</v>
      </c>
      <c r="P571" s="28" t="n">
        <v>28586</v>
      </c>
      <c r="Q571" s="28" t="n">
        <v>490124</v>
      </c>
      <c r="R571" s="28" t="n">
        <v>0</v>
      </c>
      <c r="S571" s="28">
        <f>Q571-R571</f>
        <v/>
      </c>
      <c r="T571" s="28">
        <f>IF(S571="","",S571*(1+in_GrowthRate)^(YEARFRAC(DATE(2024,6,30),in_AgeToDate)*IF(in_AgeToDate&lt;DATE(2024,6,30),-1,1)+1))</f>
        <v/>
      </c>
      <c r="U571" s="50">
        <f>IF(AND(AND(OR(in_Mode="All Funds",AND(C571&gt;=in_BandFloor,C571&lt;=in_BandCeiling,OR(in_Geography="National",COUNTIFS(lst_GeoPreset,in_Geography,lst_GeoState,B571)&gt;0,AND(in_Geography="Custom",ISNUMBER(SEARCH(B571,SUBSTITUTE(in_CustomStates," ",""))))),OR(AND(D571="Endowment",Inputs!$B$14="Y"),AND(D571="Foundation",Inputs!$B$15="Y"),AND(D571="Healthcare",Inputs!$B$16="Y"),AND(D571="Pension",Inputs!$B$17="Y"),AND(D571="OCIO",Inputs!$B$18="Y"),AND(D571="Other",Inputs!$B$19="Y")))),A571&lt;&gt;in_ClientOrg,NOT(AND(in_ExclHarvard="Y",ISNUMBER(SEARCH("Harvard",A571))))),$AD571="Y",K571&lt;&gt;"",S571&gt;0),"Y","")</f>
        <v/>
      </c>
      <c r="V571" s="30" t="n">
        <v>0.1113763267472797</v>
      </c>
      <c r="W571" t="inlineStr"/>
      <c r="X571" s="28">
        <f>IF(L571+M571=0,"",L571+M571)</f>
        <v/>
      </c>
      <c r="Y571" s="38">
        <f>IF(L571=0,"",M571/L571)</f>
        <v/>
      </c>
      <c r="Z571" t="inlineStr">
        <is>
          <t>Deputy CIO</t>
        </is>
      </c>
      <c r="AA571" t="inlineStr">
        <is>
          <t>Leadership</t>
        </is>
      </c>
      <c r="AB571" s="50" t="inlineStr"/>
      <c r="AC571" s="43">
        <f>HYPERLINK("https://projects.propublica.org/nonprofits/organizations/951790021/202531359349102323/full","view filing")</f>
        <v/>
      </c>
      <c r="AD571" s="50" t="inlineStr"/>
    </row>
    <row r="572">
      <c r="A572" t="inlineStr">
        <is>
          <t>J Paul Getty Trust</t>
        </is>
      </c>
      <c r="B572" s="50" t="inlineStr">
        <is>
          <t>CA</t>
        </is>
      </c>
      <c r="C572" s="52" t="n">
        <v>9.880000000000001</v>
      </c>
      <c r="D572" t="inlineStr">
        <is>
          <t>Foundation</t>
        </is>
      </c>
      <c r="E572" s="50" t="n">
        <v>2023</v>
      </c>
      <c r="F572" s="50" t="inlineStr">
        <is>
          <t>2024-05-14</t>
        </is>
      </c>
      <c r="G572" s="50" t="inlineStr">
        <is>
          <t>2023-06-30</t>
        </is>
      </c>
      <c r="H572" t="inlineStr">
        <is>
          <t>Barbara Jesuele</t>
        </is>
      </c>
      <c r="I572" t="inlineStr">
        <is>
          <t>DEPUTY CHIEF INV OFF</t>
        </is>
      </c>
      <c r="J572" t="inlineStr">
        <is>
          <t>CIO</t>
        </is>
      </c>
      <c r="K572" t="inlineStr">
        <is>
          <t>Sr Investment Professional</t>
        </is>
      </c>
      <c r="L572" s="28" t="n">
        <v>0</v>
      </c>
      <c r="M572" s="28" t="n">
        <v>0</v>
      </c>
      <c r="N572" s="28" t="n">
        <v>0</v>
      </c>
      <c r="O572" s="28" t="n">
        <v>0</v>
      </c>
      <c r="P572" s="28" t="n">
        <v>0</v>
      </c>
      <c r="Q572" s="28" t="n">
        <v>771797</v>
      </c>
      <c r="R572" s="28" t="n">
        <v>0</v>
      </c>
      <c r="S572" s="28">
        <f>Q572-R572</f>
        <v/>
      </c>
      <c r="T572" s="28">
        <f>IF(S572="","",S572*(1+in_GrowthRate)^(YEARFRAC(DATE(2023,6,30),in_AgeToDate)*IF(in_AgeToDate&lt;DATE(2023,6,30),-1,1)+1))</f>
        <v/>
      </c>
      <c r="U572" s="50">
        <f>IF(AND(AND(OR(in_Mode="All Funds",AND(C572&gt;=in_BandFloor,C572&lt;=in_BandCeiling,OR(in_Geography="National",COUNTIFS(lst_GeoPreset,in_Geography,lst_GeoState,B572)&gt;0,AND(in_Geography="Custom",ISNUMBER(SEARCH(B572,SUBSTITUTE(in_CustomStates," ",""))))),OR(AND(D572="Endowment",Inputs!$B$14="Y"),AND(D572="Foundation",Inputs!$B$15="Y"),AND(D572="Healthcare",Inputs!$B$16="Y"),AND(D572="Pension",Inputs!$B$17="Y"),AND(D572="OCIO",Inputs!$B$18="Y"),AND(D572="Other",Inputs!$B$19="Y")))),A572&lt;&gt;in_ClientOrg,NOT(AND(in_ExclHarvard="Y",ISNUMBER(SEARCH("Harvard",A572))))),$AD572="Y",K572&lt;&gt;"",S572&gt;0),"Y","")</f>
        <v/>
      </c>
      <c r="V572" s="30" t="n">
        <v>0.209842973332601</v>
      </c>
      <c r="W572" t="inlineStr"/>
      <c r="X572" s="28">
        <f>IF(L572+M572=0,"",L572+M572)</f>
        <v/>
      </c>
      <c r="Y572" s="38">
        <f>IF(L572=0,"",M572/L572)</f>
        <v/>
      </c>
      <c r="Z572" t="inlineStr">
        <is>
          <t>Deputy CIO</t>
        </is>
      </c>
      <c r="AA572" t="inlineStr">
        <is>
          <t>Leadership</t>
        </is>
      </c>
      <c r="AB572" s="50" t="inlineStr"/>
      <c r="AC572" s="43">
        <f>HYPERLINK("https://projects.propublica.org/nonprofits/organizations/951790021/202421359349106107/full","view filing")</f>
        <v/>
      </c>
      <c r="AD572" s="50" t="inlineStr"/>
    </row>
    <row r="573">
      <c r="A573" t="inlineStr">
        <is>
          <t>J Paul Getty Trust</t>
        </is>
      </c>
      <c r="B573" s="50" t="inlineStr">
        <is>
          <t>CA</t>
        </is>
      </c>
      <c r="C573" s="52" t="n">
        <v>9.880000000000001</v>
      </c>
      <c r="D573" t="inlineStr">
        <is>
          <t>Foundation</t>
        </is>
      </c>
      <c r="E573" s="50" t="n">
        <v>2023</v>
      </c>
      <c r="F573" s="50" t="inlineStr">
        <is>
          <t>2024-05-14</t>
        </is>
      </c>
      <c r="G573" s="50" t="inlineStr">
        <is>
          <t>2023-06-30</t>
        </is>
      </c>
      <c r="H573" t="inlineStr">
        <is>
          <t>Benjamin Liou</t>
        </is>
      </c>
      <c r="I573" t="inlineStr">
        <is>
          <t>MNG DIR EQ &amp; BONDS, ASST TRE</t>
        </is>
      </c>
      <c r="J573" t="inlineStr">
        <is>
          <t>Managing Director</t>
        </is>
      </c>
      <c r="K573" t="inlineStr">
        <is>
          <t>Sr Investment Professional</t>
        </is>
      </c>
      <c r="L573" s="28" t="n">
        <v>0</v>
      </c>
      <c r="M573" s="28" t="n">
        <v>0</v>
      </c>
      <c r="N573" s="28" t="n">
        <v>0</v>
      </c>
      <c r="O573" s="28" t="n">
        <v>0</v>
      </c>
      <c r="P573" s="28" t="n">
        <v>980522</v>
      </c>
      <c r="Q573" s="28" t="n">
        <v>1795654</v>
      </c>
      <c r="R573" s="28" t="n">
        <v>0</v>
      </c>
      <c r="S573" s="28">
        <f>Q573-R573</f>
        <v/>
      </c>
      <c r="T573" s="28">
        <f>IF(S573="","",S573*(1+in_GrowthRate)^(YEARFRAC(DATE(2023,6,30),in_AgeToDate)*IF(in_AgeToDate&lt;DATE(2023,6,30),-1,1)+1))</f>
        <v/>
      </c>
      <c r="U573" s="50">
        <f>IF(AND(AND(OR(in_Mode="All Funds",AND(C573&gt;=in_BandFloor,C573&lt;=in_BandCeiling,OR(in_Geography="National",COUNTIFS(lst_GeoPreset,in_Geography,lst_GeoState,B573)&gt;0,AND(in_Geography="Custom",ISNUMBER(SEARCH(B573,SUBSTITUTE(in_CustomStates," ",""))))),OR(AND(D573="Endowment",Inputs!$B$14="Y"),AND(D573="Foundation",Inputs!$B$15="Y"),AND(D573="Healthcare",Inputs!$B$16="Y"),AND(D573="Pension",Inputs!$B$17="Y"),AND(D573="OCIO",Inputs!$B$18="Y"),AND(D573="Other",Inputs!$B$19="Y")))),A573&lt;&gt;in_ClientOrg,NOT(AND(in_ExclHarvard="Y",ISNUMBER(SEARCH("Harvard",A573))))),$AD573="Y",K573&lt;&gt;"",S573&gt;0),"Y","")</f>
        <v/>
      </c>
      <c r="V573" s="30" t="n">
        <v>0.4882182418907801</v>
      </c>
      <c r="W573" t="inlineStr"/>
      <c r="X573" s="28">
        <f>IF(L573+M573=0,"",L573+M573)</f>
        <v/>
      </c>
      <c r="Y573" s="38">
        <f>IF(L573=0,"",M573/L573)</f>
        <v/>
      </c>
      <c r="Z573" t="inlineStr">
        <is>
          <t>Managing Director</t>
        </is>
      </c>
      <c r="AA573" t="inlineStr">
        <is>
          <t>Investments</t>
        </is>
      </c>
      <c r="AB573" s="50" t="inlineStr"/>
      <c r="AC573" s="43">
        <f>HYPERLINK("https://projects.propublica.org/nonprofits/organizations/951790021/202421359349106107/full","view filing")</f>
        <v/>
      </c>
      <c r="AD573" s="50" t="inlineStr"/>
    </row>
    <row r="574">
      <c r="A574" t="inlineStr">
        <is>
          <t>J Paul Getty Trust</t>
        </is>
      </c>
      <c r="B574" s="50" t="inlineStr">
        <is>
          <t>CA</t>
        </is>
      </c>
      <c r="C574" s="52" t="n">
        <v>9.880000000000001</v>
      </c>
      <c r="D574" t="inlineStr">
        <is>
          <t>Foundation</t>
        </is>
      </c>
      <c r="E574" s="50" t="n">
        <v>2023</v>
      </c>
      <c r="F574" s="50" t="inlineStr">
        <is>
          <t>2024-05-14</t>
        </is>
      </c>
      <c r="G574" s="50" t="inlineStr">
        <is>
          <t>2023-06-30</t>
        </is>
      </c>
      <c r="H574" t="inlineStr">
        <is>
          <t>David Hughes</t>
        </is>
      </c>
      <c r="I574" t="inlineStr">
        <is>
          <t>MNG DIR PUB SEC, ASST TREAS</t>
        </is>
      </c>
      <c r="J574" t="inlineStr">
        <is>
          <t>Managing Director</t>
        </is>
      </c>
      <c r="K574" t="inlineStr">
        <is>
          <t>Sr Investment Professional</t>
        </is>
      </c>
      <c r="L574" s="28" t="n">
        <v>0</v>
      </c>
      <c r="M574" s="28" t="n">
        <v>0</v>
      </c>
      <c r="N574" s="28" t="n">
        <v>0</v>
      </c>
      <c r="O574" s="28" t="n">
        <v>0</v>
      </c>
      <c r="P574" s="28" t="n">
        <v>922611</v>
      </c>
      <c r="Q574" s="28" t="n">
        <v>1649005</v>
      </c>
      <c r="R574" s="28" t="n">
        <v>0</v>
      </c>
      <c r="S574" s="28">
        <f>Q574-R574</f>
        <v/>
      </c>
      <c r="T574" s="28">
        <f>IF(S574="","",S574*(1+in_GrowthRate)^(YEARFRAC(DATE(2023,6,30),in_AgeToDate)*IF(in_AgeToDate&lt;DATE(2023,6,30),-1,1)+1))</f>
        <v/>
      </c>
      <c r="U574" s="50">
        <f>IF(AND(AND(OR(in_Mode="All Funds",AND(C574&gt;=in_BandFloor,C574&lt;=in_BandCeiling,OR(in_Geography="National",COUNTIFS(lst_GeoPreset,in_Geography,lst_GeoState,B574)&gt;0,AND(in_Geography="Custom",ISNUMBER(SEARCH(B574,SUBSTITUTE(in_CustomStates," ",""))))),OR(AND(D574="Endowment",Inputs!$B$14="Y"),AND(D574="Foundation",Inputs!$B$15="Y"),AND(D574="Healthcare",Inputs!$B$16="Y"),AND(D574="Pension",Inputs!$B$17="Y"),AND(D574="OCIO",Inputs!$B$18="Y"),AND(D574="Other",Inputs!$B$19="Y")))),A574&lt;&gt;in_ClientOrg,NOT(AND(in_ExclHarvard="Y",ISNUMBER(SEARCH("Harvard",A574))))),$AD574="Y",K574&lt;&gt;"",S574&gt;0),"Y","")</f>
        <v/>
      </c>
      <c r="V574" s="30" t="n">
        <v>0.4483460187592408</v>
      </c>
      <c r="W574" t="inlineStr"/>
      <c r="X574" s="28">
        <f>IF(L574+M574=0,"",L574+M574)</f>
        <v/>
      </c>
      <c r="Y574" s="38">
        <f>IF(L574=0,"",M574/L574)</f>
        <v/>
      </c>
      <c r="Z574" t="inlineStr">
        <is>
          <t>Managing Director</t>
        </is>
      </c>
      <c r="AA574" t="inlineStr">
        <is>
          <t>Investments</t>
        </is>
      </c>
      <c r="AB574" s="50" t="inlineStr"/>
      <c r="AC574" s="43">
        <f>HYPERLINK("https://projects.propublica.org/nonprofits/organizations/951790021/202421359349106107/full","view filing")</f>
        <v/>
      </c>
      <c r="AD574" s="50" t="inlineStr"/>
    </row>
    <row r="575">
      <c r="A575" t="inlineStr">
        <is>
          <t>J Paul Getty Trust</t>
        </is>
      </c>
      <c r="B575" s="50" t="inlineStr">
        <is>
          <t>CA</t>
        </is>
      </c>
      <c r="C575" s="52" t="n">
        <v>9.880000000000001</v>
      </c>
      <c r="D575" t="inlineStr">
        <is>
          <t>Foundation</t>
        </is>
      </c>
      <c r="E575" s="50" t="n">
        <v>2023</v>
      </c>
      <c r="F575" s="50" t="inlineStr">
        <is>
          <t>2024-05-14</t>
        </is>
      </c>
      <c r="G575" s="50" t="inlineStr">
        <is>
          <t>2023-06-30</t>
        </is>
      </c>
      <c r="H575" t="inlineStr">
        <is>
          <t>James M Williams</t>
        </is>
      </c>
      <c r="I575" t="inlineStr">
        <is>
          <t>VP, TREASURER &amp; CIO</t>
        </is>
      </c>
      <c r="J575" t="inlineStr">
        <is>
          <t>CIO</t>
        </is>
      </c>
      <c r="K575" t="inlineStr">
        <is>
          <t>CIO - Top Investment Executive</t>
        </is>
      </c>
      <c r="L575" s="28" t="n">
        <v>0</v>
      </c>
      <c r="M575" s="28" t="n">
        <v>0</v>
      </c>
      <c r="N575" s="28" t="n">
        <v>0</v>
      </c>
      <c r="O575" s="28" t="n">
        <v>0</v>
      </c>
      <c r="P575" s="28" t="n">
        <v>1907520</v>
      </c>
      <c r="Q575" s="28" t="n">
        <v>3677974</v>
      </c>
      <c r="R575" s="28" t="n">
        <v>0</v>
      </c>
      <c r="S575" s="28">
        <f>Q575-R575</f>
        <v/>
      </c>
      <c r="T575" s="28">
        <f>IF(S575="","",S575*(1+in_GrowthRate)^(YEARFRAC(DATE(2023,6,30),in_AgeToDate)*IF(in_AgeToDate&lt;DATE(2023,6,30),-1,1)+1))</f>
        <v/>
      </c>
      <c r="U575" s="50">
        <f>IF(AND(AND(OR(in_Mode="All Funds",AND(C575&gt;=in_BandFloor,C575&lt;=in_BandCeiling,OR(in_Geography="National",COUNTIFS(lst_GeoPreset,in_Geography,lst_GeoState,B575)&gt;0,AND(in_Geography="Custom",ISNUMBER(SEARCH(B575,SUBSTITUTE(in_CustomStates," ",""))))),OR(AND(D575="Endowment",Inputs!$B$14="Y"),AND(D575="Foundation",Inputs!$B$15="Y"),AND(D575="Healthcare",Inputs!$B$16="Y"),AND(D575="Pension",Inputs!$B$17="Y"),AND(D575="OCIO",Inputs!$B$18="Y"),AND(D575="Other",Inputs!$B$19="Y")))),A575&lt;&gt;in_ClientOrg,NOT(AND(in_ExclHarvard="Y",ISNUMBER(SEARCH("Harvard",A575))))),$AD575="Y",K575&lt;&gt;"",S575&gt;0),"Y","")</f>
        <v/>
      </c>
      <c r="V575" s="30" t="n">
        <v>1</v>
      </c>
      <c r="W575" t="inlineStr"/>
      <c r="X575" s="28">
        <f>IF(L575+M575=0,"",L575+M575)</f>
        <v/>
      </c>
      <c r="Y575" s="38">
        <f>IF(L575=0,"",M575/L575)</f>
        <v/>
      </c>
      <c r="Z575" t="inlineStr">
        <is>
          <t>CIO - Top Investment Executive</t>
        </is>
      </c>
      <c r="AA575" t="inlineStr">
        <is>
          <t>Leadership</t>
        </is>
      </c>
      <c r="AB575" s="50" t="inlineStr">
        <is>
          <t>Y</t>
        </is>
      </c>
      <c r="AC575" s="43">
        <f>HYPERLINK("https://projects.propublica.org/nonprofits/organizations/951790021/202421359349106107/full","view filing")</f>
        <v/>
      </c>
      <c r="AD575" s="50" t="inlineStr"/>
    </row>
    <row r="576">
      <c r="A576" t="inlineStr">
        <is>
          <t>J Paul Getty Trust</t>
        </is>
      </c>
      <c r="B576" s="50" t="inlineStr">
        <is>
          <t>CA</t>
        </is>
      </c>
      <c r="C576" s="52" t="n">
        <v>9.880000000000001</v>
      </c>
      <c r="D576" t="inlineStr">
        <is>
          <t>Foundation</t>
        </is>
      </c>
      <c r="E576" s="50" t="n">
        <v>2022</v>
      </c>
      <c r="F576" s="50" t="inlineStr">
        <is>
          <t>2023-05-15</t>
        </is>
      </c>
      <c r="G576" s="50" t="inlineStr">
        <is>
          <t>2022-06-30</t>
        </is>
      </c>
      <c r="H576" t="inlineStr">
        <is>
          <t>Barbara Jesuele</t>
        </is>
      </c>
      <c r="I576" t="inlineStr">
        <is>
          <t>MANAGING DIR, REAL A</t>
        </is>
      </c>
      <c r="J576" t="inlineStr">
        <is>
          <t>Managing Director</t>
        </is>
      </c>
      <c r="K576" t="inlineStr">
        <is>
          <t>Sr Investment Professional</t>
        </is>
      </c>
      <c r="L576" s="28" t="n">
        <v>0</v>
      </c>
      <c r="M576" s="28" t="n">
        <v>0</v>
      </c>
      <c r="N576" s="28" t="n">
        <v>0</v>
      </c>
      <c r="O576" s="28" t="n">
        <v>0</v>
      </c>
      <c r="P576" s="28" t="n">
        <v>0</v>
      </c>
      <c r="Q576" s="28" t="n">
        <v>889379</v>
      </c>
      <c r="R576" s="28" t="n">
        <v>0</v>
      </c>
      <c r="S576" s="28">
        <f>Q576-R576</f>
        <v/>
      </c>
      <c r="T576" s="28">
        <f>IF(S576="","",S576*(1+in_GrowthRate)^(YEARFRAC(DATE(2022,6,30),in_AgeToDate)*IF(in_AgeToDate&lt;DATE(2022,6,30),-1,1)+1))</f>
        <v/>
      </c>
      <c r="U576" s="50">
        <f>IF(AND(AND(OR(in_Mode="All Funds",AND(C576&gt;=in_BandFloor,C576&lt;=in_BandCeiling,OR(in_Geography="National",COUNTIFS(lst_GeoPreset,in_Geography,lst_GeoState,B576)&gt;0,AND(in_Geography="Custom",ISNUMBER(SEARCH(B576,SUBSTITUTE(in_CustomStates," ",""))))),OR(AND(D576="Endowment",Inputs!$B$14="Y"),AND(D576="Foundation",Inputs!$B$15="Y"),AND(D576="Healthcare",Inputs!$B$16="Y"),AND(D576="Pension",Inputs!$B$17="Y"),AND(D576="OCIO",Inputs!$B$18="Y"),AND(D576="Other",Inputs!$B$19="Y")))),A576&lt;&gt;in_ClientOrg,NOT(AND(in_ExclHarvard="Y",ISNUMBER(SEARCH("Harvard",A576))))),$AD576="Y",K576&lt;&gt;"",S576&gt;0),"Y","")</f>
        <v/>
      </c>
      <c r="V576" s="30" t="n">
        <v>0.2389723890897688</v>
      </c>
      <c r="W576" t="inlineStr"/>
      <c r="X576" s="28">
        <f>IF(L576+M576=0,"",L576+M576)</f>
        <v/>
      </c>
      <c r="Y576" s="38">
        <f>IF(L576=0,"",M576/L576)</f>
        <v/>
      </c>
      <c r="Z576" t="inlineStr">
        <is>
          <t>Managing Director</t>
        </is>
      </c>
      <c r="AA576" t="inlineStr">
        <is>
          <t>Investments</t>
        </is>
      </c>
      <c r="AB576" s="50" t="inlineStr"/>
      <c r="AC576" s="43">
        <f>HYPERLINK("https://projects.propublica.org/nonprofits/organizations/951790021/202311359349103356/full","view filing")</f>
        <v/>
      </c>
      <c r="AD576" s="50" t="inlineStr"/>
    </row>
    <row r="577">
      <c r="A577" t="inlineStr">
        <is>
          <t>J Paul Getty Trust</t>
        </is>
      </c>
      <c r="B577" s="50" t="inlineStr">
        <is>
          <t>CA</t>
        </is>
      </c>
      <c r="C577" s="52" t="n">
        <v>9.880000000000001</v>
      </c>
      <c r="D577" t="inlineStr">
        <is>
          <t>Foundation</t>
        </is>
      </c>
      <c r="E577" s="50" t="n">
        <v>2022</v>
      </c>
      <c r="F577" s="50" t="inlineStr">
        <is>
          <t>2023-05-15</t>
        </is>
      </c>
      <c r="G577" s="50" t="inlineStr">
        <is>
          <t>2022-06-30</t>
        </is>
      </c>
      <c r="H577" t="inlineStr">
        <is>
          <t>Benjamin Liou</t>
        </is>
      </c>
      <c r="I577" t="inlineStr">
        <is>
          <t>MNG DIR EQ &amp; BONDS, ASST TREAS</t>
        </is>
      </c>
      <c r="J577" t="inlineStr">
        <is>
          <t>Managing Director</t>
        </is>
      </c>
      <c r="K577" t="inlineStr">
        <is>
          <t>Sr Investment Professional</t>
        </is>
      </c>
      <c r="L577" s="28" t="n">
        <v>0</v>
      </c>
      <c r="M577" s="28" t="n">
        <v>0</v>
      </c>
      <c r="N577" s="28" t="n">
        <v>0</v>
      </c>
      <c r="O577" s="28" t="n">
        <v>0</v>
      </c>
      <c r="P577" s="28" t="n">
        <v>571751</v>
      </c>
      <c r="Q577" s="28" t="n">
        <v>1533626</v>
      </c>
      <c r="R577" s="28" t="n">
        <v>0</v>
      </c>
      <c r="S577" s="28">
        <f>Q577-R577</f>
        <v/>
      </c>
      <c r="T577" s="28">
        <f>IF(S577="","",S577*(1+in_GrowthRate)^(YEARFRAC(DATE(2022,6,30),in_AgeToDate)*IF(in_AgeToDate&lt;DATE(2022,6,30),-1,1)+1))</f>
        <v/>
      </c>
      <c r="U577" s="50">
        <f>IF(AND(AND(OR(in_Mode="All Funds",AND(C577&gt;=in_BandFloor,C577&lt;=in_BandCeiling,OR(in_Geography="National",COUNTIFS(lst_GeoPreset,in_Geography,lst_GeoState,B577)&gt;0,AND(in_Geography="Custom",ISNUMBER(SEARCH(B577,SUBSTITUTE(in_CustomStates," ",""))))),OR(AND(D577="Endowment",Inputs!$B$14="Y"),AND(D577="Foundation",Inputs!$B$15="Y"),AND(D577="Healthcare",Inputs!$B$16="Y"),AND(D577="Pension",Inputs!$B$17="Y"),AND(D577="OCIO",Inputs!$B$18="Y"),AND(D577="Other",Inputs!$B$19="Y")))),A577&lt;&gt;in_ClientOrg,NOT(AND(in_ExclHarvard="Y",ISNUMBER(SEARCH("Harvard",A577))))),$AD577="Y",K577&lt;&gt;"",S577&gt;0),"Y","")</f>
        <v/>
      </c>
      <c r="V577" s="30" t="n">
        <v>0.4120788428669733</v>
      </c>
      <c r="W577" t="inlineStr"/>
      <c r="X577" s="28">
        <f>IF(L577+M577=0,"",L577+M577)</f>
        <v/>
      </c>
      <c r="Y577" s="38">
        <f>IF(L577=0,"",M577/L577)</f>
        <v/>
      </c>
      <c r="Z577" t="inlineStr">
        <is>
          <t>Managing Director</t>
        </is>
      </c>
      <c r="AA577" t="inlineStr">
        <is>
          <t>Investments</t>
        </is>
      </c>
      <c r="AB577" s="50" t="inlineStr"/>
      <c r="AC577" s="43">
        <f>HYPERLINK("https://projects.propublica.org/nonprofits/organizations/951790021/202311359349103356/full","view filing")</f>
        <v/>
      </c>
      <c r="AD577" s="50" t="inlineStr"/>
    </row>
    <row r="578">
      <c r="A578" t="inlineStr">
        <is>
          <t>J Paul Getty Trust</t>
        </is>
      </c>
      <c r="B578" s="50" t="inlineStr">
        <is>
          <t>CA</t>
        </is>
      </c>
      <c r="C578" s="52" t="n">
        <v>9.880000000000001</v>
      </c>
      <c r="D578" t="inlineStr">
        <is>
          <t>Foundation</t>
        </is>
      </c>
      <c r="E578" s="50" t="n">
        <v>2022</v>
      </c>
      <c r="F578" s="50" t="inlineStr">
        <is>
          <t>2023-05-15</t>
        </is>
      </c>
      <c r="G578" s="50" t="inlineStr">
        <is>
          <t>2022-06-30</t>
        </is>
      </c>
      <c r="H578" t="inlineStr">
        <is>
          <t>James M Williams</t>
        </is>
      </c>
      <c r="I578" t="inlineStr">
        <is>
          <t>VP, TREASURER &amp; CIO</t>
        </is>
      </c>
      <c r="J578" t="inlineStr">
        <is>
          <t>CIO</t>
        </is>
      </c>
      <c r="K578" t="inlineStr">
        <is>
          <t>CIO - Top Investment Executive</t>
        </is>
      </c>
      <c r="L578" s="28" t="n">
        <v>0</v>
      </c>
      <c r="M578" s="28" t="n">
        <v>0</v>
      </c>
      <c r="N578" s="28" t="n">
        <v>0</v>
      </c>
      <c r="O578" s="28" t="n">
        <v>0</v>
      </c>
      <c r="P578" s="28" t="n">
        <v>1445728</v>
      </c>
      <c r="Q578" s="28" t="n">
        <v>3721681</v>
      </c>
      <c r="R578" s="28" t="n">
        <v>0</v>
      </c>
      <c r="S578" s="28">
        <f>Q578-R578</f>
        <v/>
      </c>
      <c r="T578" s="28">
        <f>IF(S578="","",S578*(1+in_GrowthRate)^(YEARFRAC(DATE(2022,6,30),in_AgeToDate)*IF(in_AgeToDate&lt;DATE(2022,6,30),-1,1)+1))</f>
        <v/>
      </c>
      <c r="U578" s="50">
        <f>IF(AND(AND(OR(in_Mode="All Funds",AND(C578&gt;=in_BandFloor,C578&lt;=in_BandCeiling,OR(in_Geography="National",COUNTIFS(lst_GeoPreset,in_Geography,lst_GeoState,B578)&gt;0,AND(in_Geography="Custom",ISNUMBER(SEARCH(B578,SUBSTITUTE(in_CustomStates," ",""))))),OR(AND(D578="Endowment",Inputs!$B$14="Y"),AND(D578="Foundation",Inputs!$B$15="Y"),AND(D578="Healthcare",Inputs!$B$16="Y"),AND(D578="Pension",Inputs!$B$17="Y"),AND(D578="OCIO",Inputs!$B$18="Y"),AND(D578="Other",Inputs!$B$19="Y")))),A578&lt;&gt;in_ClientOrg,NOT(AND(in_ExclHarvard="Y",ISNUMBER(SEARCH("Harvard",A578))))),$AD578="Y",K578&lt;&gt;"",S578&gt;0),"Y","")</f>
        <v/>
      </c>
      <c r="V578" s="30" t="n">
        <v>1</v>
      </c>
      <c r="W578" t="inlineStr"/>
      <c r="X578" s="28">
        <f>IF(L578+M578=0,"",L578+M578)</f>
        <v/>
      </c>
      <c r="Y578" s="38">
        <f>IF(L578=0,"",M578/L578)</f>
        <v/>
      </c>
      <c r="Z578" t="inlineStr">
        <is>
          <t>CIO - Top Investment Executive</t>
        </is>
      </c>
      <c r="AA578" t="inlineStr">
        <is>
          <t>Leadership</t>
        </is>
      </c>
      <c r="AB578" s="50" t="inlineStr">
        <is>
          <t>Y</t>
        </is>
      </c>
      <c r="AC578" s="43">
        <f>HYPERLINK("https://projects.propublica.org/nonprofits/organizations/951790021/202311359349103356/full","view filing")</f>
        <v/>
      </c>
      <c r="AD578" s="50" t="inlineStr"/>
    </row>
    <row r="579">
      <c r="A579" t="inlineStr">
        <is>
          <t>James Irvine Foundation</t>
        </is>
      </c>
      <c r="B579" s="50" t="inlineStr">
        <is>
          <t>CA</t>
        </is>
      </c>
      <c r="C579" s="52" t="n">
        <v>3.21</v>
      </c>
      <c r="D579" t="inlineStr">
        <is>
          <t>Foundation</t>
        </is>
      </c>
      <c r="E579" s="50" t="n">
        <v>2024</v>
      </c>
      <c r="F579" s="50" t="inlineStr">
        <is>
          <t>2025-11-10</t>
        </is>
      </c>
      <c r="G579" s="50" t="inlineStr">
        <is>
          <t>2024-12-31</t>
        </is>
      </c>
      <c r="H579" t="inlineStr">
        <is>
          <t>Jesus S Arguelles</t>
        </is>
      </c>
      <c r="I579" t="inlineStr">
        <is>
          <t>MNG DIR OF INVEST</t>
        </is>
      </c>
      <c r="J579" t="inlineStr">
        <is>
          <t>Managing Director</t>
        </is>
      </c>
      <c r="K579" t="inlineStr">
        <is>
          <t>Sr Investment Professional</t>
        </is>
      </c>
      <c r="L579" s="28" t="n">
        <v>0</v>
      </c>
      <c r="M579" s="28" t="n">
        <v>0</v>
      </c>
      <c r="N579" s="28" t="n">
        <v>0</v>
      </c>
      <c r="O579" s="28" t="n">
        <v>0</v>
      </c>
      <c r="P579" s="28" t="n">
        <v>0</v>
      </c>
      <c r="Q579" s="28" t="n">
        <v>1034000</v>
      </c>
      <c r="R579" s="28" t="n">
        <v>0</v>
      </c>
      <c r="S579" s="28">
        <f>Q579-R579</f>
        <v/>
      </c>
      <c r="T579" s="28">
        <f>IF(S579="","",S579*(1+in_GrowthRate)^(YEARFRAC(DATE(2024,12,31),in_AgeToDate)*IF(in_AgeToDate&lt;DATE(2024,12,31),-1,1)+1))</f>
        <v/>
      </c>
      <c r="U579" s="50">
        <f>IF(AND(AND(OR(in_Mode="All Funds",AND(C579&gt;=in_BandFloor,C579&lt;=in_BandCeiling,OR(in_Geography="National",COUNTIFS(lst_GeoPreset,in_Geography,lst_GeoState,B579)&gt;0,AND(in_Geography="Custom",ISNUMBER(SEARCH(B579,SUBSTITUTE(in_CustomStates," ",""))))),OR(AND(D579="Endowment",Inputs!$B$14="Y"),AND(D579="Foundation",Inputs!$B$15="Y"),AND(D579="Healthcare",Inputs!$B$16="Y"),AND(D579="Pension",Inputs!$B$17="Y"),AND(D579="OCIO",Inputs!$B$18="Y"),AND(D579="Other",Inputs!$B$19="Y")))),A579&lt;&gt;in_ClientOrg,NOT(AND(in_ExclHarvard="Y",ISNUMBER(SEARCH("Harvard",A579))))),$AD579="Y",K579&lt;&gt;"",S579&gt;0),"Y","")</f>
        <v/>
      </c>
      <c r="V579" s="30" t="n">
        <v>0.3942476447134785</v>
      </c>
      <c r="W579" t="inlineStr"/>
      <c r="X579" s="28">
        <f>IF(L579+M579=0,"",L579+M579)</f>
        <v/>
      </c>
      <c r="Y579" s="38">
        <f>IF(L579=0,"",M579/L579)</f>
        <v/>
      </c>
      <c r="Z579" t="inlineStr">
        <is>
          <t>Managing Director</t>
        </is>
      </c>
      <c r="AA579" t="inlineStr">
        <is>
          <t>Investments</t>
        </is>
      </c>
      <c r="AB579" s="50" t="inlineStr"/>
      <c r="AC579" s="43">
        <f>HYPERLINK("https://projects.propublica.org/nonprofits/organizations/941236937/202543149349101919/full","view filing")</f>
        <v/>
      </c>
      <c r="AD579" s="50" t="inlineStr">
        <is>
          <t>Y</t>
        </is>
      </c>
    </row>
    <row r="580">
      <c r="A580" t="inlineStr">
        <is>
          <t>James Irvine Foundation</t>
        </is>
      </c>
      <c r="B580" s="50" t="inlineStr">
        <is>
          <t>CA</t>
        </is>
      </c>
      <c r="C580" s="52" t="n">
        <v>3.21</v>
      </c>
      <c r="D580" t="inlineStr">
        <is>
          <t>Foundation</t>
        </is>
      </c>
      <c r="E580" s="50" t="n">
        <v>2024</v>
      </c>
      <c r="F580" s="50" t="inlineStr">
        <is>
          <t>2025-11-10</t>
        </is>
      </c>
      <c r="G580" s="50" t="inlineStr">
        <is>
          <t>2024-12-31</t>
        </is>
      </c>
      <c r="H580" t="inlineStr">
        <is>
          <t>Melissa Lopez</t>
        </is>
      </c>
      <c r="I580" t="inlineStr">
        <is>
          <t>MNG DIR OF INVEST</t>
        </is>
      </c>
      <c r="J580" t="inlineStr">
        <is>
          <t>Managing Director</t>
        </is>
      </c>
      <c r="K580" t="inlineStr">
        <is>
          <t>Sr Investment Professional</t>
        </is>
      </c>
      <c r="L580" s="28" t="n">
        <v>0</v>
      </c>
      <c r="M580" s="28" t="n">
        <v>0</v>
      </c>
      <c r="N580" s="28" t="n">
        <v>0</v>
      </c>
      <c r="O580" s="28" t="n">
        <v>0</v>
      </c>
      <c r="P580" s="28" t="n">
        <v>0</v>
      </c>
      <c r="Q580" s="28" t="n">
        <v>1170000</v>
      </c>
      <c r="R580" s="28" t="n">
        <v>0</v>
      </c>
      <c r="S580" s="28">
        <f>Q580-R580</f>
        <v/>
      </c>
      <c r="T580" s="28">
        <f>IF(S580="","",S580*(1+in_GrowthRate)^(YEARFRAC(DATE(2024,12,31),in_AgeToDate)*IF(in_AgeToDate&lt;DATE(2024,12,31),-1,1)+1))</f>
        <v/>
      </c>
      <c r="U580" s="50">
        <f>IF(AND(AND(OR(in_Mode="All Funds",AND(C580&gt;=in_BandFloor,C580&lt;=in_BandCeiling,OR(in_Geography="National",COUNTIFS(lst_GeoPreset,in_Geography,lst_GeoState,B580)&gt;0,AND(in_Geography="Custom",ISNUMBER(SEARCH(B580,SUBSTITUTE(in_CustomStates," ",""))))),OR(AND(D580="Endowment",Inputs!$B$14="Y"),AND(D580="Foundation",Inputs!$B$15="Y"),AND(D580="Healthcare",Inputs!$B$16="Y"),AND(D580="Pension",Inputs!$B$17="Y"),AND(D580="OCIO",Inputs!$B$18="Y"),AND(D580="Other",Inputs!$B$19="Y")))),A580&lt;&gt;in_ClientOrg,NOT(AND(in_ExclHarvard="Y",ISNUMBER(SEARCH("Harvard",A580))))),$AD580="Y",K580&lt;&gt;"",S580&gt;0),"Y","")</f>
        <v/>
      </c>
      <c r="V580" s="30" t="n">
        <v>0.4461022672289843</v>
      </c>
      <c r="W580" t="inlineStr"/>
      <c r="X580" s="28">
        <f>IF(L580+M580=0,"",L580+M580)</f>
        <v/>
      </c>
      <c r="Y580" s="38">
        <f>IF(L580=0,"",M580/L580)</f>
        <v/>
      </c>
      <c r="Z580" t="inlineStr">
        <is>
          <t>Managing Director</t>
        </is>
      </c>
      <c r="AA580" t="inlineStr">
        <is>
          <t>Investments</t>
        </is>
      </c>
      <c r="AB580" s="50" t="inlineStr"/>
      <c r="AC580" s="43">
        <f>HYPERLINK("https://projects.propublica.org/nonprofits/organizations/941236937/202543149349101919/full","view filing")</f>
        <v/>
      </c>
      <c r="AD580" s="50" t="inlineStr">
        <is>
          <t>Y</t>
        </is>
      </c>
    </row>
    <row r="581">
      <c r="A581" t="inlineStr">
        <is>
          <t>James Irvine Foundation</t>
        </is>
      </c>
      <c r="B581" s="50" t="inlineStr">
        <is>
          <t>CA</t>
        </is>
      </c>
      <c r="C581" s="52" t="n">
        <v>3.21</v>
      </c>
      <c r="D581" t="inlineStr">
        <is>
          <t>Foundation</t>
        </is>
      </c>
      <c r="E581" s="50" t="n">
        <v>2024</v>
      </c>
      <c r="F581" s="50" t="inlineStr">
        <is>
          <t>2025-11-10</t>
        </is>
      </c>
      <c r="G581" s="50" t="inlineStr">
        <is>
          <t>2024-12-31</t>
        </is>
      </c>
      <c r="H581" t="inlineStr">
        <is>
          <t>Sharif Siddiqui</t>
        </is>
      </c>
      <c r="I581" t="inlineStr">
        <is>
          <t>MNG DIR OF INVEST</t>
        </is>
      </c>
      <c r="J581" t="inlineStr">
        <is>
          <t>Managing Director</t>
        </is>
      </c>
      <c r="K581" t="inlineStr">
        <is>
          <t>Sr Investment Professional</t>
        </is>
      </c>
      <c r="L581" s="28" t="n">
        <v>0</v>
      </c>
      <c r="M581" s="28" t="n">
        <v>0</v>
      </c>
      <c r="N581" s="28" t="n">
        <v>0</v>
      </c>
      <c r="O581" s="28" t="n">
        <v>0</v>
      </c>
      <c r="P581" s="28" t="n">
        <v>0</v>
      </c>
      <c r="Q581" s="28" t="n">
        <v>1170000</v>
      </c>
      <c r="R581" s="28" t="n">
        <v>0</v>
      </c>
      <c r="S581" s="28">
        <f>Q581-R581</f>
        <v/>
      </c>
      <c r="T581" s="28">
        <f>IF(S581="","",S581*(1+in_GrowthRate)^(YEARFRAC(DATE(2024,12,31),in_AgeToDate)*IF(in_AgeToDate&lt;DATE(2024,12,31),-1,1)+1))</f>
        <v/>
      </c>
      <c r="U581" s="50">
        <f>IF(AND(AND(OR(in_Mode="All Funds",AND(C581&gt;=in_BandFloor,C581&lt;=in_BandCeiling,OR(in_Geography="National",COUNTIFS(lst_GeoPreset,in_Geography,lst_GeoState,B581)&gt;0,AND(in_Geography="Custom",ISNUMBER(SEARCH(B581,SUBSTITUTE(in_CustomStates," ",""))))),OR(AND(D581="Endowment",Inputs!$B$14="Y"),AND(D581="Foundation",Inputs!$B$15="Y"),AND(D581="Healthcare",Inputs!$B$16="Y"),AND(D581="Pension",Inputs!$B$17="Y"),AND(D581="OCIO",Inputs!$B$18="Y"),AND(D581="Other",Inputs!$B$19="Y")))),A581&lt;&gt;in_ClientOrg,NOT(AND(in_ExclHarvard="Y",ISNUMBER(SEARCH("Harvard",A581))))),$AD581="Y",K581&lt;&gt;"",S581&gt;0),"Y","")</f>
        <v/>
      </c>
      <c r="V581" s="30" t="n">
        <v>0.4461022672289843</v>
      </c>
      <c r="W581" t="inlineStr"/>
      <c r="X581" s="28">
        <f>IF(L581+M581=0,"",L581+M581)</f>
        <v/>
      </c>
      <c r="Y581" s="38">
        <f>IF(L581=0,"",M581/L581)</f>
        <v/>
      </c>
      <c r="Z581" t="inlineStr">
        <is>
          <t>Managing Director</t>
        </is>
      </c>
      <c r="AA581" t="inlineStr">
        <is>
          <t>Investments</t>
        </is>
      </c>
      <c r="AB581" s="50" t="inlineStr"/>
      <c r="AC581" s="43">
        <f>HYPERLINK("https://projects.propublica.org/nonprofits/organizations/941236937/202543149349101919/full","view filing")</f>
        <v/>
      </c>
      <c r="AD581" s="50" t="inlineStr">
        <is>
          <t>Y</t>
        </is>
      </c>
    </row>
    <row r="582">
      <c r="A582" t="inlineStr">
        <is>
          <t>James Irvine Foundation</t>
        </is>
      </c>
      <c r="B582" s="50" t="inlineStr">
        <is>
          <t>CA</t>
        </is>
      </c>
      <c r="C582" s="52" t="n">
        <v>3.21</v>
      </c>
      <c r="D582" t="inlineStr">
        <is>
          <t>Foundation</t>
        </is>
      </c>
      <c r="E582" s="50" t="n">
        <v>2024</v>
      </c>
      <c r="F582" s="50" t="inlineStr">
        <is>
          <t>2025-11-10</t>
        </is>
      </c>
      <c r="G582" s="50" t="inlineStr">
        <is>
          <t>2024-12-31</t>
        </is>
      </c>
      <c r="H582" t="inlineStr">
        <is>
          <t>Timothy Recker</t>
        </is>
      </c>
      <c r="I582" t="inlineStr">
        <is>
          <t>TREASURER &amp; CIO</t>
        </is>
      </c>
      <c r="J582" t="inlineStr">
        <is>
          <t>CIO</t>
        </is>
      </c>
      <c r="K582" t="inlineStr">
        <is>
          <t>CIO - Top Investment Executive</t>
        </is>
      </c>
      <c r="L582" s="28" t="n">
        <v>0</v>
      </c>
      <c r="M582" s="28" t="n">
        <v>0</v>
      </c>
      <c r="N582" s="28" t="n">
        <v>0</v>
      </c>
      <c r="O582" s="28" t="n">
        <v>0</v>
      </c>
      <c r="P582" s="28" t="n">
        <v>120217</v>
      </c>
      <c r="Q582" s="28" t="n">
        <v>2622717</v>
      </c>
      <c r="R582" s="28" t="n">
        <v>0</v>
      </c>
      <c r="S582" s="28">
        <f>Q582-R582</f>
        <v/>
      </c>
      <c r="T582" s="28">
        <f>IF(S582="","",S582*(1+in_GrowthRate)^(YEARFRAC(DATE(2024,12,31),in_AgeToDate)*IF(in_AgeToDate&lt;DATE(2024,12,31),-1,1)+1))</f>
        <v/>
      </c>
      <c r="U582" s="50">
        <f>IF(AND(AND(OR(in_Mode="All Funds",AND(C582&gt;=in_BandFloor,C582&lt;=in_BandCeiling,OR(in_Geography="National",COUNTIFS(lst_GeoPreset,in_Geography,lst_GeoState,B582)&gt;0,AND(in_Geography="Custom",ISNUMBER(SEARCH(B582,SUBSTITUTE(in_CustomStates," ",""))))),OR(AND(D582="Endowment",Inputs!$B$14="Y"),AND(D582="Foundation",Inputs!$B$15="Y"),AND(D582="Healthcare",Inputs!$B$16="Y"),AND(D582="Pension",Inputs!$B$17="Y"),AND(D582="OCIO",Inputs!$B$18="Y"),AND(D582="Other",Inputs!$B$19="Y")))),A582&lt;&gt;in_ClientOrg,NOT(AND(in_ExclHarvard="Y",ISNUMBER(SEARCH("Harvard",A582))))),$AD582="Y",K582&lt;&gt;"",S582&gt;0),"Y","")</f>
        <v/>
      </c>
      <c r="V582" s="30" t="n">
        <v>1</v>
      </c>
      <c r="W582" t="inlineStr"/>
      <c r="X582" s="28">
        <f>IF(L582+M582=0,"",L582+M582)</f>
        <v/>
      </c>
      <c r="Y582" s="38">
        <f>IF(L582=0,"",M582/L582)</f>
        <v/>
      </c>
      <c r="Z582" t="inlineStr">
        <is>
          <t>CIO - Top Investment Executive</t>
        </is>
      </c>
      <c r="AA582" t="inlineStr">
        <is>
          <t>Leadership</t>
        </is>
      </c>
      <c r="AB582" s="50" t="inlineStr">
        <is>
          <t>Y</t>
        </is>
      </c>
      <c r="AC582" s="43">
        <f>HYPERLINK("https://projects.propublica.org/nonprofits/organizations/941236937/202543149349101919/full","view filing")</f>
        <v/>
      </c>
      <c r="AD582" s="50" t="inlineStr">
        <is>
          <t>Y</t>
        </is>
      </c>
    </row>
    <row r="583">
      <c r="A583" t="inlineStr">
        <is>
          <t>James Irvine Foundation</t>
        </is>
      </c>
      <c r="B583" s="50" t="inlineStr">
        <is>
          <t>CA</t>
        </is>
      </c>
      <c r="C583" s="52" t="n">
        <v>3.21</v>
      </c>
      <c r="D583" t="inlineStr">
        <is>
          <t>Foundation</t>
        </is>
      </c>
      <c r="E583" s="50" t="n">
        <v>2023</v>
      </c>
      <c r="F583" s="50" t="inlineStr">
        <is>
          <t>2024-11-11</t>
        </is>
      </c>
      <c r="G583" s="50" t="inlineStr">
        <is>
          <t>2023-12-31</t>
        </is>
      </c>
      <c r="H583" t="inlineStr">
        <is>
          <t>Jesus S Arguelles</t>
        </is>
      </c>
      <c r="I583" t="inlineStr">
        <is>
          <t>MNG DIR OF INVEST</t>
        </is>
      </c>
      <c r="J583" t="inlineStr">
        <is>
          <t>Managing Director</t>
        </is>
      </c>
      <c r="K583" t="inlineStr">
        <is>
          <t>Sr Investment Professional</t>
        </is>
      </c>
      <c r="L583" s="28" t="n">
        <v>0</v>
      </c>
      <c r="M583" s="28" t="n">
        <v>0</v>
      </c>
      <c r="N583" s="28" t="n">
        <v>0</v>
      </c>
      <c r="O583" s="28" t="n">
        <v>0</v>
      </c>
      <c r="P583" s="28" t="n">
        <v>0</v>
      </c>
      <c r="Q583" s="28" t="n">
        <v>993875</v>
      </c>
      <c r="R583" s="28" t="n">
        <v>0</v>
      </c>
      <c r="S583" s="28">
        <f>Q583-R583</f>
        <v/>
      </c>
      <c r="T583" s="28">
        <f>IF(S583="","",S583*(1+in_GrowthRate)^(YEARFRAC(DATE(2023,12,31),in_AgeToDate)*IF(in_AgeToDate&lt;DATE(2023,12,31),-1,1)+1))</f>
        <v/>
      </c>
      <c r="U583" s="50">
        <f>IF(AND(AND(OR(in_Mode="All Funds",AND(C583&gt;=in_BandFloor,C583&lt;=in_BandCeiling,OR(in_Geography="National",COUNTIFS(lst_GeoPreset,in_Geography,lst_GeoState,B583)&gt;0,AND(in_Geography="Custom",ISNUMBER(SEARCH(B583,SUBSTITUTE(in_CustomStates," ",""))))),OR(AND(D583="Endowment",Inputs!$B$14="Y"),AND(D583="Foundation",Inputs!$B$15="Y"),AND(D583="Healthcare",Inputs!$B$16="Y"),AND(D583="Pension",Inputs!$B$17="Y"),AND(D583="OCIO",Inputs!$B$18="Y"),AND(D583="Other",Inputs!$B$19="Y")))),A583&lt;&gt;in_ClientOrg,NOT(AND(in_ExclHarvard="Y",ISNUMBER(SEARCH("Harvard",A583))))),$AD583="Y",K583&lt;&gt;"",S583&gt;0),"Y","")</f>
        <v/>
      </c>
      <c r="V583" s="30" t="n">
        <v>0.4029846510034323</v>
      </c>
      <c r="W583" t="inlineStr"/>
      <c r="X583" s="28">
        <f>IF(L583+M583=0,"",L583+M583)</f>
        <v/>
      </c>
      <c r="Y583" s="38">
        <f>IF(L583=0,"",M583/L583)</f>
        <v/>
      </c>
      <c r="Z583" t="inlineStr">
        <is>
          <t>Managing Director</t>
        </is>
      </c>
      <c r="AA583" t="inlineStr">
        <is>
          <t>Investments</t>
        </is>
      </c>
      <c r="AB583" s="50" t="inlineStr"/>
      <c r="AC583" s="43">
        <f>HYPERLINK("https://projects.propublica.org/nonprofits/organizations/941236937/202413169349102431/full","view filing")</f>
        <v/>
      </c>
      <c r="AD583" s="50" t="inlineStr"/>
    </row>
    <row r="584">
      <c r="A584" t="inlineStr">
        <is>
          <t>James Irvine Foundation</t>
        </is>
      </c>
      <c r="B584" s="50" t="inlineStr">
        <is>
          <t>CA</t>
        </is>
      </c>
      <c r="C584" s="52" t="n">
        <v>3.21</v>
      </c>
      <c r="D584" t="inlineStr">
        <is>
          <t>Foundation</t>
        </is>
      </c>
      <c r="E584" s="50" t="n">
        <v>2023</v>
      </c>
      <c r="F584" s="50" t="inlineStr">
        <is>
          <t>2024-11-11</t>
        </is>
      </c>
      <c r="G584" s="50" t="inlineStr">
        <is>
          <t>2023-12-31</t>
        </is>
      </c>
      <c r="H584" t="inlineStr">
        <is>
          <t>Melissa Lopez</t>
        </is>
      </c>
      <c r="I584" t="inlineStr">
        <is>
          <t>MNG DIR OF INVEST</t>
        </is>
      </c>
      <c r="J584" t="inlineStr">
        <is>
          <t>Managing Director</t>
        </is>
      </c>
      <c r="K584" t="inlineStr">
        <is>
          <t>Sr Investment Professional</t>
        </is>
      </c>
      <c r="L584" s="28" t="n">
        <v>0</v>
      </c>
      <c r="M584" s="28" t="n">
        <v>0</v>
      </c>
      <c r="N584" s="28" t="n">
        <v>0</v>
      </c>
      <c r="O584" s="28" t="n">
        <v>0</v>
      </c>
      <c r="P584" s="28" t="n">
        <v>0</v>
      </c>
      <c r="Q584" s="28" t="n">
        <v>1104375</v>
      </c>
      <c r="R584" s="28" t="n">
        <v>0</v>
      </c>
      <c r="S584" s="28">
        <f>Q584-R584</f>
        <v/>
      </c>
      <c r="T584" s="28">
        <f>IF(S584="","",S584*(1+in_GrowthRate)^(YEARFRAC(DATE(2023,12,31),in_AgeToDate)*IF(in_AgeToDate&lt;DATE(2023,12,31),-1,1)+1))</f>
        <v/>
      </c>
      <c r="U584" s="50">
        <f>IF(AND(AND(OR(in_Mode="All Funds",AND(C584&gt;=in_BandFloor,C584&lt;=in_BandCeiling,OR(in_Geography="National",COUNTIFS(lst_GeoPreset,in_Geography,lst_GeoState,B584)&gt;0,AND(in_Geography="Custom",ISNUMBER(SEARCH(B584,SUBSTITUTE(in_CustomStates," ",""))))),OR(AND(D584="Endowment",Inputs!$B$14="Y"),AND(D584="Foundation",Inputs!$B$15="Y"),AND(D584="Healthcare",Inputs!$B$16="Y"),AND(D584="Pension",Inputs!$B$17="Y"),AND(D584="OCIO",Inputs!$B$18="Y"),AND(D584="Other",Inputs!$B$19="Y")))),A584&lt;&gt;in_ClientOrg,NOT(AND(in_ExclHarvard="Y",ISNUMBER(SEARCH("Harvard",A584))))),$AD584="Y",K584&lt;&gt;"",S584&gt;0),"Y","")</f>
        <v/>
      </c>
      <c r="V584" s="30" t="n">
        <v>0.4477888808471041</v>
      </c>
      <c r="W584" t="inlineStr"/>
      <c r="X584" s="28">
        <f>IF(L584+M584=0,"",L584+M584)</f>
        <v/>
      </c>
      <c r="Y584" s="38">
        <f>IF(L584=0,"",M584/L584)</f>
        <v/>
      </c>
      <c r="Z584" t="inlineStr">
        <is>
          <t>Managing Director</t>
        </is>
      </c>
      <c r="AA584" t="inlineStr">
        <is>
          <t>Investments</t>
        </is>
      </c>
      <c r="AB584" s="50" t="inlineStr"/>
      <c r="AC584" s="43">
        <f>HYPERLINK("https://projects.propublica.org/nonprofits/organizations/941236937/202413169349102431/full","view filing")</f>
        <v/>
      </c>
      <c r="AD584" s="50" t="inlineStr"/>
    </row>
    <row r="585">
      <c r="A585" t="inlineStr">
        <is>
          <t>James Irvine Foundation</t>
        </is>
      </c>
      <c r="B585" s="50" t="inlineStr">
        <is>
          <t>CA</t>
        </is>
      </c>
      <c r="C585" s="52" t="n">
        <v>3.21</v>
      </c>
      <c r="D585" t="inlineStr">
        <is>
          <t>Foundation</t>
        </is>
      </c>
      <c r="E585" s="50" t="n">
        <v>2023</v>
      </c>
      <c r="F585" s="50" t="inlineStr">
        <is>
          <t>2024-11-11</t>
        </is>
      </c>
      <c r="G585" s="50" t="inlineStr">
        <is>
          <t>2023-12-31</t>
        </is>
      </c>
      <c r="H585" t="inlineStr">
        <is>
          <t>Sharif Siddiqui</t>
        </is>
      </c>
      <c r="I585" t="inlineStr">
        <is>
          <t>MNG DIR OF INVEST</t>
        </is>
      </c>
      <c r="J585" t="inlineStr">
        <is>
          <t>Managing Director</t>
        </is>
      </c>
      <c r="K585" t="inlineStr">
        <is>
          <t>Sr Investment Professional</t>
        </is>
      </c>
      <c r="L585" s="28" t="n">
        <v>0</v>
      </c>
      <c r="M585" s="28" t="n">
        <v>0</v>
      </c>
      <c r="N585" s="28" t="n">
        <v>0</v>
      </c>
      <c r="O585" s="28" t="n">
        <v>0</v>
      </c>
      <c r="P585" s="28" t="n">
        <v>0</v>
      </c>
      <c r="Q585" s="28" t="n">
        <v>1104375</v>
      </c>
      <c r="R585" s="28" t="n">
        <v>0</v>
      </c>
      <c r="S585" s="28">
        <f>Q585-R585</f>
        <v/>
      </c>
      <c r="T585" s="28">
        <f>IF(S585="","",S585*(1+in_GrowthRate)^(YEARFRAC(DATE(2023,12,31),in_AgeToDate)*IF(in_AgeToDate&lt;DATE(2023,12,31),-1,1)+1))</f>
        <v/>
      </c>
      <c r="U585" s="50">
        <f>IF(AND(AND(OR(in_Mode="All Funds",AND(C585&gt;=in_BandFloor,C585&lt;=in_BandCeiling,OR(in_Geography="National",COUNTIFS(lst_GeoPreset,in_Geography,lst_GeoState,B585)&gt;0,AND(in_Geography="Custom",ISNUMBER(SEARCH(B585,SUBSTITUTE(in_CustomStates," ",""))))),OR(AND(D585="Endowment",Inputs!$B$14="Y"),AND(D585="Foundation",Inputs!$B$15="Y"),AND(D585="Healthcare",Inputs!$B$16="Y"),AND(D585="Pension",Inputs!$B$17="Y"),AND(D585="OCIO",Inputs!$B$18="Y"),AND(D585="Other",Inputs!$B$19="Y")))),A585&lt;&gt;in_ClientOrg,NOT(AND(in_ExclHarvard="Y",ISNUMBER(SEARCH("Harvard",A585))))),$AD585="Y",K585&lt;&gt;"",S585&gt;0),"Y","")</f>
        <v/>
      </c>
      <c r="V585" s="30" t="n">
        <v>0.4477888808471041</v>
      </c>
      <c r="W585" t="inlineStr"/>
      <c r="X585" s="28">
        <f>IF(L585+M585=0,"",L585+M585)</f>
        <v/>
      </c>
      <c r="Y585" s="38">
        <f>IF(L585=0,"",M585/L585)</f>
        <v/>
      </c>
      <c r="Z585" t="inlineStr">
        <is>
          <t>Managing Director</t>
        </is>
      </c>
      <c r="AA585" t="inlineStr">
        <is>
          <t>Investments</t>
        </is>
      </c>
      <c r="AB585" s="50" t="inlineStr"/>
      <c r="AC585" s="43">
        <f>HYPERLINK("https://projects.propublica.org/nonprofits/organizations/941236937/202413169349102431/full","view filing")</f>
        <v/>
      </c>
      <c r="AD585" s="50" t="inlineStr"/>
    </row>
    <row r="586">
      <c r="A586" t="inlineStr">
        <is>
          <t>James Irvine Foundation</t>
        </is>
      </c>
      <c r="B586" s="50" t="inlineStr">
        <is>
          <t>CA</t>
        </is>
      </c>
      <c r="C586" s="52" t="n">
        <v>3.21</v>
      </c>
      <c r="D586" t="inlineStr">
        <is>
          <t>Foundation</t>
        </is>
      </c>
      <c r="E586" s="50" t="n">
        <v>2023</v>
      </c>
      <c r="F586" s="50" t="inlineStr">
        <is>
          <t>2024-11-11</t>
        </is>
      </c>
      <c r="G586" s="50" t="inlineStr">
        <is>
          <t>2023-12-31</t>
        </is>
      </c>
      <c r="H586" t="inlineStr">
        <is>
          <t>Timothy Recker</t>
        </is>
      </c>
      <c r="I586" t="inlineStr">
        <is>
          <t>TREASURER &amp; CIO</t>
        </is>
      </c>
      <c r="J586" t="inlineStr">
        <is>
          <t>CIO</t>
        </is>
      </c>
      <c r="K586" t="inlineStr">
        <is>
          <t>CIO - Top Investment Executive</t>
        </is>
      </c>
      <c r="L586" s="28" t="n">
        <v>0</v>
      </c>
      <c r="M586" s="28" t="n">
        <v>0</v>
      </c>
      <c r="N586" s="28" t="n">
        <v>0</v>
      </c>
      <c r="O586" s="28" t="n">
        <v>0</v>
      </c>
      <c r="P586" s="28" t="n">
        <v>146785</v>
      </c>
      <c r="Q586" s="28" t="n">
        <v>2466285</v>
      </c>
      <c r="R586" s="28" t="n">
        <v>0</v>
      </c>
      <c r="S586" s="28">
        <f>Q586-R586</f>
        <v/>
      </c>
      <c r="T586" s="28">
        <f>IF(S586="","",S586*(1+in_GrowthRate)^(YEARFRAC(DATE(2023,12,31),in_AgeToDate)*IF(in_AgeToDate&lt;DATE(2023,12,31),-1,1)+1))</f>
        <v/>
      </c>
      <c r="U586" s="50">
        <f>IF(AND(AND(OR(in_Mode="All Funds",AND(C586&gt;=in_BandFloor,C586&lt;=in_BandCeiling,OR(in_Geography="National",COUNTIFS(lst_GeoPreset,in_Geography,lst_GeoState,B586)&gt;0,AND(in_Geography="Custom",ISNUMBER(SEARCH(B586,SUBSTITUTE(in_CustomStates," ",""))))),OR(AND(D586="Endowment",Inputs!$B$14="Y"),AND(D586="Foundation",Inputs!$B$15="Y"),AND(D586="Healthcare",Inputs!$B$16="Y"),AND(D586="Pension",Inputs!$B$17="Y"),AND(D586="OCIO",Inputs!$B$18="Y"),AND(D586="Other",Inputs!$B$19="Y")))),A586&lt;&gt;in_ClientOrg,NOT(AND(in_ExclHarvard="Y",ISNUMBER(SEARCH("Harvard",A586))))),$AD586="Y",K586&lt;&gt;"",S586&gt;0),"Y","")</f>
        <v/>
      </c>
      <c r="V586" s="30" t="n">
        <v>1</v>
      </c>
      <c r="W586" t="inlineStr"/>
      <c r="X586" s="28">
        <f>IF(L586+M586=0,"",L586+M586)</f>
        <v/>
      </c>
      <c r="Y586" s="38">
        <f>IF(L586=0,"",M586/L586)</f>
        <v/>
      </c>
      <c r="Z586" t="inlineStr">
        <is>
          <t>CIO - Top Investment Executive</t>
        </is>
      </c>
      <c r="AA586" t="inlineStr">
        <is>
          <t>Leadership</t>
        </is>
      </c>
      <c r="AB586" s="50" t="inlineStr">
        <is>
          <t>Y</t>
        </is>
      </c>
      <c r="AC586" s="43">
        <f>HYPERLINK("https://projects.propublica.org/nonprofits/organizations/941236937/202413169349102431/full","view filing")</f>
        <v/>
      </c>
      <c r="AD586" s="50" t="inlineStr"/>
    </row>
    <row r="587">
      <c r="A587" t="inlineStr">
        <is>
          <t>James Irvine Foundation</t>
        </is>
      </c>
      <c r="B587" s="50" t="inlineStr">
        <is>
          <t>CA</t>
        </is>
      </c>
      <c r="C587" s="52" t="n">
        <v>3.21</v>
      </c>
      <c r="D587" t="inlineStr">
        <is>
          <t>Foundation</t>
        </is>
      </c>
      <c r="E587" s="50" t="n">
        <v>2022</v>
      </c>
      <c r="F587" s="50" t="inlineStr">
        <is>
          <t>2023-11-09</t>
        </is>
      </c>
      <c r="G587" s="50" t="inlineStr">
        <is>
          <t>2022-12-31</t>
        </is>
      </c>
      <c r="H587" t="inlineStr">
        <is>
          <t>Jesus S Arguelles</t>
        </is>
      </c>
      <c r="I587" t="inlineStr">
        <is>
          <t>MNG DIR OF INVEST</t>
        </is>
      </c>
      <c r="J587" t="inlineStr">
        <is>
          <t>Managing Director</t>
        </is>
      </c>
      <c r="K587" t="inlineStr">
        <is>
          <t>Sr Investment Professional</t>
        </is>
      </c>
      <c r="L587" s="28" t="n">
        <v>0</v>
      </c>
      <c r="M587" s="28" t="n">
        <v>0</v>
      </c>
      <c r="N587" s="28" t="n">
        <v>0</v>
      </c>
      <c r="O587" s="28" t="n">
        <v>0</v>
      </c>
      <c r="P587" s="28" t="n">
        <v>0</v>
      </c>
      <c r="Q587" s="28" t="n">
        <v>779000</v>
      </c>
      <c r="R587" s="28" t="n">
        <v>0</v>
      </c>
      <c r="S587" s="28">
        <f>Q587-R587</f>
        <v/>
      </c>
      <c r="T587" s="28">
        <f>IF(S587="","",S587*(1+in_GrowthRate)^(YEARFRAC(DATE(2022,12,31),in_AgeToDate)*IF(in_AgeToDate&lt;DATE(2022,12,31),-1,1)+1))</f>
        <v/>
      </c>
      <c r="U587" s="50">
        <f>IF(AND(AND(OR(in_Mode="All Funds",AND(C587&gt;=in_BandFloor,C587&lt;=in_BandCeiling,OR(in_Geography="National",COUNTIFS(lst_GeoPreset,in_Geography,lst_GeoState,B587)&gt;0,AND(in_Geography="Custom",ISNUMBER(SEARCH(B587,SUBSTITUTE(in_CustomStates," ",""))))),OR(AND(D587="Endowment",Inputs!$B$14="Y"),AND(D587="Foundation",Inputs!$B$15="Y"),AND(D587="Healthcare",Inputs!$B$16="Y"),AND(D587="Pension",Inputs!$B$17="Y"),AND(D587="OCIO",Inputs!$B$18="Y"),AND(D587="Other",Inputs!$B$19="Y")))),A587&lt;&gt;in_ClientOrg,NOT(AND(in_ExclHarvard="Y",ISNUMBER(SEARCH("Harvard",A587))))),$AD587="Y",K587&lt;&gt;"",S587&gt;0),"Y","")</f>
        <v/>
      </c>
      <c r="V587" s="30" t="n">
        <v>0.4215078292779663</v>
      </c>
      <c r="W587" t="inlineStr"/>
      <c r="X587" s="28">
        <f>IF(L587+M587=0,"",L587+M587)</f>
        <v/>
      </c>
      <c r="Y587" s="38">
        <f>IF(L587=0,"",M587/L587)</f>
        <v/>
      </c>
      <c r="Z587" t="inlineStr">
        <is>
          <t>Managing Director</t>
        </is>
      </c>
      <c r="AA587" t="inlineStr">
        <is>
          <t>Investments</t>
        </is>
      </c>
      <c r="AB587" s="50" t="inlineStr"/>
      <c r="AC587" s="43">
        <f>HYPERLINK("https://projects.propublica.org/nonprofits/organizations/941236937/202313139349102426/full","view filing")</f>
        <v/>
      </c>
      <c r="AD587" s="50" t="inlineStr"/>
    </row>
    <row r="588">
      <c r="A588" t="inlineStr">
        <is>
          <t>James Irvine Foundation</t>
        </is>
      </c>
      <c r="B588" s="50" t="inlineStr">
        <is>
          <t>CA</t>
        </is>
      </c>
      <c r="C588" s="52" t="n">
        <v>3.21</v>
      </c>
      <c r="D588" t="inlineStr">
        <is>
          <t>Foundation</t>
        </is>
      </c>
      <c r="E588" s="50" t="n">
        <v>2022</v>
      </c>
      <c r="F588" s="50" t="inlineStr">
        <is>
          <t>2023-11-09</t>
        </is>
      </c>
      <c r="G588" s="50" t="inlineStr">
        <is>
          <t>2022-12-31</t>
        </is>
      </c>
      <c r="H588" t="inlineStr">
        <is>
          <t>Melissa Lopez</t>
        </is>
      </c>
      <c r="I588" t="inlineStr">
        <is>
          <t>MNG DIR OF INVEST</t>
        </is>
      </c>
      <c r="J588" t="inlineStr">
        <is>
          <t>Managing Director</t>
        </is>
      </c>
      <c r="K588" t="inlineStr">
        <is>
          <t>Sr Investment Professional</t>
        </is>
      </c>
      <c r="L588" s="28" t="n">
        <v>0</v>
      </c>
      <c r="M588" s="28" t="n">
        <v>0</v>
      </c>
      <c r="N588" s="28" t="n">
        <v>0</v>
      </c>
      <c r="O588" s="28" t="n">
        <v>0</v>
      </c>
      <c r="P588" s="28" t="n">
        <v>0</v>
      </c>
      <c r="Q588" s="28" t="n">
        <v>865000</v>
      </c>
      <c r="R588" s="28" t="n">
        <v>0</v>
      </c>
      <c r="S588" s="28">
        <f>Q588-R588</f>
        <v/>
      </c>
      <c r="T588" s="28">
        <f>IF(S588="","",S588*(1+in_GrowthRate)^(YEARFRAC(DATE(2022,12,31),in_AgeToDate)*IF(in_AgeToDate&lt;DATE(2022,12,31),-1,1)+1))</f>
        <v/>
      </c>
      <c r="U588" s="50">
        <f>IF(AND(AND(OR(in_Mode="All Funds",AND(C588&gt;=in_BandFloor,C588&lt;=in_BandCeiling,OR(in_Geography="National",COUNTIFS(lst_GeoPreset,in_Geography,lst_GeoState,B588)&gt;0,AND(in_Geography="Custom",ISNUMBER(SEARCH(B588,SUBSTITUTE(in_CustomStates," ",""))))),OR(AND(D588="Endowment",Inputs!$B$14="Y"),AND(D588="Foundation",Inputs!$B$15="Y"),AND(D588="Healthcare",Inputs!$B$16="Y"),AND(D588="Pension",Inputs!$B$17="Y"),AND(D588="OCIO",Inputs!$B$18="Y"),AND(D588="Other",Inputs!$B$19="Y")))),A588&lt;&gt;in_ClientOrg,NOT(AND(in_ExclHarvard="Y",ISNUMBER(SEARCH("Harvard",A588))))),$AD588="Y",K588&lt;&gt;"",S588&gt;0),"Y","")</f>
        <v/>
      </c>
      <c r="V588" s="30" t="n">
        <v>0.4680414278888843</v>
      </c>
      <c r="W588" t="inlineStr"/>
      <c r="X588" s="28">
        <f>IF(L588+M588=0,"",L588+M588)</f>
        <v/>
      </c>
      <c r="Y588" s="38">
        <f>IF(L588=0,"",M588/L588)</f>
        <v/>
      </c>
      <c r="Z588" t="inlineStr">
        <is>
          <t>Managing Director</t>
        </is>
      </c>
      <c r="AA588" t="inlineStr">
        <is>
          <t>Investments</t>
        </is>
      </c>
      <c r="AB588" s="50" t="inlineStr"/>
      <c r="AC588" s="43">
        <f>HYPERLINK("https://projects.propublica.org/nonprofits/organizations/941236937/202313139349102426/full","view filing")</f>
        <v/>
      </c>
      <c r="AD588" s="50" t="inlineStr"/>
    </row>
    <row r="589">
      <c r="A589" t="inlineStr">
        <is>
          <t>James Irvine Foundation</t>
        </is>
      </c>
      <c r="B589" s="50" t="inlineStr">
        <is>
          <t>CA</t>
        </is>
      </c>
      <c r="C589" s="52" t="n">
        <v>3.21</v>
      </c>
      <c r="D589" t="inlineStr">
        <is>
          <t>Foundation</t>
        </is>
      </c>
      <c r="E589" s="50" t="n">
        <v>2022</v>
      </c>
      <c r="F589" s="50" t="inlineStr">
        <is>
          <t>2023-11-09</t>
        </is>
      </c>
      <c r="G589" s="50" t="inlineStr">
        <is>
          <t>2022-12-31</t>
        </is>
      </c>
      <c r="H589" t="inlineStr">
        <is>
          <t>Sharif Siddiqui</t>
        </is>
      </c>
      <c r="I589" t="inlineStr">
        <is>
          <t>MNG DIR OF INVEST</t>
        </is>
      </c>
      <c r="J589" t="inlineStr">
        <is>
          <t>Managing Director</t>
        </is>
      </c>
      <c r="K589" t="inlineStr">
        <is>
          <t>Sr Investment Professional</t>
        </is>
      </c>
      <c r="L589" s="28" t="n">
        <v>0</v>
      </c>
      <c r="M589" s="28" t="n">
        <v>0</v>
      </c>
      <c r="N589" s="28" t="n">
        <v>0</v>
      </c>
      <c r="O589" s="28" t="n">
        <v>0</v>
      </c>
      <c r="P589" s="28" t="n">
        <v>0</v>
      </c>
      <c r="Q589" s="28" t="n">
        <v>854600</v>
      </c>
      <c r="R589" s="28" t="n">
        <v>0</v>
      </c>
      <c r="S589" s="28">
        <f>Q589-R589</f>
        <v/>
      </c>
      <c r="T589" s="28">
        <f>IF(S589="","",S589*(1+in_GrowthRate)^(YEARFRAC(DATE(2022,12,31),in_AgeToDate)*IF(in_AgeToDate&lt;DATE(2022,12,31),-1,1)+1))</f>
        <v/>
      </c>
      <c r="U589" s="50">
        <f>IF(AND(AND(OR(in_Mode="All Funds",AND(C589&gt;=in_BandFloor,C589&lt;=in_BandCeiling,OR(in_Geography="National",COUNTIFS(lst_GeoPreset,in_Geography,lst_GeoState,B589)&gt;0,AND(in_Geography="Custom",ISNUMBER(SEARCH(B589,SUBSTITUTE(in_CustomStates," ",""))))),OR(AND(D589="Endowment",Inputs!$B$14="Y"),AND(D589="Foundation",Inputs!$B$15="Y"),AND(D589="Healthcare",Inputs!$B$16="Y"),AND(D589="Pension",Inputs!$B$17="Y"),AND(D589="OCIO",Inputs!$B$18="Y"),AND(D589="Other",Inputs!$B$19="Y")))),A589&lt;&gt;in_ClientOrg,NOT(AND(in_ExclHarvard="Y",ISNUMBER(SEARCH("Harvard",A589))))),$AD589="Y",K589&lt;&gt;"",S589&gt;0),"Y","")</f>
        <v/>
      </c>
      <c r="V589" s="30" t="n">
        <v>0.4624141089870988</v>
      </c>
      <c r="W589" t="inlineStr"/>
      <c r="X589" s="28">
        <f>IF(L589+M589=0,"",L589+M589)</f>
        <v/>
      </c>
      <c r="Y589" s="38">
        <f>IF(L589=0,"",M589/L589)</f>
        <v/>
      </c>
      <c r="Z589" t="inlineStr">
        <is>
          <t>Managing Director</t>
        </is>
      </c>
      <c r="AA589" t="inlineStr">
        <is>
          <t>Investments</t>
        </is>
      </c>
      <c r="AB589" s="50" t="inlineStr"/>
      <c r="AC589" s="43">
        <f>HYPERLINK("https://projects.propublica.org/nonprofits/organizations/941236937/202313139349102426/full","view filing")</f>
        <v/>
      </c>
      <c r="AD589" s="50" t="inlineStr"/>
    </row>
    <row r="590">
      <c r="A590" t="inlineStr">
        <is>
          <t>James Irvine Foundation</t>
        </is>
      </c>
      <c r="B590" s="50" t="inlineStr">
        <is>
          <t>CA</t>
        </is>
      </c>
      <c r="C590" s="52" t="n">
        <v>3.21</v>
      </c>
      <c r="D590" t="inlineStr">
        <is>
          <t>Foundation</t>
        </is>
      </c>
      <c r="E590" s="50" t="n">
        <v>2022</v>
      </c>
      <c r="F590" s="50" t="inlineStr">
        <is>
          <t>2023-11-09</t>
        </is>
      </c>
      <c r="G590" s="50" t="inlineStr">
        <is>
          <t>2022-12-31</t>
        </is>
      </c>
      <c r="H590" t="inlineStr">
        <is>
          <t>Timothy Recker</t>
        </is>
      </c>
      <c r="I590" t="inlineStr">
        <is>
          <t>TREASURER &amp; CIO</t>
        </is>
      </c>
      <c r="J590" t="inlineStr">
        <is>
          <t>CIO</t>
        </is>
      </c>
      <c r="K590" t="inlineStr">
        <is>
          <t>CIO - Top Investment Executive</t>
        </is>
      </c>
      <c r="L590" s="28" t="n">
        <v>0</v>
      </c>
      <c r="M590" s="28" t="n">
        <v>0</v>
      </c>
      <c r="N590" s="28" t="n">
        <v>0</v>
      </c>
      <c r="O590" s="28" t="n">
        <v>0</v>
      </c>
      <c r="P590" s="28" t="n">
        <v>85377</v>
      </c>
      <c r="Q590" s="28" t="n">
        <v>1848127</v>
      </c>
      <c r="R590" s="28" t="n">
        <v>0</v>
      </c>
      <c r="S590" s="28">
        <f>Q590-R590</f>
        <v/>
      </c>
      <c r="T590" s="28">
        <f>IF(S590="","",S590*(1+in_GrowthRate)^(YEARFRAC(DATE(2022,12,31),in_AgeToDate)*IF(in_AgeToDate&lt;DATE(2022,12,31),-1,1)+1))</f>
        <v/>
      </c>
      <c r="U590" s="50">
        <f>IF(AND(AND(OR(in_Mode="All Funds",AND(C590&gt;=in_BandFloor,C590&lt;=in_BandCeiling,OR(in_Geography="National",COUNTIFS(lst_GeoPreset,in_Geography,lst_GeoState,B590)&gt;0,AND(in_Geography="Custom",ISNUMBER(SEARCH(B590,SUBSTITUTE(in_CustomStates," ",""))))),OR(AND(D590="Endowment",Inputs!$B$14="Y"),AND(D590="Foundation",Inputs!$B$15="Y"),AND(D590="Healthcare",Inputs!$B$16="Y"),AND(D590="Pension",Inputs!$B$17="Y"),AND(D590="OCIO",Inputs!$B$18="Y"),AND(D590="Other",Inputs!$B$19="Y")))),A590&lt;&gt;in_ClientOrg,NOT(AND(in_ExclHarvard="Y",ISNUMBER(SEARCH("Harvard",A590))))),$AD590="Y",K590&lt;&gt;"",S590&gt;0),"Y","")</f>
        <v/>
      </c>
      <c r="V590" s="30" t="n">
        <v>1</v>
      </c>
      <c r="W590" t="inlineStr"/>
      <c r="X590" s="28">
        <f>IF(L590+M590=0,"",L590+M590)</f>
        <v/>
      </c>
      <c r="Y590" s="38">
        <f>IF(L590=0,"",M590/L590)</f>
        <v/>
      </c>
      <c r="Z590" t="inlineStr">
        <is>
          <t>CIO - Top Investment Executive</t>
        </is>
      </c>
      <c r="AA590" t="inlineStr">
        <is>
          <t>Leadership</t>
        </is>
      </c>
      <c r="AB590" s="50" t="inlineStr">
        <is>
          <t>Y</t>
        </is>
      </c>
      <c r="AC590" s="43">
        <f>HYPERLINK("https://projects.propublica.org/nonprofits/organizations/941236937/202313139349102426/full","view filing")</f>
        <v/>
      </c>
      <c r="AD590" s="50" t="inlineStr"/>
    </row>
    <row r="591">
      <c r="A591" t="inlineStr">
        <is>
          <t>John D &amp; Catherine T Macarthur Foundation</t>
        </is>
      </c>
      <c r="B591" s="50" t="inlineStr">
        <is>
          <t>IL</t>
        </is>
      </c>
      <c r="C591" s="52" t="n">
        <v>7.19</v>
      </c>
      <c r="D591" t="inlineStr">
        <is>
          <t>Foundation</t>
        </is>
      </c>
      <c r="E591" s="50" t="n">
        <v>2024</v>
      </c>
      <c r="F591" s="50" t="inlineStr">
        <is>
          <t>2025-11-12</t>
        </is>
      </c>
      <c r="G591" s="50" t="inlineStr">
        <is>
          <t>2024-12-31</t>
        </is>
      </c>
      <c r="H591" t="inlineStr">
        <is>
          <t>Buck Betten</t>
        </is>
      </c>
      <c r="I591" t="inlineStr">
        <is>
          <t>MD, ASSET ALLOC, RIS</t>
        </is>
      </c>
      <c r="J591" t="inlineStr">
        <is>
          <t>Managing Director</t>
        </is>
      </c>
      <c r="K591" t="inlineStr">
        <is>
          <t>Sr Investment Professional</t>
        </is>
      </c>
      <c r="L591" s="28" t="n">
        <v>0</v>
      </c>
      <c r="M591" s="28" t="n">
        <v>0</v>
      </c>
      <c r="N591" s="28" t="n">
        <v>0</v>
      </c>
      <c r="O591" s="28" t="n">
        <v>0</v>
      </c>
      <c r="P591" s="28" t="n">
        <v>0</v>
      </c>
      <c r="Q591" s="28" t="n">
        <v>1157520</v>
      </c>
      <c r="R591" s="28" t="n">
        <v>0</v>
      </c>
      <c r="S591" s="28">
        <f>Q591-R591</f>
        <v/>
      </c>
      <c r="T591" s="28">
        <f>IF(S591="","",S591*(1+in_GrowthRate)^(YEARFRAC(DATE(2024,12,31),in_AgeToDate)*IF(in_AgeToDate&lt;DATE(2024,12,31),-1,1)+1))</f>
        <v/>
      </c>
      <c r="U591" s="50">
        <f>IF(AND(AND(OR(in_Mode="All Funds",AND(C591&gt;=in_BandFloor,C591&lt;=in_BandCeiling,OR(in_Geography="National",COUNTIFS(lst_GeoPreset,in_Geography,lst_GeoState,B591)&gt;0,AND(in_Geography="Custom",ISNUMBER(SEARCH(B591,SUBSTITUTE(in_CustomStates," ",""))))),OR(AND(D591="Endowment",Inputs!$B$14="Y"),AND(D591="Foundation",Inputs!$B$15="Y"),AND(D591="Healthcare",Inputs!$B$16="Y"),AND(D591="Pension",Inputs!$B$17="Y"),AND(D591="OCIO",Inputs!$B$18="Y"),AND(D591="Other",Inputs!$B$19="Y")))),A591&lt;&gt;in_ClientOrg,NOT(AND(in_ExclHarvard="Y",ISNUMBER(SEARCH("Harvard",A591))))),$AD591="Y",K591&lt;&gt;"",S591&gt;0),"Y","")</f>
        <v/>
      </c>
      <c r="V591" s="30" t="n">
        <v>0.3095046914218012</v>
      </c>
      <c r="W591" t="inlineStr"/>
      <c r="X591" s="28">
        <f>IF(L591+M591=0,"",L591+M591)</f>
        <v/>
      </c>
      <c r="Y591" s="38">
        <f>IF(L591=0,"",M591/L591)</f>
        <v/>
      </c>
      <c r="Z591" t="inlineStr">
        <is>
          <t>Managing Director</t>
        </is>
      </c>
      <c r="AA591" t="inlineStr">
        <is>
          <t>Investments</t>
        </is>
      </c>
      <c r="AB591" s="50" t="inlineStr"/>
      <c r="AC591" s="43">
        <f>HYPERLINK("https://projects.propublica.org/nonprofits/organizations/237093598/202503169349102460/full","view filing")</f>
        <v/>
      </c>
      <c r="AD591" s="50" t="inlineStr">
        <is>
          <t>Y</t>
        </is>
      </c>
    </row>
    <row r="592">
      <c r="A592" t="inlineStr">
        <is>
          <t>John D &amp; Catherine T Macarthur Foundation</t>
        </is>
      </c>
      <c r="B592" s="50" t="inlineStr">
        <is>
          <t>IL</t>
        </is>
      </c>
      <c r="C592" s="52" t="n">
        <v>7.19</v>
      </c>
      <c r="D592" t="inlineStr">
        <is>
          <t>Foundation</t>
        </is>
      </c>
      <c r="E592" s="50" t="n">
        <v>2024</v>
      </c>
      <c r="F592" s="50" t="inlineStr">
        <is>
          <t>2025-11-12</t>
        </is>
      </c>
      <c r="G592" s="50" t="inlineStr">
        <is>
          <t>2024-12-31</t>
        </is>
      </c>
      <c r="H592" t="inlineStr">
        <is>
          <t>Caixia Ziegler</t>
        </is>
      </c>
      <c r="I592" t="inlineStr">
        <is>
          <t>MD, REAL ASSETS &amp; SU</t>
        </is>
      </c>
      <c r="J592" t="inlineStr">
        <is>
          <t>Managing Director</t>
        </is>
      </c>
      <c r="K592" t="inlineStr">
        <is>
          <t>Sr Investment Professional</t>
        </is>
      </c>
      <c r="L592" s="28" t="n">
        <v>0</v>
      </c>
      <c r="M592" s="28" t="n">
        <v>0</v>
      </c>
      <c r="N592" s="28" t="n">
        <v>0</v>
      </c>
      <c r="O592" s="28" t="n">
        <v>0</v>
      </c>
      <c r="P592" s="28" t="n">
        <v>0</v>
      </c>
      <c r="Q592" s="28" t="n">
        <v>1176624</v>
      </c>
      <c r="R592" s="28" t="n">
        <v>0</v>
      </c>
      <c r="S592" s="28">
        <f>Q592-R592</f>
        <v/>
      </c>
      <c r="T592" s="28">
        <f>IF(S592="","",S592*(1+in_GrowthRate)^(YEARFRAC(DATE(2024,12,31),in_AgeToDate)*IF(in_AgeToDate&lt;DATE(2024,12,31),-1,1)+1))</f>
        <v/>
      </c>
      <c r="U592" s="50">
        <f>IF(AND(AND(OR(in_Mode="All Funds",AND(C592&gt;=in_BandFloor,C592&lt;=in_BandCeiling,OR(in_Geography="National",COUNTIFS(lst_GeoPreset,in_Geography,lst_GeoState,B592)&gt;0,AND(in_Geography="Custom",ISNUMBER(SEARCH(B592,SUBSTITUTE(in_CustomStates," ",""))))),OR(AND(D592="Endowment",Inputs!$B$14="Y"),AND(D592="Foundation",Inputs!$B$15="Y"),AND(D592="Healthcare",Inputs!$B$16="Y"),AND(D592="Pension",Inputs!$B$17="Y"),AND(D592="OCIO",Inputs!$B$18="Y"),AND(D592="Other",Inputs!$B$19="Y")))),A592&lt;&gt;in_ClientOrg,NOT(AND(in_ExclHarvard="Y",ISNUMBER(SEARCH("Harvard",A592))))),$AD592="Y",K592&lt;&gt;"",S592&gt;0),"Y","")</f>
        <v/>
      </c>
      <c r="V592" s="30" t="n">
        <v>0.3146128343695879</v>
      </c>
      <c r="W592" t="inlineStr"/>
      <c r="X592" s="28">
        <f>IF(L592+M592=0,"",L592+M592)</f>
        <v/>
      </c>
      <c r="Y592" s="38">
        <f>IF(L592=0,"",M592/L592)</f>
        <v/>
      </c>
      <c r="Z592" t="inlineStr">
        <is>
          <t>Managing Director</t>
        </is>
      </c>
      <c r="AA592" t="inlineStr">
        <is>
          <t>Investments</t>
        </is>
      </c>
      <c r="AB592" s="50" t="inlineStr"/>
      <c r="AC592" s="43">
        <f>HYPERLINK("https://projects.propublica.org/nonprofits/organizations/237093598/202503169349102460/full","view filing")</f>
        <v/>
      </c>
      <c r="AD592" s="50" t="inlineStr">
        <is>
          <t>Y</t>
        </is>
      </c>
    </row>
    <row r="593">
      <c r="A593" t="inlineStr">
        <is>
          <t>John D &amp; Catherine T Macarthur Foundation</t>
        </is>
      </c>
      <c r="B593" s="50" t="inlineStr">
        <is>
          <t>IL</t>
        </is>
      </c>
      <c r="C593" s="52" t="n">
        <v>7.19</v>
      </c>
      <c r="D593" t="inlineStr">
        <is>
          <t>Foundation</t>
        </is>
      </c>
      <c r="E593" s="50" t="n">
        <v>2024</v>
      </c>
      <c r="F593" s="50" t="inlineStr">
        <is>
          <t>2025-11-12</t>
        </is>
      </c>
      <c r="G593" s="50" t="inlineStr">
        <is>
          <t>2024-12-31</t>
        </is>
      </c>
      <c r="H593" t="inlineStr">
        <is>
          <t>David Greenwald</t>
        </is>
      </c>
      <c r="I593" t="inlineStr">
        <is>
          <t>MD, ABS RETURN &amp; FIX</t>
        </is>
      </c>
      <c r="J593" t="inlineStr">
        <is>
          <t>Managing Director</t>
        </is>
      </c>
      <c r="K593" t="inlineStr">
        <is>
          <t>Sr Investment Professional</t>
        </is>
      </c>
      <c r="L593" s="28" t="n">
        <v>0</v>
      </c>
      <c r="M593" s="28" t="n">
        <v>0</v>
      </c>
      <c r="N593" s="28" t="n">
        <v>0</v>
      </c>
      <c r="O593" s="28" t="n">
        <v>0</v>
      </c>
      <c r="P593" s="28" t="n">
        <v>0</v>
      </c>
      <c r="Q593" s="28" t="n">
        <v>1023848</v>
      </c>
      <c r="R593" s="28" t="n">
        <v>0</v>
      </c>
      <c r="S593" s="28">
        <f>Q593-R593</f>
        <v/>
      </c>
      <c r="T593" s="28">
        <f>IF(S593="","",S593*(1+in_GrowthRate)^(YEARFRAC(DATE(2024,12,31),in_AgeToDate)*IF(in_AgeToDate&lt;DATE(2024,12,31),-1,1)+1))</f>
        <v/>
      </c>
      <c r="U593" s="50">
        <f>IF(AND(AND(OR(in_Mode="All Funds",AND(C593&gt;=in_BandFloor,C593&lt;=in_BandCeiling,OR(in_Geography="National",COUNTIFS(lst_GeoPreset,in_Geography,lst_GeoState,B593)&gt;0,AND(in_Geography="Custom",ISNUMBER(SEARCH(B593,SUBSTITUTE(in_CustomStates," ",""))))),OR(AND(D593="Endowment",Inputs!$B$14="Y"),AND(D593="Foundation",Inputs!$B$15="Y"),AND(D593="Healthcare",Inputs!$B$16="Y"),AND(D593="Pension",Inputs!$B$17="Y"),AND(D593="OCIO",Inputs!$B$18="Y"),AND(D593="Other",Inputs!$B$19="Y")))),A593&lt;&gt;in_ClientOrg,NOT(AND(in_ExclHarvard="Y",ISNUMBER(SEARCH("Harvard",A593))))),$AD593="Y",K593&lt;&gt;"",S593&gt;0),"Y","")</f>
        <v/>
      </c>
      <c r="V593" s="30" t="n">
        <v>0.2737626644056503</v>
      </c>
      <c r="W593" t="inlineStr"/>
      <c r="X593" s="28">
        <f>IF(L593+M593=0,"",L593+M593)</f>
        <v/>
      </c>
      <c r="Y593" s="38">
        <f>IF(L593=0,"",M593/L593)</f>
        <v/>
      </c>
      <c r="Z593" t="inlineStr">
        <is>
          <t>Managing Director</t>
        </is>
      </c>
      <c r="AA593" t="inlineStr">
        <is>
          <t>Investments</t>
        </is>
      </c>
      <c r="AB593" s="50" t="inlineStr"/>
      <c r="AC593" s="43">
        <f>HYPERLINK("https://projects.propublica.org/nonprofits/organizations/237093598/202503169349102460/full","view filing")</f>
        <v/>
      </c>
      <c r="AD593" s="50" t="inlineStr">
        <is>
          <t>Y</t>
        </is>
      </c>
    </row>
    <row r="594">
      <c r="A594" t="inlineStr">
        <is>
          <t>John D &amp; Catherine T Macarthur Foundation</t>
        </is>
      </c>
      <c r="B594" s="50" t="inlineStr">
        <is>
          <t>IL</t>
        </is>
      </c>
      <c r="C594" s="52" t="n">
        <v>7.19</v>
      </c>
      <c r="D594" t="inlineStr">
        <is>
          <t>Foundation</t>
        </is>
      </c>
      <c r="E594" s="50" t="n">
        <v>2024</v>
      </c>
      <c r="F594" s="50" t="inlineStr">
        <is>
          <t>2025-11-12</t>
        </is>
      </c>
      <c r="G594" s="50" t="inlineStr">
        <is>
          <t>2024-12-31</t>
        </is>
      </c>
      <c r="H594" t="inlineStr">
        <is>
          <t>Eric Vaang</t>
        </is>
      </c>
      <c r="I594" t="inlineStr">
        <is>
          <t>MD, INVESTMENTS</t>
        </is>
      </c>
      <c r="J594" t="inlineStr">
        <is>
          <t>Managing Director</t>
        </is>
      </c>
      <c r="K594" t="inlineStr">
        <is>
          <t>Sr Investment Professional</t>
        </is>
      </c>
      <c r="L594" s="28" t="n">
        <v>0</v>
      </c>
      <c r="M594" s="28" t="n">
        <v>0</v>
      </c>
      <c r="N594" s="28" t="n">
        <v>0</v>
      </c>
      <c r="O594" s="28" t="n">
        <v>0</v>
      </c>
      <c r="P594" s="28" t="n">
        <v>0</v>
      </c>
      <c r="Q594" s="28" t="n">
        <v>1157494</v>
      </c>
      <c r="R594" s="28" t="n">
        <v>0</v>
      </c>
      <c r="S594" s="28">
        <f>Q594-R594</f>
        <v/>
      </c>
      <c r="T594" s="28">
        <f>IF(S594="","",S594*(1+in_GrowthRate)^(YEARFRAC(DATE(2024,12,31),in_AgeToDate)*IF(in_AgeToDate&lt;DATE(2024,12,31),-1,1)+1))</f>
        <v/>
      </c>
      <c r="U594" s="50">
        <f>IF(AND(AND(OR(in_Mode="All Funds",AND(C594&gt;=in_BandFloor,C594&lt;=in_BandCeiling,OR(in_Geography="National",COUNTIFS(lst_GeoPreset,in_Geography,lst_GeoState,B594)&gt;0,AND(in_Geography="Custom",ISNUMBER(SEARCH(B594,SUBSTITUTE(in_CustomStates," ",""))))),OR(AND(D594="Endowment",Inputs!$B$14="Y"),AND(D594="Foundation",Inputs!$B$15="Y"),AND(D594="Healthcare",Inputs!$B$16="Y"),AND(D594="Pension",Inputs!$B$17="Y"),AND(D594="OCIO",Inputs!$B$18="Y"),AND(D594="Other",Inputs!$B$19="Y")))),A594&lt;&gt;in_ClientOrg,NOT(AND(in_ExclHarvard="Y",ISNUMBER(SEARCH("Harvard",A594))))),$AD594="Y",K594&lt;&gt;"",S594&gt;0),"Y","")</f>
        <v/>
      </c>
      <c r="V594" s="30" t="n">
        <v>0.3094977393847073</v>
      </c>
      <c r="W594" t="inlineStr"/>
      <c r="X594" s="28">
        <f>IF(L594+M594=0,"",L594+M594)</f>
        <v/>
      </c>
      <c r="Y594" s="38">
        <f>IF(L594=0,"",M594/L594)</f>
        <v/>
      </c>
      <c r="Z594" t="inlineStr">
        <is>
          <t>Managing Director</t>
        </is>
      </c>
      <c r="AA594" t="inlineStr">
        <is>
          <t>Investments</t>
        </is>
      </c>
      <c r="AB594" s="50" t="inlineStr"/>
      <c r="AC594" s="43">
        <f>HYPERLINK("https://projects.propublica.org/nonprofits/organizations/237093598/202503169349102460/full","view filing")</f>
        <v/>
      </c>
      <c r="AD594" s="50" t="inlineStr">
        <is>
          <t>Y</t>
        </is>
      </c>
    </row>
    <row r="595">
      <c r="A595" t="inlineStr">
        <is>
          <t>John D &amp; Catherine T Macarthur Foundation</t>
        </is>
      </c>
      <c r="B595" s="50" t="inlineStr">
        <is>
          <t>IL</t>
        </is>
      </c>
      <c r="C595" s="52" t="n">
        <v>7.19</v>
      </c>
      <c r="D595" t="inlineStr">
        <is>
          <t>Foundation</t>
        </is>
      </c>
      <c r="E595" s="50" t="n">
        <v>2024</v>
      </c>
      <c r="F595" s="50" t="inlineStr">
        <is>
          <t>2025-11-12</t>
        </is>
      </c>
      <c r="G595" s="50" t="inlineStr">
        <is>
          <t>2024-12-31</t>
        </is>
      </c>
      <c r="H595" t="inlineStr">
        <is>
          <t>Mark Franke</t>
        </is>
      </c>
      <c r="I595" t="inlineStr">
        <is>
          <t>MD, PRIVATE EQUITY</t>
        </is>
      </c>
      <c r="J595" t="inlineStr">
        <is>
          <t>Managing Director</t>
        </is>
      </c>
      <c r="K595" t="inlineStr">
        <is>
          <t>Sr Investment Professional</t>
        </is>
      </c>
      <c r="L595" s="28" t="n">
        <v>0</v>
      </c>
      <c r="M595" s="28" t="n">
        <v>0</v>
      </c>
      <c r="N595" s="28" t="n">
        <v>0</v>
      </c>
      <c r="O595" s="28" t="n">
        <v>0</v>
      </c>
      <c r="P595" s="28" t="n">
        <v>0</v>
      </c>
      <c r="Q595" s="28" t="n">
        <v>1177727</v>
      </c>
      <c r="R595" s="28" t="n">
        <v>0</v>
      </c>
      <c r="S595" s="28">
        <f>Q595-R595</f>
        <v/>
      </c>
      <c r="T595" s="28">
        <f>IF(S595="","",S595*(1+in_GrowthRate)^(YEARFRAC(DATE(2024,12,31),in_AgeToDate)*IF(in_AgeToDate&lt;DATE(2024,12,31),-1,1)+1))</f>
        <v/>
      </c>
      <c r="U595" s="50">
        <f>IF(AND(AND(OR(in_Mode="All Funds",AND(C595&gt;=in_BandFloor,C595&lt;=in_BandCeiling,OR(in_Geography="National",COUNTIFS(lst_GeoPreset,in_Geography,lst_GeoState,B595)&gt;0,AND(in_Geography="Custom",ISNUMBER(SEARCH(B595,SUBSTITUTE(in_CustomStates," ",""))))),OR(AND(D595="Endowment",Inputs!$B$14="Y"),AND(D595="Foundation",Inputs!$B$15="Y"),AND(D595="Healthcare",Inputs!$B$16="Y"),AND(D595="Pension",Inputs!$B$17="Y"),AND(D595="OCIO",Inputs!$B$18="Y"),AND(D595="Other",Inputs!$B$19="Y")))),A595&lt;&gt;in_ClientOrg,NOT(AND(in_ExclHarvard="Y",ISNUMBER(SEARCH("Harvard",A595))))),$AD595="Y",K595&lt;&gt;"",S595&gt;0),"Y","")</f>
        <v/>
      </c>
      <c r="V595" s="30" t="n">
        <v>0.3149077611739958</v>
      </c>
      <c r="W595" t="inlineStr"/>
      <c r="X595" s="28">
        <f>IF(L595+M595=0,"",L595+M595)</f>
        <v/>
      </c>
      <c r="Y595" s="38">
        <f>IF(L595=0,"",M595/L595)</f>
        <v/>
      </c>
      <c r="Z595" t="inlineStr">
        <is>
          <t>Managing Director</t>
        </is>
      </c>
      <c r="AA595" t="inlineStr">
        <is>
          <t>Investments</t>
        </is>
      </c>
      <c r="AB595" s="50" t="inlineStr"/>
      <c r="AC595" s="43">
        <f>HYPERLINK("https://projects.propublica.org/nonprofits/organizations/237093598/202503169349102460/full","view filing")</f>
        <v/>
      </c>
      <c r="AD595" s="50" t="inlineStr">
        <is>
          <t>Y</t>
        </is>
      </c>
    </row>
    <row r="596">
      <c r="A596" t="inlineStr">
        <is>
          <t>John D &amp; Catherine T Macarthur Foundation</t>
        </is>
      </c>
      <c r="B596" s="50" t="inlineStr">
        <is>
          <t>IL</t>
        </is>
      </c>
      <c r="C596" s="52" t="n">
        <v>7.19</v>
      </c>
      <c r="D596" t="inlineStr">
        <is>
          <t>Foundation</t>
        </is>
      </c>
      <c r="E596" s="50" t="n">
        <v>2024</v>
      </c>
      <c r="F596" s="50" t="inlineStr">
        <is>
          <t>2025-11-12</t>
        </is>
      </c>
      <c r="G596" s="50" t="inlineStr">
        <is>
          <t>2024-12-31</t>
        </is>
      </c>
      <c r="H596" t="inlineStr">
        <is>
          <t>Susan E Manske</t>
        </is>
      </c>
      <c r="I596" t="inlineStr">
        <is>
          <t>VP / CHIEF INVESTMENT OFFICER</t>
        </is>
      </c>
      <c r="J596" t="inlineStr">
        <is>
          <t>CIO</t>
        </is>
      </c>
      <c r="K596" t="inlineStr">
        <is>
          <t>CIO - Top Investment Executive</t>
        </is>
      </c>
      <c r="L596" s="28" t="n">
        <v>0</v>
      </c>
      <c r="M596" s="28" t="n">
        <v>0</v>
      </c>
      <c r="N596" s="28" t="n">
        <v>0</v>
      </c>
      <c r="O596" s="28" t="n">
        <v>0</v>
      </c>
      <c r="P596" s="28" t="n">
        <v>1227784</v>
      </c>
      <c r="Q596" s="28" t="n">
        <v>3739911</v>
      </c>
      <c r="R596" s="28" t="n">
        <v>0</v>
      </c>
      <c r="S596" s="28">
        <f>Q596-R596</f>
        <v/>
      </c>
      <c r="T596" s="28">
        <f>IF(S596="","",S596*(1+in_GrowthRate)^(YEARFRAC(DATE(2024,12,31),in_AgeToDate)*IF(in_AgeToDate&lt;DATE(2024,12,31),-1,1)+1))</f>
        <v/>
      </c>
      <c r="U596" s="50">
        <f>IF(AND(AND(OR(in_Mode="All Funds",AND(C596&gt;=in_BandFloor,C596&lt;=in_BandCeiling,OR(in_Geography="National",COUNTIFS(lst_GeoPreset,in_Geography,lst_GeoState,B596)&gt;0,AND(in_Geography="Custom",ISNUMBER(SEARCH(B596,SUBSTITUTE(in_CustomStates," ",""))))),OR(AND(D596="Endowment",Inputs!$B$14="Y"),AND(D596="Foundation",Inputs!$B$15="Y"),AND(D596="Healthcare",Inputs!$B$16="Y"),AND(D596="Pension",Inputs!$B$17="Y"),AND(D596="OCIO",Inputs!$B$18="Y"),AND(D596="Other",Inputs!$B$19="Y")))),A596&lt;&gt;in_ClientOrg,NOT(AND(in_ExclHarvard="Y",ISNUMBER(SEARCH("Harvard",A596))))),$AD596="Y",K596&lt;&gt;"",S596&gt;0),"Y","")</f>
        <v/>
      </c>
      <c r="V596" s="30" t="n">
        <v>1</v>
      </c>
      <c r="W596" t="inlineStr"/>
      <c r="X596" s="28">
        <f>IF(L596+M596=0,"",L596+M596)</f>
        <v/>
      </c>
      <c r="Y596" s="38">
        <f>IF(L596=0,"",M596/L596)</f>
        <v/>
      </c>
      <c r="Z596" t="inlineStr">
        <is>
          <t>CIO - Top Investment Executive</t>
        </is>
      </c>
      <c r="AA596" t="inlineStr">
        <is>
          <t>Leadership</t>
        </is>
      </c>
      <c r="AB596" s="50" t="inlineStr">
        <is>
          <t>Y</t>
        </is>
      </c>
      <c r="AC596" s="43">
        <f>HYPERLINK("https://projects.propublica.org/nonprofits/organizations/237093598/202503169349102460/full","view filing")</f>
        <v/>
      </c>
      <c r="AD596" s="50" t="inlineStr">
        <is>
          <t>Y</t>
        </is>
      </c>
    </row>
    <row r="597">
      <c r="A597" t="inlineStr">
        <is>
          <t>John D &amp; Catherine T Macarthur Foundation</t>
        </is>
      </c>
      <c r="B597" s="50" t="inlineStr">
        <is>
          <t>IL</t>
        </is>
      </c>
      <c r="C597" s="52" t="n">
        <v>7.19</v>
      </c>
      <c r="D597" t="inlineStr">
        <is>
          <t>Foundation</t>
        </is>
      </c>
      <c r="E597" s="50" t="n">
        <v>2023</v>
      </c>
      <c r="F597" s="50" t="inlineStr">
        <is>
          <t>2024-11-13</t>
        </is>
      </c>
      <c r="G597" s="50" t="inlineStr">
        <is>
          <t>2023-12-31</t>
        </is>
      </c>
      <c r="H597" t="inlineStr">
        <is>
          <t>Buck Betten</t>
        </is>
      </c>
      <c r="I597" t="inlineStr">
        <is>
          <t>MANAGING DIRECTOR</t>
        </is>
      </c>
      <c r="J597" t="inlineStr">
        <is>
          <t>Managing Director</t>
        </is>
      </c>
      <c r="K597" t="inlineStr">
        <is>
          <t>Sr Investment Professional</t>
        </is>
      </c>
      <c r="L597" s="28" t="n">
        <v>0</v>
      </c>
      <c r="M597" s="28" t="n">
        <v>0</v>
      </c>
      <c r="N597" s="28" t="n">
        <v>0</v>
      </c>
      <c r="O597" s="28" t="n">
        <v>0</v>
      </c>
      <c r="P597" s="28" t="n">
        <v>0</v>
      </c>
      <c r="Q597" s="28" t="n">
        <v>1039069</v>
      </c>
      <c r="R597" s="28" t="n">
        <v>0</v>
      </c>
      <c r="S597" s="28">
        <f>Q597-R597</f>
        <v/>
      </c>
      <c r="T597" s="28">
        <f>IF(S597="","",S597*(1+in_GrowthRate)^(YEARFRAC(DATE(2023,12,31),in_AgeToDate)*IF(in_AgeToDate&lt;DATE(2023,12,31),-1,1)+1))</f>
        <v/>
      </c>
      <c r="U597" s="50">
        <f>IF(AND(AND(OR(in_Mode="All Funds",AND(C597&gt;=in_BandFloor,C597&lt;=in_BandCeiling,OR(in_Geography="National",COUNTIFS(lst_GeoPreset,in_Geography,lst_GeoState,B597)&gt;0,AND(in_Geography="Custom",ISNUMBER(SEARCH(B597,SUBSTITUTE(in_CustomStates," ",""))))),OR(AND(D597="Endowment",Inputs!$B$14="Y"),AND(D597="Foundation",Inputs!$B$15="Y"),AND(D597="Healthcare",Inputs!$B$16="Y"),AND(D597="Pension",Inputs!$B$17="Y"),AND(D597="OCIO",Inputs!$B$18="Y"),AND(D597="Other",Inputs!$B$19="Y")))),A597&lt;&gt;in_ClientOrg,NOT(AND(in_ExclHarvard="Y",ISNUMBER(SEARCH("Harvard",A597))))),$AD597="Y",K597&lt;&gt;"",S597&gt;0),"Y","")</f>
        <v/>
      </c>
      <c r="V597" s="30" t="n">
        <v>0.3088714841077001</v>
      </c>
      <c r="W597" t="inlineStr"/>
      <c r="X597" s="28">
        <f>IF(L597+M597=0,"",L597+M597)</f>
        <v/>
      </c>
      <c r="Y597" s="38">
        <f>IF(L597=0,"",M597/L597)</f>
        <v/>
      </c>
      <c r="Z597" t="inlineStr">
        <is>
          <t>Managing Director</t>
        </is>
      </c>
      <c r="AA597" t="inlineStr">
        <is>
          <t>Investments</t>
        </is>
      </c>
      <c r="AB597" s="50" t="inlineStr"/>
      <c r="AC597" s="43">
        <f>HYPERLINK("https://projects.propublica.org/nonprofits/organizations/237093598/202423189349103932/full","view filing")</f>
        <v/>
      </c>
      <c r="AD597" s="50" t="inlineStr"/>
    </row>
    <row r="598">
      <c r="A598" t="inlineStr">
        <is>
          <t>John D &amp; Catherine T Macarthur Foundation</t>
        </is>
      </c>
      <c r="B598" s="50" t="inlineStr">
        <is>
          <t>IL</t>
        </is>
      </c>
      <c r="C598" s="52" t="n">
        <v>7.19</v>
      </c>
      <c r="D598" t="inlineStr">
        <is>
          <t>Foundation</t>
        </is>
      </c>
      <c r="E598" s="50" t="n">
        <v>2023</v>
      </c>
      <c r="F598" s="50" t="inlineStr">
        <is>
          <t>2024-11-13</t>
        </is>
      </c>
      <c r="G598" s="50" t="inlineStr">
        <is>
          <t>2023-12-31</t>
        </is>
      </c>
      <c r="H598" t="inlineStr">
        <is>
          <t>Caixia Ziegler</t>
        </is>
      </c>
      <c r="I598" t="inlineStr">
        <is>
          <t>MANAGING DIRECTOR</t>
        </is>
      </c>
      <c r="J598" t="inlineStr">
        <is>
          <t>Managing Director</t>
        </is>
      </c>
      <c r="K598" t="inlineStr">
        <is>
          <t>Sr Investment Professional</t>
        </is>
      </c>
      <c r="L598" s="28" t="n">
        <v>0</v>
      </c>
      <c r="M598" s="28" t="n">
        <v>0</v>
      </c>
      <c r="N598" s="28" t="n">
        <v>0</v>
      </c>
      <c r="O598" s="28" t="n">
        <v>0</v>
      </c>
      <c r="P598" s="28" t="n">
        <v>0</v>
      </c>
      <c r="Q598" s="28" t="n">
        <v>1059724</v>
      </c>
      <c r="R598" s="28" t="n">
        <v>0</v>
      </c>
      <c r="S598" s="28">
        <f>Q598-R598</f>
        <v/>
      </c>
      <c r="T598" s="28">
        <f>IF(S598="","",S598*(1+in_GrowthRate)^(YEARFRAC(DATE(2023,12,31),in_AgeToDate)*IF(in_AgeToDate&lt;DATE(2023,12,31),-1,1)+1))</f>
        <v/>
      </c>
      <c r="U598" s="50">
        <f>IF(AND(AND(OR(in_Mode="All Funds",AND(C598&gt;=in_BandFloor,C598&lt;=in_BandCeiling,OR(in_Geography="National",COUNTIFS(lst_GeoPreset,in_Geography,lst_GeoState,B598)&gt;0,AND(in_Geography="Custom",ISNUMBER(SEARCH(B598,SUBSTITUTE(in_CustomStates," ",""))))),OR(AND(D598="Endowment",Inputs!$B$14="Y"),AND(D598="Foundation",Inputs!$B$15="Y"),AND(D598="Healthcare",Inputs!$B$16="Y"),AND(D598="Pension",Inputs!$B$17="Y"),AND(D598="OCIO",Inputs!$B$18="Y"),AND(D598="Other",Inputs!$B$19="Y")))),A598&lt;&gt;in_ClientOrg,NOT(AND(in_ExclHarvard="Y",ISNUMBER(SEARCH("Harvard",A598))))),$AD598="Y",K598&lt;&gt;"",S598&gt;0),"Y","")</f>
        <v/>
      </c>
      <c r="V598" s="30" t="n">
        <v>0.3150113463346018</v>
      </c>
      <c r="W598" t="inlineStr"/>
      <c r="X598" s="28">
        <f>IF(L598+M598=0,"",L598+M598)</f>
        <v/>
      </c>
      <c r="Y598" s="38">
        <f>IF(L598=0,"",M598/L598)</f>
        <v/>
      </c>
      <c r="Z598" t="inlineStr">
        <is>
          <t>Managing Director</t>
        </is>
      </c>
      <c r="AA598" t="inlineStr">
        <is>
          <t>Investments</t>
        </is>
      </c>
      <c r="AB598" s="50" t="inlineStr"/>
      <c r="AC598" s="43">
        <f>HYPERLINK("https://projects.propublica.org/nonprofits/organizations/237093598/202423189349103932/full","view filing")</f>
        <v/>
      </c>
      <c r="AD598" s="50" t="inlineStr"/>
    </row>
    <row r="599">
      <c r="A599" t="inlineStr">
        <is>
          <t>John D &amp; Catherine T Macarthur Foundation</t>
        </is>
      </c>
      <c r="B599" s="50" t="inlineStr">
        <is>
          <t>IL</t>
        </is>
      </c>
      <c r="C599" s="52" t="n">
        <v>7.19</v>
      </c>
      <c r="D599" t="inlineStr">
        <is>
          <t>Foundation</t>
        </is>
      </c>
      <c r="E599" s="50" t="n">
        <v>2023</v>
      </c>
      <c r="F599" s="50" t="inlineStr">
        <is>
          <t>2024-11-13</t>
        </is>
      </c>
      <c r="G599" s="50" t="inlineStr">
        <is>
          <t>2023-12-31</t>
        </is>
      </c>
      <c r="H599" t="inlineStr">
        <is>
          <t>David Greenwald</t>
        </is>
      </c>
      <c r="I599" t="inlineStr">
        <is>
          <t>MANAGING DIRECTOR</t>
        </is>
      </c>
      <c r="J599" t="inlineStr">
        <is>
          <t>Managing Director</t>
        </is>
      </c>
      <c r="K599" t="inlineStr">
        <is>
          <t>Sr Investment Professional</t>
        </is>
      </c>
      <c r="L599" s="28" t="n">
        <v>0</v>
      </c>
      <c r="M599" s="28" t="n">
        <v>0</v>
      </c>
      <c r="N599" s="28" t="n">
        <v>0</v>
      </c>
      <c r="O599" s="28" t="n">
        <v>0</v>
      </c>
      <c r="P599" s="28" t="n">
        <v>0</v>
      </c>
      <c r="Q599" s="28" t="n">
        <v>1016186</v>
      </c>
      <c r="R599" s="28" t="n">
        <v>0</v>
      </c>
      <c r="S599" s="28">
        <f>Q599-R599</f>
        <v/>
      </c>
      <c r="T599" s="28">
        <f>IF(S599="","",S599*(1+in_GrowthRate)^(YEARFRAC(DATE(2023,12,31),in_AgeToDate)*IF(in_AgeToDate&lt;DATE(2023,12,31),-1,1)+1))</f>
        <v/>
      </c>
      <c r="U599" s="50">
        <f>IF(AND(AND(OR(in_Mode="All Funds",AND(C599&gt;=in_BandFloor,C599&lt;=in_BandCeiling,OR(in_Geography="National",COUNTIFS(lst_GeoPreset,in_Geography,lst_GeoState,B599)&gt;0,AND(in_Geography="Custom",ISNUMBER(SEARCH(B599,SUBSTITUTE(in_CustomStates," ",""))))),OR(AND(D599="Endowment",Inputs!$B$14="Y"),AND(D599="Foundation",Inputs!$B$15="Y"),AND(D599="Healthcare",Inputs!$B$16="Y"),AND(D599="Pension",Inputs!$B$17="Y"),AND(D599="OCIO",Inputs!$B$18="Y"),AND(D599="Other",Inputs!$B$19="Y")))),A599&lt;&gt;in_ClientOrg,NOT(AND(in_ExclHarvard="Y",ISNUMBER(SEARCH("Harvard",A599))))),$AD599="Y",K599&lt;&gt;"",S599&gt;0),"Y","")</f>
        <v/>
      </c>
      <c r="V599" s="30" t="n">
        <v>0.3020693312469791</v>
      </c>
      <c r="W599" t="inlineStr"/>
      <c r="X599" s="28">
        <f>IF(L599+M599=0,"",L599+M599)</f>
        <v/>
      </c>
      <c r="Y599" s="38">
        <f>IF(L599=0,"",M599/L599)</f>
        <v/>
      </c>
      <c r="Z599" t="inlineStr">
        <is>
          <t>Managing Director</t>
        </is>
      </c>
      <c r="AA599" t="inlineStr">
        <is>
          <t>Investments</t>
        </is>
      </c>
      <c r="AB599" s="50" t="inlineStr"/>
      <c r="AC599" s="43">
        <f>HYPERLINK("https://projects.propublica.org/nonprofits/organizations/237093598/202423189349103932/full","view filing")</f>
        <v/>
      </c>
      <c r="AD599" s="50" t="inlineStr"/>
    </row>
    <row r="600">
      <c r="A600" t="inlineStr">
        <is>
          <t>John D &amp; Catherine T Macarthur Foundation</t>
        </is>
      </c>
      <c r="B600" s="50" t="inlineStr">
        <is>
          <t>IL</t>
        </is>
      </c>
      <c r="C600" s="52" t="n">
        <v>7.19</v>
      </c>
      <c r="D600" t="inlineStr">
        <is>
          <t>Foundation</t>
        </is>
      </c>
      <c r="E600" s="50" t="n">
        <v>2023</v>
      </c>
      <c r="F600" s="50" t="inlineStr">
        <is>
          <t>2024-11-13</t>
        </is>
      </c>
      <c r="G600" s="50" t="inlineStr">
        <is>
          <t>2023-12-31</t>
        </is>
      </c>
      <c r="H600" t="inlineStr">
        <is>
          <t>Eric Vaang</t>
        </is>
      </c>
      <c r="I600" t="inlineStr">
        <is>
          <t>MANAGING DIRECTOR</t>
        </is>
      </c>
      <c r="J600" t="inlineStr">
        <is>
          <t>Managing Director</t>
        </is>
      </c>
      <c r="K600" t="inlineStr">
        <is>
          <t>Sr Investment Professional</t>
        </is>
      </c>
      <c r="L600" s="28" t="n">
        <v>0</v>
      </c>
      <c r="M600" s="28" t="n">
        <v>0</v>
      </c>
      <c r="N600" s="28" t="n">
        <v>0</v>
      </c>
      <c r="O600" s="28" t="n">
        <v>0</v>
      </c>
      <c r="P600" s="28" t="n">
        <v>0</v>
      </c>
      <c r="Q600" s="28" t="n">
        <v>1041121</v>
      </c>
      <c r="R600" s="28" t="n">
        <v>0</v>
      </c>
      <c r="S600" s="28">
        <f>Q600-R600</f>
        <v/>
      </c>
      <c r="T600" s="28">
        <f>IF(S600="","",S600*(1+in_GrowthRate)^(YEARFRAC(DATE(2023,12,31),in_AgeToDate)*IF(in_AgeToDate&lt;DATE(2023,12,31),-1,1)+1))</f>
        <v/>
      </c>
      <c r="U600" s="50">
        <f>IF(AND(AND(OR(in_Mode="All Funds",AND(C600&gt;=in_BandFloor,C600&lt;=in_BandCeiling,OR(in_Geography="National",COUNTIFS(lst_GeoPreset,in_Geography,lst_GeoState,B600)&gt;0,AND(in_Geography="Custom",ISNUMBER(SEARCH(B600,SUBSTITUTE(in_CustomStates," ",""))))),OR(AND(D600="Endowment",Inputs!$B$14="Y"),AND(D600="Foundation",Inputs!$B$15="Y"),AND(D600="Healthcare",Inputs!$B$16="Y"),AND(D600="Pension",Inputs!$B$17="Y"),AND(D600="OCIO",Inputs!$B$18="Y"),AND(D600="Other",Inputs!$B$19="Y")))),A600&lt;&gt;in_ClientOrg,NOT(AND(in_ExclHarvard="Y",ISNUMBER(SEARCH("Harvard",A600))))),$AD600="Y",K600&lt;&gt;"",S600&gt;0),"Y","")</f>
        <v/>
      </c>
      <c r="V600" s="30" t="n">
        <v>0.3094814573485427</v>
      </c>
      <c r="W600" t="inlineStr"/>
      <c r="X600" s="28">
        <f>IF(L600+M600=0,"",L600+M600)</f>
        <v/>
      </c>
      <c r="Y600" s="38">
        <f>IF(L600=0,"",M600/L600)</f>
        <v/>
      </c>
      <c r="Z600" t="inlineStr">
        <is>
          <t>Managing Director</t>
        </is>
      </c>
      <c r="AA600" t="inlineStr">
        <is>
          <t>Investments</t>
        </is>
      </c>
      <c r="AB600" s="50" t="inlineStr"/>
      <c r="AC600" s="43">
        <f>HYPERLINK("https://projects.propublica.org/nonprofits/organizations/237093598/202423189349103932/full","view filing")</f>
        <v/>
      </c>
      <c r="AD600" s="50" t="inlineStr"/>
    </row>
    <row r="601">
      <c r="A601" t="inlineStr">
        <is>
          <t>John D &amp; Catherine T Macarthur Foundation</t>
        </is>
      </c>
      <c r="B601" s="50" t="inlineStr">
        <is>
          <t>IL</t>
        </is>
      </c>
      <c r="C601" s="52" t="n">
        <v>7.19</v>
      </c>
      <c r="D601" t="inlineStr">
        <is>
          <t>Foundation</t>
        </is>
      </c>
      <c r="E601" s="50" t="n">
        <v>2023</v>
      </c>
      <c r="F601" s="50" t="inlineStr">
        <is>
          <t>2024-11-13</t>
        </is>
      </c>
      <c r="G601" s="50" t="inlineStr">
        <is>
          <t>2023-12-31</t>
        </is>
      </c>
      <c r="H601" t="inlineStr">
        <is>
          <t>Mark Franke</t>
        </is>
      </c>
      <c r="I601" t="inlineStr">
        <is>
          <t>MANAGING DIRECTOR</t>
        </is>
      </c>
      <c r="J601" t="inlineStr">
        <is>
          <t>Managing Director</t>
        </is>
      </c>
      <c r="K601" t="inlineStr">
        <is>
          <t>Sr Investment Professional</t>
        </is>
      </c>
      <c r="L601" s="28" t="n">
        <v>0</v>
      </c>
      <c r="M601" s="28" t="n">
        <v>0</v>
      </c>
      <c r="N601" s="28" t="n">
        <v>0</v>
      </c>
      <c r="O601" s="28" t="n">
        <v>0</v>
      </c>
      <c r="P601" s="28" t="n">
        <v>0</v>
      </c>
      <c r="Q601" s="28" t="n">
        <v>1087727</v>
      </c>
      <c r="R601" s="28" t="n">
        <v>0</v>
      </c>
      <c r="S601" s="28">
        <f>Q601-R601</f>
        <v/>
      </c>
      <c r="T601" s="28">
        <f>IF(S601="","",S601*(1+in_GrowthRate)^(YEARFRAC(DATE(2023,12,31),in_AgeToDate)*IF(in_AgeToDate&lt;DATE(2023,12,31),-1,1)+1))</f>
        <v/>
      </c>
      <c r="U601" s="50">
        <f>IF(AND(AND(OR(in_Mode="All Funds",AND(C601&gt;=in_BandFloor,C601&lt;=in_BandCeiling,OR(in_Geography="National",COUNTIFS(lst_GeoPreset,in_Geography,lst_GeoState,B601)&gt;0,AND(in_Geography="Custom",ISNUMBER(SEARCH(B601,SUBSTITUTE(in_CustomStates," ",""))))),OR(AND(D601="Endowment",Inputs!$B$14="Y"),AND(D601="Foundation",Inputs!$B$15="Y"),AND(D601="Healthcare",Inputs!$B$16="Y"),AND(D601="Pension",Inputs!$B$17="Y"),AND(D601="OCIO",Inputs!$B$18="Y"),AND(D601="Other",Inputs!$B$19="Y")))),A601&lt;&gt;in_ClientOrg,NOT(AND(in_ExclHarvard="Y",ISNUMBER(SEARCH("Harvard",A601))))),$AD601="Y",K601&lt;&gt;"",S601&gt;0),"Y","")</f>
        <v/>
      </c>
      <c r="V601" s="30" t="n">
        <v>0.3233354597182827</v>
      </c>
      <c r="W601" t="inlineStr"/>
      <c r="X601" s="28">
        <f>IF(L601+M601=0,"",L601+M601)</f>
        <v/>
      </c>
      <c r="Y601" s="38">
        <f>IF(L601=0,"",M601/L601)</f>
        <v/>
      </c>
      <c r="Z601" t="inlineStr">
        <is>
          <t>Managing Director</t>
        </is>
      </c>
      <c r="AA601" t="inlineStr">
        <is>
          <t>Investments</t>
        </is>
      </c>
      <c r="AB601" s="50" t="inlineStr"/>
      <c r="AC601" s="43">
        <f>HYPERLINK("https://projects.propublica.org/nonprofits/organizations/237093598/202423189349103932/full","view filing")</f>
        <v/>
      </c>
      <c r="AD601" s="50" t="inlineStr"/>
    </row>
    <row r="602">
      <c r="A602" t="inlineStr">
        <is>
          <t>John D &amp; Catherine T Macarthur Foundation</t>
        </is>
      </c>
      <c r="B602" s="50" t="inlineStr">
        <is>
          <t>IL</t>
        </is>
      </c>
      <c r="C602" s="52" t="n">
        <v>7.19</v>
      </c>
      <c r="D602" t="inlineStr">
        <is>
          <t>Foundation</t>
        </is>
      </c>
      <c r="E602" s="50" t="n">
        <v>2023</v>
      </c>
      <c r="F602" s="50" t="inlineStr">
        <is>
          <t>2024-11-13</t>
        </is>
      </c>
      <c r="G602" s="50" t="inlineStr">
        <is>
          <t>2023-12-31</t>
        </is>
      </c>
      <c r="H602" t="inlineStr">
        <is>
          <t>Susan E Manske</t>
        </is>
      </c>
      <c r="I602" t="inlineStr">
        <is>
          <t>VP / CHIEF INVESTMENT OFFICER</t>
        </is>
      </c>
      <c r="J602" t="inlineStr">
        <is>
          <t>CIO</t>
        </is>
      </c>
      <c r="K602" t="inlineStr">
        <is>
          <t>CIO - Top Investment Executive</t>
        </is>
      </c>
      <c r="L602" s="28" t="n">
        <v>0</v>
      </c>
      <c r="M602" s="28" t="n">
        <v>0</v>
      </c>
      <c r="N602" s="28" t="n">
        <v>0</v>
      </c>
      <c r="O602" s="28" t="n">
        <v>0</v>
      </c>
      <c r="P602" s="28" t="n">
        <v>1093363</v>
      </c>
      <c r="Q602" s="28" t="n">
        <v>3364082</v>
      </c>
      <c r="R602" s="28" t="n">
        <v>0</v>
      </c>
      <c r="S602" s="28">
        <f>Q602-R602</f>
        <v/>
      </c>
      <c r="T602" s="28">
        <f>IF(S602="","",S602*(1+in_GrowthRate)^(YEARFRAC(DATE(2023,12,31),in_AgeToDate)*IF(in_AgeToDate&lt;DATE(2023,12,31),-1,1)+1))</f>
        <v/>
      </c>
      <c r="U602" s="50">
        <f>IF(AND(AND(OR(in_Mode="All Funds",AND(C602&gt;=in_BandFloor,C602&lt;=in_BandCeiling,OR(in_Geography="National",COUNTIFS(lst_GeoPreset,in_Geography,lst_GeoState,B602)&gt;0,AND(in_Geography="Custom",ISNUMBER(SEARCH(B602,SUBSTITUTE(in_CustomStates," ",""))))),OR(AND(D602="Endowment",Inputs!$B$14="Y"),AND(D602="Foundation",Inputs!$B$15="Y"),AND(D602="Healthcare",Inputs!$B$16="Y"),AND(D602="Pension",Inputs!$B$17="Y"),AND(D602="OCIO",Inputs!$B$18="Y"),AND(D602="Other",Inputs!$B$19="Y")))),A602&lt;&gt;in_ClientOrg,NOT(AND(in_ExclHarvard="Y",ISNUMBER(SEARCH("Harvard",A602))))),$AD602="Y",K602&lt;&gt;"",S602&gt;0),"Y","")</f>
        <v/>
      </c>
      <c r="V602" s="30" t="n">
        <v>1</v>
      </c>
      <c r="W602" t="inlineStr"/>
      <c r="X602" s="28">
        <f>IF(L602+M602=0,"",L602+M602)</f>
        <v/>
      </c>
      <c r="Y602" s="38">
        <f>IF(L602=0,"",M602/L602)</f>
        <v/>
      </c>
      <c r="Z602" t="inlineStr">
        <is>
          <t>CIO - Top Investment Executive</t>
        </is>
      </c>
      <c r="AA602" t="inlineStr">
        <is>
          <t>Leadership</t>
        </is>
      </c>
      <c r="AB602" s="50" t="inlineStr">
        <is>
          <t>Y</t>
        </is>
      </c>
      <c r="AC602" s="43">
        <f>HYPERLINK("https://projects.propublica.org/nonprofits/organizations/237093598/202423189349103932/full","view filing")</f>
        <v/>
      </c>
      <c r="AD602" s="50" t="inlineStr"/>
    </row>
    <row r="603">
      <c r="A603" t="inlineStr">
        <is>
          <t>John D &amp; Catherine T Macarthur Foundation</t>
        </is>
      </c>
      <c r="B603" s="50" t="inlineStr">
        <is>
          <t>IL</t>
        </is>
      </c>
      <c r="C603" s="52" t="n">
        <v>7.19</v>
      </c>
      <c r="D603" t="inlineStr">
        <is>
          <t>Foundation</t>
        </is>
      </c>
      <c r="E603" s="50" t="n">
        <v>2022</v>
      </c>
      <c r="F603" s="50" t="inlineStr">
        <is>
          <t>2023-11-13</t>
        </is>
      </c>
      <c r="G603" s="50" t="inlineStr">
        <is>
          <t>2022-12-31</t>
        </is>
      </c>
      <c r="H603" t="inlineStr">
        <is>
          <t>Buck Betten</t>
        </is>
      </c>
      <c r="I603" t="inlineStr">
        <is>
          <t>MANAGING DIRECTOR</t>
        </is>
      </c>
      <c r="J603" t="inlineStr">
        <is>
          <t>Managing Director</t>
        </is>
      </c>
      <c r="K603" t="inlineStr">
        <is>
          <t>Sr Investment Professional</t>
        </is>
      </c>
      <c r="L603" s="28" t="n">
        <v>0</v>
      </c>
      <c r="M603" s="28" t="n">
        <v>0</v>
      </c>
      <c r="N603" s="28" t="n">
        <v>0</v>
      </c>
      <c r="O603" s="28" t="n">
        <v>0</v>
      </c>
      <c r="P603" s="28" t="n">
        <v>0</v>
      </c>
      <c r="Q603" s="28" t="n">
        <v>955076</v>
      </c>
      <c r="R603" s="28" t="n">
        <v>0</v>
      </c>
      <c r="S603" s="28">
        <f>Q603-R603</f>
        <v/>
      </c>
      <c r="T603" s="28">
        <f>IF(S603="","",S603*(1+in_GrowthRate)^(YEARFRAC(DATE(2022,12,31),in_AgeToDate)*IF(in_AgeToDate&lt;DATE(2022,12,31),-1,1)+1))</f>
        <v/>
      </c>
      <c r="U603" s="50">
        <f>IF(AND(AND(OR(in_Mode="All Funds",AND(C603&gt;=in_BandFloor,C603&lt;=in_BandCeiling,OR(in_Geography="National",COUNTIFS(lst_GeoPreset,in_Geography,lst_GeoState,B603)&gt;0,AND(in_Geography="Custom",ISNUMBER(SEARCH(B603,SUBSTITUTE(in_CustomStates," ",""))))),OR(AND(D603="Endowment",Inputs!$B$14="Y"),AND(D603="Foundation",Inputs!$B$15="Y"),AND(D603="Healthcare",Inputs!$B$16="Y"),AND(D603="Pension",Inputs!$B$17="Y"),AND(D603="OCIO",Inputs!$B$18="Y"),AND(D603="Other",Inputs!$B$19="Y")))),A603&lt;&gt;in_ClientOrg,NOT(AND(in_ExclHarvard="Y",ISNUMBER(SEARCH("Harvard",A603))))),$AD603="Y",K603&lt;&gt;"",S603&gt;0),"Y","")</f>
        <v/>
      </c>
      <c r="V603" s="30" t="n">
        <v>0.2897964273826426</v>
      </c>
      <c r="W603" t="inlineStr"/>
      <c r="X603" s="28">
        <f>IF(L603+M603=0,"",L603+M603)</f>
        <v/>
      </c>
      <c r="Y603" s="38">
        <f>IF(L603=0,"",M603/L603)</f>
        <v/>
      </c>
      <c r="Z603" t="inlineStr">
        <is>
          <t>Managing Director</t>
        </is>
      </c>
      <c r="AA603" t="inlineStr">
        <is>
          <t>Investments</t>
        </is>
      </c>
      <c r="AB603" s="50" t="inlineStr"/>
      <c r="AC603" s="43">
        <f>HYPERLINK("https://projects.propublica.org/nonprofits/organizations/237093598/202313179349104401/full","view filing")</f>
        <v/>
      </c>
      <c r="AD603" s="50" t="inlineStr"/>
    </row>
    <row r="604">
      <c r="A604" t="inlineStr">
        <is>
          <t>John D &amp; Catherine T Macarthur Foundation</t>
        </is>
      </c>
      <c r="B604" s="50" t="inlineStr">
        <is>
          <t>IL</t>
        </is>
      </c>
      <c r="C604" s="52" t="n">
        <v>7.19</v>
      </c>
      <c r="D604" t="inlineStr">
        <is>
          <t>Foundation</t>
        </is>
      </c>
      <c r="E604" s="50" t="n">
        <v>2022</v>
      </c>
      <c r="F604" s="50" t="inlineStr">
        <is>
          <t>2023-11-13</t>
        </is>
      </c>
      <c r="G604" s="50" t="inlineStr">
        <is>
          <t>2022-12-31</t>
        </is>
      </c>
      <c r="H604" t="inlineStr">
        <is>
          <t>Caixia Ziegler</t>
        </is>
      </c>
      <c r="I604" t="inlineStr">
        <is>
          <t>MANAGING DIRECTOR</t>
        </is>
      </c>
      <c r="J604" t="inlineStr">
        <is>
          <t>Managing Director</t>
        </is>
      </c>
      <c r="K604" t="inlineStr">
        <is>
          <t>Sr Investment Professional</t>
        </is>
      </c>
      <c r="L604" s="28" t="n">
        <v>0</v>
      </c>
      <c r="M604" s="28" t="n">
        <v>0</v>
      </c>
      <c r="N604" s="28" t="n">
        <v>0</v>
      </c>
      <c r="O604" s="28" t="n">
        <v>0</v>
      </c>
      <c r="P604" s="28" t="n">
        <v>0</v>
      </c>
      <c r="Q604" s="28" t="n">
        <v>1049575</v>
      </c>
      <c r="R604" s="28" t="n">
        <v>0</v>
      </c>
      <c r="S604" s="28">
        <f>Q604-R604</f>
        <v/>
      </c>
      <c r="T604" s="28">
        <f>IF(S604="","",S604*(1+in_GrowthRate)^(YEARFRAC(DATE(2022,12,31),in_AgeToDate)*IF(in_AgeToDate&lt;DATE(2022,12,31),-1,1)+1))</f>
        <v/>
      </c>
      <c r="U604" s="50">
        <f>IF(AND(AND(OR(in_Mode="All Funds",AND(C604&gt;=in_BandFloor,C604&lt;=in_BandCeiling,OR(in_Geography="National",COUNTIFS(lst_GeoPreset,in_Geography,lst_GeoState,B604)&gt;0,AND(in_Geography="Custom",ISNUMBER(SEARCH(B604,SUBSTITUTE(in_CustomStates," ",""))))),OR(AND(D604="Endowment",Inputs!$B$14="Y"),AND(D604="Foundation",Inputs!$B$15="Y"),AND(D604="Healthcare",Inputs!$B$16="Y"),AND(D604="Pension",Inputs!$B$17="Y"),AND(D604="OCIO",Inputs!$B$18="Y"),AND(D604="Other",Inputs!$B$19="Y")))),A604&lt;&gt;in_ClientOrg,NOT(AND(in_ExclHarvard="Y",ISNUMBER(SEARCH("Harvard",A604))))),$AD604="Y",K604&lt;&gt;"",S604&gt;0),"Y","")</f>
        <v/>
      </c>
      <c r="V604" s="30" t="n">
        <v>0.3184700330341638</v>
      </c>
      <c r="W604" t="inlineStr"/>
      <c r="X604" s="28">
        <f>IF(L604+M604=0,"",L604+M604)</f>
        <v/>
      </c>
      <c r="Y604" s="38">
        <f>IF(L604=0,"",M604/L604)</f>
        <v/>
      </c>
      <c r="Z604" t="inlineStr">
        <is>
          <t>Managing Director</t>
        </is>
      </c>
      <c r="AA604" t="inlineStr">
        <is>
          <t>Investments</t>
        </is>
      </c>
      <c r="AB604" s="50" t="inlineStr"/>
      <c r="AC604" s="43">
        <f>HYPERLINK("https://projects.propublica.org/nonprofits/organizations/237093598/202313179349104401/full","view filing")</f>
        <v/>
      </c>
      <c r="AD604" s="50" t="inlineStr"/>
    </row>
    <row r="605">
      <c r="A605" t="inlineStr">
        <is>
          <t>John D &amp; Catherine T Macarthur Foundation</t>
        </is>
      </c>
      <c r="B605" s="50" t="inlineStr">
        <is>
          <t>IL</t>
        </is>
      </c>
      <c r="C605" s="52" t="n">
        <v>7.19</v>
      </c>
      <c r="D605" t="inlineStr">
        <is>
          <t>Foundation</t>
        </is>
      </c>
      <c r="E605" s="50" t="n">
        <v>2022</v>
      </c>
      <c r="F605" s="50" t="inlineStr">
        <is>
          <t>2023-11-13</t>
        </is>
      </c>
      <c r="G605" s="50" t="inlineStr">
        <is>
          <t>2022-12-31</t>
        </is>
      </c>
      <c r="H605" t="inlineStr">
        <is>
          <t>David Greenwald</t>
        </is>
      </c>
      <c r="I605" t="inlineStr">
        <is>
          <t>MANAGING DIRECTOR</t>
        </is>
      </c>
      <c r="J605" t="inlineStr">
        <is>
          <t>Managing Director</t>
        </is>
      </c>
      <c r="K605" t="inlineStr">
        <is>
          <t>Sr Investment Professional</t>
        </is>
      </c>
      <c r="L605" s="28" t="n">
        <v>0</v>
      </c>
      <c r="M605" s="28" t="n">
        <v>0</v>
      </c>
      <c r="N605" s="28" t="n">
        <v>0</v>
      </c>
      <c r="O605" s="28" t="n">
        <v>0</v>
      </c>
      <c r="P605" s="28" t="n">
        <v>0</v>
      </c>
      <c r="Q605" s="28" t="n">
        <v>990569</v>
      </c>
      <c r="R605" s="28" t="n">
        <v>0</v>
      </c>
      <c r="S605" s="28">
        <f>Q605-R605</f>
        <v/>
      </c>
      <c r="T605" s="28">
        <f>IF(S605="","",S605*(1+in_GrowthRate)^(YEARFRAC(DATE(2022,12,31),in_AgeToDate)*IF(in_AgeToDate&lt;DATE(2022,12,31),-1,1)+1))</f>
        <v/>
      </c>
      <c r="U605" s="50">
        <f>IF(AND(AND(OR(in_Mode="All Funds",AND(C605&gt;=in_BandFloor,C605&lt;=in_BandCeiling,OR(in_Geography="National",COUNTIFS(lst_GeoPreset,in_Geography,lst_GeoState,B605)&gt;0,AND(in_Geography="Custom",ISNUMBER(SEARCH(B605,SUBSTITUTE(in_CustomStates," ",""))))),OR(AND(D605="Endowment",Inputs!$B$14="Y"),AND(D605="Foundation",Inputs!$B$15="Y"),AND(D605="Healthcare",Inputs!$B$16="Y"),AND(D605="Pension",Inputs!$B$17="Y"),AND(D605="OCIO",Inputs!$B$18="Y"),AND(D605="Other",Inputs!$B$19="Y")))),A605&lt;&gt;in_ClientOrg,NOT(AND(in_ExclHarvard="Y",ISNUMBER(SEARCH("Harvard",A605))))),$AD605="Y",K605&lt;&gt;"",S605&gt;0),"Y","")</f>
        <v/>
      </c>
      <c r="V605" s="30" t="n">
        <v>0.3005659835196328</v>
      </c>
      <c r="W605" t="inlineStr"/>
      <c r="X605" s="28">
        <f>IF(L605+M605=0,"",L605+M605)</f>
        <v/>
      </c>
      <c r="Y605" s="38">
        <f>IF(L605=0,"",M605/L605)</f>
        <v/>
      </c>
      <c r="Z605" t="inlineStr">
        <is>
          <t>Managing Director</t>
        </is>
      </c>
      <c r="AA605" t="inlineStr">
        <is>
          <t>Investments</t>
        </is>
      </c>
      <c r="AB605" s="50" t="inlineStr"/>
      <c r="AC605" s="43">
        <f>HYPERLINK("https://projects.propublica.org/nonprofits/organizations/237093598/202313179349104401/full","view filing")</f>
        <v/>
      </c>
      <c r="AD605" s="50" t="inlineStr"/>
    </row>
    <row r="606">
      <c r="A606" t="inlineStr">
        <is>
          <t>John D &amp; Catherine T Macarthur Foundation</t>
        </is>
      </c>
      <c r="B606" s="50" t="inlineStr">
        <is>
          <t>IL</t>
        </is>
      </c>
      <c r="C606" s="52" t="n">
        <v>7.19</v>
      </c>
      <c r="D606" t="inlineStr">
        <is>
          <t>Foundation</t>
        </is>
      </c>
      <c r="E606" s="50" t="n">
        <v>2022</v>
      </c>
      <c r="F606" s="50" t="inlineStr">
        <is>
          <t>2023-11-13</t>
        </is>
      </c>
      <c r="G606" s="50" t="inlineStr">
        <is>
          <t>2022-12-31</t>
        </is>
      </c>
      <c r="H606" t="inlineStr">
        <is>
          <t>Eric Vaang</t>
        </is>
      </c>
      <c r="I606" t="inlineStr">
        <is>
          <t>MANAGING DIRECTOR</t>
        </is>
      </c>
      <c r="J606" t="inlineStr">
        <is>
          <t>Managing Director</t>
        </is>
      </c>
      <c r="K606" t="inlineStr">
        <is>
          <t>Sr Investment Professional</t>
        </is>
      </c>
      <c r="L606" s="28" t="n">
        <v>0</v>
      </c>
      <c r="M606" s="28" t="n">
        <v>0</v>
      </c>
      <c r="N606" s="28" t="n">
        <v>0</v>
      </c>
      <c r="O606" s="28" t="n">
        <v>0</v>
      </c>
      <c r="P606" s="28" t="n">
        <v>0</v>
      </c>
      <c r="Q606" s="28" t="n">
        <v>1030283</v>
      </c>
      <c r="R606" s="28" t="n">
        <v>0</v>
      </c>
      <c r="S606" s="28">
        <f>Q606-R606</f>
        <v/>
      </c>
      <c r="T606" s="28">
        <f>IF(S606="","",S606*(1+in_GrowthRate)^(YEARFRAC(DATE(2022,12,31),in_AgeToDate)*IF(in_AgeToDate&lt;DATE(2022,12,31),-1,1)+1))</f>
        <v/>
      </c>
      <c r="U606" s="50">
        <f>IF(AND(AND(OR(in_Mode="All Funds",AND(C606&gt;=in_BandFloor,C606&lt;=in_BandCeiling,OR(in_Geography="National",COUNTIFS(lst_GeoPreset,in_Geography,lst_GeoState,B606)&gt;0,AND(in_Geography="Custom",ISNUMBER(SEARCH(B606,SUBSTITUTE(in_CustomStates," ",""))))),OR(AND(D606="Endowment",Inputs!$B$14="Y"),AND(D606="Foundation",Inputs!$B$15="Y"),AND(D606="Healthcare",Inputs!$B$16="Y"),AND(D606="Pension",Inputs!$B$17="Y"),AND(D606="OCIO",Inputs!$B$18="Y"),AND(D606="Other",Inputs!$B$19="Y")))),A606&lt;&gt;in_ClientOrg,NOT(AND(in_ExclHarvard="Y",ISNUMBER(SEARCH("Harvard",A606))))),$AD606="Y",K606&lt;&gt;"",S606&gt;0),"Y","")</f>
        <v/>
      </c>
      <c r="V606" s="30" t="n">
        <v>0.312616307595491</v>
      </c>
      <c r="W606" t="inlineStr"/>
      <c r="X606" s="28">
        <f>IF(L606+M606=0,"",L606+M606)</f>
        <v/>
      </c>
      <c r="Y606" s="38">
        <f>IF(L606=0,"",M606/L606)</f>
        <v/>
      </c>
      <c r="Z606" t="inlineStr">
        <is>
          <t>Managing Director</t>
        </is>
      </c>
      <c r="AA606" t="inlineStr">
        <is>
          <t>Investments</t>
        </is>
      </c>
      <c r="AB606" s="50" t="inlineStr"/>
      <c r="AC606" s="43">
        <f>HYPERLINK("https://projects.propublica.org/nonprofits/organizations/237093598/202313179349104401/full","view filing")</f>
        <v/>
      </c>
      <c r="AD606" s="50" t="inlineStr"/>
    </row>
    <row r="607">
      <c r="A607" t="inlineStr">
        <is>
          <t>John D &amp; Catherine T Macarthur Foundation</t>
        </is>
      </c>
      <c r="B607" s="50" t="inlineStr">
        <is>
          <t>IL</t>
        </is>
      </c>
      <c r="C607" s="52" t="n">
        <v>7.19</v>
      </c>
      <c r="D607" t="inlineStr">
        <is>
          <t>Foundation</t>
        </is>
      </c>
      <c r="E607" s="50" t="n">
        <v>2022</v>
      </c>
      <c r="F607" s="50" t="inlineStr">
        <is>
          <t>2023-11-13</t>
        </is>
      </c>
      <c r="G607" s="50" t="inlineStr">
        <is>
          <t>2022-12-31</t>
        </is>
      </c>
      <c r="H607" t="inlineStr">
        <is>
          <t>Mark Franke</t>
        </is>
      </c>
      <c r="I607" t="inlineStr">
        <is>
          <t>MANAGING DIRECTOR</t>
        </is>
      </c>
      <c r="J607" t="inlineStr">
        <is>
          <t>Managing Director</t>
        </is>
      </c>
      <c r="K607" t="inlineStr">
        <is>
          <t>Sr Investment Professional</t>
        </is>
      </c>
      <c r="L607" s="28" t="n">
        <v>0</v>
      </c>
      <c r="M607" s="28" t="n">
        <v>0</v>
      </c>
      <c r="N607" s="28" t="n">
        <v>0</v>
      </c>
      <c r="O607" s="28" t="n">
        <v>0</v>
      </c>
      <c r="P607" s="28" t="n">
        <v>0</v>
      </c>
      <c r="Q607" s="28" t="n">
        <v>1078302</v>
      </c>
      <c r="R607" s="28" t="n">
        <v>0</v>
      </c>
      <c r="S607" s="28">
        <f>Q607-R607</f>
        <v/>
      </c>
      <c r="T607" s="28">
        <f>IF(S607="","",S607*(1+in_GrowthRate)^(YEARFRAC(DATE(2022,12,31),in_AgeToDate)*IF(in_AgeToDate&lt;DATE(2022,12,31),-1,1)+1))</f>
        <v/>
      </c>
      <c r="U607" s="50">
        <f>IF(AND(AND(OR(in_Mode="All Funds",AND(C607&gt;=in_BandFloor,C607&lt;=in_BandCeiling,OR(in_Geography="National",COUNTIFS(lst_GeoPreset,in_Geography,lst_GeoState,B607)&gt;0,AND(in_Geography="Custom",ISNUMBER(SEARCH(B607,SUBSTITUTE(in_CustomStates," ",""))))),OR(AND(D607="Endowment",Inputs!$B$14="Y"),AND(D607="Foundation",Inputs!$B$15="Y"),AND(D607="Healthcare",Inputs!$B$16="Y"),AND(D607="Pension",Inputs!$B$17="Y"),AND(D607="OCIO",Inputs!$B$18="Y"),AND(D607="Other",Inputs!$B$19="Y")))),A607&lt;&gt;in_ClientOrg,NOT(AND(in_ExclHarvard="Y",ISNUMBER(SEARCH("Harvard",A607))))),$AD607="Y",K607&lt;&gt;"",S607&gt;0),"Y","")</f>
        <v/>
      </c>
      <c r="V607" s="30" t="n">
        <v>0.3271865979666102</v>
      </c>
      <c r="W607" t="inlineStr"/>
      <c r="X607" s="28">
        <f>IF(L607+M607=0,"",L607+M607)</f>
        <v/>
      </c>
      <c r="Y607" s="38">
        <f>IF(L607=0,"",M607/L607)</f>
        <v/>
      </c>
      <c r="Z607" t="inlineStr">
        <is>
          <t>Managing Director</t>
        </is>
      </c>
      <c r="AA607" t="inlineStr">
        <is>
          <t>Investments</t>
        </is>
      </c>
      <c r="AB607" s="50" t="inlineStr"/>
      <c r="AC607" s="43">
        <f>HYPERLINK("https://projects.propublica.org/nonprofits/organizations/237093598/202313179349104401/full","view filing")</f>
        <v/>
      </c>
      <c r="AD607" s="50" t="inlineStr"/>
    </row>
    <row r="608">
      <c r="A608" t="inlineStr">
        <is>
          <t>John D &amp; Catherine T Macarthur Foundation</t>
        </is>
      </c>
      <c r="B608" s="50" t="inlineStr">
        <is>
          <t>IL</t>
        </is>
      </c>
      <c r="C608" s="52" t="n">
        <v>7.19</v>
      </c>
      <c r="D608" t="inlineStr">
        <is>
          <t>Foundation</t>
        </is>
      </c>
      <c r="E608" s="50" t="n">
        <v>2022</v>
      </c>
      <c r="F608" s="50" t="inlineStr">
        <is>
          <t>2023-11-13</t>
        </is>
      </c>
      <c r="G608" s="50" t="inlineStr">
        <is>
          <t>2022-12-31</t>
        </is>
      </c>
      <c r="H608" t="inlineStr">
        <is>
          <t>Susan E Manske</t>
        </is>
      </c>
      <c r="I608" t="inlineStr">
        <is>
          <t>VP / CHIEF INVESTMENT OFFICER</t>
        </is>
      </c>
      <c r="J608" t="inlineStr">
        <is>
          <t>CIO</t>
        </is>
      </c>
      <c r="K608" t="inlineStr">
        <is>
          <t>CIO - Top Investment Executive</t>
        </is>
      </c>
      <c r="L608" s="28" t="n">
        <v>0</v>
      </c>
      <c r="M608" s="28" t="n">
        <v>0</v>
      </c>
      <c r="N608" s="28" t="n">
        <v>0</v>
      </c>
      <c r="O608" s="28" t="n">
        <v>0</v>
      </c>
      <c r="P608" s="28" t="n">
        <v>1045308</v>
      </c>
      <c r="Q608" s="28" t="n">
        <v>3295679</v>
      </c>
      <c r="R608" s="28" t="n">
        <v>0</v>
      </c>
      <c r="S608" s="28">
        <f>Q608-R608</f>
        <v/>
      </c>
      <c r="T608" s="28">
        <f>IF(S608="","",S608*(1+in_GrowthRate)^(YEARFRAC(DATE(2022,12,31),in_AgeToDate)*IF(in_AgeToDate&lt;DATE(2022,12,31),-1,1)+1))</f>
        <v/>
      </c>
      <c r="U608" s="50">
        <f>IF(AND(AND(OR(in_Mode="All Funds",AND(C608&gt;=in_BandFloor,C608&lt;=in_BandCeiling,OR(in_Geography="National",COUNTIFS(lst_GeoPreset,in_Geography,lst_GeoState,B608)&gt;0,AND(in_Geography="Custom",ISNUMBER(SEARCH(B608,SUBSTITUTE(in_CustomStates," ",""))))),OR(AND(D608="Endowment",Inputs!$B$14="Y"),AND(D608="Foundation",Inputs!$B$15="Y"),AND(D608="Healthcare",Inputs!$B$16="Y"),AND(D608="Pension",Inputs!$B$17="Y"),AND(D608="OCIO",Inputs!$B$18="Y"),AND(D608="Other",Inputs!$B$19="Y")))),A608&lt;&gt;in_ClientOrg,NOT(AND(in_ExclHarvard="Y",ISNUMBER(SEARCH("Harvard",A608))))),$AD608="Y",K608&lt;&gt;"",S608&gt;0),"Y","")</f>
        <v/>
      </c>
      <c r="V608" s="30" t="n">
        <v>1</v>
      </c>
      <c r="W608" t="inlineStr"/>
      <c r="X608" s="28">
        <f>IF(L608+M608=0,"",L608+M608)</f>
        <v/>
      </c>
      <c r="Y608" s="38">
        <f>IF(L608=0,"",M608/L608)</f>
        <v/>
      </c>
      <c r="Z608" t="inlineStr">
        <is>
          <t>CIO - Top Investment Executive</t>
        </is>
      </c>
      <c r="AA608" t="inlineStr">
        <is>
          <t>Leadership</t>
        </is>
      </c>
      <c r="AB608" s="50" t="inlineStr">
        <is>
          <t>Y</t>
        </is>
      </c>
      <c r="AC608" s="43">
        <f>HYPERLINK("https://projects.propublica.org/nonprofits/organizations/237093598/202313179349104401/full","view filing")</f>
        <v/>
      </c>
      <c r="AD608" s="50" t="inlineStr"/>
    </row>
    <row r="609">
      <c r="A609" t="inlineStr">
        <is>
          <t>John Templeton Foundation</t>
        </is>
      </c>
      <c r="B609" s="50" t="inlineStr">
        <is>
          <t>PA</t>
        </is>
      </c>
      <c r="C609" s="52" t="n">
        <v>3.27</v>
      </c>
      <c r="D609" t="inlineStr">
        <is>
          <t>Foundation</t>
        </is>
      </c>
      <c r="E609" s="50" t="n">
        <v>2024</v>
      </c>
      <c r="F609" s="50" t="inlineStr">
        <is>
          <t>2025-10-27</t>
        </is>
      </c>
      <c r="G609" s="50" t="inlineStr">
        <is>
          <t>2024-12-31</t>
        </is>
      </c>
      <c r="H609" t="inlineStr">
        <is>
          <t>Brian Crawford</t>
        </is>
      </c>
      <c r="I609" t="inlineStr">
        <is>
          <t>DIRECTOR INVESTMENTS</t>
        </is>
      </c>
      <c r="J609" t="inlineStr">
        <is>
          <t>Director of Investments</t>
        </is>
      </c>
      <c r="K609" t="inlineStr">
        <is>
          <t>Sr Investment Professional</t>
        </is>
      </c>
      <c r="L609" s="28" t="n">
        <v>0</v>
      </c>
      <c r="M609" s="28" t="n">
        <v>0</v>
      </c>
      <c r="N609" s="28" t="n">
        <v>0</v>
      </c>
      <c r="O609" s="28" t="n">
        <v>0</v>
      </c>
      <c r="P609" s="28" t="n">
        <v>72076</v>
      </c>
      <c r="Q609" s="28" t="n">
        <v>671484</v>
      </c>
      <c r="R609" s="28" t="n">
        <v>0</v>
      </c>
      <c r="S609" s="28">
        <f>Q609-R609</f>
        <v/>
      </c>
      <c r="T609" s="28">
        <f>IF(S609="","",S609*(1+in_GrowthRate)^(YEARFRAC(DATE(2024,12,31),in_AgeToDate)*IF(in_AgeToDate&lt;DATE(2024,12,31),-1,1)+1))</f>
        <v/>
      </c>
      <c r="U609" s="50">
        <f>IF(AND(AND(OR(in_Mode="All Funds",AND(C609&gt;=in_BandFloor,C609&lt;=in_BandCeiling,OR(in_Geography="National",COUNTIFS(lst_GeoPreset,in_Geography,lst_GeoState,B609)&gt;0,AND(in_Geography="Custom",ISNUMBER(SEARCH(B609,SUBSTITUTE(in_CustomStates," ",""))))),OR(AND(D609="Endowment",Inputs!$B$14="Y"),AND(D609="Foundation",Inputs!$B$15="Y"),AND(D609="Healthcare",Inputs!$B$16="Y"),AND(D609="Pension",Inputs!$B$17="Y"),AND(D609="OCIO",Inputs!$B$18="Y"),AND(D609="Other",Inputs!$B$19="Y")))),A609&lt;&gt;in_ClientOrg,NOT(AND(in_ExclHarvard="Y",ISNUMBER(SEARCH("Harvard",A609))))),$AD609="Y",K609&lt;&gt;"",S609&gt;0),"Y","")</f>
        <v/>
      </c>
      <c r="V609" s="30" t="n"/>
      <c r="W609" t="inlineStr"/>
      <c r="X609" s="28">
        <f>IF(L609+M609=0,"",L609+M609)</f>
        <v/>
      </c>
      <c r="Y609" s="38">
        <f>IF(L609=0,"",M609/L609)</f>
        <v/>
      </c>
      <c r="Z609" t="inlineStr">
        <is>
          <t>Director &amp; Investment Officer</t>
        </is>
      </c>
      <c r="AA609" t="inlineStr">
        <is>
          <t>Investments</t>
        </is>
      </c>
      <c r="AB609" s="50" t="inlineStr"/>
      <c r="AC609" s="43">
        <f>HYPERLINK("https://projects.propublica.org/nonprofits/organizations/621322826/202533009349100608/full","view filing")</f>
        <v/>
      </c>
      <c r="AD609" s="50" t="inlineStr">
        <is>
          <t>Y</t>
        </is>
      </c>
    </row>
    <row r="610">
      <c r="A610" t="inlineStr">
        <is>
          <t>John Templeton Foundation</t>
        </is>
      </c>
      <c r="B610" s="50" t="inlineStr">
        <is>
          <t>PA</t>
        </is>
      </c>
      <c r="C610" s="52" t="n">
        <v>3.27</v>
      </c>
      <c r="D610" t="inlineStr">
        <is>
          <t>Foundation</t>
        </is>
      </c>
      <c r="E610" s="50" t="n">
        <v>2023</v>
      </c>
      <c r="F610" s="50" t="inlineStr">
        <is>
          <t>2024-11-04</t>
        </is>
      </c>
      <c r="G610" s="50" t="inlineStr">
        <is>
          <t>2023-12-31</t>
        </is>
      </c>
      <c r="H610" t="inlineStr">
        <is>
          <t>Brian Crawford</t>
        </is>
      </c>
      <c r="I610" t="inlineStr">
        <is>
          <t>DIRECTOR INVESTMENTS</t>
        </is>
      </c>
      <c r="J610" t="inlineStr">
        <is>
          <t>Director of Investments</t>
        </is>
      </c>
      <c r="K610" t="inlineStr">
        <is>
          <t>Sr Investment Professional</t>
        </is>
      </c>
      <c r="L610" s="28" t="n">
        <v>0</v>
      </c>
      <c r="M610" s="28" t="n">
        <v>0</v>
      </c>
      <c r="N610" s="28" t="n">
        <v>0</v>
      </c>
      <c r="O610" s="28" t="n">
        <v>0</v>
      </c>
      <c r="P610" s="28" t="n">
        <v>66551</v>
      </c>
      <c r="Q610" s="28" t="n">
        <v>770813</v>
      </c>
      <c r="R610" s="28" t="n">
        <v>0</v>
      </c>
      <c r="S610" s="28">
        <f>Q610-R610</f>
        <v/>
      </c>
      <c r="T610" s="28">
        <f>IF(S610="","",S610*(1+in_GrowthRate)^(YEARFRAC(DATE(2023,12,31),in_AgeToDate)*IF(in_AgeToDate&lt;DATE(2023,12,31),-1,1)+1))</f>
        <v/>
      </c>
      <c r="U610" s="50">
        <f>IF(AND(AND(OR(in_Mode="All Funds",AND(C610&gt;=in_BandFloor,C610&lt;=in_BandCeiling,OR(in_Geography="National",COUNTIFS(lst_GeoPreset,in_Geography,lst_GeoState,B610)&gt;0,AND(in_Geography="Custom",ISNUMBER(SEARCH(B610,SUBSTITUTE(in_CustomStates," ",""))))),OR(AND(D610="Endowment",Inputs!$B$14="Y"),AND(D610="Foundation",Inputs!$B$15="Y"),AND(D610="Healthcare",Inputs!$B$16="Y"),AND(D610="Pension",Inputs!$B$17="Y"),AND(D610="OCIO",Inputs!$B$18="Y"),AND(D610="Other",Inputs!$B$19="Y")))),A610&lt;&gt;in_ClientOrg,NOT(AND(in_ExclHarvard="Y",ISNUMBER(SEARCH("Harvard",A610))))),$AD610="Y",K610&lt;&gt;"",S610&gt;0),"Y","")</f>
        <v/>
      </c>
      <c r="V610" s="30" t="n"/>
      <c r="W610" t="inlineStr"/>
      <c r="X610" s="28">
        <f>IF(L610+M610=0,"",L610+M610)</f>
        <v/>
      </c>
      <c r="Y610" s="38">
        <f>IF(L610=0,"",M610/L610)</f>
        <v/>
      </c>
      <c r="Z610" t="inlineStr">
        <is>
          <t>Director &amp; Investment Officer</t>
        </is>
      </c>
      <c r="AA610" t="inlineStr">
        <is>
          <t>Investments</t>
        </is>
      </c>
      <c r="AB610" s="50" t="inlineStr"/>
      <c r="AC610" s="43">
        <f>HYPERLINK("https://projects.propublica.org/nonprofits/organizations/621322826/202423099349100062/full","view filing")</f>
        <v/>
      </c>
      <c r="AD610" s="50" t="inlineStr"/>
    </row>
    <row r="611">
      <c r="A611" t="inlineStr">
        <is>
          <t>John Templeton Foundation</t>
        </is>
      </c>
      <c r="B611" s="50" t="inlineStr">
        <is>
          <t>PA</t>
        </is>
      </c>
      <c r="C611" s="52" t="n">
        <v>3.27</v>
      </c>
      <c r="D611" t="inlineStr">
        <is>
          <t>Foundation</t>
        </is>
      </c>
      <c r="E611" s="50" t="n">
        <v>2022</v>
      </c>
      <c r="F611" s="50" t="inlineStr">
        <is>
          <t>2023-11-03</t>
        </is>
      </c>
      <c r="G611" s="50" t="inlineStr">
        <is>
          <t>2022-12-31</t>
        </is>
      </c>
      <c r="H611" t="inlineStr">
        <is>
          <t>Brian Crawford</t>
        </is>
      </c>
      <c r="I611" t="inlineStr">
        <is>
          <t>DIRECTOR INVESTMENTS</t>
        </is>
      </c>
      <c r="J611" t="inlineStr">
        <is>
          <t>Director of Investments</t>
        </is>
      </c>
      <c r="K611" t="inlineStr">
        <is>
          <t>Sr Investment Professional</t>
        </is>
      </c>
      <c r="L611" s="28" t="n">
        <v>0</v>
      </c>
      <c r="M611" s="28" t="n">
        <v>0</v>
      </c>
      <c r="N611" s="28" t="n">
        <v>0</v>
      </c>
      <c r="O611" s="28" t="n">
        <v>0</v>
      </c>
      <c r="P611" s="28" t="n">
        <v>34661</v>
      </c>
      <c r="Q611" s="28" t="n">
        <v>799661</v>
      </c>
      <c r="R611" s="28" t="n">
        <v>0</v>
      </c>
      <c r="S611" s="28">
        <f>Q611-R611</f>
        <v/>
      </c>
      <c r="T611" s="28">
        <f>IF(S611="","",S611*(1+in_GrowthRate)^(YEARFRAC(DATE(2022,12,31),in_AgeToDate)*IF(in_AgeToDate&lt;DATE(2022,12,31),-1,1)+1))</f>
        <v/>
      </c>
      <c r="U611" s="50">
        <f>IF(AND(AND(OR(in_Mode="All Funds",AND(C611&gt;=in_BandFloor,C611&lt;=in_BandCeiling,OR(in_Geography="National",COUNTIFS(lst_GeoPreset,in_Geography,lst_GeoState,B611)&gt;0,AND(in_Geography="Custom",ISNUMBER(SEARCH(B611,SUBSTITUTE(in_CustomStates," ",""))))),OR(AND(D611="Endowment",Inputs!$B$14="Y"),AND(D611="Foundation",Inputs!$B$15="Y"),AND(D611="Healthcare",Inputs!$B$16="Y"),AND(D611="Pension",Inputs!$B$17="Y"),AND(D611="OCIO",Inputs!$B$18="Y"),AND(D611="Other",Inputs!$B$19="Y")))),A611&lt;&gt;in_ClientOrg,NOT(AND(in_ExclHarvard="Y",ISNUMBER(SEARCH("Harvard",A611))))),$AD611="Y",K611&lt;&gt;"",S611&gt;0),"Y","")</f>
        <v/>
      </c>
      <c r="V611" s="30" t="n"/>
      <c r="W611" t="inlineStr"/>
      <c r="X611" s="28">
        <f>IF(L611+M611=0,"",L611+M611)</f>
        <v/>
      </c>
      <c r="Y611" s="38">
        <f>IF(L611=0,"",M611/L611)</f>
        <v/>
      </c>
      <c r="Z611" t="inlineStr">
        <is>
          <t>Director &amp; Investment Officer</t>
        </is>
      </c>
      <c r="AA611" t="inlineStr">
        <is>
          <t>Investments</t>
        </is>
      </c>
      <c r="AB611" s="50" t="inlineStr"/>
      <c r="AC611" s="43">
        <f>HYPERLINK("https://projects.propublica.org/nonprofits/organizations/621322826/202333079349100543/full","view filing")</f>
        <v/>
      </c>
      <c r="AD611" s="50" t="inlineStr"/>
    </row>
    <row r="612">
      <c r="A612" t="inlineStr">
        <is>
          <t>Johns Hopkins University</t>
        </is>
      </c>
      <c r="B612" s="50" t="inlineStr">
        <is>
          <t>MD</t>
        </is>
      </c>
      <c r="C612" s="52" t="n">
        <v>13.73</v>
      </c>
      <c r="D612" t="inlineStr">
        <is>
          <t>Endowment</t>
        </is>
      </c>
      <c r="E612" s="50" t="n">
        <v>2024</v>
      </c>
      <c r="F612" s="50" t="inlineStr">
        <is>
          <t>2025-05-15</t>
        </is>
      </c>
      <c r="G612" s="50" t="inlineStr">
        <is>
          <t>2024-06-30</t>
        </is>
      </c>
      <c r="H612" t="inlineStr">
        <is>
          <t>Perlioni Jason</t>
        </is>
      </c>
      <c r="I612" t="inlineStr">
        <is>
          <t>VP-INVESTMENTS &amp; CIO</t>
        </is>
      </c>
      <c r="J612" t="inlineStr">
        <is>
          <t>CIO</t>
        </is>
      </c>
      <c r="K612" t="inlineStr">
        <is>
          <t>CIO - Top Investment Executive</t>
        </is>
      </c>
      <c r="L612" s="28" t="n">
        <v>738195</v>
      </c>
      <c r="M612" s="28" t="n">
        <v>856313</v>
      </c>
      <c r="N612" s="28" t="n">
        <v>580893</v>
      </c>
      <c r="O612" s="28" t="n">
        <v>946313</v>
      </c>
      <c r="P612" s="28" t="n">
        <v>25503</v>
      </c>
      <c r="Q612" s="28" t="n">
        <v>3147217</v>
      </c>
      <c r="R612" s="28" t="n">
        <v>580893</v>
      </c>
      <c r="S612" s="28">
        <f>Q612-R612</f>
        <v/>
      </c>
      <c r="T612" s="28">
        <f>IF(S612="","",S612*(1+in_GrowthRate)^(YEARFRAC(DATE(2024,6,30),in_AgeToDate)*IF(in_AgeToDate&lt;DATE(2024,6,30),-1,1)+1))</f>
        <v/>
      </c>
      <c r="U612" s="50">
        <f>IF(AND(AND(OR(in_Mode="All Funds",AND(C612&gt;=in_BandFloor,C612&lt;=in_BandCeiling,OR(in_Geography="National",COUNTIFS(lst_GeoPreset,in_Geography,lst_GeoState,B612)&gt;0,AND(in_Geography="Custom",ISNUMBER(SEARCH(B612,SUBSTITUTE(in_CustomStates," ",""))))),OR(AND(D612="Endowment",Inputs!$B$14="Y"),AND(D612="Foundation",Inputs!$B$15="Y"),AND(D612="Healthcare",Inputs!$B$16="Y"),AND(D612="Pension",Inputs!$B$17="Y"),AND(D612="OCIO",Inputs!$B$18="Y"),AND(D612="Other",Inputs!$B$19="Y")))),A612&lt;&gt;in_ClientOrg,NOT(AND(in_ExclHarvard="Y",ISNUMBER(SEARCH("Harvard",A612))))),$AD612="Y",K612&lt;&gt;"",S612&gt;0),"Y","")</f>
        <v/>
      </c>
      <c r="V612" s="30" t="n">
        <v>1</v>
      </c>
      <c r="W612" t="inlineStr"/>
      <c r="X612" s="28">
        <f>IF(L612+M612=0,"",L612+M612)</f>
        <v/>
      </c>
      <c r="Y612" s="38">
        <f>IF(L612=0,"",M612/L612)</f>
        <v/>
      </c>
      <c r="Z612" t="inlineStr">
        <is>
          <t>CIO - Top Investment Executive</t>
        </is>
      </c>
      <c r="AA612" t="inlineStr">
        <is>
          <t>Leadership</t>
        </is>
      </c>
      <c r="AB612" s="50" t="inlineStr">
        <is>
          <t>Y</t>
        </is>
      </c>
      <c r="AC612" s="43">
        <f>HYPERLINK("https://projects.propublica.org/nonprofits/organizations/520595110/202521359349314342/full","view filing")</f>
        <v/>
      </c>
      <c r="AD612" s="50" t="inlineStr"/>
    </row>
    <row r="613">
      <c r="A613" t="inlineStr">
        <is>
          <t>Johns Hopkins University</t>
        </is>
      </c>
      <c r="B613" s="50" t="inlineStr">
        <is>
          <t>MD</t>
        </is>
      </c>
      <c r="C613" s="52" t="n">
        <v>13.73</v>
      </c>
      <c r="D613" t="inlineStr">
        <is>
          <t>Endowment</t>
        </is>
      </c>
      <c r="E613" s="50" t="n">
        <v>2023</v>
      </c>
      <c r="F613" s="50" t="inlineStr">
        <is>
          <t>2024-05-15</t>
        </is>
      </c>
      <c r="G613" s="50" t="inlineStr">
        <is>
          <t>2023-06-30</t>
        </is>
      </c>
      <c r="H613" t="inlineStr">
        <is>
          <t>Perlioni Jason</t>
        </is>
      </c>
      <c r="I613" t="inlineStr">
        <is>
          <t>VP-INVESTMENTS &amp; CIO</t>
        </is>
      </c>
      <c r="J613" t="inlineStr">
        <is>
          <t>CIO</t>
        </is>
      </c>
      <c r="K613" t="inlineStr">
        <is>
          <t>CIO - Top Investment Executive</t>
        </is>
      </c>
      <c r="L613" s="28" t="n">
        <v>736472</v>
      </c>
      <c r="M613" s="28" t="n">
        <v>1126874</v>
      </c>
      <c r="N613" s="28" t="n">
        <v>0</v>
      </c>
      <c r="O613" s="28" t="n">
        <v>1216874</v>
      </c>
      <c r="P613" s="28" t="n">
        <v>28800</v>
      </c>
      <c r="Q613" s="28" t="n">
        <v>3109020</v>
      </c>
      <c r="R613" s="28" t="n">
        <v>0</v>
      </c>
      <c r="S613" s="28">
        <f>Q613-R613</f>
        <v/>
      </c>
      <c r="T613" s="28">
        <f>IF(S613="","",S613*(1+in_GrowthRate)^(YEARFRAC(DATE(2023,6,30),in_AgeToDate)*IF(in_AgeToDate&lt;DATE(2023,6,30),-1,1)+1))</f>
        <v/>
      </c>
      <c r="U613" s="50">
        <f>IF(AND(AND(OR(in_Mode="All Funds",AND(C613&gt;=in_BandFloor,C613&lt;=in_BandCeiling,OR(in_Geography="National",COUNTIFS(lst_GeoPreset,in_Geography,lst_GeoState,B613)&gt;0,AND(in_Geography="Custom",ISNUMBER(SEARCH(B613,SUBSTITUTE(in_CustomStates," ",""))))),OR(AND(D613="Endowment",Inputs!$B$14="Y"),AND(D613="Foundation",Inputs!$B$15="Y"),AND(D613="Healthcare",Inputs!$B$16="Y"),AND(D613="Pension",Inputs!$B$17="Y"),AND(D613="OCIO",Inputs!$B$18="Y"),AND(D613="Other",Inputs!$B$19="Y")))),A613&lt;&gt;in_ClientOrg,NOT(AND(in_ExclHarvard="Y",ISNUMBER(SEARCH("Harvard",A613))))),$AD613="Y",K613&lt;&gt;"",S613&gt;0),"Y","")</f>
        <v/>
      </c>
      <c r="V613" s="30" t="n">
        <v>1</v>
      </c>
      <c r="W613" t="inlineStr"/>
      <c r="X613" s="28">
        <f>IF(L613+M613=0,"",L613+M613)</f>
        <v/>
      </c>
      <c r="Y613" s="38">
        <f>IF(L613=0,"",M613/L613)</f>
        <v/>
      </c>
      <c r="Z613" t="inlineStr">
        <is>
          <t>CIO - Top Investment Executive</t>
        </is>
      </c>
      <c r="AA613" t="inlineStr">
        <is>
          <t>Leadership</t>
        </is>
      </c>
      <c r="AB613" s="50" t="inlineStr">
        <is>
          <t>Y</t>
        </is>
      </c>
      <c r="AC613" s="43">
        <f>HYPERLINK("https://projects.propublica.org/nonprofits/organizations/520595110/202421349349308667/full","view filing")</f>
        <v/>
      </c>
      <c r="AD613" s="50" t="inlineStr"/>
    </row>
    <row r="614">
      <c r="A614" t="inlineStr">
        <is>
          <t>Johns Hopkins University</t>
        </is>
      </c>
      <c r="B614" s="50" t="inlineStr">
        <is>
          <t>MD</t>
        </is>
      </c>
      <c r="C614" s="52" t="n">
        <v>13.73</v>
      </c>
      <c r="D614" t="inlineStr">
        <is>
          <t>Endowment</t>
        </is>
      </c>
      <c r="E614" s="50" t="n">
        <v>2022</v>
      </c>
      <c r="F614" s="50" t="inlineStr">
        <is>
          <t>2023-05-08</t>
        </is>
      </c>
      <c r="G614" s="50" t="inlineStr">
        <is>
          <t>2022-06-30</t>
        </is>
      </c>
      <c r="H614" t="inlineStr">
        <is>
          <t>Perlioni Jason</t>
        </is>
      </c>
      <c r="I614" t="inlineStr">
        <is>
          <t>VP-INVESTMENTS &amp; CIO</t>
        </is>
      </c>
      <c r="J614" t="inlineStr">
        <is>
          <t>CIO</t>
        </is>
      </c>
      <c r="K614" t="inlineStr">
        <is>
          <t>CIO - Top Investment Executive</t>
        </is>
      </c>
      <c r="L614" s="28" t="n">
        <v>737008</v>
      </c>
      <c r="M614" s="28" t="n">
        <v>1287500</v>
      </c>
      <c r="N614" s="28" t="n">
        <v>271773</v>
      </c>
      <c r="O614" s="28" t="n">
        <v>1418000</v>
      </c>
      <c r="P614" s="28" t="n">
        <v>27090</v>
      </c>
      <c r="Q614" s="28" t="n">
        <v>3741371</v>
      </c>
      <c r="R614" s="28" t="n">
        <v>271773</v>
      </c>
      <c r="S614" s="28">
        <f>Q614-R614</f>
        <v/>
      </c>
      <c r="T614" s="28">
        <f>IF(S614="","",S614*(1+in_GrowthRate)^(YEARFRAC(DATE(2022,6,30),in_AgeToDate)*IF(in_AgeToDate&lt;DATE(2022,6,30),-1,1)+1))</f>
        <v/>
      </c>
      <c r="U614" s="50">
        <f>IF(AND(AND(OR(in_Mode="All Funds",AND(C614&gt;=in_BandFloor,C614&lt;=in_BandCeiling,OR(in_Geography="National",COUNTIFS(lst_GeoPreset,in_Geography,lst_GeoState,B614)&gt;0,AND(in_Geography="Custom",ISNUMBER(SEARCH(B614,SUBSTITUTE(in_CustomStates," ",""))))),OR(AND(D614="Endowment",Inputs!$B$14="Y"),AND(D614="Foundation",Inputs!$B$15="Y"),AND(D614="Healthcare",Inputs!$B$16="Y"),AND(D614="Pension",Inputs!$B$17="Y"),AND(D614="OCIO",Inputs!$B$18="Y"),AND(D614="Other",Inputs!$B$19="Y")))),A614&lt;&gt;in_ClientOrg,NOT(AND(in_ExclHarvard="Y",ISNUMBER(SEARCH("Harvard",A614))))),$AD614="Y",K614&lt;&gt;"",S614&gt;0),"Y","")</f>
        <v/>
      </c>
      <c r="V614" s="30" t="n">
        <v>1</v>
      </c>
      <c r="W614" t="inlineStr"/>
      <c r="X614" s="28">
        <f>IF(L614+M614=0,"",L614+M614)</f>
        <v/>
      </c>
      <c r="Y614" s="38">
        <f>IF(L614=0,"",M614/L614)</f>
        <v/>
      </c>
      <c r="Z614" t="inlineStr">
        <is>
          <t>CIO - Top Investment Executive</t>
        </is>
      </c>
      <c r="AA614" t="inlineStr">
        <is>
          <t>Leadership</t>
        </is>
      </c>
      <c r="AB614" s="50" t="inlineStr">
        <is>
          <t>Y</t>
        </is>
      </c>
      <c r="AC614" s="43">
        <f>HYPERLINK("https://projects.propublica.org/nonprofits/organizations/520595110/202321289349301232/full","view filing")</f>
        <v/>
      </c>
      <c r="AD614" s="50" t="inlineStr"/>
    </row>
    <row r="615">
      <c r="A615" t="inlineStr">
        <is>
          <t>Joyce Foundation</t>
        </is>
      </c>
      <c r="B615" s="50" t="inlineStr">
        <is>
          <t>IL</t>
        </is>
      </c>
      <c r="C615" s="52" t="n">
        <v>1.21</v>
      </c>
      <c r="D615" t="inlineStr">
        <is>
          <t>Foundation</t>
        </is>
      </c>
      <c r="E615" s="50" t="n">
        <v>2024</v>
      </c>
      <c r="F615" s="50" t="inlineStr">
        <is>
          <t>2025-11-04</t>
        </is>
      </c>
      <c r="G615" s="50" t="inlineStr">
        <is>
          <t>2024-12-31</t>
        </is>
      </c>
      <c r="H615" t="inlineStr">
        <is>
          <t>Nickol Hackett</t>
        </is>
      </c>
      <c r="I615" t="inlineStr">
        <is>
          <t>Chief Investment Officer/Treasurer</t>
        </is>
      </c>
      <c r="J615" t="inlineStr">
        <is>
          <t>CIO</t>
        </is>
      </c>
      <c r="K615" t="inlineStr">
        <is>
          <t>CIO - Top Investment Executive</t>
        </is>
      </c>
      <c r="L615" s="28" t="n">
        <v>0</v>
      </c>
      <c r="M615" s="28" t="n">
        <v>0</v>
      </c>
      <c r="N615" s="28" t="n">
        <v>0</v>
      </c>
      <c r="O615" s="28" t="n">
        <v>0</v>
      </c>
      <c r="P615" s="28" t="n">
        <v>68637</v>
      </c>
      <c r="Q615" s="28" t="n">
        <v>574248</v>
      </c>
      <c r="R615" s="28" t="n">
        <v>0</v>
      </c>
      <c r="S615" s="28">
        <f>Q615-R615</f>
        <v/>
      </c>
      <c r="T615" s="28">
        <f>IF(S615="","",S615*(1+in_GrowthRate)^(YEARFRAC(DATE(2024,12,31),in_AgeToDate)*IF(in_AgeToDate&lt;DATE(2024,12,31),-1,1)+1))</f>
        <v/>
      </c>
      <c r="U615" s="50">
        <f>IF(AND(AND(OR(in_Mode="All Funds",AND(C615&gt;=in_BandFloor,C615&lt;=in_BandCeiling,OR(in_Geography="National",COUNTIFS(lst_GeoPreset,in_Geography,lst_GeoState,B615)&gt;0,AND(in_Geography="Custom",ISNUMBER(SEARCH(B615,SUBSTITUTE(in_CustomStates," ",""))))),OR(AND(D615="Endowment",Inputs!$B$14="Y"),AND(D615="Foundation",Inputs!$B$15="Y"),AND(D615="Healthcare",Inputs!$B$16="Y"),AND(D615="Pension",Inputs!$B$17="Y"),AND(D615="OCIO",Inputs!$B$18="Y"),AND(D615="Other",Inputs!$B$19="Y")))),A615&lt;&gt;in_ClientOrg,NOT(AND(in_ExclHarvard="Y",ISNUMBER(SEARCH("Harvard",A615))))),$AD615="Y",K615&lt;&gt;"",S615&gt;0),"Y","")</f>
        <v/>
      </c>
      <c r="V615" s="30" t="n">
        <v>1</v>
      </c>
      <c r="W615" t="inlineStr"/>
      <c r="X615" s="28">
        <f>IF(L615+M615=0,"",L615+M615)</f>
        <v/>
      </c>
      <c r="Y615" s="38">
        <f>IF(L615=0,"",M615/L615)</f>
        <v/>
      </c>
      <c r="Z615" t="inlineStr">
        <is>
          <t>CIO - Top Investment Executive</t>
        </is>
      </c>
      <c r="AA615" t="inlineStr">
        <is>
          <t>Leadership</t>
        </is>
      </c>
      <c r="AB615" s="50" t="inlineStr">
        <is>
          <t>Y</t>
        </is>
      </c>
      <c r="AC615" s="43">
        <f>HYPERLINK("https://projects.propublica.org/nonprofits/organizations/366079185/202543089349101334/full","view filing")</f>
        <v/>
      </c>
      <c r="AD615" s="50" t="inlineStr">
        <is>
          <t>Y</t>
        </is>
      </c>
    </row>
    <row r="616">
      <c r="A616" t="inlineStr">
        <is>
          <t>Joyce Foundation</t>
        </is>
      </c>
      <c r="B616" s="50" t="inlineStr">
        <is>
          <t>IL</t>
        </is>
      </c>
      <c r="C616" s="52" t="n">
        <v>1.21</v>
      </c>
      <c r="D616" t="inlineStr">
        <is>
          <t>Foundation</t>
        </is>
      </c>
      <c r="E616" s="50" t="n">
        <v>2023</v>
      </c>
      <c r="F616" s="50" t="inlineStr">
        <is>
          <t>2024-11-05</t>
        </is>
      </c>
      <c r="G616" s="50" t="inlineStr">
        <is>
          <t>2023-12-31</t>
        </is>
      </c>
      <c r="H616" t="inlineStr">
        <is>
          <t>Nickol Hackett</t>
        </is>
      </c>
      <c r="I616" t="inlineStr">
        <is>
          <t>Chief Investment Officer/Treasurer</t>
        </is>
      </c>
      <c r="J616" t="inlineStr">
        <is>
          <t>CIO</t>
        </is>
      </c>
      <c r="K616" t="inlineStr">
        <is>
          <t>CIO - Top Investment Executive</t>
        </is>
      </c>
      <c r="L616" s="28" t="n">
        <v>0</v>
      </c>
      <c r="M616" s="28" t="n">
        <v>0</v>
      </c>
      <c r="N616" s="28" t="n">
        <v>0</v>
      </c>
      <c r="O616" s="28" t="n">
        <v>0</v>
      </c>
      <c r="P616" s="28" t="n">
        <v>63944</v>
      </c>
      <c r="Q616" s="28" t="n">
        <v>559277</v>
      </c>
      <c r="R616" s="28" t="n">
        <v>0</v>
      </c>
      <c r="S616" s="28">
        <f>Q616-R616</f>
        <v/>
      </c>
      <c r="T616" s="28">
        <f>IF(S616="","",S616*(1+in_GrowthRate)^(YEARFRAC(DATE(2023,12,31),in_AgeToDate)*IF(in_AgeToDate&lt;DATE(2023,12,31),-1,1)+1))</f>
        <v/>
      </c>
      <c r="U616" s="50">
        <f>IF(AND(AND(OR(in_Mode="All Funds",AND(C616&gt;=in_BandFloor,C616&lt;=in_BandCeiling,OR(in_Geography="National",COUNTIFS(lst_GeoPreset,in_Geography,lst_GeoState,B616)&gt;0,AND(in_Geography="Custom",ISNUMBER(SEARCH(B616,SUBSTITUTE(in_CustomStates," ",""))))),OR(AND(D616="Endowment",Inputs!$B$14="Y"),AND(D616="Foundation",Inputs!$B$15="Y"),AND(D616="Healthcare",Inputs!$B$16="Y"),AND(D616="Pension",Inputs!$B$17="Y"),AND(D616="OCIO",Inputs!$B$18="Y"),AND(D616="Other",Inputs!$B$19="Y")))),A616&lt;&gt;in_ClientOrg,NOT(AND(in_ExclHarvard="Y",ISNUMBER(SEARCH("Harvard",A616))))),$AD616="Y",K616&lt;&gt;"",S616&gt;0),"Y","")</f>
        <v/>
      </c>
      <c r="V616" s="30" t="n">
        <v>1</v>
      </c>
      <c r="W616" t="inlineStr"/>
      <c r="X616" s="28">
        <f>IF(L616+M616=0,"",L616+M616)</f>
        <v/>
      </c>
      <c r="Y616" s="38">
        <f>IF(L616=0,"",M616/L616)</f>
        <v/>
      </c>
      <c r="Z616" t="inlineStr">
        <is>
          <t>CIO - Top Investment Executive</t>
        </is>
      </c>
      <c r="AA616" t="inlineStr">
        <is>
          <t>Leadership</t>
        </is>
      </c>
      <c r="AB616" s="50" t="inlineStr">
        <is>
          <t>Y</t>
        </is>
      </c>
      <c r="AC616" s="43">
        <f>HYPERLINK("https://projects.propublica.org/nonprofits/organizations/366079185/202433109349101803/full","view filing")</f>
        <v/>
      </c>
      <c r="AD616" s="50" t="inlineStr"/>
    </row>
    <row r="617">
      <c r="A617" t="inlineStr">
        <is>
          <t>Joyce Foundation</t>
        </is>
      </c>
      <c r="B617" s="50" t="inlineStr">
        <is>
          <t>IL</t>
        </is>
      </c>
      <c r="C617" s="52" t="n">
        <v>1.21</v>
      </c>
      <c r="D617" t="inlineStr">
        <is>
          <t>Foundation</t>
        </is>
      </c>
      <c r="E617" s="50" t="n">
        <v>2022</v>
      </c>
      <c r="F617" s="50" t="inlineStr">
        <is>
          <t>2023-11-09</t>
        </is>
      </c>
      <c r="G617" s="50" t="inlineStr">
        <is>
          <t>2022-12-31</t>
        </is>
      </c>
      <c r="H617" t="inlineStr">
        <is>
          <t>Nickol Hackett</t>
        </is>
      </c>
      <c r="I617" t="inlineStr">
        <is>
          <t>Treasurer, Chief Investment Officer</t>
        </is>
      </c>
      <c r="J617" t="inlineStr">
        <is>
          <t>CIO</t>
        </is>
      </c>
      <c r="K617" t="inlineStr">
        <is>
          <t>CIO - Top Investment Executive</t>
        </is>
      </c>
      <c r="L617" s="28" t="n">
        <v>0</v>
      </c>
      <c r="M617" s="28" t="n">
        <v>0</v>
      </c>
      <c r="N617" s="28" t="n">
        <v>0</v>
      </c>
      <c r="O617" s="28" t="n">
        <v>0</v>
      </c>
      <c r="P617" s="28" t="n">
        <v>60871</v>
      </c>
      <c r="Q617" s="28" t="n">
        <v>534432</v>
      </c>
      <c r="R617" s="28" t="n">
        <v>0</v>
      </c>
      <c r="S617" s="28">
        <f>Q617-R617</f>
        <v/>
      </c>
      <c r="T617" s="28">
        <f>IF(S617="","",S617*(1+in_GrowthRate)^(YEARFRAC(DATE(2022,12,31),in_AgeToDate)*IF(in_AgeToDate&lt;DATE(2022,12,31),-1,1)+1))</f>
        <v/>
      </c>
      <c r="U617" s="50">
        <f>IF(AND(AND(OR(in_Mode="All Funds",AND(C617&gt;=in_BandFloor,C617&lt;=in_BandCeiling,OR(in_Geography="National",COUNTIFS(lst_GeoPreset,in_Geography,lst_GeoState,B617)&gt;0,AND(in_Geography="Custom",ISNUMBER(SEARCH(B617,SUBSTITUTE(in_CustomStates," ",""))))),OR(AND(D617="Endowment",Inputs!$B$14="Y"),AND(D617="Foundation",Inputs!$B$15="Y"),AND(D617="Healthcare",Inputs!$B$16="Y"),AND(D617="Pension",Inputs!$B$17="Y"),AND(D617="OCIO",Inputs!$B$18="Y"),AND(D617="Other",Inputs!$B$19="Y")))),A617&lt;&gt;in_ClientOrg,NOT(AND(in_ExclHarvard="Y",ISNUMBER(SEARCH("Harvard",A617))))),$AD617="Y",K617&lt;&gt;"",S617&gt;0),"Y","")</f>
        <v/>
      </c>
      <c r="V617" s="30" t="n">
        <v>1</v>
      </c>
      <c r="W617" t="inlineStr"/>
      <c r="X617" s="28">
        <f>IF(L617+M617=0,"",L617+M617)</f>
        <v/>
      </c>
      <c r="Y617" s="38">
        <f>IF(L617=0,"",M617/L617)</f>
        <v/>
      </c>
      <c r="Z617" t="inlineStr">
        <is>
          <t>CIO - Top Investment Executive</t>
        </is>
      </c>
      <c r="AA617" t="inlineStr">
        <is>
          <t>Leadership</t>
        </is>
      </c>
      <c r="AB617" s="50" t="inlineStr">
        <is>
          <t>Y</t>
        </is>
      </c>
      <c r="AC617" s="43">
        <f>HYPERLINK("https://projects.propublica.org/nonprofits/organizations/366079185/202303139349103010/full","view filing")</f>
        <v/>
      </c>
      <c r="AD617" s="50" t="inlineStr"/>
    </row>
    <row r="618">
      <c r="A618" t="inlineStr">
        <is>
          <t>Kansas State University Foundation</t>
        </is>
      </c>
      <c r="B618" s="50" t="inlineStr">
        <is>
          <t>KS</t>
        </is>
      </c>
      <c r="C618" s="52" t="n">
        <v>0.9</v>
      </c>
      <c r="D618" t="inlineStr">
        <is>
          <t>Endowment</t>
        </is>
      </c>
      <c r="E618" s="50" t="n">
        <v>2025</v>
      </c>
      <c r="F618" s="50" t="inlineStr">
        <is>
          <t>2026-05-13</t>
        </is>
      </c>
      <c r="G618" s="50" t="inlineStr">
        <is>
          <t>2025-06-30</t>
        </is>
      </c>
      <c r="H618" t="inlineStr">
        <is>
          <t>Matthew Smagacz</t>
        </is>
      </c>
      <c r="I618" t="inlineStr">
        <is>
          <t>DIRECTOR OF INVESTMENTS</t>
        </is>
      </c>
      <c r="J618" t="inlineStr">
        <is>
          <t>Director of Investments</t>
        </is>
      </c>
      <c r="K618" t="inlineStr">
        <is>
          <t>Sr Investment Professional</t>
        </is>
      </c>
      <c r="L618" s="28" t="n">
        <v>182623</v>
      </c>
      <c r="M618" s="28" t="n">
        <v>51000</v>
      </c>
      <c r="N618" s="28" t="n">
        <v>7832</v>
      </c>
      <c r="O618" s="28" t="n">
        <v>17235</v>
      </c>
      <c r="P618" s="28" t="n">
        <v>37081</v>
      </c>
      <c r="Q618" s="28" t="n">
        <v>295771</v>
      </c>
      <c r="R618" s="28" t="n">
        <v>0</v>
      </c>
      <c r="S618" s="28">
        <f>Q618-R618</f>
        <v/>
      </c>
      <c r="T618" s="28">
        <f>IF(S618="","",S618*(1+in_GrowthRate)^(YEARFRAC(DATE(2025,6,30),in_AgeToDate)*IF(in_AgeToDate&lt;DATE(2025,6,30),-1,1)+1))</f>
        <v/>
      </c>
      <c r="U618" s="50">
        <f>IF(AND(AND(OR(in_Mode="All Funds",AND(C618&gt;=in_BandFloor,C618&lt;=in_BandCeiling,OR(in_Geography="National",COUNTIFS(lst_GeoPreset,in_Geography,lst_GeoState,B618)&gt;0,AND(in_Geography="Custom",ISNUMBER(SEARCH(B618,SUBSTITUTE(in_CustomStates," ",""))))),OR(AND(D618="Endowment",Inputs!$B$14="Y"),AND(D618="Foundation",Inputs!$B$15="Y"),AND(D618="Healthcare",Inputs!$B$16="Y"),AND(D618="Pension",Inputs!$B$17="Y"),AND(D618="OCIO",Inputs!$B$18="Y"),AND(D618="Other",Inputs!$B$19="Y")))),A618&lt;&gt;in_ClientOrg,NOT(AND(in_ExclHarvard="Y",ISNUMBER(SEARCH("Harvard",A618))))),$AD618="Y",K618&lt;&gt;"",S618&gt;0),"Y","")</f>
        <v/>
      </c>
      <c r="V618" s="30" t="n">
        <v>0.6467654184925695</v>
      </c>
      <c r="W618" t="inlineStr"/>
      <c r="X618" s="28">
        <f>IF(L618+M618=0,"",L618+M618)</f>
        <v/>
      </c>
      <c r="Y618" s="38">
        <f>IF(L618=0,"",M618/L618)</f>
        <v/>
      </c>
      <c r="Z618" t="inlineStr">
        <is>
          <t>Director &amp; Investment Officer</t>
        </is>
      </c>
      <c r="AA618" t="inlineStr">
        <is>
          <t>Investments</t>
        </is>
      </c>
      <c r="AB618" s="50" t="inlineStr"/>
      <c r="AC618" s="43">
        <f>HYPERLINK("https://projects.propublica.org/nonprofits/organizations/480667209/202641339349304244/full","view filing")</f>
        <v/>
      </c>
      <c r="AD618" s="50" t="inlineStr">
        <is>
          <t>Y</t>
        </is>
      </c>
    </row>
    <row r="619">
      <c r="A619" t="inlineStr">
        <is>
          <t>Kansas State University Foundation</t>
        </is>
      </c>
      <c r="B619" s="50" t="inlineStr">
        <is>
          <t>KS</t>
        </is>
      </c>
      <c r="C619" s="52" t="n">
        <v>0.9</v>
      </c>
      <c r="D619" t="inlineStr">
        <is>
          <t>Endowment</t>
        </is>
      </c>
      <c r="E619" s="50" t="n">
        <v>2025</v>
      </c>
      <c r="F619" s="50" t="inlineStr">
        <is>
          <t>2026-05-13</t>
        </is>
      </c>
      <c r="G619" s="50" t="inlineStr">
        <is>
          <t>2025-06-30</t>
        </is>
      </c>
      <c r="H619" t="inlineStr">
        <is>
          <t>Paul Chai</t>
        </is>
      </c>
      <c r="I619" t="inlineStr">
        <is>
          <t>VP FOR INVESTMENTS/CIO</t>
        </is>
      </c>
      <c r="J619" t="inlineStr">
        <is>
          <t>CIO</t>
        </is>
      </c>
      <c r="K619" t="inlineStr">
        <is>
          <t>CIO - Top Investment Executive</t>
        </is>
      </c>
      <c r="L619" s="28" t="n">
        <v>306013</v>
      </c>
      <c r="M619" s="28" t="n">
        <v>84000</v>
      </c>
      <c r="N619" s="28" t="n">
        <v>480</v>
      </c>
      <c r="O619" s="28" t="n">
        <v>28508</v>
      </c>
      <c r="P619" s="28" t="n">
        <v>38307</v>
      </c>
      <c r="Q619" s="28" t="n">
        <v>457308</v>
      </c>
      <c r="R619" s="28" t="n">
        <v>0</v>
      </c>
      <c r="S619" s="28">
        <f>Q619-R619</f>
        <v/>
      </c>
      <c r="T619" s="28">
        <f>IF(S619="","",S619*(1+in_GrowthRate)^(YEARFRAC(DATE(2025,6,30),in_AgeToDate)*IF(in_AgeToDate&lt;DATE(2025,6,30),-1,1)+1))</f>
        <v/>
      </c>
      <c r="U619" s="50">
        <f>IF(AND(AND(OR(in_Mode="All Funds",AND(C619&gt;=in_BandFloor,C619&lt;=in_BandCeiling,OR(in_Geography="National",COUNTIFS(lst_GeoPreset,in_Geography,lst_GeoState,B619)&gt;0,AND(in_Geography="Custom",ISNUMBER(SEARCH(B619,SUBSTITUTE(in_CustomStates," ",""))))),OR(AND(D619="Endowment",Inputs!$B$14="Y"),AND(D619="Foundation",Inputs!$B$15="Y"),AND(D619="Healthcare",Inputs!$B$16="Y"),AND(D619="Pension",Inputs!$B$17="Y"),AND(D619="OCIO",Inputs!$B$18="Y"),AND(D619="Other",Inputs!$B$19="Y")))),A619&lt;&gt;in_ClientOrg,NOT(AND(in_ExclHarvard="Y",ISNUMBER(SEARCH("Harvard",A619))))),$AD619="Y",K619&lt;&gt;"",S619&gt;0),"Y","")</f>
        <v/>
      </c>
      <c r="V619" s="30" t="n">
        <v>1</v>
      </c>
      <c r="W619" t="inlineStr"/>
      <c r="X619" s="28">
        <f>IF(L619+M619=0,"",L619+M619)</f>
        <v/>
      </c>
      <c r="Y619" s="38">
        <f>IF(L619=0,"",M619/L619)</f>
        <v/>
      </c>
      <c r="Z619" t="inlineStr">
        <is>
          <t>CIO - Top Investment Executive</t>
        </is>
      </c>
      <c r="AA619" t="inlineStr">
        <is>
          <t>Leadership</t>
        </is>
      </c>
      <c r="AB619" s="50" t="inlineStr">
        <is>
          <t>Y</t>
        </is>
      </c>
      <c r="AC619" s="43">
        <f>HYPERLINK("https://projects.propublica.org/nonprofits/organizations/480667209/202641339349304244/full","view filing")</f>
        <v/>
      </c>
      <c r="AD619" s="50" t="inlineStr">
        <is>
          <t>Y</t>
        </is>
      </c>
    </row>
    <row r="620">
      <c r="A620" t="inlineStr">
        <is>
          <t>Kansas State University Foundation</t>
        </is>
      </c>
      <c r="B620" s="50" t="inlineStr">
        <is>
          <t>KS</t>
        </is>
      </c>
      <c r="C620" s="52" t="n">
        <v>0.9</v>
      </c>
      <c r="D620" t="inlineStr">
        <is>
          <t>Endowment</t>
        </is>
      </c>
      <c r="E620" s="50" t="n">
        <v>2024</v>
      </c>
      <c r="F620" s="50" t="inlineStr">
        <is>
          <t>2025-05-14</t>
        </is>
      </c>
      <c r="G620" s="50" t="inlineStr">
        <is>
          <t>2024-06-30</t>
        </is>
      </c>
      <c r="H620" t="inlineStr">
        <is>
          <t>Lois Cox</t>
        </is>
      </c>
      <c r="I620" t="inlineStr">
        <is>
          <t>VP FOR INVESTMENTS/CIO</t>
        </is>
      </c>
      <c r="J620" t="inlineStr">
        <is>
          <t>CIO</t>
        </is>
      </c>
      <c r="K620" t="inlineStr">
        <is>
          <t>CIO - Top Investment Executive</t>
        </is>
      </c>
      <c r="L620" s="28" t="n">
        <v>278157</v>
      </c>
      <c r="M620" s="28" t="n">
        <v>330750</v>
      </c>
      <c r="N620" s="28" t="n">
        <v>677</v>
      </c>
      <c r="O620" s="28" t="n">
        <v>28702</v>
      </c>
      <c r="P620" s="28" t="n">
        <v>32080</v>
      </c>
      <c r="Q620" s="28" t="n">
        <v>670366</v>
      </c>
      <c r="R620" s="28" t="n">
        <v>0</v>
      </c>
      <c r="S620" s="28">
        <f>Q620-R620</f>
        <v/>
      </c>
      <c r="T620" s="28">
        <f>IF(S620="","",S620*(1+in_GrowthRate)^(YEARFRAC(DATE(2024,6,30),in_AgeToDate)*IF(in_AgeToDate&lt;DATE(2024,6,30),-1,1)+1))</f>
        <v/>
      </c>
      <c r="U620" s="50">
        <f>IF(AND(AND(OR(in_Mode="All Funds",AND(C620&gt;=in_BandFloor,C620&lt;=in_BandCeiling,OR(in_Geography="National",COUNTIFS(lst_GeoPreset,in_Geography,lst_GeoState,B620)&gt;0,AND(in_Geography="Custom",ISNUMBER(SEARCH(B620,SUBSTITUTE(in_CustomStates," ",""))))),OR(AND(D620="Endowment",Inputs!$B$14="Y"),AND(D620="Foundation",Inputs!$B$15="Y"),AND(D620="Healthcare",Inputs!$B$16="Y"),AND(D620="Pension",Inputs!$B$17="Y"),AND(D620="OCIO",Inputs!$B$18="Y"),AND(D620="Other",Inputs!$B$19="Y")))),A620&lt;&gt;in_ClientOrg,NOT(AND(in_ExclHarvard="Y",ISNUMBER(SEARCH("Harvard",A620))))),$AD620="Y",K620&lt;&gt;"",S620&gt;0),"Y","")</f>
        <v/>
      </c>
      <c r="V620" s="30" t="n">
        <v>1</v>
      </c>
      <c r="W620" t="inlineStr"/>
      <c r="X620" s="28">
        <f>IF(L620+M620=0,"",L620+M620)</f>
        <v/>
      </c>
      <c r="Y620" s="38">
        <f>IF(L620=0,"",M620/L620)</f>
        <v/>
      </c>
      <c r="Z620" t="inlineStr">
        <is>
          <t>CIO - Top Investment Executive</t>
        </is>
      </c>
      <c r="AA620" t="inlineStr">
        <is>
          <t>Leadership</t>
        </is>
      </c>
      <c r="AB620" s="50" t="inlineStr">
        <is>
          <t>Y</t>
        </is>
      </c>
      <c r="AC620" s="43">
        <f>HYPERLINK("https://projects.propublica.org/nonprofits/organizations/480667209/202541349349305449/full","view filing")</f>
        <v/>
      </c>
      <c r="AD620" s="50" t="inlineStr"/>
    </row>
    <row r="621">
      <c r="A621" t="inlineStr">
        <is>
          <t>Kansas State University Foundation</t>
        </is>
      </c>
      <c r="B621" s="50" t="inlineStr">
        <is>
          <t>KS</t>
        </is>
      </c>
      <c r="C621" s="52" t="n">
        <v>0.9</v>
      </c>
      <c r="D621" t="inlineStr">
        <is>
          <t>Endowment</t>
        </is>
      </c>
      <c r="E621" s="50" t="n">
        <v>2024</v>
      </c>
      <c r="F621" s="50" t="inlineStr">
        <is>
          <t>2025-05-14</t>
        </is>
      </c>
      <c r="G621" s="50" t="inlineStr">
        <is>
          <t>2024-06-30</t>
        </is>
      </c>
      <c r="H621" t="inlineStr">
        <is>
          <t>Paul Chai</t>
        </is>
      </c>
      <c r="I621" t="inlineStr">
        <is>
          <t>VP FOR INVESTMENTS/CIO</t>
        </is>
      </c>
      <c r="J621" t="inlineStr">
        <is>
          <t>CIO</t>
        </is>
      </c>
      <c r="K621" t="inlineStr">
        <is>
          <t>Sr Investment Professional</t>
        </is>
      </c>
      <c r="L621" s="28" t="n">
        <v>228904</v>
      </c>
      <c r="M621" s="28" t="n">
        <v>187200</v>
      </c>
      <c r="N621" s="28" t="n">
        <v>180</v>
      </c>
      <c r="O621" s="28" t="n">
        <v>23538</v>
      </c>
      <c r="P621" s="28" t="n">
        <v>33520</v>
      </c>
      <c r="Q621" s="28" t="n">
        <v>473342</v>
      </c>
      <c r="R621" s="28" t="n">
        <v>0</v>
      </c>
      <c r="S621" s="28">
        <f>Q621-R621</f>
        <v/>
      </c>
      <c r="T621" s="28">
        <f>IF(S621="","",S621*(1+in_GrowthRate)^(YEARFRAC(DATE(2024,6,30),in_AgeToDate)*IF(in_AgeToDate&lt;DATE(2024,6,30),-1,1)+1))</f>
        <v/>
      </c>
      <c r="U621" s="50">
        <f>IF(AND(AND(OR(in_Mode="All Funds",AND(C621&gt;=in_BandFloor,C621&lt;=in_BandCeiling,OR(in_Geography="National",COUNTIFS(lst_GeoPreset,in_Geography,lst_GeoState,B621)&gt;0,AND(in_Geography="Custom",ISNUMBER(SEARCH(B621,SUBSTITUTE(in_CustomStates," ",""))))),OR(AND(D621="Endowment",Inputs!$B$14="Y"),AND(D621="Foundation",Inputs!$B$15="Y"),AND(D621="Healthcare",Inputs!$B$16="Y"),AND(D621="Pension",Inputs!$B$17="Y"),AND(D621="OCIO",Inputs!$B$18="Y"),AND(D621="Other",Inputs!$B$19="Y")))),A621&lt;&gt;in_ClientOrg,NOT(AND(in_ExclHarvard="Y",ISNUMBER(SEARCH("Harvard",A621))))),$AD621="Y",K621&lt;&gt;"",S621&gt;0),"Y","")</f>
        <v/>
      </c>
      <c r="V621" s="30" t="n">
        <v>0.7060948795135792</v>
      </c>
      <c r="W621" t="inlineStr"/>
      <c r="X621" s="28">
        <f>IF(L621+M621=0,"",L621+M621)</f>
        <v/>
      </c>
      <c r="Y621" s="38">
        <f>IF(L621=0,"",M621/L621)</f>
        <v/>
      </c>
      <c r="Z621" t="inlineStr">
        <is>
          <t>Deputy CIO</t>
        </is>
      </c>
      <c r="AA621" t="inlineStr">
        <is>
          <t>Leadership</t>
        </is>
      </c>
      <c r="AB621" s="50" t="inlineStr"/>
      <c r="AC621" s="43">
        <f>HYPERLINK("https://projects.propublica.org/nonprofits/organizations/480667209/202541349349305449/full","view filing")</f>
        <v/>
      </c>
      <c r="AD621" s="50" t="inlineStr"/>
    </row>
    <row r="622">
      <c r="A622" t="inlineStr">
        <is>
          <t>Kansas State University Foundation</t>
        </is>
      </c>
      <c r="B622" s="50" t="inlineStr">
        <is>
          <t>KS</t>
        </is>
      </c>
      <c r="C622" s="52" t="n">
        <v>0.9</v>
      </c>
      <c r="D622" t="inlineStr">
        <is>
          <t>Endowment</t>
        </is>
      </c>
      <c r="E622" s="50" t="n">
        <v>2023</v>
      </c>
      <c r="F622" s="50" t="inlineStr">
        <is>
          <t>2024-05-14</t>
        </is>
      </c>
      <c r="G622" s="50" t="inlineStr">
        <is>
          <t>2023-06-30</t>
        </is>
      </c>
      <c r="H622" t="inlineStr">
        <is>
          <t>Lois Cox</t>
        </is>
      </c>
      <c r="I622" t="inlineStr">
        <is>
          <t>VP FOR INVESTMENTS/CIO</t>
        </is>
      </c>
      <c r="J622" t="inlineStr">
        <is>
          <t>CIO</t>
        </is>
      </c>
      <c r="K622" t="inlineStr">
        <is>
          <t>CIO - Top Investment Executive</t>
        </is>
      </c>
      <c r="L622" s="28" t="n">
        <v>315546</v>
      </c>
      <c r="M622" s="28" t="n">
        <v>315000</v>
      </c>
      <c r="N622" s="28" t="n">
        <v>1066</v>
      </c>
      <c r="O622" s="28" t="n">
        <v>178035</v>
      </c>
      <c r="P622" s="28" t="n">
        <v>31951</v>
      </c>
      <c r="Q622" s="28" t="n">
        <v>841598</v>
      </c>
      <c r="R622" s="28" t="n">
        <v>0</v>
      </c>
      <c r="S622" s="28">
        <f>Q622-R622</f>
        <v/>
      </c>
      <c r="T622" s="28">
        <f>IF(S622="","",S622*(1+in_GrowthRate)^(YEARFRAC(DATE(2023,6,30),in_AgeToDate)*IF(in_AgeToDate&lt;DATE(2023,6,30),-1,1)+1))</f>
        <v/>
      </c>
      <c r="U622" s="50">
        <f>IF(AND(AND(OR(in_Mode="All Funds",AND(C622&gt;=in_BandFloor,C622&lt;=in_BandCeiling,OR(in_Geography="National",COUNTIFS(lst_GeoPreset,in_Geography,lst_GeoState,B622)&gt;0,AND(in_Geography="Custom",ISNUMBER(SEARCH(B622,SUBSTITUTE(in_CustomStates," ",""))))),OR(AND(D622="Endowment",Inputs!$B$14="Y"),AND(D622="Foundation",Inputs!$B$15="Y"),AND(D622="Healthcare",Inputs!$B$16="Y"),AND(D622="Pension",Inputs!$B$17="Y"),AND(D622="OCIO",Inputs!$B$18="Y"),AND(D622="Other",Inputs!$B$19="Y")))),A622&lt;&gt;in_ClientOrg,NOT(AND(in_ExclHarvard="Y",ISNUMBER(SEARCH("Harvard",A622))))),$AD622="Y",K622&lt;&gt;"",S622&gt;0),"Y","")</f>
        <v/>
      </c>
      <c r="V622" s="30" t="n">
        <v>1</v>
      </c>
      <c r="W622" t="inlineStr"/>
      <c r="X622" s="28">
        <f>IF(L622+M622=0,"",L622+M622)</f>
        <v/>
      </c>
      <c r="Y622" s="38">
        <f>IF(L622=0,"",M622/L622)</f>
        <v/>
      </c>
      <c r="Z622" t="inlineStr">
        <is>
          <t>CIO - Top Investment Executive</t>
        </is>
      </c>
      <c r="AA622" t="inlineStr">
        <is>
          <t>Leadership</t>
        </is>
      </c>
      <c r="AB622" s="50" t="inlineStr">
        <is>
          <t>Y</t>
        </is>
      </c>
      <c r="AC622" s="43">
        <f>HYPERLINK("https://projects.propublica.org/nonprofits/organizations/480667209/202411359349308191/full","view filing")</f>
        <v/>
      </c>
      <c r="AD622" s="50" t="inlineStr"/>
    </row>
    <row r="623">
      <c r="A623" t="inlineStr">
        <is>
          <t>Kansas State University Foundation</t>
        </is>
      </c>
      <c r="B623" s="50" t="inlineStr">
        <is>
          <t>KS</t>
        </is>
      </c>
      <c r="C623" s="52" t="n">
        <v>0.9</v>
      </c>
      <c r="D623" t="inlineStr">
        <is>
          <t>Endowment</t>
        </is>
      </c>
      <c r="E623" s="50" t="n">
        <v>2023</v>
      </c>
      <c r="F623" s="50" t="inlineStr">
        <is>
          <t>2024-05-14</t>
        </is>
      </c>
      <c r="G623" s="50" t="inlineStr">
        <is>
          <t>2023-06-30</t>
        </is>
      </c>
      <c r="H623" t="inlineStr">
        <is>
          <t>Paul Chai</t>
        </is>
      </c>
      <c r="I623" t="inlineStr">
        <is>
          <t>VP FOR INVESTMENTS/CIO</t>
        </is>
      </c>
      <c r="J623" t="inlineStr">
        <is>
          <t>CIO</t>
        </is>
      </c>
      <c r="K623" t="inlineStr">
        <is>
          <t>Sr Investment Professional</t>
        </is>
      </c>
      <c r="L623" s="28" t="n">
        <v>177599</v>
      </c>
      <c r="M623" s="28" t="n">
        <v>180000</v>
      </c>
      <c r="N623" s="28" t="n">
        <v>730</v>
      </c>
      <c r="O623" s="28" t="n">
        <v>18332</v>
      </c>
      <c r="P623" s="28" t="n">
        <v>29951</v>
      </c>
      <c r="Q623" s="28" t="n">
        <v>406612</v>
      </c>
      <c r="R623" s="28" t="n">
        <v>0</v>
      </c>
      <c r="S623" s="28">
        <f>Q623-R623</f>
        <v/>
      </c>
      <c r="T623" s="28">
        <f>IF(S623="","",S623*(1+in_GrowthRate)^(YEARFRAC(DATE(2023,6,30),in_AgeToDate)*IF(in_AgeToDate&lt;DATE(2023,6,30),-1,1)+1))</f>
        <v/>
      </c>
      <c r="U623" s="50">
        <f>IF(AND(AND(OR(in_Mode="All Funds",AND(C623&gt;=in_BandFloor,C623&lt;=in_BandCeiling,OR(in_Geography="National",COUNTIFS(lst_GeoPreset,in_Geography,lst_GeoState,B623)&gt;0,AND(in_Geography="Custom",ISNUMBER(SEARCH(B623,SUBSTITUTE(in_CustomStates," ",""))))),OR(AND(D623="Endowment",Inputs!$B$14="Y"),AND(D623="Foundation",Inputs!$B$15="Y"),AND(D623="Healthcare",Inputs!$B$16="Y"),AND(D623="Pension",Inputs!$B$17="Y"),AND(D623="OCIO",Inputs!$B$18="Y"),AND(D623="Other",Inputs!$B$19="Y")))),A623&lt;&gt;in_ClientOrg,NOT(AND(in_ExclHarvard="Y",ISNUMBER(SEARCH("Harvard",A623))))),$AD623="Y",K623&lt;&gt;"",S623&gt;0),"Y","")</f>
        <v/>
      </c>
      <c r="V623" s="30" t="n">
        <v>0.4831427831339903</v>
      </c>
      <c r="W623" t="inlineStr"/>
      <c r="X623" s="28">
        <f>IF(L623+M623=0,"",L623+M623)</f>
        <v/>
      </c>
      <c r="Y623" s="38">
        <f>IF(L623=0,"",M623/L623)</f>
        <v/>
      </c>
      <c r="Z623" t="inlineStr">
        <is>
          <t>Deputy CIO</t>
        </is>
      </c>
      <c r="AA623" t="inlineStr">
        <is>
          <t>Leadership</t>
        </is>
      </c>
      <c r="AB623" s="50" t="inlineStr"/>
      <c r="AC623" s="43">
        <f>HYPERLINK("https://projects.propublica.org/nonprofits/organizations/480667209/202411359349308191/full","view filing")</f>
        <v/>
      </c>
      <c r="AD623" s="50" t="inlineStr"/>
    </row>
    <row r="624">
      <c r="A624" t="inlineStr">
        <is>
          <t>Kansas State University Foundation</t>
        </is>
      </c>
      <c r="B624" s="50" t="inlineStr">
        <is>
          <t>KS</t>
        </is>
      </c>
      <c r="C624" s="52" t="n">
        <v>0.9</v>
      </c>
      <c r="D624" t="inlineStr">
        <is>
          <t>Endowment</t>
        </is>
      </c>
      <c r="E624" s="50" t="n">
        <v>2022</v>
      </c>
      <c r="F624" s="50" t="inlineStr">
        <is>
          <t>2023-05-15</t>
        </is>
      </c>
      <c r="G624" s="50" t="inlineStr">
        <is>
          <t>2022-06-30</t>
        </is>
      </c>
      <c r="H624" t="inlineStr">
        <is>
          <t>Lois Cox</t>
        </is>
      </c>
      <c r="I624" t="inlineStr">
        <is>
          <t>VP FOR INVESTMENTS/CIO</t>
        </is>
      </c>
      <c r="J624" t="inlineStr">
        <is>
          <t>CIO</t>
        </is>
      </c>
      <c r="K624" t="inlineStr">
        <is>
          <t>CIO - Top Investment Executive</t>
        </is>
      </c>
      <c r="L624" s="28" t="n">
        <v>302675</v>
      </c>
      <c r="M624" s="28" t="n">
        <v>300000</v>
      </c>
      <c r="N624" s="28" t="n">
        <v>648</v>
      </c>
      <c r="O624" s="28" t="n">
        <v>30808</v>
      </c>
      <c r="P624" s="28" t="n">
        <v>27320</v>
      </c>
      <c r="Q624" s="28" t="n">
        <v>661451</v>
      </c>
      <c r="R624" s="28" t="n">
        <v>0</v>
      </c>
      <c r="S624" s="28">
        <f>Q624-R624</f>
        <v/>
      </c>
      <c r="T624" s="28">
        <f>IF(S624="","",S624*(1+in_GrowthRate)^(YEARFRAC(DATE(2022,6,30),in_AgeToDate)*IF(in_AgeToDate&lt;DATE(2022,6,30),-1,1)+1))</f>
        <v/>
      </c>
      <c r="U624" s="50">
        <f>IF(AND(AND(OR(in_Mode="All Funds",AND(C624&gt;=in_BandFloor,C624&lt;=in_BandCeiling,OR(in_Geography="National",COUNTIFS(lst_GeoPreset,in_Geography,lst_GeoState,B624)&gt;0,AND(in_Geography="Custom",ISNUMBER(SEARCH(B624,SUBSTITUTE(in_CustomStates," ",""))))),OR(AND(D624="Endowment",Inputs!$B$14="Y"),AND(D624="Foundation",Inputs!$B$15="Y"),AND(D624="Healthcare",Inputs!$B$16="Y"),AND(D624="Pension",Inputs!$B$17="Y"),AND(D624="OCIO",Inputs!$B$18="Y"),AND(D624="Other",Inputs!$B$19="Y")))),A624&lt;&gt;in_ClientOrg,NOT(AND(in_ExclHarvard="Y",ISNUMBER(SEARCH("Harvard",A624))))),$AD624="Y",K624&lt;&gt;"",S624&gt;0),"Y","")</f>
        <v/>
      </c>
      <c r="V624" s="30" t="n">
        <v>1</v>
      </c>
      <c r="W624" t="inlineStr"/>
      <c r="X624" s="28">
        <f>IF(L624+M624=0,"",L624+M624)</f>
        <v/>
      </c>
      <c r="Y624" s="38">
        <f>IF(L624=0,"",M624/L624)</f>
        <v/>
      </c>
      <c r="Z624" t="inlineStr">
        <is>
          <t>CIO - Top Investment Executive</t>
        </is>
      </c>
      <c r="AA624" t="inlineStr">
        <is>
          <t>Leadership</t>
        </is>
      </c>
      <c r="AB624" s="50" t="inlineStr">
        <is>
          <t>Y</t>
        </is>
      </c>
      <c r="AC624" s="43">
        <f>HYPERLINK("https://projects.propublica.org/nonprofits/organizations/480667209/202321359349303907/full","view filing")</f>
        <v/>
      </c>
      <c r="AD624" s="50" t="inlineStr"/>
    </row>
    <row r="625">
      <c r="A625" t="inlineStr">
        <is>
          <t>Kansas State University Foundation</t>
        </is>
      </c>
      <c r="B625" s="50" t="inlineStr">
        <is>
          <t>KS</t>
        </is>
      </c>
      <c r="C625" s="52" t="n">
        <v>0.9</v>
      </c>
      <c r="D625" t="inlineStr">
        <is>
          <t>Endowment</t>
        </is>
      </c>
      <c r="E625" s="50" t="n">
        <v>2022</v>
      </c>
      <c r="F625" s="50" t="inlineStr">
        <is>
          <t>2023-05-15</t>
        </is>
      </c>
      <c r="G625" s="50" t="inlineStr">
        <is>
          <t>2022-06-30</t>
        </is>
      </c>
      <c r="H625" t="inlineStr">
        <is>
          <t>Paul Chai</t>
        </is>
      </c>
      <c r="I625" t="inlineStr">
        <is>
          <t>DIRECTOR OF INVESTMENTS</t>
        </is>
      </c>
      <c r="J625" t="inlineStr">
        <is>
          <t>Director of Investments</t>
        </is>
      </c>
      <c r="K625" t="inlineStr">
        <is>
          <t>Sr Investment Professional</t>
        </is>
      </c>
      <c r="L625" s="28" t="n">
        <v>164517</v>
      </c>
      <c r="M625" s="28" t="n">
        <v>158363</v>
      </c>
      <c r="N625" s="28" t="n">
        <v>280</v>
      </c>
      <c r="O625" s="28" t="n">
        <v>17001</v>
      </c>
      <c r="P625" s="28" t="n">
        <v>27494</v>
      </c>
      <c r="Q625" s="28" t="n">
        <v>367655</v>
      </c>
      <c r="R625" s="28" t="n">
        <v>0</v>
      </c>
      <c r="S625" s="28">
        <f>Q625-R625</f>
        <v/>
      </c>
      <c r="T625" s="28">
        <f>IF(S625="","",S625*(1+in_GrowthRate)^(YEARFRAC(DATE(2022,6,30),in_AgeToDate)*IF(in_AgeToDate&lt;DATE(2022,6,30),-1,1)+1))</f>
        <v/>
      </c>
      <c r="U625" s="50">
        <f>IF(AND(AND(OR(in_Mode="All Funds",AND(C625&gt;=in_BandFloor,C625&lt;=in_BandCeiling,OR(in_Geography="National",COUNTIFS(lst_GeoPreset,in_Geography,lst_GeoState,B625)&gt;0,AND(in_Geography="Custom",ISNUMBER(SEARCH(B625,SUBSTITUTE(in_CustomStates," ",""))))),OR(AND(D625="Endowment",Inputs!$B$14="Y"),AND(D625="Foundation",Inputs!$B$15="Y"),AND(D625="Healthcare",Inputs!$B$16="Y"),AND(D625="Pension",Inputs!$B$17="Y"),AND(D625="OCIO",Inputs!$B$18="Y"),AND(D625="Other",Inputs!$B$19="Y")))),A625&lt;&gt;in_ClientOrg,NOT(AND(in_ExclHarvard="Y",ISNUMBER(SEARCH("Harvard",A625))))),$AD625="Y",K625&lt;&gt;"",S625&gt;0),"Y","")</f>
        <v/>
      </c>
      <c r="V625" s="30" t="n">
        <v>0.555831044174096</v>
      </c>
      <c r="W625" t="inlineStr"/>
      <c r="X625" s="28">
        <f>IF(L625+M625=0,"",L625+M625)</f>
        <v/>
      </c>
      <c r="Y625" s="38">
        <f>IF(L625=0,"",M625/L625)</f>
        <v/>
      </c>
      <c r="Z625" t="inlineStr">
        <is>
          <t>Director &amp; Investment Officer</t>
        </is>
      </c>
      <c r="AA625" t="inlineStr">
        <is>
          <t>Investments</t>
        </is>
      </c>
      <c r="AB625" s="50" t="inlineStr"/>
      <c r="AC625" s="43">
        <f>HYPERLINK("https://projects.propublica.org/nonprofits/organizations/480667209/202321359349303907/full","view filing")</f>
        <v/>
      </c>
      <c r="AD625" s="50" t="inlineStr"/>
    </row>
    <row r="626">
      <c r="A626" t="inlineStr">
        <is>
          <t>Kansas University Endowment Assoc</t>
        </is>
      </c>
      <c r="B626" s="50" t="inlineStr">
        <is>
          <t>KS</t>
        </is>
      </c>
      <c r="C626" s="52" t="n">
        <v>2.69</v>
      </c>
      <c r="D626" t="inlineStr">
        <is>
          <t>Endowment</t>
        </is>
      </c>
      <c r="E626" s="50" t="n">
        <v>2025</v>
      </c>
      <c r="F626" s="50" t="inlineStr">
        <is>
          <t>2026-05-12</t>
        </is>
      </c>
      <c r="G626" s="50" t="inlineStr">
        <is>
          <t>2025-06-30</t>
        </is>
      </c>
      <c r="H626" t="inlineStr">
        <is>
          <t>James G Clarke</t>
        </is>
      </c>
      <c r="I626" t="inlineStr">
        <is>
          <t>Treasurer/SVP Chief Investment Officer</t>
        </is>
      </c>
      <c r="J626" t="inlineStr">
        <is>
          <t>CIO</t>
        </is>
      </c>
      <c r="K626" t="inlineStr">
        <is>
          <t>CIO - Top Investment Executive</t>
        </is>
      </c>
      <c r="L626" s="28" t="n">
        <v>418904</v>
      </c>
      <c r="M626" s="28" t="n">
        <v>288522</v>
      </c>
      <c r="N626" s="28" t="n">
        <v>0</v>
      </c>
      <c r="O626" s="28" t="n">
        <v>76940</v>
      </c>
      <c r="P626" s="28" t="n">
        <v>767</v>
      </c>
      <c r="Q626" s="28" t="n">
        <v>785133</v>
      </c>
      <c r="R626" s="28" t="n">
        <v>0</v>
      </c>
      <c r="S626" s="28">
        <f>Q626-R626</f>
        <v/>
      </c>
      <c r="T626" s="28">
        <f>IF(S626="","",S626*(1+in_GrowthRate)^(YEARFRAC(DATE(2025,6,30),in_AgeToDate)*IF(in_AgeToDate&lt;DATE(2025,6,30),-1,1)+1))</f>
        <v/>
      </c>
      <c r="U626" s="50">
        <f>IF(AND(AND(OR(in_Mode="All Funds",AND(C626&gt;=in_BandFloor,C626&lt;=in_BandCeiling,OR(in_Geography="National",COUNTIFS(lst_GeoPreset,in_Geography,lst_GeoState,B626)&gt;0,AND(in_Geography="Custom",ISNUMBER(SEARCH(B626,SUBSTITUTE(in_CustomStates," ",""))))),OR(AND(D626="Endowment",Inputs!$B$14="Y"),AND(D626="Foundation",Inputs!$B$15="Y"),AND(D626="Healthcare",Inputs!$B$16="Y"),AND(D626="Pension",Inputs!$B$17="Y"),AND(D626="OCIO",Inputs!$B$18="Y"),AND(D626="Other",Inputs!$B$19="Y")))),A626&lt;&gt;in_ClientOrg,NOT(AND(in_ExclHarvard="Y",ISNUMBER(SEARCH("Harvard",A626))))),$AD626="Y",K626&lt;&gt;"",S626&gt;0),"Y","")</f>
        <v/>
      </c>
      <c r="V626" s="30" t="n">
        <v>1</v>
      </c>
      <c r="W626" t="inlineStr"/>
      <c r="X626" s="28">
        <f>IF(L626+M626=0,"",L626+M626)</f>
        <v/>
      </c>
      <c r="Y626" s="38">
        <f>IF(L626=0,"",M626/L626)</f>
        <v/>
      </c>
      <c r="Z626" t="inlineStr">
        <is>
          <t>CIO - Top Investment Executive</t>
        </is>
      </c>
      <c r="AA626" t="inlineStr">
        <is>
          <t>Leadership</t>
        </is>
      </c>
      <c r="AB626" s="50" t="inlineStr">
        <is>
          <t>Y</t>
        </is>
      </c>
      <c r="AC626" s="43">
        <f>HYPERLINK("https://projects.propublica.org/nonprofits/organizations/480547734/202631329349306968/full","view filing")</f>
        <v/>
      </c>
      <c r="AD626" s="50" t="inlineStr">
        <is>
          <t>Y</t>
        </is>
      </c>
    </row>
    <row r="627">
      <c r="A627" t="inlineStr">
        <is>
          <t>Kansas University Endowment Assoc</t>
        </is>
      </c>
      <c r="B627" s="50" t="inlineStr">
        <is>
          <t>KS</t>
        </is>
      </c>
      <c r="C627" s="52" t="n">
        <v>2.69</v>
      </c>
      <c r="D627" t="inlineStr">
        <is>
          <t>Endowment</t>
        </is>
      </c>
      <c r="E627" s="50" t="n">
        <v>2025</v>
      </c>
      <c r="F627" s="50" t="inlineStr">
        <is>
          <t>2026-05-12</t>
        </is>
      </c>
      <c r="G627" s="50" t="inlineStr">
        <is>
          <t>2025-06-30</t>
        </is>
      </c>
      <c r="H627" t="inlineStr">
        <is>
          <t>Ryan M Toner</t>
        </is>
      </c>
      <c r="I627" t="inlineStr">
        <is>
          <t>DIRECTOR, INVESTMENTS</t>
        </is>
      </c>
      <c r="J627" t="inlineStr">
        <is>
          <t>Director of Investments</t>
        </is>
      </c>
      <c r="K627" t="inlineStr">
        <is>
          <t>Sr Investment Professional</t>
        </is>
      </c>
      <c r="L627" s="28" t="n">
        <v>184183</v>
      </c>
      <c r="M627" s="28" t="n">
        <v>53462</v>
      </c>
      <c r="N627" s="28" t="n">
        <v>0</v>
      </c>
      <c r="O627" s="28" t="n">
        <v>36826</v>
      </c>
      <c r="P627" s="28" t="n">
        <v>9455</v>
      </c>
      <c r="Q627" s="28" t="n">
        <v>283926</v>
      </c>
      <c r="R627" s="28" t="n">
        <v>0</v>
      </c>
      <c r="S627" s="28">
        <f>Q627-R627</f>
        <v/>
      </c>
      <c r="T627" s="28">
        <f>IF(S627="","",S627*(1+in_GrowthRate)^(YEARFRAC(DATE(2025,6,30),in_AgeToDate)*IF(in_AgeToDate&lt;DATE(2025,6,30),-1,1)+1))</f>
        <v/>
      </c>
      <c r="U627" s="50">
        <f>IF(AND(AND(OR(in_Mode="All Funds",AND(C627&gt;=in_BandFloor,C627&lt;=in_BandCeiling,OR(in_Geography="National",COUNTIFS(lst_GeoPreset,in_Geography,lst_GeoState,B627)&gt;0,AND(in_Geography="Custom",ISNUMBER(SEARCH(B627,SUBSTITUTE(in_CustomStates," ",""))))),OR(AND(D627="Endowment",Inputs!$B$14="Y"),AND(D627="Foundation",Inputs!$B$15="Y"),AND(D627="Healthcare",Inputs!$B$16="Y"),AND(D627="Pension",Inputs!$B$17="Y"),AND(D627="OCIO",Inputs!$B$18="Y"),AND(D627="Other",Inputs!$B$19="Y")))),A627&lt;&gt;in_ClientOrg,NOT(AND(in_ExclHarvard="Y",ISNUMBER(SEARCH("Harvard",A627))))),$AD627="Y",K627&lt;&gt;"",S627&gt;0),"Y","")</f>
        <v/>
      </c>
      <c r="V627" s="30" t="n">
        <v>0.3616279025337109</v>
      </c>
      <c r="W627" t="inlineStr"/>
      <c r="X627" s="28">
        <f>IF(L627+M627=0,"",L627+M627)</f>
        <v/>
      </c>
      <c r="Y627" s="38">
        <f>IF(L627=0,"",M627/L627)</f>
        <v/>
      </c>
      <c r="Z627" t="inlineStr">
        <is>
          <t>Director &amp; Investment Officer</t>
        </is>
      </c>
      <c r="AA627" t="inlineStr">
        <is>
          <t>Investments</t>
        </is>
      </c>
      <c r="AB627" s="50" t="inlineStr"/>
      <c r="AC627" s="43">
        <f>HYPERLINK("https://projects.propublica.org/nonprofits/organizations/480547734/202631329349306968/full","view filing")</f>
        <v/>
      </c>
      <c r="AD627" s="50" t="inlineStr">
        <is>
          <t>Y</t>
        </is>
      </c>
    </row>
    <row r="628">
      <c r="A628" t="inlineStr">
        <is>
          <t>Kansas University Endowment Assoc</t>
        </is>
      </c>
      <c r="B628" s="50" t="inlineStr">
        <is>
          <t>KS</t>
        </is>
      </c>
      <c r="C628" s="52" t="n">
        <v>2.69</v>
      </c>
      <c r="D628" t="inlineStr">
        <is>
          <t>Endowment</t>
        </is>
      </c>
      <c r="E628" s="50" t="n">
        <v>2025</v>
      </c>
      <c r="F628" s="50" t="inlineStr">
        <is>
          <t>2026-05-12</t>
        </is>
      </c>
      <c r="G628" s="50" t="inlineStr">
        <is>
          <t>2025-06-30</t>
        </is>
      </c>
      <c r="H628" t="inlineStr">
        <is>
          <t>Stacy D Nuss</t>
        </is>
      </c>
      <c r="I628" t="inlineStr">
        <is>
          <t>VP Investments &amp; Asst Treasurer</t>
        </is>
      </c>
      <c r="J628" t="inlineStr">
        <is>
          <t>Director of Investments</t>
        </is>
      </c>
      <c r="K628" t="inlineStr">
        <is>
          <t>Sr Investment Professional</t>
        </is>
      </c>
      <c r="L628" s="28" t="n">
        <v>238293</v>
      </c>
      <c r="M628" s="28" t="n">
        <v>95721</v>
      </c>
      <c r="N628" s="28" t="n">
        <v>0</v>
      </c>
      <c r="O628" s="28" t="n">
        <v>73782</v>
      </c>
      <c r="P628" s="28" t="n">
        <v>686</v>
      </c>
      <c r="Q628" s="28" t="n">
        <v>408482</v>
      </c>
      <c r="R628" s="28" t="n">
        <v>0</v>
      </c>
      <c r="S628" s="28">
        <f>Q628-R628</f>
        <v/>
      </c>
      <c r="T628" s="28">
        <f>IF(S628="","",S628*(1+in_GrowthRate)^(YEARFRAC(DATE(2025,6,30),in_AgeToDate)*IF(in_AgeToDate&lt;DATE(2025,6,30),-1,1)+1))</f>
        <v/>
      </c>
      <c r="U628" s="50">
        <f>IF(AND(AND(OR(in_Mode="All Funds",AND(C628&gt;=in_BandFloor,C628&lt;=in_BandCeiling,OR(in_Geography="National",COUNTIFS(lst_GeoPreset,in_Geography,lst_GeoState,B628)&gt;0,AND(in_Geography="Custom",ISNUMBER(SEARCH(B628,SUBSTITUTE(in_CustomStates," ",""))))),OR(AND(D628="Endowment",Inputs!$B$14="Y"),AND(D628="Foundation",Inputs!$B$15="Y"),AND(D628="Healthcare",Inputs!$B$16="Y"),AND(D628="Pension",Inputs!$B$17="Y"),AND(D628="OCIO",Inputs!$B$18="Y"),AND(D628="Other",Inputs!$B$19="Y")))),A628&lt;&gt;in_ClientOrg,NOT(AND(in_ExclHarvard="Y",ISNUMBER(SEARCH("Harvard",A628))))),$AD628="Y",K628&lt;&gt;"",S628&gt;0),"Y","")</f>
        <v/>
      </c>
      <c r="V628" s="30" t="n">
        <v>0.5202710878284316</v>
      </c>
      <c r="W628" t="inlineStr"/>
      <c r="X628" s="28">
        <f>IF(L628+M628=0,"",L628+M628)</f>
        <v/>
      </c>
      <c r="Y628" s="38">
        <f>IF(L628=0,"",M628/L628)</f>
        <v/>
      </c>
      <c r="Z628" t="inlineStr">
        <is>
          <t>Director &amp; Investment Officer</t>
        </is>
      </c>
      <c r="AA628" t="inlineStr">
        <is>
          <t>Investments</t>
        </is>
      </c>
      <c r="AB628" s="50" t="inlineStr"/>
      <c r="AC628" s="43">
        <f>HYPERLINK("https://projects.propublica.org/nonprofits/organizations/480547734/202631329349306968/full","view filing")</f>
        <v/>
      </c>
      <c r="AD628" s="50" t="inlineStr">
        <is>
          <t>Y</t>
        </is>
      </c>
    </row>
    <row r="629">
      <c r="A629" t="inlineStr">
        <is>
          <t>Kansas University Endowment Assoc</t>
        </is>
      </c>
      <c r="B629" s="50" t="inlineStr">
        <is>
          <t>KS</t>
        </is>
      </c>
      <c r="C629" s="52" t="n">
        <v>2.69</v>
      </c>
      <c r="D629" t="inlineStr">
        <is>
          <t>Endowment</t>
        </is>
      </c>
      <c r="E629" s="50" t="n">
        <v>2024</v>
      </c>
      <c r="F629" s="50" t="inlineStr">
        <is>
          <t>2025-05-13</t>
        </is>
      </c>
      <c r="G629" s="50" t="inlineStr">
        <is>
          <t>2024-06-30</t>
        </is>
      </c>
      <c r="H629" t="inlineStr">
        <is>
          <t>James G Clarke</t>
        </is>
      </c>
      <c r="I629" t="inlineStr">
        <is>
          <t>Treasurer/SVP Chief Investment Officer</t>
        </is>
      </c>
      <c r="J629" t="inlineStr">
        <is>
          <t>CIO</t>
        </is>
      </c>
      <c r="K629" t="inlineStr">
        <is>
          <t>CIO - Top Investment Executive</t>
        </is>
      </c>
      <c r="L629" s="28" t="n">
        <v>395207</v>
      </c>
      <c r="M629" s="28" t="n">
        <v>352787</v>
      </c>
      <c r="N629" s="28" t="n">
        <v>0</v>
      </c>
      <c r="O629" s="28" t="n">
        <v>141608</v>
      </c>
      <c r="P629" s="28" t="n">
        <v>791</v>
      </c>
      <c r="Q629" s="28" t="n">
        <v>890393</v>
      </c>
      <c r="R629" s="28" t="n">
        <v>0</v>
      </c>
      <c r="S629" s="28">
        <f>Q629-R629</f>
        <v/>
      </c>
      <c r="T629" s="28">
        <f>IF(S629="","",S629*(1+in_GrowthRate)^(YEARFRAC(DATE(2024,6,30),in_AgeToDate)*IF(in_AgeToDate&lt;DATE(2024,6,30),-1,1)+1))</f>
        <v/>
      </c>
      <c r="U629" s="50">
        <f>IF(AND(AND(OR(in_Mode="All Funds",AND(C629&gt;=in_BandFloor,C629&lt;=in_BandCeiling,OR(in_Geography="National",COUNTIFS(lst_GeoPreset,in_Geography,lst_GeoState,B629)&gt;0,AND(in_Geography="Custom",ISNUMBER(SEARCH(B629,SUBSTITUTE(in_CustomStates," ",""))))),OR(AND(D629="Endowment",Inputs!$B$14="Y"),AND(D629="Foundation",Inputs!$B$15="Y"),AND(D629="Healthcare",Inputs!$B$16="Y"),AND(D629="Pension",Inputs!$B$17="Y"),AND(D629="OCIO",Inputs!$B$18="Y"),AND(D629="Other",Inputs!$B$19="Y")))),A629&lt;&gt;in_ClientOrg,NOT(AND(in_ExclHarvard="Y",ISNUMBER(SEARCH("Harvard",A629))))),$AD629="Y",K629&lt;&gt;"",S629&gt;0),"Y","")</f>
        <v/>
      </c>
      <c r="V629" s="30" t="n">
        <v>1</v>
      </c>
      <c r="W629" t="inlineStr"/>
      <c r="X629" s="28">
        <f>IF(L629+M629=0,"",L629+M629)</f>
        <v/>
      </c>
      <c r="Y629" s="38">
        <f>IF(L629=0,"",M629/L629)</f>
        <v/>
      </c>
      <c r="Z629" t="inlineStr">
        <is>
          <t>CIO - Top Investment Executive</t>
        </is>
      </c>
      <c r="AA629" t="inlineStr">
        <is>
          <t>Leadership</t>
        </is>
      </c>
      <c r="AB629" s="50" t="inlineStr">
        <is>
          <t>Y</t>
        </is>
      </c>
      <c r="AC629" s="43">
        <f>HYPERLINK("https://projects.propublica.org/nonprofits/organizations/480547734/202501339349304880/full","view filing")</f>
        <v/>
      </c>
      <c r="AD629" s="50" t="inlineStr"/>
    </row>
    <row r="630">
      <c r="A630" t="inlineStr">
        <is>
          <t>Kansas University Endowment Assoc</t>
        </is>
      </c>
      <c r="B630" s="50" t="inlineStr">
        <is>
          <t>KS</t>
        </is>
      </c>
      <c r="C630" s="52" t="n">
        <v>2.69</v>
      </c>
      <c r="D630" t="inlineStr">
        <is>
          <t>Endowment</t>
        </is>
      </c>
      <c r="E630" s="50" t="n">
        <v>2024</v>
      </c>
      <c r="F630" s="50" t="inlineStr">
        <is>
          <t>2025-05-13</t>
        </is>
      </c>
      <c r="G630" s="50" t="inlineStr">
        <is>
          <t>2024-06-30</t>
        </is>
      </c>
      <c r="H630" t="inlineStr">
        <is>
          <t>Ryan M Toner</t>
        </is>
      </c>
      <c r="I630" t="inlineStr">
        <is>
          <t>DIRECTOR, INVESTMENTS</t>
        </is>
      </c>
      <c r="J630" t="inlineStr">
        <is>
          <t>Director of Investments</t>
        </is>
      </c>
      <c r="K630" t="inlineStr">
        <is>
          <t>Sr Investment Professional</t>
        </is>
      </c>
      <c r="L630" s="28" t="n">
        <v>168999</v>
      </c>
      <c r="M630" s="28" t="n">
        <v>54796</v>
      </c>
      <c r="N630" s="28" t="n">
        <v>0</v>
      </c>
      <c r="O630" s="28" t="n">
        <v>50562</v>
      </c>
      <c r="P630" s="28" t="n">
        <v>8118</v>
      </c>
      <c r="Q630" s="28" t="n">
        <v>282475</v>
      </c>
      <c r="R630" s="28" t="n">
        <v>0</v>
      </c>
      <c r="S630" s="28">
        <f>Q630-R630</f>
        <v/>
      </c>
      <c r="T630" s="28">
        <f>IF(S630="","",S630*(1+in_GrowthRate)^(YEARFRAC(DATE(2024,6,30),in_AgeToDate)*IF(in_AgeToDate&lt;DATE(2024,6,30),-1,1)+1))</f>
        <v/>
      </c>
      <c r="U630" s="50">
        <f>IF(AND(AND(OR(in_Mode="All Funds",AND(C630&gt;=in_BandFloor,C630&lt;=in_BandCeiling,OR(in_Geography="National",COUNTIFS(lst_GeoPreset,in_Geography,lst_GeoState,B630)&gt;0,AND(in_Geography="Custom",ISNUMBER(SEARCH(B630,SUBSTITUTE(in_CustomStates," ",""))))),OR(AND(D630="Endowment",Inputs!$B$14="Y"),AND(D630="Foundation",Inputs!$B$15="Y"),AND(D630="Healthcare",Inputs!$B$16="Y"),AND(D630="Pension",Inputs!$B$17="Y"),AND(D630="OCIO",Inputs!$B$18="Y"),AND(D630="Other",Inputs!$B$19="Y")))),A630&lt;&gt;in_ClientOrg,NOT(AND(in_ExclHarvard="Y",ISNUMBER(SEARCH("Harvard",A630))))),$AD630="Y",K630&lt;&gt;"",S630&gt;0),"Y","")</f>
        <v/>
      </c>
      <c r="V630" s="30" t="n">
        <v>0.3172475524852509</v>
      </c>
      <c r="W630" t="inlineStr"/>
      <c r="X630" s="28">
        <f>IF(L630+M630=0,"",L630+M630)</f>
        <v/>
      </c>
      <c r="Y630" s="38">
        <f>IF(L630=0,"",M630/L630)</f>
        <v/>
      </c>
      <c r="Z630" t="inlineStr">
        <is>
          <t>Director &amp; Investment Officer</t>
        </is>
      </c>
      <c r="AA630" t="inlineStr">
        <is>
          <t>Investments</t>
        </is>
      </c>
      <c r="AB630" s="50" t="inlineStr"/>
      <c r="AC630" s="43">
        <f>HYPERLINK("https://projects.propublica.org/nonprofits/organizations/480547734/202501339349304880/full","view filing")</f>
        <v/>
      </c>
      <c r="AD630" s="50" t="inlineStr"/>
    </row>
    <row r="631">
      <c r="A631" t="inlineStr">
        <is>
          <t>Kansas University Endowment Assoc</t>
        </is>
      </c>
      <c r="B631" s="50" t="inlineStr">
        <is>
          <t>KS</t>
        </is>
      </c>
      <c r="C631" s="52" t="n">
        <v>2.69</v>
      </c>
      <c r="D631" t="inlineStr">
        <is>
          <t>Endowment</t>
        </is>
      </c>
      <c r="E631" s="50" t="n">
        <v>2024</v>
      </c>
      <c r="F631" s="50" t="inlineStr">
        <is>
          <t>2025-05-13</t>
        </is>
      </c>
      <c r="G631" s="50" t="inlineStr">
        <is>
          <t>2024-06-30</t>
        </is>
      </c>
      <c r="H631" t="inlineStr">
        <is>
          <t>Stacy D Nuss</t>
        </is>
      </c>
      <c r="I631" t="inlineStr">
        <is>
          <t>VP Investments &amp; Asst Treasurer</t>
        </is>
      </c>
      <c r="J631" t="inlineStr">
        <is>
          <t>Director of Investments</t>
        </is>
      </c>
      <c r="K631" t="inlineStr">
        <is>
          <t>Sr Investment Professional</t>
        </is>
      </c>
      <c r="L631" s="28" t="n">
        <v>224696</v>
      </c>
      <c r="M631" s="28" t="n">
        <v>113227</v>
      </c>
      <c r="N631" s="28" t="n">
        <v>0</v>
      </c>
      <c r="O631" s="28" t="n">
        <v>139867</v>
      </c>
      <c r="P631" s="28" t="n">
        <v>670</v>
      </c>
      <c r="Q631" s="28" t="n">
        <v>478460</v>
      </c>
      <c r="R631" s="28" t="n">
        <v>0</v>
      </c>
      <c r="S631" s="28">
        <f>Q631-R631</f>
        <v/>
      </c>
      <c r="T631" s="28">
        <f>IF(S631="","",S631*(1+in_GrowthRate)^(YEARFRAC(DATE(2024,6,30),in_AgeToDate)*IF(in_AgeToDate&lt;DATE(2024,6,30),-1,1)+1))</f>
        <v/>
      </c>
      <c r="U631" s="50">
        <f>IF(AND(AND(OR(in_Mode="All Funds",AND(C631&gt;=in_BandFloor,C631&lt;=in_BandCeiling,OR(in_Geography="National",COUNTIFS(lst_GeoPreset,in_Geography,lst_GeoState,B631)&gt;0,AND(in_Geography="Custom",ISNUMBER(SEARCH(B631,SUBSTITUTE(in_CustomStates," ",""))))),OR(AND(D631="Endowment",Inputs!$B$14="Y"),AND(D631="Foundation",Inputs!$B$15="Y"),AND(D631="Healthcare",Inputs!$B$16="Y"),AND(D631="Pension",Inputs!$B$17="Y"),AND(D631="OCIO",Inputs!$B$18="Y"),AND(D631="Other",Inputs!$B$19="Y")))),A631&lt;&gt;in_ClientOrg,NOT(AND(in_ExclHarvard="Y",ISNUMBER(SEARCH("Harvard",A631))))),$AD631="Y",K631&lt;&gt;"",S631&gt;0),"Y","")</f>
        <v/>
      </c>
      <c r="V631" s="30" t="n">
        <v>0.5373582227173843</v>
      </c>
      <c r="W631" t="inlineStr"/>
      <c r="X631" s="28">
        <f>IF(L631+M631=0,"",L631+M631)</f>
        <v/>
      </c>
      <c r="Y631" s="38">
        <f>IF(L631=0,"",M631/L631)</f>
        <v/>
      </c>
      <c r="Z631" t="inlineStr">
        <is>
          <t>Director &amp; Investment Officer</t>
        </is>
      </c>
      <c r="AA631" t="inlineStr">
        <is>
          <t>Investments</t>
        </is>
      </c>
      <c r="AB631" s="50" t="inlineStr"/>
      <c r="AC631" s="43">
        <f>HYPERLINK("https://projects.propublica.org/nonprofits/organizations/480547734/202501339349304880/full","view filing")</f>
        <v/>
      </c>
      <c r="AD631" s="50" t="inlineStr"/>
    </row>
    <row r="632">
      <c r="A632" t="inlineStr">
        <is>
          <t>Kansas University Endowment Assoc</t>
        </is>
      </c>
      <c r="B632" s="50" t="inlineStr">
        <is>
          <t>KS</t>
        </is>
      </c>
      <c r="C632" s="52" t="n">
        <v>2.69</v>
      </c>
      <c r="D632" t="inlineStr">
        <is>
          <t>Endowment</t>
        </is>
      </c>
      <c r="E632" s="50" t="n">
        <v>2023</v>
      </c>
      <c r="F632" s="50" t="inlineStr">
        <is>
          <t>2024-05-10</t>
        </is>
      </c>
      <c r="G632" s="50" t="inlineStr">
        <is>
          <t>2023-06-30</t>
        </is>
      </c>
      <c r="H632" t="inlineStr">
        <is>
          <t>James G Clarke</t>
        </is>
      </c>
      <c r="I632" t="inlineStr">
        <is>
          <t>Treasurer/SVP Investments</t>
        </is>
      </c>
      <c r="J632" t="inlineStr">
        <is>
          <t>Director of Investments</t>
        </is>
      </c>
      <c r="K632" t="inlineStr">
        <is>
          <t>Sr Investment Professional</t>
        </is>
      </c>
      <c r="L632" s="28" t="n">
        <v>363051</v>
      </c>
      <c r="M632" s="28" t="n">
        <v>367810</v>
      </c>
      <c r="N632" s="28" t="n">
        <v>0</v>
      </c>
      <c r="O632" s="28" t="n">
        <v>116481</v>
      </c>
      <c r="P632" s="28" t="n">
        <v>813</v>
      </c>
      <c r="Q632" s="28" t="n">
        <v>848155</v>
      </c>
      <c r="R632" s="28" t="n">
        <v>0</v>
      </c>
      <c r="S632" s="28">
        <f>Q632-R632</f>
        <v/>
      </c>
      <c r="T632" s="28">
        <f>IF(S632="","",S632*(1+in_GrowthRate)^(YEARFRAC(DATE(2023,6,30),in_AgeToDate)*IF(in_AgeToDate&lt;DATE(2023,6,30),-1,1)+1))</f>
        <v/>
      </c>
      <c r="U632" s="50">
        <f>IF(AND(AND(OR(in_Mode="All Funds",AND(C632&gt;=in_BandFloor,C632&lt;=in_BandCeiling,OR(in_Geography="National",COUNTIFS(lst_GeoPreset,in_Geography,lst_GeoState,B632)&gt;0,AND(in_Geography="Custom",ISNUMBER(SEARCH(B632,SUBSTITUTE(in_CustomStates," ",""))))),OR(AND(D632="Endowment",Inputs!$B$14="Y"),AND(D632="Foundation",Inputs!$B$15="Y"),AND(D632="Healthcare",Inputs!$B$16="Y"),AND(D632="Pension",Inputs!$B$17="Y"),AND(D632="OCIO",Inputs!$B$18="Y"),AND(D632="Other",Inputs!$B$19="Y")))),A632&lt;&gt;in_ClientOrg,NOT(AND(in_ExclHarvard="Y",ISNUMBER(SEARCH("Harvard",A632))))),$AD632="Y",K632&lt;&gt;"",S632&gt;0),"Y","")</f>
        <v/>
      </c>
      <c r="V632" s="30" t="n"/>
      <c r="W632" t="inlineStr"/>
      <c r="X632" s="28">
        <f>IF(L632+M632=0,"",L632+M632)</f>
        <v/>
      </c>
      <c r="Y632" s="38">
        <f>IF(L632=0,"",M632/L632)</f>
        <v/>
      </c>
      <c r="Z632" t="inlineStr">
        <is>
          <t>Director &amp; Investment Officer</t>
        </is>
      </c>
      <c r="AA632" t="inlineStr">
        <is>
          <t>Investments</t>
        </is>
      </c>
      <c r="AB632" s="50" t="inlineStr"/>
      <c r="AC632" s="43">
        <f>HYPERLINK("https://projects.propublica.org/nonprofits/organizations/480547734/202431319349305008/full","view filing")</f>
        <v/>
      </c>
      <c r="AD632" s="50" t="inlineStr"/>
    </row>
    <row r="633">
      <c r="A633" t="inlineStr">
        <is>
          <t>Kansas University Endowment Assoc</t>
        </is>
      </c>
      <c r="B633" s="50" t="inlineStr">
        <is>
          <t>KS</t>
        </is>
      </c>
      <c r="C633" s="52" t="n">
        <v>2.69</v>
      </c>
      <c r="D633" t="inlineStr">
        <is>
          <t>Endowment</t>
        </is>
      </c>
      <c r="E633" s="50" t="n">
        <v>2023</v>
      </c>
      <c r="F633" s="50" t="inlineStr">
        <is>
          <t>2024-05-10</t>
        </is>
      </c>
      <c r="G633" s="50" t="inlineStr">
        <is>
          <t>2023-06-30</t>
        </is>
      </c>
      <c r="H633" t="inlineStr">
        <is>
          <t>Ryan Toner</t>
        </is>
      </c>
      <c r="I633" t="inlineStr">
        <is>
          <t>DIRECTOR OF INVESTMENTS</t>
        </is>
      </c>
      <c r="J633" t="inlineStr">
        <is>
          <t>Director of Investments</t>
        </is>
      </c>
      <c r="K633" t="inlineStr">
        <is>
          <t>Sr Investment Professional</t>
        </is>
      </c>
      <c r="L633" s="28" t="n">
        <v>150801</v>
      </c>
      <c r="M633" s="28" t="n">
        <v>54266</v>
      </c>
      <c r="N633" s="28" t="n">
        <v>0</v>
      </c>
      <c r="O633" s="28" t="n">
        <v>41343</v>
      </c>
      <c r="P633" s="28" t="n">
        <v>7569</v>
      </c>
      <c r="Q633" s="28" t="n">
        <v>253979</v>
      </c>
      <c r="R633" s="28" t="n">
        <v>0</v>
      </c>
      <c r="S633" s="28">
        <f>Q633-R633</f>
        <v/>
      </c>
      <c r="T633" s="28">
        <f>IF(S633="","",S633*(1+in_GrowthRate)^(YEARFRAC(DATE(2023,6,30),in_AgeToDate)*IF(in_AgeToDate&lt;DATE(2023,6,30),-1,1)+1))</f>
        <v/>
      </c>
      <c r="U633" s="50">
        <f>IF(AND(AND(OR(in_Mode="All Funds",AND(C633&gt;=in_BandFloor,C633&lt;=in_BandCeiling,OR(in_Geography="National",COUNTIFS(lst_GeoPreset,in_Geography,lst_GeoState,B633)&gt;0,AND(in_Geography="Custom",ISNUMBER(SEARCH(B633,SUBSTITUTE(in_CustomStates," ",""))))),OR(AND(D633="Endowment",Inputs!$B$14="Y"),AND(D633="Foundation",Inputs!$B$15="Y"),AND(D633="Healthcare",Inputs!$B$16="Y"),AND(D633="Pension",Inputs!$B$17="Y"),AND(D633="OCIO",Inputs!$B$18="Y"),AND(D633="Other",Inputs!$B$19="Y")))),A633&lt;&gt;in_ClientOrg,NOT(AND(in_ExclHarvard="Y",ISNUMBER(SEARCH("Harvard",A633))))),$AD633="Y",K633&lt;&gt;"",S633&gt;0),"Y","")</f>
        <v/>
      </c>
      <c r="V633" s="30" t="n"/>
      <c r="W633" t="inlineStr"/>
      <c r="X633" s="28">
        <f>IF(L633+M633=0,"",L633+M633)</f>
        <v/>
      </c>
      <c r="Y633" s="38">
        <f>IF(L633=0,"",M633/L633)</f>
        <v/>
      </c>
      <c r="Z633" t="inlineStr">
        <is>
          <t>Director &amp; Investment Officer</t>
        </is>
      </c>
      <c r="AA633" t="inlineStr">
        <is>
          <t>Investments</t>
        </is>
      </c>
      <c r="AB633" s="50" t="inlineStr"/>
      <c r="AC633" s="43">
        <f>HYPERLINK("https://projects.propublica.org/nonprofits/organizations/480547734/202431319349305008/full","view filing")</f>
        <v/>
      </c>
      <c r="AD633" s="50" t="inlineStr"/>
    </row>
    <row r="634">
      <c r="A634" t="inlineStr">
        <is>
          <t>Kansas University Endowment Assoc</t>
        </is>
      </c>
      <c r="B634" s="50" t="inlineStr">
        <is>
          <t>KS</t>
        </is>
      </c>
      <c r="C634" s="52" t="n">
        <v>2.69</v>
      </c>
      <c r="D634" t="inlineStr">
        <is>
          <t>Endowment</t>
        </is>
      </c>
      <c r="E634" s="50" t="n">
        <v>2023</v>
      </c>
      <c r="F634" s="50" t="inlineStr">
        <is>
          <t>2024-05-10</t>
        </is>
      </c>
      <c r="G634" s="50" t="inlineStr">
        <is>
          <t>2023-06-30</t>
        </is>
      </c>
      <c r="H634" t="inlineStr">
        <is>
          <t>Stacy Nuss</t>
        </is>
      </c>
      <c r="I634" t="inlineStr">
        <is>
          <t>VP Investments &amp; Asst Treasurer</t>
        </is>
      </c>
      <c r="J634" t="inlineStr">
        <is>
          <t>Director of Investments</t>
        </is>
      </c>
      <c r="K634" t="inlineStr">
        <is>
          <t>Sr Investment Professional</t>
        </is>
      </c>
      <c r="L634" s="28" t="n">
        <v>207307</v>
      </c>
      <c r="M634" s="28" t="n">
        <v>115898</v>
      </c>
      <c r="N634" s="28" t="n">
        <v>0</v>
      </c>
      <c r="O634" s="28" t="n">
        <v>125731</v>
      </c>
      <c r="P634" s="28" t="n">
        <v>643</v>
      </c>
      <c r="Q634" s="28" t="n">
        <v>449579</v>
      </c>
      <c r="R634" s="28" t="n">
        <v>0</v>
      </c>
      <c r="S634" s="28">
        <f>Q634-R634</f>
        <v/>
      </c>
      <c r="T634" s="28">
        <f>IF(S634="","",S634*(1+in_GrowthRate)^(YEARFRAC(DATE(2023,6,30),in_AgeToDate)*IF(in_AgeToDate&lt;DATE(2023,6,30),-1,1)+1))</f>
        <v/>
      </c>
      <c r="U634" s="50">
        <f>IF(AND(AND(OR(in_Mode="All Funds",AND(C634&gt;=in_BandFloor,C634&lt;=in_BandCeiling,OR(in_Geography="National",COUNTIFS(lst_GeoPreset,in_Geography,lst_GeoState,B634)&gt;0,AND(in_Geography="Custom",ISNUMBER(SEARCH(B634,SUBSTITUTE(in_CustomStates," ",""))))),OR(AND(D634="Endowment",Inputs!$B$14="Y"),AND(D634="Foundation",Inputs!$B$15="Y"),AND(D634="Healthcare",Inputs!$B$16="Y"),AND(D634="Pension",Inputs!$B$17="Y"),AND(D634="OCIO",Inputs!$B$18="Y"),AND(D634="Other",Inputs!$B$19="Y")))),A634&lt;&gt;in_ClientOrg,NOT(AND(in_ExclHarvard="Y",ISNUMBER(SEARCH("Harvard",A634))))),$AD634="Y",K634&lt;&gt;"",S634&gt;0),"Y","")</f>
        <v/>
      </c>
      <c r="V634" s="30" t="n"/>
      <c r="W634" t="inlineStr"/>
      <c r="X634" s="28">
        <f>IF(L634+M634=0,"",L634+M634)</f>
        <v/>
      </c>
      <c r="Y634" s="38">
        <f>IF(L634=0,"",M634/L634)</f>
        <v/>
      </c>
      <c r="Z634" t="inlineStr">
        <is>
          <t>Director &amp; Investment Officer</t>
        </is>
      </c>
      <c r="AA634" t="inlineStr">
        <is>
          <t>Investments</t>
        </is>
      </c>
      <c r="AB634" s="50" t="inlineStr"/>
      <c r="AC634" s="43">
        <f>HYPERLINK("https://projects.propublica.org/nonprofits/organizations/480547734/202431319349305008/full","view filing")</f>
        <v/>
      </c>
      <c r="AD634" s="50" t="inlineStr"/>
    </row>
    <row r="635">
      <c r="A635" t="inlineStr">
        <is>
          <t>Kansas University Endowment Assoc</t>
        </is>
      </c>
      <c r="B635" s="50" t="inlineStr">
        <is>
          <t>KS</t>
        </is>
      </c>
      <c r="C635" s="52" t="n">
        <v>2.69</v>
      </c>
      <c r="D635" t="inlineStr">
        <is>
          <t>Endowment</t>
        </is>
      </c>
      <c r="E635" s="50" t="n">
        <v>2022</v>
      </c>
      <c r="F635" s="50" t="inlineStr">
        <is>
          <t>2023-05-10</t>
        </is>
      </c>
      <c r="G635" s="50" t="inlineStr">
        <is>
          <t>2022-06-30</t>
        </is>
      </c>
      <c r="H635" t="inlineStr">
        <is>
          <t>James G Clarke</t>
        </is>
      </c>
      <c r="I635" t="inlineStr">
        <is>
          <t>Treasurer/SVP Investments</t>
        </is>
      </c>
      <c r="J635" t="inlineStr">
        <is>
          <t>Director of Investments</t>
        </is>
      </c>
      <c r="K635" t="inlineStr">
        <is>
          <t>Sr Investment Professional</t>
        </is>
      </c>
      <c r="L635" s="28" t="n">
        <v>331158</v>
      </c>
      <c r="M635" s="28" t="n">
        <v>10000</v>
      </c>
      <c r="N635" s="28" t="n">
        <v>0</v>
      </c>
      <c r="O635" s="28" t="n">
        <v>44441</v>
      </c>
      <c r="P635" s="28" t="n">
        <v>802</v>
      </c>
      <c r="Q635" s="28" t="n">
        <v>386401</v>
      </c>
      <c r="R635" s="28" t="n">
        <v>0</v>
      </c>
      <c r="S635" s="28">
        <f>Q635-R635</f>
        <v/>
      </c>
      <c r="T635" s="28">
        <f>IF(S635="","",S635*(1+in_GrowthRate)^(YEARFRAC(DATE(2022,6,30),in_AgeToDate)*IF(in_AgeToDate&lt;DATE(2022,6,30),-1,1)+1))</f>
        <v/>
      </c>
      <c r="U635" s="50">
        <f>IF(AND(AND(OR(in_Mode="All Funds",AND(C635&gt;=in_BandFloor,C635&lt;=in_BandCeiling,OR(in_Geography="National",COUNTIFS(lst_GeoPreset,in_Geography,lst_GeoState,B635)&gt;0,AND(in_Geography="Custom",ISNUMBER(SEARCH(B635,SUBSTITUTE(in_CustomStates," ",""))))),OR(AND(D635="Endowment",Inputs!$B$14="Y"),AND(D635="Foundation",Inputs!$B$15="Y"),AND(D635="Healthcare",Inputs!$B$16="Y"),AND(D635="Pension",Inputs!$B$17="Y"),AND(D635="OCIO",Inputs!$B$18="Y"),AND(D635="Other",Inputs!$B$19="Y")))),A635&lt;&gt;in_ClientOrg,NOT(AND(in_ExclHarvard="Y",ISNUMBER(SEARCH("Harvard",A635))))),$AD635="Y",K635&lt;&gt;"",S635&gt;0),"Y","")</f>
        <v/>
      </c>
      <c r="V635" s="30" t="n"/>
      <c r="W635" t="inlineStr"/>
      <c r="X635" s="28">
        <f>IF(L635+M635=0,"",L635+M635)</f>
        <v/>
      </c>
      <c r="Y635" s="38">
        <f>IF(L635=0,"",M635/L635)</f>
        <v/>
      </c>
      <c r="Z635" t="inlineStr">
        <is>
          <t>Director &amp; Investment Officer</t>
        </is>
      </c>
      <c r="AA635" t="inlineStr">
        <is>
          <t>Investments</t>
        </is>
      </c>
      <c r="AB635" s="50" t="inlineStr"/>
      <c r="AC635" s="43">
        <f>HYPERLINK("https://projects.propublica.org/nonprofits/organizations/480547734/202341309349304859/full","view filing")</f>
        <v/>
      </c>
      <c r="AD635" s="50" t="inlineStr"/>
    </row>
    <row r="636">
      <c r="A636" t="inlineStr">
        <is>
          <t>Kansas University Endowment Assoc</t>
        </is>
      </c>
      <c r="B636" s="50" t="inlineStr">
        <is>
          <t>KS</t>
        </is>
      </c>
      <c r="C636" s="52" t="n">
        <v>2.69</v>
      </c>
      <c r="D636" t="inlineStr">
        <is>
          <t>Endowment</t>
        </is>
      </c>
      <c r="E636" s="50" t="n">
        <v>2022</v>
      </c>
      <c r="F636" s="50" t="inlineStr">
        <is>
          <t>2023-05-10</t>
        </is>
      </c>
      <c r="G636" s="50" t="inlineStr">
        <is>
          <t>2022-06-30</t>
        </is>
      </c>
      <c r="H636" t="inlineStr">
        <is>
          <t>Stacy Nuss</t>
        </is>
      </c>
      <c r="I636" t="inlineStr">
        <is>
          <t>VP Investments &amp; Asst Treasurer</t>
        </is>
      </c>
      <c r="J636" t="inlineStr">
        <is>
          <t>Director of Investments</t>
        </is>
      </c>
      <c r="K636" t="inlineStr">
        <is>
          <t>Sr Investment Professional</t>
        </is>
      </c>
      <c r="L636" s="28" t="n">
        <v>190892</v>
      </c>
      <c r="M636" s="28" t="n">
        <v>0</v>
      </c>
      <c r="N636" s="28" t="n">
        <v>0</v>
      </c>
      <c r="O636" s="28" t="n">
        <v>41604</v>
      </c>
      <c r="P636" s="28" t="n">
        <v>592</v>
      </c>
      <c r="Q636" s="28" t="n">
        <v>233088</v>
      </c>
      <c r="R636" s="28" t="n">
        <v>0</v>
      </c>
      <c r="S636" s="28">
        <f>Q636-R636</f>
        <v/>
      </c>
      <c r="T636" s="28">
        <f>IF(S636="","",S636*(1+in_GrowthRate)^(YEARFRAC(DATE(2022,6,30),in_AgeToDate)*IF(in_AgeToDate&lt;DATE(2022,6,30),-1,1)+1))</f>
        <v/>
      </c>
      <c r="U636" s="50">
        <f>IF(AND(AND(OR(in_Mode="All Funds",AND(C636&gt;=in_BandFloor,C636&lt;=in_BandCeiling,OR(in_Geography="National",COUNTIFS(lst_GeoPreset,in_Geography,lst_GeoState,B636)&gt;0,AND(in_Geography="Custom",ISNUMBER(SEARCH(B636,SUBSTITUTE(in_CustomStates," ",""))))),OR(AND(D636="Endowment",Inputs!$B$14="Y"),AND(D636="Foundation",Inputs!$B$15="Y"),AND(D636="Healthcare",Inputs!$B$16="Y"),AND(D636="Pension",Inputs!$B$17="Y"),AND(D636="OCIO",Inputs!$B$18="Y"),AND(D636="Other",Inputs!$B$19="Y")))),A636&lt;&gt;in_ClientOrg,NOT(AND(in_ExclHarvard="Y",ISNUMBER(SEARCH("Harvard",A636))))),$AD636="Y",K636&lt;&gt;"",S636&gt;0),"Y","")</f>
        <v/>
      </c>
      <c r="V636" s="30" t="n"/>
      <c r="W636" t="inlineStr"/>
      <c r="X636" s="28">
        <f>IF(L636+M636=0,"",L636+M636)</f>
        <v/>
      </c>
      <c r="Y636" s="38">
        <f>IF(L636=0,"",M636/L636)</f>
        <v/>
      </c>
      <c r="Z636" t="inlineStr">
        <is>
          <t>Director &amp; Investment Officer</t>
        </is>
      </c>
      <c r="AA636" t="inlineStr">
        <is>
          <t>Investments</t>
        </is>
      </c>
      <c r="AB636" s="50" t="inlineStr"/>
      <c r="AC636" s="43">
        <f>HYPERLINK("https://projects.propublica.org/nonprofits/organizations/480547734/202341309349304859/full","view filing")</f>
        <v/>
      </c>
      <c r="AD636" s="50" t="inlineStr"/>
    </row>
    <row r="637">
      <c r="A637" t="inlineStr">
        <is>
          <t>Kimbell Art Foundation</t>
        </is>
      </c>
      <c r="B637" s="50" t="inlineStr">
        <is>
          <t>TX</t>
        </is>
      </c>
      <c r="C637" s="52" t="n">
        <v>0.44</v>
      </c>
      <c r="D637" t="inlineStr">
        <is>
          <t>Foundation</t>
        </is>
      </c>
      <c r="E637" s="50" t="n">
        <v>2024</v>
      </c>
      <c r="F637" s="50" t="inlineStr">
        <is>
          <t>2025-11-11</t>
        </is>
      </c>
      <c r="G637" s="50" t="inlineStr">
        <is>
          <t>2024-12-31</t>
        </is>
      </c>
      <c r="H637" t="inlineStr">
        <is>
          <t>Mark K Rich</t>
        </is>
      </c>
      <c r="I637" t="inlineStr">
        <is>
          <t>Dir. of Investments</t>
        </is>
      </c>
      <c r="J637" t="inlineStr">
        <is>
          <t>Director of Investments</t>
        </is>
      </c>
      <c r="K637" t="inlineStr">
        <is>
          <t>Sr Investment Professional</t>
        </is>
      </c>
      <c r="L637" s="28" t="n">
        <v>0</v>
      </c>
      <c r="M637" s="28" t="n">
        <v>0</v>
      </c>
      <c r="N637" s="28" t="n">
        <v>0</v>
      </c>
      <c r="O637" s="28" t="n">
        <v>0</v>
      </c>
      <c r="P637" s="28" t="n">
        <v>0</v>
      </c>
      <c r="Q637" s="28" t="n">
        <v>300000</v>
      </c>
      <c r="R637" s="28" t="n">
        <v>0</v>
      </c>
      <c r="S637" s="28">
        <f>Q637-R637</f>
        <v/>
      </c>
      <c r="T637" s="28">
        <f>IF(S637="","",S637*(1+in_GrowthRate)^(YEARFRAC(DATE(2024,12,31),in_AgeToDate)*IF(in_AgeToDate&lt;DATE(2024,12,31),-1,1)+1))</f>
        <v/>
      </c>
      <c r="U637" s="50">
        <f>IF(AND(AND(OR(in_Mode="All Funds",AND(C637&gt;=in_BandFloor,C637&lt;=in_BandCeiling,OR(in_Geography="National",COUNTIFS(lst_GeoPreset,in_Geography,lst_GeoState,B637)&gt;0,AND(in_Geography="Custom",ISNUMBER(SEARCH(B637,SUBSTITUTE(in_CustomStates," ",""))))),OR(AND(D637="Endowment",Inputs!$B$14="Y"),AND(D637="Foundation",Inputs!$B$15="Y"),AND(D637="Healthcare",Inputs!$B$16="Y"),AND(D637="Pension",Inputs!$B$17="Y"),AND(D637="OCIO",Inputs!$B$18="Y"),AND(D637="Other",Inputs!$B$19="Y")))),A637&lt;&gt;in_ClientOrg,NOT(AND(in_ExclHarvard="Y",ISNUMBER(SEARCH("Harvard",A637))))),$AD637="Y",K637&lt;&gt;"",S637&gt;0),"Y","")</f>
        <v/>
      </c>
      <c r="V637" s="30" t="n"/>
      <c r="W637" t="inlineStr"/>
      <c r="X637" s="28">
        <f>IF(L637+M637=0,"",L637+M637)</f>
        <v/>
      </c>
      <c r="Y637" s="38">
        <f>IF(L637=0,"",M637/L637)</f>
        <v/>
      </c>
      <c r="Z637" t="inlineStr">
        <is>
          <t>Director &amp; Investment Officer</t>
        </is>
      </c>
      <c r="AA637" t="inlineStr">
        <is>
          <t>Investments</t>
        </is>
      </c>
      <c r="AB637" s="50" t="inlineStr"/>
      <c r="AC637" s="43">
        <f>HYPERLINK("https://projects.propublica.org/nonprofits/organizations/756036226/202503159349101490/full","view filing")</f>
        <v/>
      </c>
      <c r="AD637" s="50" t="inlineStr">
        <is>
          <t>Y</t>
        </is>
      </c>
    </row>
    <row r="638">
      <c r="A638" t="inlineStr">
        <is>
          <t>Kimbell Art Foundation</t>
        </is>
      </c>
      <c r="B638" s="50" t="inlineStr">
        <is>
          <t>TX</t>
        </is>
      </c>
      <c r="C638" s="52" t="n">
        <v>0.44</v>
      </c>
      <c r="D638" t="inlineStr">
        <is>
          <t>Foundation</t>
        </is>
      </c>
      <c r="E638" s="50" t="n">
        <v>2023</v>
      </c>
      <c r="F638" s="50" t="inlineStr">
        <is>
          <t>2024-11-13</t>
        </is>
      </c>
      <c r="G638" s="50" t="inlineStr">
        <is>
          <t>2023-12-31</t>
        </is>
      </c>
      <c r="H638" t="inlineStr">
        <is>
          <t>Mark K Rich</t>
        </is>
      </c>
      <c r="I638" t="inlineStr">
        <is>
          <t>Dir. of Investments</t>
        </is>
      </c>
      <c r="J638" t="inlineStr">
        <is>
          <t>Director of Investments</t>
        </is>
      </c>
      <c r="K638" t="inlineStr">
        <is>
          <t>Sr Investment Professional</t>
        </is>
      </c>
      <c r="L638" s="28" t="n">
        <v>0</v>
      </c>
      <c r="M638" s="28" t="n">
        <v>0</v>
      </c>
      <c r="N638" s="28" t="n">
        <v>0</v>
      </c>
      <c r="O638" s="28" t="n">
        <v>0</v>
      </c>
      <c r="P638" s="28" t="n">
        <v>0</v>
      </c>
      <c r="Q638" s="28" t="n">
        <v>249600</v>
      </c>
      <c r="R638" s="28" t="n">
        <v>0</v>
      </c>
      <c r="S638" s="28">
        <f>Q638-R638</f>
        <v/>
      </c>
      <c r="T638" s="28">
        <f>IF(S638="","",S638*(1+in_GrowthRate)^(YEARFRAC(DATE(2023,12,31),in_AgeToDate)*IF(in_AgeToDate&lt;DATE(2023,12,31),-1,1)+1))</f>
        <v/>
      </c>
      <c r="U638" s="50">
        <f>IF(AND(AND(OR(in_Mode="All Funds",AND(C638&gt;=in_BandFloor,C638&lt;=in_BandCeiling,OR(in_Geography="National",COUNTIFS(lst_GeoPreset,in_Geography,lst_GeoState,B638)&gt;0,AND(in_Geography="Custom",ISNUMBER(SEARCH(B638,SUBSTITUTE(in_CustomStates," ",""))))),OR(AND(D638="Endowment",Inputs!$B$14="Y"),AND(D638="Foundation",Inputs!$B$15="Y"),AND(D638="Healthcare",Inputs!$B$16="Y"),AND(D638="Pension",Inputs!$B$17="Y"),AND(D638="OCIO",Inputs!$B$18="Y"),AND(D638="Other",Inputs!$B$19="Y")))),A638&lt;&gt;in_ClientOrg,NOT(AND(in_ExclHarvard="Y",ISNUMBER(SEARCH("Harvard",A638))))),$AD638="Y",K638&lt;&gt;"",S638&gt;0),"Y","")</f>
        <v/>
      </c>
      <c r="V638" s="30" t="n"/>
      <c r="W638" t="inlineStr"/>
      <c r="X638" s="28">
        <f>IF(L638+M638=0,"",L638+M638)</f>
        <v/>
      </c>
      <c r="Y638" s="38">
        <f>IF(L638=0,"",M638/L638)</f>
        <v/>
      </c>
      <c r="Z638" t="inlineStr">
        <is>
          <t>Director &amp; Investment Officer</t>
        </is>
      </c>
      <c r="AA638" t="inlineStr">
        <is>
          <t>Investments</t>
        </is>
      </c>
      <c r="AB638" s="50" t="inlineStr"/>
      <c r="AC638" s="43">
        <f>HYPERLINK("https://projects.propublica.org/nonprofits/organizations/756036226/202403189349102980/full","view filing")</f>
        <v/>
      </c>
      <c r="AD638" s="50" t="inlineStr"/>
    </row>
    <row r="639">
      <c r="A639" t="inlineStr">
        <is>
          <t>Kimbell Art Foundation</t>
        </is>
      </c>
      <c r="B639" s="50" t="inlineStr">
        <is>
          <t>TX</t>
        </is>
      </c>
      <c r="C639" s="52" t="n">
        <v>0.44</v>
      </c>
      <c r="D639" t="inlineStr">
        <is>
          <t>Foundation</t>
        </is>
      </c>
      <c r="E639" s="50" t="n">
        <v>2022</v>
      </c>
      <c r="F639" s="50" t="inlineStr">
        <is>
          <t>2023-11-14</t>
        </is>
      </c>
      <c r="G639" s="50" t="inlineStr">
        <is>
          <t>2022-12-31</t>
        </is>
      </c>
      <c r="H639" t="inlineStr">
        <is>
          <t>Larry D Eubank</t>
        </is>
      </c>
      <c r="I639" t="inlineStr">
        <is>
          <t>Operations Manager</t>
        </is>
      </c>
      <c r="J639" t="inlineStr">
        <is>
          <t>Investment Operations (Inv Entity)</t>
        </is>
      </c>
      <c r="K639" t="inlineStr">
        <is>
          <t>Other disclosed professionals</t>
        </is>
      </c>
      <c r="L639" s="28" t="n">
        <v>0</v>
      </c>
      <c r="M639" s="28" t="n">
        <v>0</v>
      </c>
      <c r="N639" s="28" t="n">
        <v>0</v>
      </c>
      <c r="O639" s="28" t="n">
        <v>0</v>
      </c>
      <c r="P639" s="28" t="n">
        <v>0</v>
      </c>
      <c r="Q639" s="28" t="n">
        <v>253541</v>
      </c>
      <c r="R639" s="28" t="n">
        <v>0</v>
      </c>
      <c r="S639" s="28">
        <f>Q639-R639</f>
        <v/>
      </c>
      <c r="T639" s="28">
        <f>IF(S639="","",S639*(1+in_GrowthRate)^(YEARFRAC(DATE(2022,12,31),in_AgeToDate)*IF(in_AgeToDate&lt;DATE(2022,12,31),-1,1)+1))</f>
        <v/>
      </c>
      <c r="U639" s="50">
        <f>IF(AND(AND(OR(in_Mode="All Funds",AND(C639&gt;=in_BandFloor,C639&lt;=in_BandCeiling,OR(in_Geography="National",COUNTIFS(lst_GeoPreset,in_Geography,lst_GeoState,B639)&gt;0,AND(in_Geography="Custom",ISNUMBER(SEARCH(B639,SUBSTITUTE(in_CustomStates," ",""))))),OR(AND(D639="Endowment",Inputs!$B$14="Y"),AND(D639="Foundation",Inputs!$B$15="Y"),AND(D639="Healthcare",Inputs!$B$16="Y"),AND(D639="Pension",Inputs!$B$17="Y"),AND(D639="OCIO",Inputs!$B$18="Y"),AND(D639="Other",Inputs!$B$19="Y")))),A639&lt;&gt;in_ClientOrg,NOT(AND(in_ExclHarvard="Y",ISNUMBER(SEARCH("Harvard",A639))))),$AD639="Y",K639&lt;&gt;"",S639&gt;0),"Y","")</f>
        <v/>
      </c>
      <c r="V639" s="30" t="n"/>
      <c r="W639" t="inlineStr">
        <is>
          <t>Other disclosed professionals</t>
        </is>
      </c>
      <c r="X639" s="28">
        <f>IF(L639+M639=0,"",L639+M639)</f>
        <v/>
      </c>
      <c r="Y639" s="38">
        <f>IF(L639=0,"",M639/L639)</f>
        <v/>
      </c>
      <c r="Z639" t="inlineStr">
        <is>
          <t>Other disclosed professionals</t>
        </is>
      </c>
      <c r="AA639" t="inlineStr">
        <is>
          <t>Operations &amp; Control</t>
        </is>
      </c>
      <c r="AB639" s="50" t="inlineStr"/>
      <c r="AC639" s="43">
        <f>HYPERLINK("https://projects.propublica.org/nonprofits/organizations/756036226/202323189349105612/full","view filing")</f>
        <v/>
      </c>
      <c r="AD639" s="50" t="inlineStr"/>
    </row>
    <row r="640">
      <c r="A640" t="inlineStr">
        <is>
          <t>Kimbell Art Foundation</t>
        </is>
      </c>
      <c r="B640" s="50" t="inlineStr">
        <is>
          <t>TX</t>
        </is>
      </c>
      <c r="C640" s="52" t="n">
        <v>0.44</v>
      </c>
      <c r="D640" t="inlineStr">
        <is>
          <t>Foundation</t>
        </is>
      </c>
      <c r="E640" s="50" t="n">
        <v>2022</v>
      </c>
      <c r="F640" s="50" t="inlineStr">
        <is>
          <t>2023-11-14</t>
        </is>
      </c>
      <c r="G640" s="50" t="inlineStr">
        <is>
          <t>2022-12-31</t>
        </is>
      </c>
      <c r="H640" t="inlineStr">
        <is>
          <t>Mark K Rich</t>
        </is>
      </c>
      <c r="I640" t="inlineStr">
        <is>
          <t>Dir. of Investments</t>
        </is>
      </c>
      <c r="J640" t="inlineStr">
        <is>
          <t>Director of Investments</t>
        </is>
      </c>
      <c r="K640" t="inlineStr">
        <is>
          <t>Sr Investment Professional</t>
        </is>
      </c>
      <c r="L640" s="28" t="n">
        <v>0</v>
      </c>
      <c r="M640" s="28" t="n">
        <v>0</v>
      </c>
      <c r="N640" s="28" t="n">
        <v>0</v>
      </c>
      <c r="O640" s="28" t="n">
        <v>0</v>
      </c>
      <c r="P640" s="28" t="n">
        <v>0</v>
      </c>
      <c r="Q640" s="28" t="n">
        <v>243400</v>
      </c>
      <c r="R640" s="28" t="n">
        <v>0</v>
      </c>
      <c r="S640" s="28">
        <f>Q640-R640</f>
        <v/>
      </c>
      <c r="T640" s="28">
        <f>IF(S640="","",S640*(1+in_GrowthRate)^(YEARFRAC(DATE(2022,12,31),in_AgeToDate)*IF(in_AgeToDate&lt;DATE(2022,12,31),-1,1)+1))</f>
        <v/>
      </c>
      <c r="U640" s="50">
        <f>IF(AND(AND(OR(in_Mode="All Funds",AND(C640&gt;=in_BandFloor,C640&lt;=in_BandCeiling,OR(in_Geography="National",COUNTIFS(lst_GeoPreset,in_Geography,lst_GeoState,B640)&gt;0,AND(in_Geography="Custom",ISNUMBER(SEARCH(B640,SUBSTITUTE(in_CustomStates," ",""))))),OR(AND(D640="Endowment",Inputs!$B$14="Y"),AND(D640="Foundation",Inputs!$B$15="Y"),AND(D640="Healthcare",Inputs!$B$16="Y"),AND(D640="Pension",Inputs!$B$17="Y"),AND(D640="OCIO",Inputs!$B$18="Y"),AND(D640="Other",Inputs!$B$19="Y")))),A640&lt;&gt;in_ClientOrg,NOT(AND(in_ExclHarvard="Y",ISNUMBER(SEARCH("Harvard",A640))))),$AD640="Y",K640&lt;&gt;"",S640&gt;0),"Y","")</f>
        <v/>
      </c>
      <c r="V640" s="30" t="n"/>
      <c r="W640" t="inlineStr"/>
      <c r="X640" s="28">
        <f>IF(L640+M640=0,"",L640+M640)</f>
        <v/>
      </c>
      <c r="Y640" s="38">
        <f>IF(L640=0,"",M640/L640)</f>
        <v/>
      </c>
      <c r="Z640" t="inlineStr">
        <is>
          <t>Director &amp; Investment Officer</t>
        </is>
      </c>
      <c r="AA640" t="inlineStr">
        <is>
          <t>Investments</t>
        </is>
      </c>
      <c r="AB640" s="50" t="inlineStr"/>
      <c r="AC640" s="43">
        <f>HYPERLINK("https://projects.propublica.org/nonprofits/organizations/756036226/202323189349105612/full","view filing")</f>
        <v/>
      </c>
      <c r="AD640" s="50" t="inlineStr"/>
    </row>
    <row r="641">
      <c r="A641" t="inlineStr">
        <is>
          <t>Kresge Foundation</t>
        </is>
      </c>
      <c r="B641" s="50" t="inlineStr">
        <is>
          <t>MI</t>
        </is>
      </c>
      <c r="C641" s="52" t="n">
        <v>3.96</v>
      </c>
      <c r="D641" t="inlineStr">
        <is>
          <t>Foundation</t>
        </is>
      </c>
      <c r="E641" s="50" t="n">
        <v>2024</v>
      </c>
      <c r="F641" s="50" t="inlineStr">
        <is>
          <t>2025-11-12</t>
        </is>
      </c>
      <c r="G641" s="50" t="inlineStr">
        <is>
          <t>2024-12-31</t>
        </is>
      </c>
      <c r="H641" t="inlineStr">
        <is>
          <t>Aaron Seybert Stmt 25</t>
        </is>
      </c>
      <c r="I641" t="inlineStr">
        <is>
          <t>MANAGING DIRECTOR</t>
        </is>
      </c>
      <c r="J641" t="inlineStr">
        <is>
          <t>Managing Director</t>
        </is>
      </c>
      <c r="K641" t="inlineStr">
        <is>
          <t>Sr Investment Professional</t>
        </is>
      </c>
      <c r="L641" s="28" t="n">
        <v>0</v>
      </c>
      <c r="M641" s="28" t="n">
        <v>0</v>
      </c>
      <c r="N641" s="28" t="n">
        <v>0</v>
      </c>
      <c r="O641" s="28" t="n">
        <v>0</v>
      </c>
      <c r="P641" s="28" t="n">
        <v>0</v>
      </c>
      <c r="Q641" s="28" t="n">
        <v>426293</v>
      </c>
      <c r="R641" s="28" t="n">
        <v>0</v>
      </c>
      <c r="S641" s="28">
        <f>Q641-R641</f>
        <v/>
      </c>
      <c r="T641" s="28">
        <f>IF(S641="","",S641*(1+in_GrowthRate)^(YEARFRAC(DATE(2024,12,31),in_AgeToDate)*IF(in_AgeToDate&lt;DATE(2024,12,31),-1,1)+1))</f>
        <v/>
      </c>
      <c r="U641" s="50">
        <f>IF(AND(AND(OR(in_Mode="All Funds",AND(C641&gt;=in_BandFloor,C641&lt;=in_BandCeiling,OR(in_Geography="National",COUNTIFS(lst_GeoPreset,in_Geography,lst_GeoState,B641)&gt;0,AND(in_Geography="Custom",ISNUMBER(SEARCH(B641,SUBSTITUTE(in_CustomStates," ",""))))),OR(AND(D641="Endowment",Inputs!$B$14="Y"),AND(D641="Foundation",Inputs!$B$15="Y"),AND(D641="Healthcare",Inputs!$B$16="Y"),AND(D641="Pension",Inputs!$B$17="Y"),AND(D641="OCIO",Inputs!$B$18="Y"),AND(D641="Other",Inputs!$B$19="Y")))),A641&lt;&gt;in_ClientOrg,NOT(AND(in_ExclHarvard="Y",ISNUMBER(SEARCH("Harvard",A641))))),$AD641="Y",K641&lt;&gt;"",S641&gt;0),"Y","")</f>
        <v/>
      </c>
      <c r="V641" s="30" t="n">
        <v>0.1762177016750257</v>
      </c>
      <c r="W641" t="inlineStr"/>
      <c r="X641" s="28">
        <f>IF(L641+M641=0,"",L641+M641)</f>
        <v/>
      </c>
      <c r="Y641" s="38">
        <f>IF(L641=0,"",M641/L641)</f>
        <v/>
      </c>
      <c r="Z641" t="inlineStr">
        <is>
          <t>Managing Director</t>
        </is>
      </c>
      <c r="AA641" t="inlineStr">
        <is>
          <t>Investments</t>
        </is>
      </c>
      <c r="AB641" s="50" t="inlineStr"/>
      <c r="AC641" s="43">
        <f>HYPERLINK("https://projects.propublica.org/nonprofits/organizations/381359217/202513169349101931/full","view filing")</f>
        <v/>
      </c>
      <c r="AD641" s="50" t="inlineStr">
        <is>
          <t>Y</t>
        </is>
      </c>
    </row>
    <row r="642">
      <c r="A642" t="inlineStr">
        <is>
          <t>Kresge Foundation</t>
        </is>
      </c>
      <c r="B642" s="50" t="inlineStr">
        <is>
          <t>MI</t>
        </is>
      </c>
      <c r="C642" s="52" t="n">
        <v>3.96</v>
      </c>
      <c r="D642" t="inlineStr">
        <is>
          <t>Foundation</t>
        </is>
      </c>
      <c r="E642" s="50" t="n">
        <v>2024</v>
      </c>
      <c r="F642" s="50" t="inlineStr">
        <is>
          <t>2025-11-12</t>
        </is>
      </c>
      <c r="G642" s="50" t="inlineStr">
        <is>
          <t>2024-12-31</t>
        </is>
      </c>
      <c r="H642" t="inlineStr">
        <is>
          <t>Debra Kozole Stmt 25</t>
        </is>
      </c>
      <c r="I642" t="inlineStr">
        <is>
          <t>INVESTMENT DIRECTOR</t>
        </is>
      </c>
      <c r="J642" t="inlineStr">
        <is>
          <t>Director of Investments</t>
        </is>
      </c>
      <c r="K642" t="inlineStr">
        <is>
          <t>Sr Investment Professional</t>
        </is>
      </c>
      <c r="L642" s="28" t="n">
        <v>0</v>
      </c>
      <c r="M642" s="28" t="n">
        <v>0</v>
      </c>
      <c r="N642" s="28" t="n">
        <v>0</v>
      </c>
      <c r="O642" s="28" t="n">
        <v>0</v>
      </c>
      <c r="P642" s="28" t="n">
        <v>0</v>
      </c>
      <c r="Q642" s="28" t="n">
        <v>369413</v>
      </c>
      <c r="R642" s="28" t="n">
        <v>0</v>
      </c>
      <c r="S642" s="28">
        <f>Q642-R642</f>
        <v/>
      </c>
      <c r="T642" s="28">
        <f>IF(S642="","",S642*(1+in_GrowthRate)^(YEARFRAC(DATE(2024,12,31),in_AgeToDate)*IF(in_AgeToDate&lt;DATE(2024,12,31),-1,1)+1))</f>
        <v/>
      </c>
      <c r="U642" s="50">
        <f>IF(AND(AND(OR(in_Mode="All Funds",AND(C642&gt;=in_BandFloor,C642&lt;=in_BandCeiling,OR(in_Geography="National",COUNTIFS(lst_GeoPreset,in_Geography,lst_GeoState,B642)&gt;0,AND(in_Geography="Custom",ISNUMBER(SEARCH(B642,SUBSTITUTE(in_CustomStates," ",""))))),OR(AND(D642="Endowment",Inputs!$B$14="Y"),AND(D642="Foundation",Inputs!$B$15="Y"),AND(D642="Healthcare",Inputs!$B$16="Y"),AND(D642="Pension",Inputs!$B$17="Y"),AND(D642="OCIO",Inputs!$B$18="Y"),AND(D642="Other",Inputs!$B$19="Y")))),A642&lt;&gt;in_ClientOrg,NOT(AND(in_ExclHarvard="Y",ISNUMBER(SEARCH("Harvard",A642))))),$AD642="Y",K642&lt;&gt;"",S642&gt;0),"Y","")</f>
        <v/>
      </c>
      <c r="V642" s="30" t="n">
        <v>0.1527050874137654</v>
      </c>
      <c r="W642" t="inlineStr"/>
      <c r="X642" s="28">
        <f>IF(L642+M642=0,"",L642+M642)</f>
        <v/>
      </c>
      <c r="Y642" s="38">
        <f>IF(L642=0,"",M642/L642)</f>
        <v/>
      </c>
      <c r="Z642" t="inlineStr">
        <is>
          <t>Director &amp; Investment Officer</t>
        </is>
      </c>
      <c r="AA642" t="inlineStr">
        <is>
          <t>Investments</t>
        </is>
      </c>
      <c r="AB642" s="50" t="inlineStr"/>
      <c r="AC642" s="43">
        <f>HYPERLINK("https://projects.propublica.org/nonprofits/organizations/381359217/202513169349101931/full","view filing")</f>
        <v/>
      </c>
      <c r="AD642" s="50" t="inlineStr">
        <is>
          <t>Y</t>
        </is>
      </c>
    </row>
    <row r="643">
      <c r="A643" t="inlineStr">
        <is>
          <t>Kresge Foundation</t>
        </is>
      </c>
      <c r="B643" s="50" t="inlineStr">
        <is>
          <t>MI</t>
        </is>
      </c>
      <c r="C643" s="52" t="n">
        <v>3.96</v>
      </c>
      <c r="D643" t="inlineStr">
        <is>
          <t>Foundation</t>
        </is>
      </c>
      <c r="E643" s="50" t="n">
        <v>2024</v>
      </c>
      <c r="F643" s="50" t="inlineStr">
        <is>
          <t>2025-11-12</t>
        </is>
      </c>
      <c r="G643" s="50" t="inlineStr">
        <is>
          <t>2024-12-31</t>
        </is>
      </c>
      <c r="H643" t="inlineStr">
        <is>
          <t>John Barker Stmt 24</t>
        </is>
      </c>
      <c r="I643" t="inlineStr">
        <is>
          <t>VP &amp; CIO</t>
        </is>
      </c>
      <c r="J643" t="inlineStr">
        <is>
          <t>CIO</t>
        </is>
      </c>
      <c r="K643" t="inlineStr">
        <is>
          <t>CIO - Top Investment Executive</t>
        </is>
      </c>
      <c r="L643" s="28" t="n">
        <v>0</v>
      </c>
      <c r="M643" s="28" t="n">
        <v>0</v>
      </c>
      <c r="N643" s="28" t="n">
        <v>0</v>
      </c>
      <c r="O643" s="28" t="n">
        <v>0</v>
      </c>
      <c r="P643" s="28" t="n">
        <v>1226823</v>
      </c>
      <c r="Q643" s="28" t="n">
        <v>2419127</v>
      </c>
      <c r="R643" s="28" t="n">
        <v>0</v>
      </c>
      <c r="S643" s="28">
        <f>Q643-R643</f>
        <v/>
      </c>
      <c r="T643" s="28">
        <f>IF(S643="","",S643*(1+in_GrowthRate)^(YEARFRAC(DATE(2024,12,31),in_AgeToDate)*IF(in_AgeToDate&lt;DATE(2024,12,31),-1,1)+1))</f>
        <v/>
      </c>
      <c r="U643" s="50">
        <f>IF(AND(AND(OR(in_Mode="All Funds",AND(C643&gt;=in_BandFloor,C643&lt;=in_BandCeiling,OR(in_Geography="National",COUNTIFS(lst_GeoPreset,in_Geography,lst_GeoState,B643)&gt;0,AND(in_Geography="Custom",ISNUMBER(SEARCH(B643,SUBSTITUTE(in_CustomStates," ",""))))),OR(AND(D643="Endowment",Inputs!$B$14="Y"),AND(D643="Foundation",Inputs!$B$15="Y"),AND(D643="Healthcare",Inputs!$B$16="Y"),AND(D643="Pension",Inputs!$B$17="Y"),AND(D643="OCIO",Inputs!$B$18="Y"),AND(D643="Other",Inputs!$B$19="Y")))),A643&lt;&gt;in_ClientOrg,NOT(AND(in_ExclHarvard="Y",ISNUMBER(SEARCH("Harvard",A643))))),$AD643="Y",K643&lt;&gt;"",S643&gt;0),"Y","")</f>
        <v/>
      </c>
      <c r="V643" s="30" t="n">
        <v>1</v>
      </c>
      <c r="W643" t="inlineStr"/>
      <c r="X643" s="28">
        <f>IF(L643+M643=0,"",L643+M643)</f>
        <v/>
      </c>
      <c r="Y643" s="38">
        <f>IF(L643=0,"",M643/L643)</f>
        <v/>
      </c>
      <c r="Z643" t="inlineStr">
        <is>
          <t>CIO - Top Investment Executive</t>
        </is>
      </c>
      <c r="AA643" t="inlineStr">
        <is>
          <t>Leadership</t>
        </is>
      </c>
      <c r="AB643" s="50" t="inlineStr">
        <is>
          <t>Y</t>
        </is>
      </c>
      <c r="AC643" s="43">
        <f>HYPERLINK("https://projects.propublica.org/nonprofits/organizations/381359217/202513169349101931/full","view filing")</f>
        <v/>
      </c>
      <c r="AD643" s="50" t="inlineStr">
        <is>
          <t>Y</t>
        </is>
      </c>
    </row>
    <row r="644">
      <c r="A644" t="inlineStr">
        <is>
          <t>Kresge Foundation</t>
        </is>
      </c>
      <c r="B644" s="50" t="inlineStr">
        <is>
          <t>MI</t>
        </is>
      </c>
      <c r="C644" s="52" t="n">
        <v>3.96</v>
      </c>
      <c r="D644" t="inlineStr">
        <is>
          <t>Foundation</t>
        </is>
      </c>
      <c r="E644" s="50" t="n">
        <v>2024</v>
      </c>
      <c r="F644" s="50" t="inlineStr">
        <is>
          <t>2025-11-12</t>
        </is>
      </c>
      <c r="G644" s="50" t="inlineStr">
        <is>
          <t>2024-12-31</t>
        </is>
      </c>
      <c r="H644" t="inlineStr">
        <is>
          <t>Jon Gentry Stmt 25</t>
        </is>
      </c>
      <c r="I644" t="inlineStr">
        <is>
          <t>INVESTMENT MANAGING</t>
        </is>
      </c>
      <c r="J644" t="inlineStr">
        <is>
          <t>Investment Manager</t>
        </is>
      </c>
      <c r="K644" t="inlineStr">
        <is>
          <t>Sr Investment Professional</t>
        </is>
      </c>
      <c r="L644" s="28" t="n">
        <v>0</v>
      </c>
      <c r="M644" s="28" t="n">
        <v>0</v>
      </c>
      <c r="N644" s="28" t="n">
        <v>0</v>
      </c>
      <c r="O644" s="28" t="n">
        <v>0</v>
      </c>
      <c r="P644" s="28" t="n">
        <v>0</v>
      </c>
      <c r="Q644" s="28" t="n">
        <v>787348</v>
      </c>
      <c r="R644" s="28" t="n">
        <v>0</v>
      </c>
      <c r="S644" s="28">
        <f>Q644-R644</f>
        <v/>
      </c>
      <c r="T644" s="28">
        <f>IF(S644="","",S644*(1+in_GrowthRate)^(YEARFRAC(DATE(2024,12,31),in_AgeToDate)*IF(in_AgeToDate&lt;DATE(2024,12,31),-1,1)+1))</f>
        <v/>
      </c>
      <c r="U644" s="50">
        <f>IF(AND(AND(OR(in_Mode="All Funds",AND(C644&gt;=in_BandFloor,C644&lt;=in_BandCeiling,OR(in_Geography="National",COUNTIFS(lst_GeoPreset,in_Geography,lst_GeoState,B644)&gt;0,AND(in_Geography="Custom",ISNUMBER(SEARCH(B644,SUBSTITUTE(in_CustomStates," ",""))))),OR(AND(D644="Endowment",Inputs!$B$14="Y"),AND(D644="Foundation",Inputs!$B$15="Y"),AND(D644="Healthcare",Inputs!$B$16="Y"),AND(D644="Pension",Inputs!$B$17="Y"),AND(D644="OCIO",Inputs!$B$18="Y"),AND(D644="Other",Inputs!$B$19="Y")))),A644&lt;&gt;in_ClientOrg,NOT(AND(in_ExclHarvard="Y",ISNUMBER(SEARCH("Harvard",A644))))),$AD644="Y",K644&lt;&gt;"",S644&gt;0),"Y","")</f>
        <v/>
      </c>
      <c r="V644" s="30" t="n">
        <v>0.3254678237231861</v>
      </c>
      <c r="W644" t="inlineStr"/>
      <c r="X644" s="28">
        <f>IF(L644+M644=0,"",L644+M644)</f>
        <v/>
      </c>
      <c r="Y644" s="38">
        <f>IF(L644=0,"",M644/L644)</f>
        <v/>
      </c>
      <c r="Z644" t="inlineStr">
        <is>
          <t>Director &amp; Investment Officer</t>
        </is>
      </c>
      <c r="AA644" t="inlineStr">
        <is>
          <t>Investments</t>
        </is>
      </c>
      <c r="AB644" s="50" t="inlineStr"/>
      <c r="AC644" s="43">
        <f>HYPERLINK("https://projects.propublica.org/nonprofits/organizations/381359217/202513169349101931/full","view filing")</f>
        <v/>
      </c>
      <c r="AD644" s="50" t="inlineStr">
        <is>
          <t>Y</t>
        </is>
      </c>
    </row>
    <row r="645">
      <c r="A645" t="inlineStr">
        <is>
          <t>Kresge Foundation</t>
        </is>
      </c>
      <c r="B645" s="50" t="inlineStr">
        <is>
          <t>MI</t>
        </is>
      </c>
      <c r="C645" s="52" t="n">
        <v>3.96</v>
      </c>
      <c r="D645" t="inlineStr">
        <is>
          <t>Foundation</t>
        </is>
      </c>
      <c r="E645" s="50" t="n">
        <v>2024</v>
      </c>
      <c r="F645" s="50" t="inlineStr">
        <is>
          <t>2025-11-12</t>
        </is>
      </c>
      <c r="G645" s="50" t="inlineStr">
        <is>
          <t>2024-12-31</t>
        </is>
      </c>
      <c r="H645" t="inlineStr">
        <is>
          <t>Venus Phillips Stmt 25</t>
        </is>
      </c>
      <c r="I645" t="inlineStr">
        <is>
          <t>INVESTMENT MANAGING</t>
        </is>
      </c>
      <c r="J645" t="inlineStr">
        <is>
          <t>Investment Manager</t>
        </is>
      </c>
      <c r="K645" t="inlineStr">
        <is>
          <t>Sr Investment Professional</t>
        </is>
      </c>
      <c r="L645" s="28" t="n">
        <v>0</v>
      </c>
      <c r="M645" s="28" t="n">
        <v>0</v>
      </c>
      <c r="N645" s="28" t="n">
        <v>0</v>
      </c>
      <c r="O645" s="28" t="n">
        <v>0</v>
      </c>
      <c r="P645" s="28" t="n">
        <v>0</v>
      </c>
      <c r="Q645" s="28" t="n">
        <v>682731</v>
      </c>
      <c r="R645" s="28" t="n">
        <v>0</v>
      </c>
      <c r="S645" s="28">
        <f>Q645-R645</f>
        <v/>
      </c>
      <c r="T645" s="28">
        <f>IF(S645="","",S645*(1+in_GrowthRate)^(YEARFRAC(DATE(2024,12,31),in_AgeToDate)*IF(in_AgeToDate&lt;DATE(2024,12,31),-1,1)+1))</f>
        <v/>
      </c>
      <c r="U645" s="50">
        <f>IF(AND(AND(OR(in_Mode="All Funds",AND(C645&gt;=in_BandFloor,C645&lt;=in_BandCeiling,OR(in_Geography="National",COUNTIFS(lst_GeoPreset,in_Geography,lst_GeoState,B645)&gt;0,AND(in_Geography="Custom",ISNUMBER(SEARCH(B645,SUBSTITUTE(in_CustomStates," ",""))))),OR(AND(D645="Endowment",Inputs!$B$14="Y"),AND(D645="Foundation",Inputs!$B$15="Y"),AND(D645="Healthcare",Inputs!$B$16="Y"),AND(D645="Pension",Inputs!$B$17="Y"),AND(D645="OCIO",Inputs!$B$18="Y"),AND(D645="Other",Inputs!$B$19="Y")))),A645&lt;&gt;in_ClientOrg,NOT(AND(in_ExclHarvard="Y",ISNUMBER(SEARCH("Harvard",A645))))),$AD645="Y",K645&lt;&gt;"",S645&gt;0),"Y","")</f>
        <v/>
      </c>
      <c r="V645" s="30" t="n">
        <v>0.2822220577919224</v>
      </c>
      <c r="W645" t="inlineStr"/>
      <c r="X645" s="28">
        <f>IF(L645+M645=0,"",L645+M645)</f>
        <v/>
      </c>
      <c r="Y645" s="38">
        <f>IF(L645=0,"",M645/L645)</f>
        <v/>
      </c>
      <c r="Z645" t="inlineStr">
        <is>
          <t>Director &amp; Investment Officer</t>
        </is>
      </c>
      <c r="AA645" t="inlineStr">
        <is>
          <t>Investments</t>
        </is>
      </c>
      <c r="AB645" s="50" t="inlineStr"/>
      <c r="AC645" s="43">
        <f>HYPERLINK("https://projects.propublica.org/nonprofits/organizations/381359217/202513169349101931/full","view filing")</f>
        <v/>
      </c>
      <c r="AD645" s="50" t="inlineStr">
        <is>
          <t>Y</t>
        </is>
      </c>
    </row>
    <row r="646">
      <c r="A646" t="inlineStr">
        <is>
          <t>Kresge Foundation</t>
        </is>
      </c>
      <c r="B646" s="50" t="inlineStr">
        <is>
          <t>MI</t>
        </is>
      </c>
      <c r="C646" s="52" t="n">
        <v>3.96</v>
      </c>
      <c r="D646" t="inlineStr">
        <is>
          <t>Foundation</t>
        </is>
      </c>
      <c r="E646" s="50" t="n">
        <v>2023</v>
      </c>
      <c r="F646" s="50" t="inlineStr">
        <is>
          <t>2024-11-14</t>
        </is>
      </c>
      <c r="G646" s="50" t="inlineStr">
        <is>
          <t>2023-12-31</t>
        </is>
      </c>
      <c r="H646" t="inlineStr">
        <is>
          <t>Aaron Seybert Stmt 24</t>
        </is>
      </c>
      <c r="I646" t="inlineStr">
        <is>
          <t>MANAGING DIRECTOR</t>
        </is>
      </c>
      <c r="J646" t="inlineStr">
        <is>
          <t>Managing Director</t>
        </is>
      </c>
      <c r="K646" t="inlineStr">
        <is>
          <t>Sr Investment Professional</t>
        </is>
      </c>
      <c r="L646" s="28" t="n">
        <v>0</v>
      </c>
      <c r="M646" s="28" t="n">
        <v>0</v>
      </c>
      <c r="N646" s="28" t="n">
        <v>0</v>
      </c>
      <c r="O646" s="28" t="n">
        <v>0</v>
      </c>
      <c r="P646" s="28" t="n">
        <v>0</v>
      </c>
      <c r="Q646" s="28" t="n">
        <v>396908</v>
      </c>
      <c r="R646" s="28" t="n">
        <v>0</v>
      </c>
      <c r="S646" s="28">
        <f>Q646-R646</f>
        <v/>
      </c>
      <c r="T646" s="28">
        <f>IF(S646="","",S646*(1+in_GrowthRate)^(YEARFRAC(DATE(2023,12,31),in_AgeToDate)*IF(in_AgeToDate&lt;DATE(2023,12,31),-1,1)+1))</f>
        <v/>
      </c>
      <c r="U646" s="50">
        <f>IF(AND(AND(OR(in_Mode="All Funds",AND(C646&gt;=in_BandFloor,C646&lt;=in_BandCeiling,OR(in_Geography="National",COUNTIFS(lst_GeoPreset,in_Geography,lst_GeoState,B646)&gt;0,AND(in_Geography="Custom",ISNUMBER(SEARCH(B646,SUBSTITUTE(in_CustomStates," ",""))))),OR(AND(D646="Endowment",Inputs!$B$14="Y"),AND(D646="Foundation",Inputs!$B$15="Y"),AND(D646="Healthcare",Inputs!$B$16="Y"),AND(D646="Pension",Inputs!$B$17="Y"),AND(D646="OCIO",Inputs!$B$18="Y"),AND(D646="Other",Inputs!$B$19="Y")))),A646&lt;&gt;in_ClientOrg,NOT(AND(in_ExclHarvard="Y",ISNUMBER(SEARCH("Harvard",A646))))),$AD646="Y",K646&lt;&gt;"",S646&gt;0),"Y","")</f>
        <v/>
      </c>
      <c r="V646" s="30" t="n">
        <v>0.2562588129561431</v>
      </c>
      <c r="W646" t="inlineStr"/>
      <c r="X646" s="28">
        <f>IF(L646+M646=0,"",L646+M646)</f>
        <v/>
      </c>
      <c r="Y646" s="38">
        <f>IF(L646=0,"",M646/L646)</f>
        <v/>
      </c>
      <c r="Z646" t="inlineStr">
        <is>
          <t>Managing Director</t>
        </is>
      </c>
      <c r="AA646" t="inlineStr">
        <is>
          <t>Investments</t>
        </is>
      </c>
      <c r="AB646" s="50" t="inlineStr"/>
      <c r="AC646" s="43">
        <f>HYPERLINK("https://projects.propublica.org/nonprofits/organizations/381359217/202413199349106071/full","view filing")</f>
        <v/>
      </c>
      <c r="AD646" s="50" t="inlineStr"/>
    </row>
    <row r="647">
      <c r="A647" t="inlineStr">
        <is>
          <t>Kresge Foundation</t>
        </is>
      </c>
      <c r="B647" s="50" t="inlineStr">
        <is>
          <t>MI</t>
        </is>
      </c>
      <c r="C647" s="52" t="n">
        <v>3.96</v>
      </c>
      <c r="D647" t="inlineStr">
        <is>
          <t>Foundation</t>
        </is>
      </c>
      <c r="E647" s="50" t="n">
        <v>2023</v>
      </c>
      <c r="F647" s="50" t="inlineStr">
        <is>
          <t>2024-11-14</t>
        </is>
      </c>
      <c r="G647" s="50" t="inlineStr">
        <is>
          <t>2023-12-31</t>
        </is>
      </c>
      <c r="H647" t="inlineStr">
        <is>
          <t>Adrian Ohmer Stmt 24</t>
        </is>
      </c>
      <c r="I647" t="inlineStr">
        <is>
          <t>INVESTMENT DIRECTOR</t>
        </is>
      </c>
      <c r="J647" t="inlineStr">
        <is>
          <t>Director of Investments</t>
        </is>
      </c>
      <c r="K647" t="inlineStr">
        <is>
          <t>Sr Investment Professional</t>
        </is>
      </c>
      <c r="L647" s="28" t="n">
        <v>0</v>
      </c>
      <c r="M647" s="28" t="n">
        <v>0</v>
      </c>
      <c r="N647" s="28" t="n">
        <v>0</v>
      </c>
      <c r="O647" s="28" t="n">
        <v>0</v>
      </c>
      <c r="P647" s="28" t="n">
        <v>0</v>
      </c>
      <c r="Q647" s="28" t="n">
        <v>374625</v>
      </c>
      <c r="R647" s="28" t="n">
        <v>0</v>
      </c>
      <c r="S647" s="28">
        <f>Q647-R647</f>
        <v/>
      </c>
      <c r="T647" s="28">
        <f>IF(S647="","",S647*(1+in_GrowthRate)^(YEARFRAC(DATE(2023,12,31),in_AgeToDate)*IF(in_AgeToDate&lt;DATE(2023,12,31),-1,1)+1))</f>
        <v/>
      </c>
      <c r="U647" s="50">
        <f>IF(AND(AND(OR(in_Mode="All Funds",AND(C647&gt;=in_BandFloor,C647&lt;=in_BandCeiling,OR(in_Geography="National",COUNTIFS(lst_GeoPreset,in_Geography,lst_GeoState,B647)&gt;0,AND(in_Geography="Custom",ISNUMBER(SEARCH(B647,SUBSTITUTE(in_CustomStates," ",""))))),OR(AND(D647="Endowment",Inputs!$B$14="Y"),AND(D647="Foundation",Inputs!$B$15="Y"),AND(D647="Healthcare",Inputs!$B$16="Y"),AND(D647="Pension",Inputs!$B$17="Y"),AND(D647="OCIO",Inputs!$B$18="Y"),AND(D647="Other",Inputs!$B$19="Y")))),A647&lt;&gt;in_ClientOrg,NOT(AND(in_ExclHarvard="Y",ISNUMBER(SEARCH("Harvard",A647))))),$AD647="Y",K647&lt;&gt;"",S647&gt;0),"Y","")</f>
        <v/>
      </c>
      <c r="V647" s="30" t="n">
        <v>0.2418720655761414</v>
      </c>
      <c r="W647" t="inlineStr"/>
      <c r="X647" s="28">
        <f>IF(L647+M647=0,"",L647+M647)</f>
        <v/>
      </c>
      <c r="Y647" s="38">
        <f>IF(L647=0,"",M647/L647)</f>
        <v/>
      </c>
      <c r="Z647" t="inlineStr">
        <is>
          <t>Director &amp; Investment Officer</t>
        </is>
      </c>
      <c r="AA647" t="inlineStr">
        <is>
          <t>Investments</t>
        </is>
      </c>
      <c r="AB647" s="50" t="inlineStr"/>
      <c r="AC647" s="43">
        <f>HYPERLINK("https://projects.propublica.org/nonprofits/organizations/381359217/202413199349106071/full","view filing")</f>
        <v/>
      </c>
      <c r="AD647" s="50" t="inlineStr"/>
    </row>
    <row r="648">
      <c r="A648" t="inlineStr">
        <is>
          <t>Kresge Foundation</t>
        </is>
      </c>
      <c r="B648" s="50" t="inlineStr">
        <is>
          <t>MI</t>
        </is>
      </c>
      <c r="C648" s="52" t="n">
        <v>3.96</v>
      </c>
      <c r="D648" t="inlineStr">
        <is>
          <t>Foundation</t>
        </is>
      </c>
      <c r="E648" s="50" t="n">
        <v>2023</v>
      </c>
      <c r="F648" s="50" t="inlineStr">
        <is>
          <t>2024-11-14</t>
        </is>
      </c>
      <c r="G648" s="50" t="inlineStr">
        <is>
          <t>2023-12-31</t>
        </is>
      </c>
      <c r="H648" t="inlineStr">
        <is>
          <t>John Barker Stmt 23</t>
        </is>
      </c>
      <c r="I648" t="inlineStr">
        <is>
          <t>VP &amp; CIO</t>
        </is>
      </c>
      <c r="J648" t="inlineStr">
        <is>
          <t>CIO</t>
        </is>
      </c>
      <c r="K648" t="inlineStr">
        <is>
          <t>CIO - Top Investment Executive</t>
        </is>
      </c>
      <c r="L648" s="28" t="n">
        <v>0</v>
      </c>
      <c r="M648" s="28" t="n">
        <v>0</v>
      </c>
      <c r="N648" s="28" t="n">
        <v>0</v>
      </c>
      <c r="O648" s="28" t="n">
        <v>0</v>
      </c>
      <c r="P648" s="28" t="n">
        <v>450339</v>
      </c>
      <c r="Q648" s="28" t="n">
        <v>1548856</v>
      </c>
      <c r="R648" s="28" t="n">
        <v>0</v>
      </c>
      <c r="S648" s="28">
        <f>Q648-R648</f>
        <v/>
      </c>
      <c r="T648" s="28">
        <f>IF(S648="","",S648*(1+in_GrowthRate)^(YEARFRAC(DATE(2023,12,31),in_AgeToDate)*IF(in_AgeToDate&lt;DATE(2023,12,31),-1,1)+1))</f>
        <v/>
      </c>
      <c r="U648" s="50">
        <f>IF(AND(AND(OR(in_Mode="All Funds",AND(C648&gt;=in_BandFloor,C648&lt;=in_BandCeiling,OR(in_Geography="National",COUNTIFS(lst_GeoPreset,in_Geography,lst_GeoState,B648)&gt;0,AND(in_Geography="Custom",ISNUMBER(SEARCH(B648,SUBSTITUTE(in_CustomStates," ",""))))),OR(AND(D648="Endowment",Inputs!$B$14="Y"),AND(D648="Foundation",Inputs!$B$15="Y"),AND(D648="Healthcare",Inputs!$B$16="Y"),AND(D648="Pension",Inputs!$B$17="Y"),AND(D648="OCIO",Inputs!$B$18="Y"),AND(D648="Other",Inputs!$B$19="Y")))),A648&lt;&gt;in_ClientOrg,NOT(AND(in_ExclHarvard="Y",ISNUMBER(SEARCH("Harvard",A648))))),$AD648="Y",K648&lt;&gt;"",S648&gt;0),"Y","")</f>
        <v/>
      </c>
      <c r="V648" s="30" t="n">
        <v>1</v>
      </c>
      <c r="W648" t="inlineStr"/>
      <c r="X648" s="28">
        <f>IF(L648+M648=0,"",L648+M648)</f>
        <v/>
      </c>
      <c r="Y648" s="38">
        <f>IF(L648=0,"",M648/L648)</f>
        <v/>
      </c>
      <c r="Z648" t="inlineStr">
        <is>
          <t>CIO - Top Investment Executive</t>
        </is>
      </c>
      <c r="AA648" t="inlineStr">
        <is>
          <t>Leadership</t>
        </is>
      </c>
      <c r="AB648" s="50" t="inlineStr">
        <is>
          <t>Y</t>
        </is>
      </c>
      <c r="AC648" s="43">
        <f>HYPERLINK("https://projects.propublica.org/nonprofits/organizations/381359217/202413199349106071/full","view filing")</f>
        <v/>
      </c>
      <c r="AD648" s="50" t="inlineStr"/>
    </row>
    <row r="649">
      <c r="A649" t="inlineStr">
        <is>
          <t>Kresge Foundation</t>
        </is>
      </c>
      <c r="B649" s="50" t="inlineStr">
        <is>
          <t>MI</t>
        </is>
      </c>
      <c r="C649" s="52" t="n">
        <v>3.96</v>
      </c>
      <c r="D649" t="inlineStr">
        <is>
          <t>Foundation</t>
        </is>
      </c>
      <c r="E649" s="50" t="n">
        <v>2023</v>
      </c>
      <c r="F649" s="50" t="inlineStr">
        <is>
          <t>2024-11-14</t>
        </is>
      </c>
      <c r="G649" s="50" t="inlineStr">
        <is>
          <t>2023-12-31</t>
        </is>
      </c>
      <c r="H649" t="inlineStr">
        <is>
          <t>Jon Gentry Stmt 24</t>
        </is>
      </c>
      <c r="I649" t="inlineStr">
        <is>
          <t>INVESTMENT MANAGING</t>
        </is>
      </c>
      <c r="J649" t="inlineStr">
        <is>
          <t>Investment Manager</t>
        </is>
      </c>
      <c r="K649" t="inlineStr">
        <is>
          <t>Sr Investment Professional</t>
        </is>
      </c>
      <c r="L649" s="28" t="n">
        <v>0</v>
      </c>
      <c r="M649" s="28" t="n">
        <v>0</v>
      </c>
      <c r="N649" s="28" t="n">
        <v>0</v>
      </c>
      <c r="O649" s="28" t="n">
        <v>0</v>
      </c>
      <c r="P649" s="28" t="n">
        <v>0</v>
      </c>
      <c r="Q649" s="28" t="n">
        <v>787469</v>
      </c>
      <c r="R649" s="28" t="n">
        <v>0</v>
      </c>
      <c r="S649" s="28">
        <f>Q649-R649</f>
        <v/>
      </c>
      <c r="T649" s="28">
        <f>IF(S649="","",S649*(1+in_GrowthRate)^(YEARFRAC(DATE(2023,12,31),in_AgeToDate)*IF(in_AgeToDate&lt;DATE(2023,12,31),-1,1)+1))</f>
        <v/>
      </c>
      <c r="U649" s="50">
        <f>IF(AND(AND(OR(in_Mode="All Funds",AND(C649&gt;=in_BandFloor,C649&lt;=in_BandCeiling,OR(in_Geography="National",COUNTIFS(lst_GeoPreset,in_Geography,lst_GeoState,B649)&gt;0,AND(in_Geography="Custom",ISNUMBER(SEARCH(B649,SUBSTITUTE(in_CustomStates," ",""))))),OR(AND(D649="Endowment",Inputs!$B$14="Y"),AND(D649="Foundation",Inputs!$B$15="Y"),AND(D649="Healthcare",Inputs!$B$16="Y"),AND(D649="Pension",Inputs!$B$17="Y"),AND(D649="OCIO",Inputs!$B$18="Y"),AND(D649="Other",Inputs!$B$19="Y")))),A649&lt;&gt;in_ClientOrg,NOT(AND(in_ExclHarvard="Y",ISNUMBER(SEARCH("Harvard",A649))))),$AD649="Y",K649&lt;&gt;"",S649&gt;0),"Y","")</f>
        <v/>
      </c>
      <c r="V649" s="30" t="n">
        <v>0.5084197627151911</v>
      </c>
      <c r="W649" t="inlineStr"/>
      <c r="X649" s="28">
        <f>IF(L649+M649=0,"",L649+M649)</f>
        <v/>
      </c>
      <c r="Y649" s="38">
        <f>IF(L649=0,"",M649/L649)</f>
        <v/>
      </c>
      <c r="Z649" t="inlineStr">
        <is>
          <t>Director &amp; Investment Officer</t>
        </is>
      </c>
      <c r="AA649" t="inlineStr">
        <is>
          <t>Investments</t>
        </is>
      </c>
      <c r="AB649" s="50" t="inlineStr"/>
      <c r="AC649" s="43">
        <f>HYPERLINK("https://projects.propublica.org/nonprofits/organizations/381359217/202413199349106071/full","view filing")</f>
        <v/>
      </c>
      <c r="AD649" s="50" t="inlineStr"/>
    </row>
    <row r="650">
      <c r="A650" t="inlineStr">
        <is>
          <t>Kresge Foundation</t>
        </is>
      </c>
      <c r="B650" s="50" t="inlineStr">
        <is>
          <t>MI</t>
        </is>
      </c>
      <c r="C650" s="52" t="n">
        <v>3.96</v>
      </c>
      <c r="D650" t="inlineStr">
        <is>
          <t>Foundation</t>
        </is>
      </c>
      <c r="E650" s="50" t="n">
        <v>2023</v>
      </c>
      <c r="F650" s="50" t="inlineStr">
        <is>
          <t>2024-11-14</t>
        </is>
      </c>
      <c r="G650" s="50" t="inlineStr">
        <is>
          <t>2023-12-31</t>
        </is>
      </c>
      <c r="H650" t="inlineStr">
        <is>
          <t>Venus Phillips Stmt 24</t>
        </is>
      </c>
      <c r="I650" t="inlineStr">
        <is>
          <t>INVESTMENT MANAGING</t>
        </is>
      </c>
      <c r="J650" t="inlineStr">
        <is>
          <t>Investment Manager</t>
        </is>
      </c>
      <c r="K650" t="inlineStr">
        <is>
          <t>Sr Investment Professional</t>
        </is>
      </c>
      <c r="L650" s="28" t="n">
        <v>0</v>
      </c>
      <c r="M650" s="28" t="n">
        <v>0</v>
      </c>
      <c r="N650" s="28" t="n">
        <v>0</v>
      </c>
      <c r="O650" s="28" t="n">
        <v>0</v>
      </c>
      <c r="P650" s="28" t="n">
        <v>0</v>
      </c>
      <c r="Q650" s="28" t="n">
        <v>637881</v>
      </c>
      <c r="R650" s="28" t="n">
        <v>0</v>
      </c>
      <c r="S650" s="28">
        <f>Q650-R650</f>
        <v/>
      </c>
      <c r="T650" s="28">
        <f>IF(S650="","",S650*(1+in_GrowthRate)^(YEARFRAC(DATE(2023,12,31),in_AgeToDate)*IF(in_AgeToDate&lt;DATE(2023,12,31),-1,1)+1))</f>
        <v/>
      </c>
      <c r="U650" s="50">
        <f>IF(AND(AND(OR(in_Mode="All Funds",AND(C650&gt;=in_BandFloor,C650&lt;=in_BandCeiling,OR(in_Geography="National",COUNTIFS(lst_GeoPreset,in_Geography,lst_GeoState,B650)&gt;0,AND(in_Geography="Custom",ISNUMBER(SEARCH(B650,SUBSTITUTE(in_CustomStates," ",""))))),OR(AND(D650="Endowment",Inputs!$B$14="Y"),AND(D650="Foundation",Inputs!$B$15="Y"),AND(D650="Healthcare",Inputs!$B$16="Y"),AND(D650="Pension",Inputs!$B$17="Y"),AND(D650="OCIO",Inputs!$B$18="Y"),AND(D650="Other",Inputs!$B$19="Y")))),A650&lt;&gt;in_ClientOrg,NOT(AND(in_ExclHarvard="Y",ISNUMBER(SEARCH("Harvard",A650))))),$AD650="Y",K650&lt;&gt;"",S650&gt;0),"Y","")</f>
        <v/>
      </c>
      <c r="V650" s="30" t="n">
        <v>0.4118400935916574</v>
      </c>
      <c r="W650" t="inlineStr"/>
      <c r="X650" s="28">
        <f>IF(L650+M650=0,"",L650+M650)</f>
        <v/>
      </c>
      <c r="Y650" s="38">
        <f>IF(L650=0,"",M650/L650)</f>
        <v/>
      </c>
      <c r="Z650" t="inlineStr">
        <is>
          <t>Director &amp; Investment Officer</t>
        </is>
      </c>
      <c r="AA650" t="inlineStr">
        <is>
          <t>Investments</t>
        </is>
      </c>
      <c r="AB650" s="50" t="inlineStr"/>
      <c r="AC650" s="43">
        <f>HYPERLINK("https://projects.propublica.org/nonprofits/organizations/381359217/202413199349106071/full","view filing")</f>
        <v/>
      </c>
      <c r="AD650" s="50" t="inlineStr"/>
    </row>
    <row r="651">
      <c r="A651" t="inlineStr">
        <is>
          <t>Kresge Foundation</t>
        </is>
      </c>
      <c r="B651" s="50" t="inlineStr">
        <is>
          <t>MI</t>
        </is>
      </c>
      <c r="C651" s="52" t="n">
        <v>3.96</v>
      </c>
      <c r="D651" t="inlineStr">
        <is>
          <t>Foundation</t>
        </is>
      </c>
      <c r="E651" s="50" t="n">
        <v>2022</v>
      </c>
      <c r="F651" s="50" t="inlineStr">
        <is>
          <t>2023-11-13</t>
        </is>
      </c>
      <c r="G651" s="50" t="inlineStr">
        <is>
          <t>2022-12-31</t>
        </is>
      </c>
      <c r="H651" t="inlineStr">
        <is>
          <t>Aaron Seybert Stmt 25</t>
        </is>
      </c>
      <c r="I651" t="inlineStr">
        <is>
          <t>MANAGING DIRECTOR</t>
        </is>
      </c>
      <c r="J651" t="inlineStr">
        <is>
          <t>Managing Director</t>
        </is>
      </c>
      <c r="K651" t="inlineStr">
        <is>
          <t>Sr Investment Professional</t>
        </is>
      </c>
      <c r="L651" s="28" t="n">
        <v>0</v>
      </c>
      <c r="M651" s="28" t="n">
        <v>0</v>
      </c>
      <c r="N651" s="28" t="n">
        <v>0</v>
      </c>
      <c r="O651" s="28" t="n">
        <v>0</v>
      </c>
      <c r="P651" s="28" t="n">
        <v>0</v>
      </c>
      <c r="Q651" s="28" t="n">
        <v>384984</v>
      </c>
      <c r="R651" s="28" t="n">
        <v>0</v>
      </c>
      <c r="S651" s="28">
        <f>Q651-R651</f>
        <v/>
      </c>
      <c r="T651" s="28">
        <f>IF(S651="","",S651*(1+in_GrowthRate)^(YEARFRAC(DATE(2022,12,31),in_AgeToDate)*IF(in_AgeToDate&lt;DATE(2022,12,31),-1,1)+1))</f>
        <v/>
      </c>
      <c r="U651" s="50">
        <f>IF(AND(AND(OR(in_Mode="All Funds",AND(C651&gt;=in_BandFloor,C651&lt;=in_BandCeiling,OR(in_Geography="National",COUNTIFS(lst_GeoPreset,in_Geography,lst_GeoState,B651)&gt;0,AND(in_Geography="Custom",ISNUMBER(SEARCH(B651,SUBSTITUTE(in_CustomStates," ",""))))),OR(AND(D651="Endowment",Inputs!$B$14="Y"),AND(D651="Foundation",Inputs!$B$15="Y"),AND(D651="Healthcare",Inputs!$B$16="Y"),AND(D651="Pension",Inputs!$B$17="Y"),AND(D651="OCIO",Inputs!$B$18="Y"),AND(D651="Other",Inputs!$B$19="Y")))),A651&lt;&gt;in_ClientOrg,NOT(AND(in_ExclHarvard="Y",ISNUMBER(SEARCH("Harvard",A651))))),$AD651="Y",K651&lt;&gt;"",S651&gt;0),"Y","")</f>
        <v/>
      </c>
      <c r="V651" s="30" t="n">
        <v>0.2231100633195289</v>
      </c>
      <c r="W651" t="inlineStr"/>
      <c r="X651" s="28">
        <f>IF(L651+M651=0,"",L651+M651)</f>
        <v/>
      </c>
      <c r="Y651" s="38">
        <f>IF(L651=0,"",M651/L651)</f>
        <v/>
      </c>
      <c r="Z651" t="inlineStr">
        <is>
          <t>Managing Director</t>
        </is>
      </c>
      <c r="AA651" t="inlineStr">
        <is>
          <t>Investments</t>
        </is>
      </c>
      <c r="AB651" s="50" t="inlineStr"/>
      <c r="AC651" s="43">
        <f>HYPERLINK("https://projects.propublica.org/nonprofits/organizations/381359217/202333179349102048/full","view filing")</f>
        <v/>
      </c>
      <c r="AD651" s="50" t="inlineStr"/>
    </row>
    <row r="652">
      <c r="A652" t="inlineStr">
        <is>
          <t>Kresge Foundation</t>
        </is>
      </c>
      <c r="B652" s="50" t="inlineStr">
        <is>
          <t>MI</t>
        </is>
      </c>
      <c r="C652" s="52" t="n">
        <v>3.96</v>
      </c>
      <c r="D652" t="inlineStr">
        <is>
          <t>Foundation</t>
        </is>
      </c>
      <c r="E652" s="50" t="n">
        <v>2022</v>
      </c>
      <c r="F652" s="50" t="inlineStr">
        <is>
          <t>2023-11-13</t>
        </is>
      </c>
      <c r="G652" s="50" t="inlineStr">
        <is>
          <t>2022-12-31</t>
        </is>
      </c>
      <c r="H652" t="inlineStr">
        <is>
          <t>Adrian Ohmer Stmt 25</t>
        </is>
      </c>
      <c r="I652" t="inlineStr">
        <is>
          <t>INVESTMENT DIRECTOR</t>
        </is>
      </c>
      <c r="J652" t="inlineStr">
        <is>
          <t>Director of Investments</t>
        </is>
      </c>
      <c r="K652" t="inlineStr">
        <is>
          <t>Sr Investment Professional</t>
        </is>
      </c>
      <c r="L652" s="28" t="n">
        <v>0</v>
      </c>
      <c r="M652" s="28" t="n">
        <v>0</v>
      </c>
      <c r="N652" s="28" t="n">
        <v>0</v>
      </c>
      <c r="O652" s="28" t="n">
        <v>0</v>
      </c>
      <c r="P652" s="28" t="n">
        <v>0</v>
      </c>
      <c r="Q652" s="28" t="n">
        <v>315745</v>
      </c>
      <c r="R652" s="28" t="n">
        <v>0</v>
      </c>
      <c r="S652" s="28">
        <f>Q652-R652</f>
        <v/>
      </c>
      <c r="T652" s="28">
        <f>IF(S652="","",S652*(1+in_GrowthRate)^(YEARFRAC(DATE(2022,12,31),in_AgeToDate)*IF(in_AgeToDate&lt;DATE(2022,12,31),-1,1)+1))</f>
        <v/>
      </c>
      <c r="U652" s="50">
        <f>IF(AND(AND(OR(in_Mode="All Funds",AND(C652&gt;=in_BandFloor,C652&lt;=in_BandCeiling,OR(in_Geography="National",COUNTIFS(lst_GeoPreset,in_Geography,lst_GeoState,B652)&gt;0,AND(in_Geography="Custom",ISNUMBER(SEARCH(B652,SUBSTITUTE(in_CustomStates," ",""))))),OR(AND(D652="Endowment",Inputs!$B$14="Y"),AND(D652="Foundation",Inputs!$B$15="Y"),AND(D652="Healthcare",Inputs!$B$16="Y"),AND(D652="Pension",Inputs!$B$17="Y"),AND(D652="OCIO",Inputs!$B$18="Y"),AND(D652="Other",Inputs!$B$19="Y")))),A652&lt;&gt;in_ClientOrg,NOT(AND(in_ExclHarvard="Y",ISNUMBER(SEARCH("Harvard",A652))))),$AD652="Y",K652&lt;&gt;"",S652&gt;0),"Y","")</f>
        <v/>
      </c>
      <c r="V652" s="30" t="n">
        <v>0.1829839342487601</v>
      </c>
      <c r="W652" t="inlineStr"/>
      <c r="X652" s="28">
        <f>IF(L652+M652=0,"",L652+M652)</f>
        <v/>
      </c>
      <c r="Y652" s="38">
        <f>IF(L652=0,"",M652/L652)</f>
        <v/>
      </c>
      <c r="Z652" t="inlineStr">
        <is>
          <t>Director &amp; Investment Officer</t>
        </is>
      </c>
      <c r="AA652" t="inlineStr">
        <is>
          <t>Investments</t>
        </is>
      </c>
      <c r="AB652" s="50" t="inlineStr"/>
      <c r="AC652" s="43">
        <f>HYPERLINK("https://projects.propublica.org/nonprofits/organizations/381359217/202333179349102048/full","view filing")</f>
        <v/>
      </c>
      <c r="AD652" s="50" t="inlineStr"/>
    </row>
    <row r="653">
      <c r="A653" t="inlineStr">
        <is>
          <t>Kresge Foundation</t>
        </is>
      </c>
      <c r="B653" s="50" t="inlineStr">
        <is>
          <t>MI</t>
        </is>
      </c>
      <c r="C653" s="52" t="n">
        <v>3.96</v>
      </c>
      <c r="D653" t="inlineStr">
        <is>
          <t>Foundation</t>
        </is>
      </c>
      <c r="E653" s="50" t="n">
        <v>2022</v>
      </c>
      <c r="F653" s="50" t="inlineStr">
        <is>
          <t>2023-11-13</t>
        </is>
      </c>
      <c r="G653" s="50" t="inlineStr">
        <is>
          <t>2022-12-31</t>
        </is>
      </c>
      <c r="H653" t="inlineStr">
        <is>
          <t>Jon Gentry Stmt 25</t>
        </is>
      </c>
      <c r="I653" t="inlineStr">
        <is>
          <t>INVESTMENT MANAGING</t>
        </is>
      </c>
      <c r="J653" t="inlineStr">
        <is>
          <t>Investment Manager</t>
        </is>
      </c>
      <c r="K653" t="inlineStr">
        <is>
          <t>Sr Investment Professional</t>
        </is>
      </c>
      <c r="L653" s="28" t="n">
        <v>0</v>
      </c>
      <c r="M653" s="28" t="n">
        <v>0</v>
      </c>
      <c r="N653" s="28" t="n">
        <v>0</v>
      </c>
      <c r="O653" s="28" t="n">
        <v>0</v>
      </c>
      <c r="P653" s="28" t="n">
        <v>0</v>
      </c>
      <c r="Q653" s="28" t="n">
        <v>684678</v>
      </c>
      <c r="R653" s="28" t="n">
        <v>0</v>
      </c>
      <c r="S653" s="28">
        <f>Q653-R653</f>
        <v/>
      </c>
      <c r="T653" s="28">
        <f>IF(S653="","",S653*(1+in_GrowthRate)^(YEARFRAC(DATE(2022,12,31),in_AgeToDate)*IF(in_AgeToDate&lt;DATE(2022,12,31),-1,1)+1))</f>
        <v/>
      </c>
      <c r="U653" s="50">
        <f>IF(AND(AND(OR(in_Mode="All Funds",AND(C653&gt;=in_BandFloor,C653&lt;=in_BandCeiling,OR(in_Geography="National",COUNTIFS(lst_GeoPreset,in_Geography,lst_GeoState,B653)&gt;0,AND(in_Geography="Custom",ISNUMBER(SEARCH(B653,SUBSTITUTE(in_CustomStates," ",""))))),OR(AND(D653="Endowment",Inputs!$B$14="Y"),AND(D653="Foundation",Inputs!$B$15="Y"),AND(D653="Healthcare",Inputs!$B$16="Y"),AND(D653="Pension",Inputs!$B$17="Y"),AND(D653="OCIO",Inputs!$B$18="Y"),AND(D653="Other",Inputs!$B$19="Y")))),A653&lt;&gt;in_ClientOrg,NOT(AND(in_ExclHarvard="Y",ISNUMBER(SEARCH("Harvard",A653))))),$AD653="Y",K653&lt;&gt;"",S653&gt;0),"Y","")</f>
        <v/>
      </c>
      <c r="V653" s="30" t="n">
        <v>0.3967919496225517</v>
      </c>
      <c r="W653" t="inlineStr"/>
      <c r="X653" s="28">
        <f>IF(L653+M653=0,"",L653+M653)</f>
        <v/>
      </c>
      <c r="Y653" s="38">
        <f>IF(L653=0,"",M653/L653)</f>
        <v/>
      </c>
      <c r="Z653" t="inlineStr">
        <is>
          <t>Director &amp; Investment Officer</t>
        </is>
      </c>
      <c r="AA653" t="inlineStr">
        <is>
          <t>Investments</t>
        </is>
      </c>
      <c r="AB653" s="50" t="inlineStr"/>
      <c r="AC653" s="43">
        <f>HYPERLINK("https://projects.propublica.org/nonprofits/organizations/381359217/202333179349102048/full","view filing")</f>
        <v/>
      </c>
      <c r="AD653" s="50" t="inlineStr"/>
    </row>
    <row r="654">
      <c r="A654" t="inlineStr">
        <is>
          <t>Kresge Foundation</t>
        </is>
      </c>
      <c r="B654" s="50" t="inlineStr">
        <is>
          <t>MI</t>
        </is>
      </c>
      <c r="C654" s="52" t="n">
        <v>3.96</v>
      </c>
      <c r="D654" t="inlineStr">
        <is>
          <t>Foundation</t>
        </is>
      </c>
      <c r="E654" s="50" t="n">
        <v>2022</v>
      </c>
      <c r="F654" s="50" t="inlineStr">
        <is>
          <t>2023-11-13</t>
        </is>
      </c>
      <c r="G654" s="50" t="inlineStr">
        <is>
          <t>2022-12-31</t>
        </is>
      </c>
      <c r="H654" t="inlineStr">
        <is>
          <t>Robert J Manilla Stmt 24</t>
        </is>
      </c>
      <c r="I654" t="inlineStr">
        <is>
          <t>VP &amp; CIO (ENDED 7/1/22)</t>
        </is>
      </c>
      <c r="J654" t="inlineStr">
        <is>
          <t>CIO</t>
        </is>
      </c>
      <c r="K654" t="inlineStr">
        <is>
          <t>CIO - Top Investment Executive</t>
        </is>
      </c>
      <c r="L654" s="28" t="n">
        <v>0</v>
      </c>
      <c r="M654" s="28" t="n">
        <v>0</v>
      </c>
      <c r="N654" s="28" t="n">
        <v>0</v>
      </c>
      <c r="O654" s="28" t="n">
        <v>0</v>
      </c>
      <c r="P654" s="28" t="n">
        <v>708500</v>
      </c>
      <c r="Q654" s="28" t="n">
        <v>1725534</v>
      </c>
      <c r="R654" s="28" t="n">
        <v>0</v>
      </c>
      <c r="S654" s="28">
        <f>Q654-R654</f>
        <v/>
      </c>
      <c r="T654" s="28">
        <f>IF(S654="","",S654*(1+in_GrowthRate)^(YEARFRAC(DATE(2022,12,31),in_AgeToDate)*IF(in_AgeToDate&lt;DATE(2022,12,31),-1,1)+1))</f>
        <v/>
      </c>
      <c r="U654" s="50">
        <f>IF(AND(AND(OR(in_Mode="All Funds",AND(C654&gt;=in_BandFloor,C654&lt;=in_BandCeiling,OR(in_Geography="National",COUNTIFS(lst_GeoPreset,in_Geography,lst_GeoState,B654)&gt;0,AND(in_Geography="Custom",ISNUMBER(SEARCH(B654,SUBSTITUTE(in_CustomStates," ",""))))),OR(AND(D654="Endowment",Inputs!$B$14="Y"),AND(D654="Foundation",Inputs!$B$15="Y"),AND(D654="Healthcare",Inputs!$B$16="Y"),AND(D654="Pension",Inputs!$B$17="Y"),AND(D654="OCIO",Inputs!$B$18="Y"),AND(D654="Other",Inputs!$B$19="Y")))),A654&lt;&gt;in_ClientOrg,NOT(AND(in_ExclHarvard="Y",ISNUMBER(SEARCH("Harvard",A654))))),$AD654="Y",K654&lt;&gt;"",S654&gt;0),"Y","")</f>
        <v/>
      </c>
      <c r="V654" s="30" t="n">
        <v>1</v>
      </c>
      <c r="W654" t="inlineStr"/>
      <c r="X654" s="28">
        <f>IF(L654+M654=0,"",L654+M654)</f>
        <v/>
      </c>
      <c r="Y654" s="38">
        <f>IF(L654=0,"",M654/L654)</f>
        <v/>
      </c>
      <c r="Z654" t="inlineStr">
        <is>
          <t>CIO - Top Investment Executive</t>
        </is>
      </c>
      <c r="AA654" t="inlineStr">
        <is>
          <t>Leadership</t>
        </is>
      </c>
      <c r="AB654" s="50" t="inlineStr">
        <is>
          <t>Y</t>
        </is>
      </c>
      <c r="AC654" s="43">
        <f>HYPERLINK("https://projects.propublica.org/nonprofits/organizations/381359217/202333179349102048/full","view filing")</f>
        <v/>
      </c>
      <c r="AD654" s="50" t="inlineStr"/>
    </row>
    <row r="655">
      <c r="A655" t="inlineStr">
        <is>
          <t>Kresge Foundation</t>
        </is>
      </c>
      <c r="B655" s="50" t="inlineStr">
        <is>
          <t>MI</t>
        </is>
      </c>
      <c r="C655" s="52" t="n">
        <v>3.96</v>
      </c>
      <c r="D655" t="inlineStr">
        <is>
          <t>Foundation</t>
        </is>
      </c>
      <c r="E655" s="50" t="n">
        <v>2022</v>
      </c>
      <c r="F655" s="50" t="inlineStr">
        <is>
          <t>2023-11-13</t>
        </is>
      </c>
      <c r="G655" s="50" t="inlineStr">
        <is>
          <t>2022-12-31</t>
        </is>
      </c>
      <c r="H655" t="inlineStr">
        <is>
          <t>Venus Phillips Stmt 25</t>
        </is>
      </c>
      <c r="I655" t="inlineStr">
        <is>
          <t>INVESTMENT MANAGING</t>
        </is>
      </c>
      <c r="J655" t="inlineStr">
        <is>
          <t>Investment Manager</t>
        </is>
      </c>
      <c r="K655" t="inlineStr">
        <is>
          <t>Sr Investment Professional</t>
        </is>
      </c>
      <c r="L655" s="28" t="n">
        <v>0</v>
      </c>
      <c r="M655" s="28" t="n">
        <v>0</v>
      </c>
      <c r="N655" s="28" t="n">
        <v>0</v>
      </c>
      <c r="O655" s="28" t="n">
        <v>0</v>
      </c>
      <c r="P655" s="28" t="n">
        <v>0</v>
      </c>
      <c r="Q655" s="28" t="n">
        <v>463078</v>
      </c>
      <c r="R655" s="28" t="n">
        <v>0</v>
      </c>
      <c r="S655" s="28">
        <f>Q655-R655</f>
        <v/>
      </c>
      <c r="T655" s="28">
        <f>IF(S655="","",S655*(1+in_GrowthRate)^(YEARFRAC(DATE(2022,12,31),in_AgeToDate)*IF(in_AgeToDate&lt;DATE(2022,12,31),-1,1)+1))</f>
        <v/>
      </c>
      <c r="U655" s="50">
        <f>IF(AND(AND(OR(in_Mode="All Funds",AND(C655&gt;=in_BandFloor,C655&lt;=in_BandCeiling,OR(in_Geography="National",COUNTIFS(lst_GeoPreset,in_Geography,lst_GeoState,B655)&gt;0,AND(in_Geography="Custom",ISNUMBER(SEARCH(B655,SUBSTITUTE(in_CustomStates," ",""))))),OR(AND(D655="Endowment",Inputs!$B$14="Y"),AND(D655="Foundation",Inputs!$B$15="Y"),AND(D655="Healthcare",Inputs!$B$16="Y"),AND(D655="Pension",Inputs!$B$17="Y"),AND(D655="OCIO",Inputs!$B$18="Y"),AND(D655="Other",Inputs!$B$19="Y")))),A655&lt;&gt;in_ClientOrg,NOT(AND(in_ExclHarvard="Y",ISNUMBER(SEARCH("Harvard",A655))))),$AD655="Y",K655&lt;&gt;"",S655&gt;0),"Y","")</f>
        <v/>
      </c>
      <c r="V655" s="30" t="n">
        <v>0.2683679371139601</v>
      </c>
      <c r="W655" t="inlineStr"/>
      <c r="X655" s="28">
        <f>IF(L655+M655=0,"",L655+M655)</f>
        <v/>
      </c>
      <c r="Y655" s="38">
        <f>IF(L655=0,"",M655/L655)</f>
        <v/>
      </c>
      <c r="Z655" t="inlineStr">
        <is>
          <t>Director &amp; Investment Officer</t>
        </is>
      </c>
      <c r="AA655" t="inlineStr">
        <is>
          <t>Investments</t>
        </is>
      </c>
      <c r="AB655" s="50" t="inlineStr"/>
      <c r="AC655" s="43">
        <f>HYPERLINK("https://projects.propublica.org/nonprofits/organizations/381359217/202333179349102048/full","view filing")</f>
        <v/>
      </c>
      <c r="AD655" s="50" t="inlineStr"/>
    </row>
    <row r="656">
      <c r="A656" t="inlineStr">
        <is>
          <t>Lafayette College</t>
        </is>
      </c>
      <c r="B656" s="50" t="inlineStr">
        <is>
          <t>PA</t>
        </is>
      </c>
      <c r="C656" s="52" t="n">
        <v>1.2</v>
      </c>
      <c r="D656" t="inlineStr">
        <is>
          <t>Endowment</t>
        </is>
      </c>
      <c r="E656" s="50" t="n">
        <v>2025</v>
      </c>
      <c r="F656" s="50" t="inlineStr">
        <is>
          <t>2026-05-14</t>
        </is>
      </c>
      <c r="G656" s="50" t="inlineStr">
        <is>
          <t>2025-06-30</t>
        </is>
      </c>
      <c r="H656" t="inlineStr">
        <is>
          <t>John R Dailey</t>
        </is>
      </c>
      <c r="I656" t="inlineStr">
        <is>
          <t>DIRECTOR OF INVESTMENTS</t>
        </is>
      </c>
      <c r="J656" t="inlineStr">
        <is>
          <t>Director of Investments</t>
        </is>
      </c>
      <c r="K656" t="inlineStr">
        <is>
          <t>Sr Investment Professional</t>
        </is>
      </c>
      <c r="L656" s="28" t="n">
        <v>266219</v>
      </c>
      <c r="M656" s="28" t="n">
        <v>216000</v>
      </c>
      <c r="N656" s="28" t="n">
        <v>689</v>
      </c>
      <c r="O656" s="28" t="n">
        <v>27117</v>
      </c>
      <c r="P656" s="28" t="n">
        <v>16330</v>
      </c>
      <c r="Q656" s="28" t="n">
        <v>526355</v>
      </c>
      <c r="R656" s="28" t="n">
        <v>0</v>
      </c>
      <c r="S656" s="28">
        <f>Q656-R656</f>
        <v/>
      </c>
      <c r="T656" s="28">
        <f>IF(S656="","",S656*(1+in_GrowthRate)^(YEARFRAC(DATE(2025,6,30),in_AgeToDate)*IF(in_AgeToDate&lt;DATE(2025,6,30),-1,1)+1))</f>
        <v/>
      </c>
      <c r="U656" s="50">
        <f>IF(AND(AND(OR(in_Mode="All Funds",AND(C656&gt;=in_BandFloor,C656&lt;=in_BandCeiling,OR(in_Geography="National",COUNTIFS(lst_GeoPreset,in_Geography,lst_GeoState,B656)&gt;0,AND(in_Geography="Custom",ISNUMBER(SEARCH(B656,SUBSTITUTE(in_CustomStates," ",""))))),OR(AND(D656="Endowment",Inputs!$B$14="Y"),AND(D656="Foundation",Inputs!$B$15="Y"),AND(D656="Healthcare",Inputs!$B$16="Y"),AND(D656="Pension",Inputs!$B$17="Y"),AND(D656="OCIO",Inputs!$B$18="Y"),AND(D656="Other",Inputs!$B$19="Y")))),A656&lt;&gt;in_ClientOrg,NOT(AND(in_ExclHarvard="Y",ISNUMBER(SEARCH("Harvard",A656))))),$AD656="Y",K656&lt;&gt;"",S656&gt;0),"Y","")</f>
        <v/>
      </c>
      <c r="V656" s="30" t="n">
        <v>0.5212529758721632</v>
      </c>
      <c r="W656" t="inlineStr"/>
      <c r="X656" s="28">
        <f>IF(L656+M656=0,"",L656+M656)</f>
        <v/>
      </c>
      <c r="Y656" s="38">
        <f>IF(L656=0,"",M656/L656)</f>
        <v/>
      </c>
      <c r="Z656" t="inlineStr">
        <is>
          <t>Director &amp; Investment Officer</t>
        </is>
      </c>
      <c r="AA656" t="inlineStr">
        <is>
          <t>Investments</t>
        </is>
      </c>
      <c r="AB656" s="50" t="inlineStr"/>
      <c r="AC656" s="43">
        <f>HYPERLINK("https://projects.propublica.org/nonprofits/organizations/240795686/202611349349301311/full","view filing")</f>
        <v/>
      </c>
      <c r="AD656" s="50" t="inlineStr">
        <is>
          <t>Y</t>
        </is>
      </c>
    </row>
    <row r="657">
      <c r="A657" t="inlineStr">
        <is>
          <t>Lafayette College</t>
        </is>
      </c>
      <c r="B657" s="50" t="inlineStr">
        <is>
          <t>PA</t>
        </is>
      </c>
      <c r="C657" s="52" t="n">
        <v>1.2</v>
      </c>
      <c r="D657" t="inlineStr">
        <is>
          <t>Endowment</t>
        </is>
      </c>
      <c r="E657" s="50" t="n">
        <v>2025</v>
      </c>
      <c r="F657" s="50" t="inlineStr">
        <is>
          <t>2026-05-14</t>
        </is>
      </c>
      <c r="G657" s="50" t="inlineStr">
        <is>
          <t>2025-06-30</t>
        </is>
      </c>
      <c r="H657" t="inlineStr">
        <is>
          <t>Krishna Memani</t>
        </is>
      </c>
      <c r="I657" t="inlineStr">
        <is>
          <t>CHIEF INVESTMENT OFFICER</t>
        </is>
      </c>
      <c r="J657" t="inlineStr">
        <is>
          <t>CIO</t>
        </is>
      </c>
      <c r="K657" t="inlineStr">
        <is>
          <t>CIO - Top Investment Executive</t>
        </is>
      </c>
      <c r="L657" s="28" t="n">
        <v>446244</v>
      </c>
      <c r="M657" s="28" t="n">
        <v>498735</v>
      </c>
      <c r="N657" s="28" t="n">
        <v>15570</v>
      </c>
      <c r="O657" s="28" t="n">
        <v>32775</v>
      </c>
      <c r="P657" s="28" t="n">
        <v>16464</v>
      </c>
      <c r="Q657" s="28" t="n">
        <v>1009788</v>
      </c>
      <c r="R657" s="28" t="n">
        <v>0</v>
      </c>
      <c r="S657" s="28">
        <f>Q657-R657</f>
        <v/>
      </c>
      <c r="T657" s="28">
        <f>IF(S657="","",S657*(1+in_GrowthRate)^(YEARFRAC(DATE(2025,6,30),in_AgeToDate)*IF(in_AgeToDate&lt;DATE(2025,6,30),-1,1)+1))</f>
        <v/>
      </c>
      <c r="U657" s="50">
        <f>IF(AND(AND(OR(in_Mode="All Funds",AND(C657&gt;=in_BandFloor,C657&lt;=in_BandCeiling,OR(in_Geography="National",COUNTIFS(lst_GeoPreset,in_Geography,lst_GeoState,B657)&gt;0,AND(in_Geography="Custom",ISNUMBER(SEARCH(B657,SUBSTITUTE(in_CustomStates," ",""))))),OR(AND(D657="Endowment",Inputs!$B$14="Y"),AND(D657="Foundation",Inputs!$B$15="Y"),AND(D657="Healthcare",Inputs!$B$16="Y"),AND(D657="Pension",Inputs!$B$17="Y"),AND(D657="OCIO",Inputs!$B$18="Y"),AND(D657="Other",Inputs!$B$19="Y")))),A657&lt;&gt;in_ClientOrg,NOT(AND(in_ExclHarvard="Y",ISNUMBER(SEARCH("Harvard",A657))))),$AD657="Y",K657&lt;&gt;"",S657&gt;0),"Y","")</f>
        <v/>
      </c>
      <c r="V657" s="30" t="n">
        <v>1</v>
      </c>
      <c r="W657" t="inlineStr"/>
      <c r="X657" s="28">
        <f>IF(L657+M657=0,"",L657+M657)</f>
        <v/>
      </c>
      <c r="Y657" s="38">
        <f>IF(L657=0,"",M657/L657)</f>
        <v/>
      </c>
      <c r="Z657" t="inlineStr">
        <is>
          <t>CIO - Top Investment Executive</t>
        </is>
      </c>
      <c r="AA657" t="inlineStr">
        <is>
          <t>Leadership</t>
        </is>
      </c>
      <c r="AB657" s="50" t="inlineStr">
        <is>
          <t>Y</t>
        </is>
      </c>
      <c r="AC657" s="43">
        <f>HYPERLINK("https://projects.propublica.org/nonprofits/organizations/240795686/202611349349301311/full","view filing")</f>
        <v/>
      </c>
      <c r="AD657" s="50" t="inlineStr">
        <is>
          <t>Y</t>
        </is>
      </c>
    </row>
    <row r="658">
      <c r="A658" t="inlineStr">
        <is>
          <t>Lafayette College</t>
        </is>
      </c>
      <c r="B658" s="50" t="inlineStr">
        <is>
          <t>PA</t>
        </is>
      </c>
      <c r="C658" s="52" t="n">
        <v>1.2</v>
      </c>
      <c r="D658" t="inlineStr">
        <is>
          <t>Endowment</t>
        </is>
      </c>
      <c r="E658" s="50" t="n">
        <v>2024</v>
      </c>
      <c r="F658" s="50" t="inlineStr">
        <is>
          <t>2025-05-14</t>
        </is>
      </c>
      <c r="G658" s="50" t="inlineStr">
        <is>
          <t>2024-06-30</t>
        </is>
      </c>
      <c r="H658" t="inlineStr">
        <is>
          <t>John R Dailey</t>
        </is>
      </c>
      <c r="I658" t="inlineStr">
        <is>
          <t>DIRECTOR OF INVESTMENTS</t>
        </is>
      </c>
      <c r="J658" t="inlineStr">
        <is>
          <t>Director of Investments</t>
        </is>
      </c>
      <c r="K658" t="inlineStr">
        <is>
          <t>Sr Investment Professional</t>
        </is>
      </c>
      <c r="L658" s="28" t="n">
        <v>255044</v>
      </c>
      <c r="M658" s="28" t="n">
        <v>250000</v>
      </c>
      <c r="N658" s="28" t="n">
        <v>657</v>
      </c>
      <c r="O658" s="28" t="n">
        <v>25317</v>
      </c>
      <c r="P658" s="28" t="n">
        <v>15558</v>
      </c>
      <c r="Q658" s="28" t="n">
        <v>546576</v>
      </c>
      <c r="R658" s="28" t="n">
        <v>0</v>
      </c>
      <c r="S658" s="28">
        <f>Q658-R658</f>
        <v/>
      </c>
      <c r="T658" s="28">
        <f>IF(S658="","",S658*(1+in_GrowthRate)^(YEARFRAC(DATE(2024,6,30),in_AgeToDate)*IF(in_AgeToDate&lt;DATE(2024,6,30),-1,1)+1))</f>
        <v/>
      </c>
      <c r="U658" s="50">
        <f>IF(AND(AND(OR(in_Mode="All Funds",AND(C658&gt;=in_BandFloor,C658&lt;=in_BandCeiling,OR(in_Geography="National",COUNTIFS(lst_GeoPreset,in_Geography,lst_GeoState,B658)&gt;0,AND(in_Geography="Custom",ISNUMBER(SEARCH(B658,SUBSTITUTE(in_CustomStates," ",""))))),OR(AND(D658="Endowment",Inputs!$B$14="Y"),AND(D658="Foundation",Inputs!$B$15="Y"),AND(D658="Healthcare",Inputs!$B$16="Y"),AND(D658="Pension",Inputs!$B$17="Y"),AND(D658="OCIO",Inputs!$B$18="Y"),AND(D658="Other",Inputs!$B$19="Y")))),A658&lt;&gt;in_ClientOrg,NOT(AND(in_ExclHarvard="Y",ISNUMBER(SEARCH("Harvard",A658))))),$AD658="Y",K658&lt;&gt;"",S658&gt;0),"Y","")</f>
        <v/>
      </c>
      <c r="V658" s="30" t="n">
        <v>0.553770026413133</v>
      </c>
      <c r="W658" t="inlineStr"/>
      <c r="X658" s="28">
        <f>IF(L658+M658=0,"",L658+M658)</f>
        <v/>
      </c>
      <c r="Y658" s="38">
        <f>IF(L658=0,"",M658/L658)</f>
        <v/>
      </c>
      <c r="Z658" t="inlineStr">
        <is>
          <t>Director &amp; Investment Officer</t>
        </is>
      </c>
      <c r="AA658" t="inlineStr">
        <is>
          <t>Investments</t>
        </is>
      </c>
      <c r="AB658" s="50" t="inlineStr"/>
      <c r="AC658" s="43">
        <f>HYPERLINK("https://projects.propublica.org/nonprofits/organizations/240795686/202531349349305958/full","view filing")</f>
        <v/>
      </c>
      <c r="AD658" s="50" t="inlineStr"/>
    </row>
    <row r="659">
      <c r="A659" t="inlineStr">
        <is>
          <t>Lafayette College</t>
        </is>
      </c>
      <c r="B659" s="50" t="inlineStr">
        <is>
          <t>PA</t>
        </is>
      </c>
      <c r="C659" s="52" t="n">
        <v>1.2</v>
      </c>
      <c r="D659" t="inlineStr">
        <is>
          <t>Endowment</t>
        </is>
      </c>
      <c r="E659" s="50" t="n">
        <v>2024</v>
      </c>
      <c r="F659" s="50" t="inlineStr">
        <is>
          <t>2025-05-14</t>
        </is>
      </c>
      <c r="G659" s="50" t="inlineStr">
        <is>
          <t>2024-06-30</t>
        </is>
      </c>
      <c r="H659" t="inlineStr">
        <is>
          <t>Krishna Memani</t>
        </is>
      </c>
      <c r="I659" t="inlineStr">
        <is>
          <t>CHIEF INVESTMENT OFFICER</t>
        </is>
      </c>
      <c r="J659" t="inlineStr">
        <is>
          <t>CIO</t>
        </is>
      </c>
      <c r="K659" t="inlineStr">
        <is>
          <t>CIO - Top Investment Executive</t>
        </is>
      </c>
      <c r="L659" s="28" t="n">
        <v>426044</v>
      </c>
      <c r="M659" s="28" t="n">
        <v>500000</v>
      </c>
      <c r="N659" s="28" t="n">
        <v>13895</v>
      </c>
      <c r="O659" s="28" t="n">
        <v>31350</v>
      </c>
      <c r="P659" s="28" t="n">
        <v>15720</v>
      </c>
      <c r="Q659" s="28" t="n">
        <v>987009</v>
      </c>
      <c r="R659" s="28" t="n">
        <v>0</v>
      </c>
      <c r="S659" s="28">
        <f>Q659-R659</f>
        <v/>
      </c>
      <c r="T659" s="28">
        <f>IF(S659="","",S659*(1+in_GrowthRate)^(YEARFRAC(DATE(2024,6,30),in_AgeToDate)*IF(in_AgeToDate&lt;DATE(2024,6,30),-1,1)+1))</f>
        <v/>
      </c>
      <c r="U659" s="50">
        <f>IF(AND(AND(OR(in_Mode="All Funds",AND(C659&gt;=in_BandFloor,C659&lt;=in_BandCeiling,OR(in_Geography="National",COUNTIFS(lst_GeoPreset,in_Geography,lst_GeoState,B659)&gt;0,AND(in_Geography="Custom",ISNUMBER(SEARCH(B659,SUBSTITUTE(in_CustomStates," ",""))))),OR(AND(D659="Endowment",Inputs!$B$14="Y"),AND(D659="Foundation",Inputs!$B$15="Y"),AND(D659="Healthcare",Inputs!$B$16="Y"),AND(D659="Pension",Inputs!$B$17="Y"),AND(D659="OCIO",Inputs!$B$18="Y"),AND(D659="Other",Inputs!$B$19="Y")))),A659&lt;&gt;in_ClientOrg,NOT(AND(in_ExclHarvard="Y",ISNUMBER(SEARCH("Harvard",A659))))),$AD659="Y",K659&lt;&gt;"",S659&gt;0),"Y","")</f>
        <v/>
      </c>
      <c r="V659" s="30" t="n">
        <v>1</v>
      </c>
      <c r="W659" t="inlineStr"/>
      <c r="X659" s="28">
        <f>IF(L659+M659=0,"",L659+M659)</f>
        <v/>
      </c>
      <c r="Y659" s="38">
        <f>IF(L659=0,"",M659/L659)</f>
        <v/>
      </c>
      <c r="Z659" t="inlineStr">
        <is>
          <t>CIO - Top Investment Executive</t>
        </is>
      </c>
      <c r="AA659" t="inlineStr">
        <is>
          <t>Leadership</t>
        </is>
      </c>
      <c r="AB659" s="50" t="inlineStr">
        <is>
          <t>Y</t>
        </is>
      </c>
      <c r="AC659" s="43">
        <f>HYPERLINK("https://projects.propublica.org/nonprofits/organizations/240795686/202531349349305958/full","view filing")</f>
        <v/>
      </c>
      <c r="AD659" s="50" t="inlineStr"/>
    </row>
    <row r="660">
      <c r="A660" t="inlineStr">
        <is>
          <t>Lafayette College</t>
        </is>
      </c>
      <c r="B660" s="50" t="inlineStr">
        <is>
          <t>PA</t>
        </is>
      </c>
      <c r="C660" s="52" t="n">
        <v>1.2</v>
      </c>
      <c r="D660" t="inlineStr">
        <is>
          <t>Endowment</t>
        </is>
      </c>
      <c r="E660" s="50" t="n">
        <v>2024</v>
      </c>
      <c r="F660" s="50" t="inlineStr">
        <is>
          <t>2025-05-14</t>
        </is>
      </c>
      <c r="G660" s="50" t="inlineStr">
        <is>
          <t>2024-06-30</t>
        </is>
      </c>
      <c r="H660" t="inlineStr">
        <is>
          <t>Li Zhao</t>
        </is>
      </c>
      <c r="I660" t="inlineStr">
        <is>
          <t>DIRECTOR OF INVESTMENTS</t>
        </is>
      </c>
      <c r="J660" t="inlineStr">
        <is>
          <t>Director of Investments</t>
        </is>
      </c>
      <c r="K660" t="inlineStr">
        <is>
          <t>Sr Investment Professional</t>
        </is>
      </c>
      <c r="L660" s="28" t="n">
        <v>237477</v>
      </c>
      <c r="M660" s="28" t="n">
        <v>225000</v>
      </c>
      <c r="N660" s="28" t="n">
        <v>347</v>
      </c>
      <c r="O660" s="28" t="n">
        <v>22562</v>
      </c>
      <c r="P660" s="28" t="n">
        <v>663</v>
      </c>
      <c r="Q660" s="28" t="n">
        <v>486049</v>
      </c>
      <c r="R660" s="28" t="n">
        <v>0</v>
      </c>
      <c r="S660" s="28">
        <f>Q660-R660</f>
        <v/>
      </c>
      <c r="T660" s="28">
        <f>IF(S660="","",S660*(1+in_GrowthRate)^(YEARFRAC(DATE(2024,6,30),in_AgeToDate)*IF(in_AgeToDate&lt;DATE(2024,6,30),-1,1)+1))</f>
        <v/>
      </c>
      <c r="U660" s="50">
        <f>IF(AND(AND(OR(in_Mode="All Funds",AND(C660&gt;=in_BandFloor,C660&lt;=in_BandCeiling,OR(in_Geography="National",COUNTIFS(lst_GeoPreset,in_Geography,lst_GeoState,B660)&gt;0,AND(in_Geography="Custom",ISNUMBER(SEARCH(B660,SUBSTITUTE(in_CustomStates," ",""))))),OR(AND(D660="Endowment",Inputs!$B$14="Y"),AND(D660="Foundation",Inputs!$B$15="Y"),AND(D660="Healthcare",Inputs!$B$16="Y"),AND(D660="Pension",Inputs!$B$17="Y"),AND(D660="OCIO",Inputs!$B$18="Y"),AND(D660="Other",Inputs!$B$19="Y")))),A660&lt;&gt;in_ClientOrg,NOT(AND(in_ExclHarvard="Y",ISNUMBER(SEARCH("Harvard",A660))))),$AD660="Y",K660&lt;&gt;"",S660&gt;0),"Y","")</f>
        <v/>
      </c>
      <c r="V660" s="30" t="n">
        <v>0.4924463708031031</v>
      </c>
      <c r="W660" t="inlineStr"/>
      <c r="X660" s="28">
        <f>IF(L660+M660=0,"",L660+M660)</f>
        <v/>
      </c>
      <c r="Y660" s="38">
        <f>IF(L660=0,"",M660/L660)</f>
        <v/>
      </c>
      <c r="Z660" t="inlineStr">
        <is>
          <t>Director &amp; Investment Officer</t>
        </is>
      </c>
      <c r="AA660" t="inlineStr">
        <is>
          <t>Investments</t>
        </is>
      </c>
      <c r="AB660" s="50" t="inlineStr"/>
      <c r="AC660" s="43">
        <f>HYPERLINK("https://projects.propublica.org/nonprofits/organizations/240795686/202531349349305958/full","view filing")</f>
        <v/>
      </c>
      <c r="AD660" s="50" t="inlineStr"/>
    </row>
    <row r="661">
      <c r="A661" t="inlineStr">
        <is>
          <t>Lafayette College</t>
        </is>
      </c>
      <c r="B661" s="50" t="inlineStr">
        <is>
          <t>PA</t>
        </is>
      </c>
      <c r="C661" s="52" t="n">
        <v>1.2</v>
      </c>
      <c r="D661" t="inlineStr">
        <is>
          <t>Endowment</t>
        </is>
      </c>
      <c r="E661" s="50" t="n">
        <v>2023</v>
      </c>
      <c r="F661" s="50" t="inlineStr">
        <is>
          <t>2024-04-30</t>
        </is>
      </c>
      <c r="G661" s="50" t="inlineStr">
        <is>
          <t>2023-06-30</t>
        </is>
      </c>
      <c r="H661" t="inlineStr">
        <is>
          <t>John R Dailey</t>
        </is>
      </c>
      <c r="I661" t="inlineStr">
        <is>
          <t>INVESTMENT DIRECTOR</t>
        </is>
      </c>
      <c r="J661" t="inlineStr">
        <is>
          <t>Director of Investments</t>
        </is>
      </c>
      <c r="K661" t="inlineStr">
        <is>
          <t>Sr Investment Professional</t>
        </is>
      </c>
      <c r="L661" s="28" t="n">
        <v>255000</v>
      </c>
      <c r="M661" s="28" t="n">
        <v>145000</v>
      </c>
      <c r="N661" s="28" t="n">
        <v>623</v>
      </c>
      <c r="O661" s="28" t="n">
        <v>24225</v>
      </c>
      <c r="P661" s="28" t="n">
        <v>14764</v>
      </c>
      <c r="Q661" s="28" t="n">
        <v>439612</v>
      </c>
      <c r="R661" s="28" t="n">
        <v>0</v>
      </c>
      <c r="S661" s="28">
        <f>Q661-R661</f>
        <v/>
      </c>
      <c r="T661" s="28">
        <f>IF(S661="","",S661*(1+in_GrowthRate)^(YEARFRAC(DATE(2023,6,30),in_AgeToDate)*IF(in_AgeToDate&lt;DATE(2023,6,30),-1,1)+1))</f>
        <v/>
      </c>
      <c r="U661" s="50">
        <f>IF(AND(AND(OR(in_Mode="All Funds",AND(C661&gt;=in_BandFloor,C661&lt;=in_BandCeiling,OR(in_Geography="National",COUNTIFS(lst_GeoPreset,in_Geography,lst_GeoState,B661)&gt;0,AND(in_Geography="Custom",ISNUMBER(SEARCH(B661,SUBSTITUTE(in_CustomStates," ",""))))),OR(AND(D661="Endowment",Inputs!$B$14="Y"),AND(D661="Foundation",Inputs!$B$15="Y"),AND(D661="Healthcare",Inputs!$B$16="Y"),AND(D661="Pension",Inputs!$B$17="Y"),AND(D661="OCIO",Inputs!$B$18="Y"),AND(D661="Other",Inputs!$B$19="Y")))),A661&lt;&gt;in_ClientOrg,NOT(AND(in_ExclHarvard="Y",ISNUMBER(SEARCH("Harvard",A661))))),$AD661="Y",K661&lt;&gt;"",S661&gt;0),"Y","")</f>
        <v/>
      </c>
      <c r="V661" s="30" t="n">
        <v>0.4979593963483219</v>
      </c>
      <c r="W661" t="inlineStr"/>
      <c r="X661" s="28">
        <f>IF(L661+M661=0,"",L661+M661)</f>
        <v/>
      </c>
      <c r="Y661" s="38">
        <f>IF(L661=0,"",M661/L661)</f>
        <v/>
      </c>
      <c r="Z661" t="inlineStr">
        <is>
          <t>Director &amp; Investment Officer</t>
        </is>
      </c>
      <c r="AA661" t="inlineStr">
        <is>
          <t>Investments</t>
        </is>
      </c>
      <c r="AB661" s="50" t="inlineStr"/>
      <c r="AC661" s="43">
        <f>HYPERLINK("https://projects.propublica.org/nonprofits/organizations/240795686/202431219349301968/full","view filing")</f>
        <v/>
      </c>
      <c r="AD661" s="50" t="inlineStr"/>
    </row>
    <row r="662">
      <c r="A662" t="inlineStr">
        <is>
          <t>Lafayette College</t>
        </is>
      </c>
      <c r="B662" s="50" t="inlineStr">
        <is>
          <t>PA</t>
        </is>
      </c>
      <c r="C662" s="52" t="n">
        <v>1.2</v>
      </c>
      <c r="D662" t="inlineStr">
        <is>
          <t>Endowment</t>
        </is>
      </c>
      <c r="E662" s="50" t="n">
        <v>2023</v>
      </c>
      <c r="F662" s="50" t="inlineStr">
        <is>
          <t>2024-04-30</t>
        </is>
      </c>
      <c r="G662" s="50" t="inlineStr">
        <is>
          <t>2023-06-30</t>
        </is>
      </c>
      <c r="H662" t="inlineStr">
        <is>
          <t>Krishna Memani</t>
        </is>
      </c>
      <c r="I662" t="inlineStr">
        <is>
          <t>CHIEF INVESTMENT OFFICER</t>
        </is>
      </c>
      <c r="J662" t="inlineStr">
        <is>
          <t>CIO</t>
        </is>
      </c>
      <c r="K662" t="inlineStr">
        <is>
          <t>CIO - Top Investment Executive</t>
        </is>
      </c>
      <c r="L662" s="28" t="n">
        <v>412500</v>
      </c>
      <c r="M662" s="28" t="n">
        <v>412500</v>
      </c>
      <c r="N662" s="28" t="n">
        <v>13895</v>
      </c>
      <c r="O662" s="28" t="n">
        <v>28975</v>
      </c>
      <c r="P662" s="28" t="n">
        <v>14957</v>
      </c>
      <c r="Q662" s="28" t="n">
        <v>882827</v>
      </c>
      <c r="R662" s="28" t="n">
        <v>0</v>
      </c>
      <c r="S662" s="28">
        <f>Q662-R662</f>
        <v/>
      </c>
      <c r="T662" s="28">
        <f>IF(S662="","",S662*(1+in_GrowthRate)^(YEARFRAC(DATE(2023,6,30),in_AgeToDate)*IF(in_AgeToDate&lt;DATE(2023,6,30),-1,1)+1))</f>
        <v/>
      </c>
      <c r="U662" s="50">
        <f>IF(AND(AND(OR(in_Mode="All Funds",AND(C662&gt;=in_BandFloor,C662&lt;=in_BandCeiling,OR(in_Geography="National",COUNTIFS(lst_GeoPreset,in_Geography,lst_GeoState,B662)&gt;0,AND(in_Geography="Custom",ISNUMBER(SEARCH(B662,SUBSTITUTE(in_CustomStates," ",""))))),OR(AND(D662="Endowment",Inputs!$B$14="Y"),AND(D662="Foundation",Inputs!$B$15="Y"),AND(D662="Healthcare",Inputs!$B$16="Y"),AND(D662="Pension",Inputs!$B$17="Y"),AND(D662="OCIO",Inputs!$B$18="Y"),AND(D662="Other",Inputs!$B$19="Y")))),A662&lt;&gt;in_ClientOrg,NOT(AND(in_ExclHarvard="Y",ISNUMBER(SEARCH("Harvard",A662))))),$AD662="Y",K662&lt;&gt;"",S662&gt;0),"Y","")</f>
        <v/>
      </c>
      <c r="V662" s="30" t="n">
        <v>1</v>
      </c>
      <c r="W662" t="inlineStr"/>
      <c r="X662" s="28">
        <f>IF(L662+M662=0,"",L662+M662)</f>
        <v/>
      </c>
      <c r="Y662" s="38">
        <f>IF(L662=0,"",M662/L662)</f>
        <v/>
      </c>
      <c r="Z662" t="inlineStr">
        <is>
          <t>CIO - Top Investment Executive</t>
        </is>
      </c>
      <c r="AA662" t="inlineStr">
        <is>
          <t>Leadership</t>
        </is>
      </c>
      <c r="AB662" s="50" t="inlineStr">
        <is>
          <t>Y</t>
        </is>
      </c>
      <c r="AC662" s="43">
        <f>HYPERLINK("https://projects.propublica.org/nonprofits/organizations/240795686/202431219349301968/full","view filing")</f>
        <v/>
      </c>
      <c r="AD662" s="50" t="inlineStr"/>
    </row>
    <row r="663">
      <c r="A663" t="inlineStr">
        <is>
          <t>Lafayette College</t>
        </is>
      </c>
      <c r="B663" s="50" t="inlineStr">
        <is>
          <t>PA</t>
        </is>
      </c>
      <c r="C663" s="52" t="n">
        <v>1.2</v>
      </c>
      <c r="D663" t="inlineStr">
        <is>
          <t>Endowment</t>
        </is>
      </c>
      <c r="E663" s="50" t="n">
        <v>2023</v>
      </c>
      <c r="F663" s="50" t="inlineStr">
        <is>
          <t>2024-04-30</t>
        </is>
      </c>
      <c r="G663" s="50" t="inlineStr">
        <is>
          <t>2023-06-30</t>
        </is>
      </c>
      <c r="H663" t="inlineStr">
        <is>
          <t>Li Zhao</t>
        </is>
      </c>
      <c r="I663" t="inlineStr">
        <is>
          <t>INVESTMENT DIRECTOR</t>
        </is>
      </c>
      <c r="J663" t="inlineStr">
        <is>
          <t>Director of Investments</t>
        </is>
      </c>
      <c r="K663" t="inlineStr">
        <is>
          <t>Sr Investment Professional</t>
        </is>
      </c>
      <c r="L663" s="28" t="n">
        <v>215000</v>
      </c>
      <c r="M663" s="28" t="n">
        <v>170000</v>
      </c>
      <c r="N663" s="28" t="n">
        <v>306</v>
      </c>
      <c r="O663" s="28" t="n">
        <v>20425</v>
      </c>
      <c r="P663" s="28" t="n">
        <v>2892</v>
      </c>
      <c r="Q663" s="28" t="n">
        <v>408623</v>
      </c>
      <c r="R663" s="28" t="n">
        <v>0</v>
      </c>
      <c r="S663" s="28">
        <f>Q663-R663</f>
        <v/>
      </c>
      <c r="T663" s="28">
        <f>IF(S663="","",S663*(1+in_GrowthRate)^(YEARFRAC(DATE(2023,6,30),in_AgeToDate)*IF(in_AgeToDate&lt;DATE(2023,6,30),-1,1)+1))</f>
        <v/>
      </c>
      <c r="U663" s="50">
        <f>IF(AND(AND(OR(in_Mode="All Funds",AND(C663&gt;=in_BandFloor,C663&lt;=in_BandCeiling,OR(in_Geography="National",COUNTIFS(lst_GeoPreset,in_Geography,lst_GeoState,B663)&gt;0,AND(in_Geography="Custom",ISNUMBER(SEARCH(B663,SUBSTITUTE(in_CustomStates," ",""))))),OR(AND(D663="Endowment",Inputs!$B$14="Y"),AND(D663="Foundation",Inputs!$B$15="Y"),AND(D663="Healthcare",Inputs!$B$16="Y"),AND(D663="Pension",Inputs!$B$17="Y"),AND(D663="OCIO",Inputs!$B$18="Y"),AND(D663="Other",Inputs!$B$19="Y")))),A663&lt;&gt;in_ClientOrg,NOT(AND(in_ExclHarvard="Y",ISNUMBER(SEARCH("Harvard",A663))))),$AD663="Y",K663&lt;&gt;"",S663&gt;0),"Y","")</f>
        <v/>
      </c>
      <c r="V663" s="30" t="n">
        <v>0.4628573888202332</v>
      </c>
      <c r="W663" t="inlineStr"/>
      <c r="X663" s="28">
        <f>IF(L663+M663=0,"",L663+M663)</f>
        <v/>
      </c>
      <c r="Y663" s="38">
        <f>IF(L663=0,"",M663/L663)</f>
        <v/>
      </c>
      <c r="Z663" t="inlineStr">
        <is>
          <t>Director &amp; Investment Officer</t>
        </is>
      </c>
      <c r="AA663" t="inlineStr">
        <is>
          <t>Investments</t>
        </is>
      </c>
      <c r="AB663" s="50" t="inlineStr"/>
      <c r="AC663" s="43">
        <f>HYPERLINK("https://projects.propublica.org/nonprofits/organizations/240795686/202431219349301968/full","view filing")</f>
        <v/>
      </c>
      <c r="AD663" s="50" t="inlineStr"/>
    </row>
    <row r="664">
      <c r="A664" t="inlineStr">
        <is>
          <t>Lafayette College</t>
        </is>
      </c>
      <c r="B664" s="50" t="inlineStr">
        <is>
          <t>PA</t>
        </is>
      </c>
      <c r="C664" s="52" t="n">
        <v>1.2</v>
      </c>
      <c r="D664" t="inlineStr">
        <is>
          <t>Endowment</t>
        </is>
      </c>
      <c r="E664" s="50" t="n">
        <v>2022</v>
      </c>
      <c r="F664" s="50" t="inlineStr">
        <is>
          <t>2023-05-15</t>
        </is>
      </c>
      <c r="G664" s="50" t="inlineStr">
        <is>
          <t>2022-06-30</t>
        </is>
      </c>
      <c r="H664" t="inlineStr">
        <is>
          <t>Krishna Memani</t>
        </is>
      </c>
      <c r="I664" t="inlineStr">
        <is>
          <t>CHIEF INVESTMENT OFFICER</t>
        </is>
      </c>
      <c r="J664" t="inlineStr">
        <is>
          <t>CIO</t>
        </is>
      </c>
      <c r="K664" t="inlineStr">
        <is>
          <t>CIO - Top Investment Executive</t>
        </is>
      </c>
      <c r="L664" s="28" t="n">
        <v>389973</v>
      </c>
      <c r="M664" s="28" t="n">
        <v>321406</v>
      </c>
      <c r="N664" s="28" t="n">
        <v>2791</v>
      </c>
      <c r="O664" s="28" t="n">
        <v>27550</v>
      </c>
      <c r="P664" s="28" t="n">
        <v>25119</v>
      </c>
      <c r="Q664" s="28" t="n">
        <v>766839</v>
      </c>
      <c r="R664" s="28" t="n">
        <v>0</v>
      </c>
      <c r="S664" s="28">
        <f>Q664-R664</f>
        <v/>
      </c>
      <c r="T664" s="28">
        <f>IF(S664="","",S664*(1+in_GrowthRate)^(YEARFRAC(DATE(2022,6,30),in_AgeToDate)*IF(in_AgeToDate&lt;DATE(2022,6,30),-1,1)+1))</f>
        <v/>
      </c>
      <c r="U664" s="50">
        <f>IF(AND(AND(OR(in_Mode="All Funds",AND(C664&gt;=in_BandFloor,C664&lt;=in_BandCeiling,OR(in_Geography="National",COUNTIFS(lst_GeoPreset,in_Geography,lst_GeoState,B664)&gt;0,AND(in_Geography="Custom",ISNUMBER(SEARCH(B664,SUBSTITUTE(in_CustomStates," ",""))))),OR(AND(D664="Endowment",Inputs!$B$14="Y"),AND(D664="Foundation",Inputs!$B$15="Y"),AND(D664="Healthcare",Inputs!$B$16="Y"),AND(D664="Pension",Inputs!$B$17="Y"),AND(D664="OCIO",Inputs!$B$18="Y"),AND(D664="Other",Inputs!$B$19="Y")))),A664&lt;&gt;in_ClientOrg,NOT(AND(in_ExclHarvard="Y",ISNUMBER(SEARCH("Harvard",A664))))),$AD664="Y",K664&lt;&gt;"",S664&gt;0),"Y","")</f>
        <v/>
      </c>
      <c r="V664" s="30" t="n">
        <v>1</v>
      </c>
      <c r="W664" t="inlineStr"/>
      <c r="X664" s="28">
        <f>IF(L664+M664=0,"",L664+M664)</f>
        <v/>
      </c>
      <c r="Y664" s="38">
        <f>IF(L664=0,"",M664/L664)</f>
        <v/>
      </c>
      <c r="Z664" t="inlineStr">
        <is>
          <t>CIO - Top Investment Executive</t>
        </is>
      </c>
      <c r="AA664" t="inlineStr">
        <is>
          <t>Leadership</t>
        </is>
      </c>
      <c r="AB664" s="50" t="inlineStr">
        <is>
          <t>Y</t>
        </is>
      </c>
      <c r="AC664" s="43">
        <f>HYPERLINK("https://projects.propublica.org/nonprofits/organizations/240795686/202341359349302749/full","view filing")</f>
        <v/>
      </c>
      <c r="AD664" s="50" t="inlineStr"/>
    </row>
    <row r="665">
      <c r="A665" t="inlineStr">
        <is>
          <t>Lafayette College</t>
        </is>
      </c>
      <c r="B665" s="50" t="inlineStr">
        <is>
          <t>PA</t>
        </is>
      </c>
      <c r="C665" s="52" t="n">
        <v>1.2</v>
      </c>
      <c r="D665" t="inlineStr">
        <is>
          <t>Endowment</t>
        </is>
      </c>
      <c r="E665" s="50" t="n">
        <v>2022</v>
      </c>
      <c r="F665" s="50" t="inlineStr">
        <is>
          <t>2023-05-15</t>
        </is>
      </c>
      <c r="G665" s="50" t="inlineStr">
        <is>
          <t>2022-06-30</t>
        </is>
      </c>
      <c r="H665" t="inlineStr">
        <is>
          <t>Li Zhao</t>
        </is>
      </c>
      <c r="I665" t="inlineStr">
        <is>
          <t>INVESTMENT ASSOCIATE</t>
        </is>
      </c>
      <c r="J665" t="inlineStr">
        <is>
          <t>Associate</t>
        </is>
      </c>
      <c r="K665" t="inlineStr">
        <is>
          <t>Sr Investment Professional</t>
        </is>
      </c>
      <c r="L665" s="28" t="n">
        <v>186874</v>
      </c>
      <c r="M665" s="28" t="n">
        <v>163000</v>
      </c>
      <c r="N665" s="28" t="n">
        <v>253</v>
      </c>
      <c r="O665" s="28" t="n">
        <v>13393</v>
      </c>
      <c r="P665" s="28" t="n">
        <v>458</v>
      </c>
      <c r="Q665" s="28" t="n">
        <v>363978</v>
      </c>
      <c r="R665" s="28" t="n">
        <v>0</v>
      </c>
      <c r="S665" s="28">
        <f>Q665-R665</f>
        <v/>
      </c>
      <c r="T665" s="28">
        <f>IF(S665="","",S665*(1+in_GrowthRate)^(YEARFRAC(DATE(2022,6,30),in_AgeToDate)*IF(in_AgeToDate&lt;DATE(2022,6,30),-1,1)+1))</f>
        <v/>
      </c>
      <c r="U665" s="50">
        <f>IF(AND(AND(OR(in_Mode="All Funds",AND(C665&gt;=in_BandFloor,C665&lt;=in_BandCeiling,OR(in_Geography="National",COUNTIFS(lst_GeoPreset,in_Geography,lst_GeoState,B665)&gt;0,AND(in_Geography="Custom",ISNUMBER(SEARCH(B665,SUBSTITUTE(in_CustomStates," ",""))))),OR(AND(D665="Endowment",Inputs!$B$14="Y"),AND(D665="Foundation",Inputs!$B$15="Y"),AND(D665="Healthcare",Inputs!$B$16="Y"),AND(D665="Pension",Inputs!$B$17="Y"),AND(D665="OCIO",Inputs!$B$18="Y"),AND(D665="Other",Inputs!$B$19="Y")))),A665&lt;&gt;in_ClientOrg,NOT(AND(in_ExclHarvard="Y",ISNUMBER(SEARCH("Harvard",A665))))),$AD665="Y",K665&lt;&gt;"",S665&gt;0),"Y","")</f>
        <v/>
      </c>
      <c r="V665" s="30" t="n">
        <v>0.4746472206030209</v>
      </c>
      <c r="W665" t="inlineStr"/>
      <c r="X665" s="28">
        <f>IF(L665+M665=0,"",L665+M665)</f>
        <v/>
      </c>
      <c r="Y665" s="38">
        <f>IF(L665=0,"",M665/L665)</f>
        <v/>
      </c>
      <c r="Z665" t="inlineStr">
        <is>
          <t>Other investment staff</t>
        </is>
      </c>
      <c r="AA665" t="inlineStr">
        <is>
          <t>Investments</t>
        </is>
      </c>
      <c r="AB665" s="50" t="inlineStr"/>
      <c r="AC665" s="43">
        <f>HYPERLINK("https://projects.propublica.org/nonprofits/organizations/240795686/202341359349302749/full","view filing")</f>
        <v/>
      </c>
      <c r="AD665" s="50" t="inlineStr"/>
    </row>
    <row r="666">
      <c r="A666" t="inlineStr">
        <is>
          <t>Lehigh University</t>
        </is>
      </c>
      <c r="B666" s="50" t="inlineStr">
        <is>
          <t>PA</t>
        </is>
      </c>
      <c r="C666" s="52" t="n">
        <v>2</v>
      </c>
      <c r="D666" t="inlineStr">
        <is>
          <t>Endowment</t>
        </is>
      </c>
      <c r="E666" s="50" t="n">
        <v>2025</v>
      </c>
      <c r="F666" s="50" t="inlineStr">
        <is>
          <t>2026-03-30</t>
        </is>
      </c>
      <c r="G666" s="50" t="inlineStr">
        <is>
          <t>2025-06-30</t>
        </is>
      </c>
      <c r="H666" t="inlineStr">
        <is>
          <t>Kristin Agatone</t>
        </is>
      </c>
      <c r="I666" t="inlineStr">
        <is>
          <t>CHIEF INVESTMENT OFF.</t>
        </is>
      </c>
      <c r="J666" t="inlineStr">
        <is>
          <t>CIO</t>
        </is>
      </c>
      <c r="K666" t="inlineStr">
        <is>
          <t>CIO - Top Investment Executive</t>
        </is>
      </c>
      <c r="L666" s="28" t="n">
        <v>561923</v>
      </c>
      <c r="M666" s="28" t="n">
        <v>807055</v>
      </c>
      <c r="N666" s="28" t="n">
        <v>619</v>
      </c>
      <c r="O666" s="28" t="n">
        <v>33918</v>
      </c>
      <c r="P666" s="28" t="n">
        <v>26195</v>
      </c>
      <c r="Q666" s="28" t="n">
        <v>1429710</v>
      </c>
      <c r="R666" s="28" t="n">
        <v>0</v>
      </c>
      <c r="S666" s="28">
        <f>Q666-R666</f>
        <v/>
      </c>
      <c r="T666" s="28">
        <f>IF(S666="","",S666*(1+in_GrowthRate)^(YEARFRAC(DATE(2025,6,30),in_AgeToDate)*IF(in_AgeToDate&lt;DATE(2025,6,30),-1,1)+1))</f>
        <v/>
      </c>
      <c r="U666" s="50">
        <f>IF(AND(AND(OR(in_Mode="All Funds",AND(C666&gt;=in_BandFloor,C666&lt;=in_BandCeiling,OR(in_Geography="National",COUNTIFS(lst_GeoPreset,in_Geography,lst_GeoState,B666)&gt;0,AND(in_Geography="Custom",ISNUMBER(SEARCH(B666,SUBSTITUTE(in_CustomStates," ",""))))),OR(AND(D666="Endowment",Inputs!$B$14="Y"),AND(D666="Foundation",Inputs!$B$15="Y"),AND(D666="Healthcare",Inputs!$B$16="Y"),AND(D666="Pension",Inputs!$B$17="Y"),AND(D666="OCIO",Inputs!$B$18="Y"),AND(D666="Other",Inputs!$B$19="Y")))),A666&lt;&gt;in_ClientOrg,NOT(AND(in_ExclHarvard="Y",ISNUMBER(SEARCH("Harvard",A666))))),$AD666="Y",K666&lt;&gt;"",S666&gt;0),"Y","")</f>
        <v/>
      </c>
      <c r="V666" s="30" t="n">
        <v>1</v>
      </c>
      <c r="W666" t="inlineStr"/>
      <c r="X666" s="28">
        <f>IF(L666+M666=0,"",L666+M666)</f>
        <v/>
      </c>
      <c r="Y666" s="38">
        <f>IF(L666=0,"",M666/L666)</f>
        <v/>
      </c>
      <c r="Z666" t="inlineStr">
        <is>
          <t>CIO - Top Investment Executive</t>
        </is>
      </c>
      <c r="AA666" t="inlineStr">
        <is>
          <t>Leadership</t>
        </is>
      </c>
      <c r="AB666" s="50" t="inlineStr">
        <is>
          <t>Y</t>
        </is>
      </c>
      <c r="AC666" s="43">
        <f>HYPERLINK("https://projects.propublica.org/nonprofits/organizations/240795445/202610899349301306/full","view filing")</f>
        <v/>
      </c>
      <c r="AD666" s="50" t="inlineStr">
        <is>
          <t>Y</t>
        </is>
      </c>
    </row>
    <row r="667">
      <c r="A667" t="inlineStr">
        <is>
          <t>Lehigh University</t>
        </is>
      </c>
      <c r="B667" s="50" t="inlineStr">
        <is>
          <t>PA</t>
        </is>
      </c>
      <c r="C667" s="52" t="n">
        <v>2</v>
      </c>
      <c r="D667" t="inlineStr">
        <is>
          <t>Endowment</t>
        </is>
      </c>
      <c r="E667" s="50" t="n">
        <v>2025</v>
      </c>
      <c r="F667" s="50" t="inlineStr">
        <is>
          <t>2026-03-30</t>
        </is>
      </c>
      <c r="G667" s="50" t="inlineStr">
        <is>
          <t>2025-06-30</t>
        </is>
      </c>
      <c r="H667" t="inlineStr">
        <is>
          <t>Michael D Gould</t>
        </is>
      </c>
      <c r="I667" t="inlineStr">
        <is>
          <t>DIRECTOR INVEST. OFF.</t>
        </is>
      </c>
      <c r="J667" t="inlineStr">
        <is>
          <t>Director of Investments</t>
        </is>
      </c>
      <c r="K667" t="inlineStr">
        <is>
          <t>Sr Investment Professional</t>
        </is>
      </c>
      <c r="L667" s="28" t="n">
        <v>309054</v>
      </c>
      <c r="M667" s="28" t="n">
        <v>386953</v>
      </c>
      <c r="N667" s="28" t="n">
        <v>289</v>
      </c>
      <c r="O667" s="28" t="n">
        <v>30650</v>
      </c>
      <c r="P667" s="28" t="n">
        <v>25867</v>
      </c>
      <c r="Q667" s="28" t="n">
        <v>752813</v>
      </c>
      <c r="R667" s="28" t="n">
        <v>0</v>
      </c>
      <c r="S667" s="28">
        <f>Q667-R667</f>
        <v/>
      </c>
      <c r="T667" s="28">
        <f>IF(S667="","",S667*(1+in_GrowthRate)^(YEARFRAC(DATE(2025,6,30),in_AgeToDate)*IF(in_AgeToDate&lt;DATE(2025,6,30),-1,1)+1))</f>
        <v/>
      </c>
      <c r="U667" s="50">
        <f>IF(AND(AND(OR(in_Mode="All Funds",AND(C667&gt;=in_BandFloor,C667&lt;=in_BandCeiling,OR(in_Geography="National",COUNTIFS(lst_GeoPreset,in_Geography,lst_GeoState,B667)&gt;0,AND(in_Geography="Custom",ISNUMBER(SEARCH(B667,SUBSTITUTE(in_CustomStates," ",""))))),OR(AND(D667="Endowment",Inputs!$B$14="Y"),AND(D667="Foundation",Inputs!$B$15="Y"),AND(D667="Healthcare",Inputs!$B$16="Y"),AND(D667="Pension",Inputs!$B$17="Y"),AND(D667="OCIO",Inputs!$B$18="Y"),AND(D667="Other",Inputs!$B$19="Y")))),A667&lt;&gt;in_ClientOrg,NOT(AND(in_ExclHarvard="Y",ISNUMBER(SEARCH("Harvard",A667))))),$AD667="Y",K667&lt;&gt;"",S667&gt;0),"Y","")</f>
        <v/>
      </c>
      <c r="V667" s="30" t="n">
        <v>0.5265494400962433</v>
      </c>
      <c r="W667" t="inlineStr"/>
      <c r="X667" s="28">
        <f>IF(L667+M667=0,"",L667+M667)</f>
        <v/>
      </c>
      <c r="Y667" s="38">
        <f>IF(L667=0,"",M667/L667)</f>
        <v/>
      </c>
      <c r="Z667" t="inlineStr">
        <is>
          <t>Director &amp; Investment Officer</t>
        </is>
      </c>
      <c r="AA667" t="inlineStr">
        <is>
          <t>Investments</t>
        </is>
      </c>
      <c r="AB667" s="50" t="inlineStr"/>
      <c r="AC667" s="43">
        <f>HYPERLINK("https://projects.propublica.org/nonprofits/organizations/240795445/202610899349301306/full","view filing")</f>
        <v/>
      </c>
      <c r="AD667" s="50" t="inlineStr">
        <is>
          <t>Y</t>
        </is>
      </c>
    </row>
    <row r="668">
      <c r="A668" t="inlineStr">
        <is>
          <t>Lehigh University</t>
        </is>
      </c>
      <c r="B668" s="50" t="inlineStr">
        <is>
          <t>PA</t>
        </is>
      </c>
      <c r="C668" s="52" t="n">
        <v>2</v>
      </c>
      <c r="D668" t="inlineStr">
        <is>
          <t>Endowment</t>
        </is>
      </c>
      <c r="E668" s="50" t="n">
        <v>2024</v>
      </c>
      <c r="F668" s="50" t="inlineStr">
        <is>
          <t>2025-04-25</t>
        </is>
      </c>
      <c r="G668" s="50" t="inlineStr">
        <is>
          <t>2024-06-30</t>
        </is>
      </c>
      <c r="H668" t="inlineStr">
        <is>
          <t>Kristin Agatone</t>
        </is>
      </c>
      <c r="I668" t="inlineStr">
        <is>
          <t>CHIEF INVESTMENT OFF.</t>
        </is>
      </c>
      <c r="J668" t="inlineStr">
        <is>
          <t>CIO</t>
        </is>
      </c>
      <c r="K668" t="inlineStr">
        <is>
          <t>CIO - Top Investment Executive</t>
        </is>
      </c>
      <c r="L668" s="28" t="n">
        <v>547573</v>
      </c>
      <c r="M668" s="28" t="n">
        <v>893981</v>
      </c>
      <c r="N668" s="28" t="n">
        <v>593</v>
      </c>
      <c r="O668" s="28" t="n">
        <v>36535</v>
      </c>
      <c r="P668" s="28" t="n">
        <v>5471</v>
      </c>
      <c r="Q668" s="28" t="n">
        <v>1484153</v>
      </c>
      <c r="R668" s="28" t="n">
        <v>0</v>
      </c>
      <c r="S668" s="28">
        <f>Q668-R668</f>
        <v/>
      </c>
      <c r="T668" s="28">
        <f>IF(S668="","",S668*(1+in_GrowthRate)^(YEARFRAC(DATE(2024,6,30),in_AgeToDate)*IF(in_AgeToDate&lt;DATE(2024,6,30),-1,1)+1))</f>
        <v/>
      </c>
      <c r="U668" s="50">
        <f>IF(AND(AND(OR(in_Mode="All Funds",AND(C668&gt;=in_BandFloor,C668&lt;=in_BandCeiling,OR(in_Geography="National",COUNTIFS(lst_GeoPreset,in_Geography,lst_GeoState,B668)&gt;0,AND(in_Geography="Custom",ISNUMBER(SEARCH(B668,SUBSTITUTE(in_CustomStates," ",""))))),OR(AND(D668="Endowment",Inputs!$B$14="Y"),AND(D668="Foundation",Inputs!$B$15="Y"),AND(D668="Healthcare",Inputs!$B$16="Y"),AND(D668="Pension",Inputs!$B$17="Y"),AND(D668="OCIO",Inputs!$B$18="Y"),AND(D668="Other",Inputs!$B$19="Y")))),A668&lt;&gt;in_ClientOrg,NOT(AND(in_ExclHarvard="Y",ISNUMBER(SEARCH("Harvard",A668))))),$AD668="Y",K668&lt;&gt;"",S668&gt;0),"Y","")</f>
        <v/>
      </c>
      <c r="V668" s="30" t="n">
        <v>1</v>
      </c>
      <c r="W668" t="inlineStr"/>
      <c r="X668" s="28">
        <f>IF(L668+M668=0,"",L668+M668)</f>
        <v/>
      </c>
      <c r="Y668" s="38">
        <f>IF(L668=0,"",M668/L668)</f>
        <v/>
      </c>
      <c r="Z668" t="inlineStr">
        <is>
          <t>CIO - Top Investment Executive</t>
        </is>
      </c>
      <c r="AA668" t="inlineStr">
        <is>
          <t>Leadership</t>
        </is>
      </c>
      <c r="AB668" s="50" t="inlineStr">
        <is>
          <t>Y</t>
        </is>
      </c>
      <c r="AC668" s="43">
        <f>HYPERLINK("https://projects.propublica.org/nonprofits/organizations/240795445/202511159349301861/full","view filing")</f>
        <v/>
      </c>
      <c r="AD668" s="50" t="inlineStr"/>
    </row>
    <row r="669">
      <c r="A669" t="inlineStr">
        <is>
          <t>Lehigh University</t>
        </is>
      </c>
      <c r="B669" s="50" t="inlineStr">
        <is>
          <t>PA</t>
        </is>
      </c>
      <c r="C669" s="52" t="n">
        <v>2</v>
      </c>
      <c r="D669" t="inlineStr">
        <is>
          <t>Endowment</t>
        </is>
      </c>
      <c r="E669" s="50" t="n">
        <v>2024</v>
      </c>
      <c r="F669" s="50" t="inlineStr">
        <is>
          <t>2025-04-25</t>
        </is>
      </c>
      <c r="G669" s="50" t="inlineStr">
        <is>
          <t>2024-06-30</t>
        </is>
      </c>
      <c r="H669" t="inlineStr">
        <is>
          <t>Michael D Gould</t>
        </is>
      </c>
      <c r="I669" t="inlineStr">
        <is>
          <t>ASSOC DIR. INVEST. OFF.</t>
        </is>
      </c>
      <c r="J669" t="inlineStr">
        <is>
          <t>Director of Investments</t>
        </is>
      </c>
      <c r="K669" t="inlineStr">
        <is>
          <t>Sr Investment Professional</t>
        </is>
      </c>
      <c r="L669" s="28" t="n">
        <v>305385</v>
      </c>
      <c r="M669" s="28" t="n">
        <v>431880</v>
      </c>
      <c r="N669" s="28" t="n">
        <v>275</v>
      </c>
      <c r="O669" s="28" t="n">
        <v>30349</v>
      </c>
      <c r="P669" s="28" t="n">
        <v>6781</v>
      </c>
      <c r="Q669" s="28" t="n">
        <v>774670</v>
      </c>
      <c r="R669" s="28" t="n">
        <v>0</v>
      </c>
      <c r="S669" s="28">
        <f>Q669-R669</f>
        <v/>
      </c>
      <c r="T669" s="28">
        <f>IF(S669="","",S669*(1+in_GrowthRate)^(YEARFRAC(DATE(2024,6,30),in_AgeToDate)*IF(in_AgeToDate&lt;DATE(2024,6,30),-1,1)+1))</f>
        <v/>
      </c>
      <c r="U669" s="50">
        <f>IF(AND(AND(OR(in_Mode="All Funds",AND(C669&gt;=in_BandFloor,C669&lt;=in_BandCeiling,OR(in_Geography="National",COUNTIFS(lst_GeoPreset,in_Geography,lst_GeoState,B669)&gt;0,AND(in_Geography="Custom",ISNUMBER(SEARCH(B669,SUBSTITUTE(in_CustomStates," ",""))))),OR(AND(D669="Endowment",Inputs!$B$14="Y"),AND(D669="Foundation",Inputs!$B$15="Y"),AND(D669="Healthcare",Inputs!$B$16="Y"),AND(D669="Pension",Inputs!$B$17="Y"),AND(D669="OCIO",Inputs!$B$18="Y"),AND(D669="Other",Inputs!$B$19="Y")))),A669&lt;&gt;in_ClientOrg,NOT(AND(in_ExclHarvard="Y",ISNUMBER(SEARCH("Harvard",A669))))),$AD669="Y",K669&lt;&gt;"",S669&gt;0),"Y","")</f>
        <v/>
      </c>
      <c r="V669" s="30" t="n">
        <v>0.5219610107583248</v>
      </c>
      <c r="W669" t="inlineStr"/>
      <c r="X669" s="28">
        <f>IF(L669+M669=0,"",L669+M669)</f>
        <v/>
      </c>
      <c r="Y669" s="38">
        <f>IF(L669=0,"",M669/L669)</f>
        <v/>
      </c>
      <c r="Z669" t="inlineStr">
        <is>
          <t>Director &amp; Investment Officer</t>
        </is>
      </c>
      <c r="AA669" t="inlineStr">
        <is>
          <t>Investments</t>
        </is>
      </c>
      <c r="AB669" s="50" t="inlineStr"/>
      <c r="AC669" s="43">
        <f>HYPERLINK("https://projects.propublica.org/nonprofits/organizations/240795445/202511159349301861/full","view filing")</f>
        <v/>
      </c>
      <c r="AD669" s="50" t="inlineStr"/>
    </row>
    <row r="670">
      <c r="A670" t="inlineStr">
        <is>
          <t>Lehigh University</t>
        </is>
      </c>
      <c r="B670" s="50" t="inlineStr">
        <is>
          <t>PA</t>
        </is>
      </c>
      <c r="C670" s="52" t="n">
        <v>2</v>
      </c>
      <c r="D670" t="inlineStr">
        <is>
          <t>Endowment</t>
        </is>
      </c>
      <c r="E670" s="50" t="n">
        <v>2023</v>
      </c>
      <c r="F670" s="50" t="inlineStr">
        <is>
          <t>2024-04-16</t>
        </is>
      </c>
      <c r="G670" s="50" t="inlineStr">
        <is>
          <t>2023-06-30</t>
        </is>
      </c>
      <c r="H670" t="inlineStr">
        <is>
          <t>Kristin Agatone</t>
        </is>
      </c>
      <c r="I670" t="inlineStr">
        <is>
          <t>CHIEF INVESTMENT OFF.</t>
        </is>
      </c>
      <c r="J670" t="inlineStr">
        <is>
          <t>CIO</t>
        </is>
      </c>
      <c r="K670" t="inlineStr">
        <is>
          <t>CIO - Top Investment Executive</t>
        </is>
      </c>
      <c r="L670" s="28" t="n">
        <v>533705</v>
      </c>
      <c r="M670" s="28" t="n">
        <v>815980</v>
      </c>
      <c r="N670" s="28" t="n">
        <v>568</v>
      </c>
      <c r="O670" s="28" t="n">
        <v>28407</v>
      </c>
      <c r="P670" s="28" t="n">
        <v>1895</v>
      </c>
      <c r="Q670" s="28" t="n">
        <v>1380555</v>
      </c>
      <c r="R670" s="28" t="n">
        <v>0</v>
      </c>
      <c r="S670" s="28">
        <f>Q670-R670</f>
        <v/>
      </c>
      <c r="T670" s="28">
        <f>IF(S670="","",S670*(1+in_GrowthRate)^(YEARFRAC(DATE(2023,6,30),in_AgeToDate)*IF(in_AgeToDate&lt;DATE(2023,6,30),-1,1)+1))</f>
        <v/>
      </c>
      <c r="U670" s="50">
        <f>IF(AND(AND(OR(in_Mode="All Funds",AND(C670&gt;=in_BandFloor,C670&lt;=in_BandCeiling,OR(in_Geography="National",COUNTIFS(lst_GeoPreset,in_Geography,lst_GeoState,B670)&gt;0,AND(in_Geography="Custom",ISNUMBER(SEARCH(B670,SUBSTITUTE(in_CustomStates," ",""))))),OR(AND(D670="Endowment",Inputs!$B$14="Y"),AND(D670="Foundation",Inputs!$B$15="Y"),AND(D670="Healthcare",Inputs!$B$16="Y"),AND(D670="Pension",Inputs!$B$17="Y"),AND(D670="OCIO",Inputs!$B$18="Y"),AND(D670="Other",Inputs!$B$19="Y")))),A670&lt;&gt;in_ClientOrg,NOT(AND(in_ExclHarvard="Y",ISNUMBER(SEARCH("Harvard",A670))))),$AD670="Y",K670&lt;&gt;"",S670&gt;0),"Y","")</f>
        <v/>
      </c>
      <c r="V670" s="30" t="n">
        <v>1</v>
      </c>
      <c r="W670" t="inlineStr"/>
      <c r="X670" s="28">
        <f>IF(L670+M670=0,"",L670+M670)</f>
        <v/>
      </c>
      <c r="Y670" s="38">
        <f>IF(L670=0,"",M670/L670)</f>
        <v/>
      </c>
      <c r="Z670" t="inlineStr">
        <is>
          <t>CIO - Top Investment Executive</t>
        </is>
      </c>
      <c r="AA670" t="inlineStr">
        <is>
          <t>Leadership</t>
        </is>
      </c>
      <c r="AB670" s="50" t="inlineStr">
        <is>
          <t>Y</t>
        </is>
      </c>
      <c r="AC670" s="43">
        <f>HYPERLINK("https://projects.propublica.org/nonprofits/organizations/240795445/202421079349301702/full","view filing")</f>
        <v/>
      </c>
      <c r="AD670" s="50" t="inlineStr"/>
    </row>
    <row r="671">
      <c r="A671" t="inlineStr">
        <is>
          <t>Lehigh University</t>
        </is>
      </c>
      <c r="B671" s="50" t="inlineStr">
        <is>
          <t>PA</t>
        </is>
      </c>
      <c r="C671" s="52" t="n">
        <v>2</v>
      </c>
      <c r="D671" t="inlineStr">
        <is>
          <t>Endowment</t>
        </is>
      </c>
      <c r="E671" s="50" t="n">
        <v>2023</v>
      </c>
      <c r="F671" s="50" t="inlineStr">
        <is>
          <t>2024-04-16</t>
        </is>
      </c>
      <c r="G671" s="50" t="inlineStr">
        <is>
          <t>2023-06-30</t>
        </is>
      </c>
      <c r="H671" t="inlineStr">
        <is>
          <t>Michael D Gould</t>
        </is>
      </c>
      <c r="I671" t="inlineStr">
        <is>
          <t>ASSOC DIR. INVEST. OFF.</t>
        </is>
      </c>
      <c r="J671" t="inlineStr">
        <is>
          <t>Director of Investments</t>
        </is>
      </c>
      <c r="K671" t="inlineStr">
        <is>
          <t>Sr Investment Professional</t>
        </is>
      </c>
      <c r="L671" s="28" t="n">
        <v>277900</v>
      </c>
      <c r="M671" s="28" t="n">
        <v>299117</v>
      </c>
      <c r="N671" s="28" t="n">
        <v>227</v>
      </c>
      <c r="O671" s="28" t="n">
        <v>20282</v>
      </c>
      <c r="P671" s="28" t="n">
        <v>1374</v>
      </c>
      <c r="Q671" s="28" t="n">
        <v>598900</v>
      </c>
      <c r="R671" s="28" t="n">
        <v>0</v>
      </c>
      <c r="S671" s="28">
        <f>Q671-R671</f>
        <v/>
      </c>
      <c r="T671" s="28">
        <f>IF(S671="","",S671*(1+in_GrowthRate)^(YEARFRAC(DATE(2023,6,30),in_AgeToDate)*IF(in_AgeToDate&lt;DATE(2023,6,30),-1,1)+1))</f>
        <v/>
      </c>
      <c r="U671" s="50">
        <f>IF(AND(AND(OR(in_Mode="All Funds",AND(C671&gt;=in_BandFloor,C671&lt;=in_BandCeiling,OR(in_Geography="National",COUNTIFS(lst_GeoPreset,in_Geography,lst_GeoState,B671)&gt;0,AND(in_Geography="Custom",ISNUMBER(SEARCH(B671,SUBSTITUTE(in_CustomStates," ",""))))),OR(AND(D671="Endowment",Inputs!$B$14="Y"),AND(D671="Foundation",Inputs!$B$15="Y"),AND(D671="Healthcare",Inputs!$B$16="Y"),AND(D671="Pension",Inputs!$B$17="Y"),AND(D671="OCIO",Inputs!$B$18="Y"),AND(D671="Other",Inputs!$B$19="Y")))),A671&lt;&gt;in_ClientOrg,NOT(AND(in_ExclHarvard="Y",ISNUMBER(SEARCH("Harvard",A671))))),$AD671="Y",K671&lt;&gt;"",S671&gt;0),"Y","")</f>
        <v/>
      </c>
      <c r="V671" s="30" t="n">
        <v>0.4338110397629938</v>
      </c>
      <c r="W671" t="inlineStr"/>
      <c r="X671" s="28">
        <f>IF(L671+M671=0,"",L671+M671)</f>
        <v/>
      </c>
      <c r="Y671" s="38">
        <f>IF(L671=0,"",M671/L671)</f>
        <v/>
      </c>
      <c r="Z671" t="inlineStr">
        <is>
          <t>Director &amp; Investment Officer</t>
        </is>
      </c>
      <c r="AA671" t="inlineStr">
        <is>
          <t>Investments</t>
        </is>
      </c>
      <c r="AB671" s="50" t="inlineStr"/>
      <c r="AC671" s="43">
        <f>HYPERLINK("https://projects.propublica.org/nonprofits/organizations/240795445/202421079349301702/full","view filing")</f>
        <v/>
      </c>
      <c r="AD671" s="50" t="inlineStr"/>
    </row>
    <row r="672">
      <c r="A672" t="inlineStr">
        <is>
          <t>Lehigh University</t>
        </is>
      </c>
      <c r="B672" s="50" t="inlineStr">
        <is>
          <t>PA</t>
        </is>
      </c>
      <c r="C672" s="52" t="n">
        <v>2</v>
      </c>
      <c r="D672" t="inlineStr">
        <is>
          <t>Endowment</t>
        </is>
      </c>
      <c r="E672" s="50" t="n">
        <v>2022</v>
      </c>
      <c r="F672" s="50" t="inlineStr">
        <is>
          <t>2023-03-20</t>
        </is>
      </c>
      <c r="G672" s="50" t="inlineStr">
        <is>
          <t>2022-06-30</t>
        </is>
      </c>
      <c r="H672" t="inlineStr">
        <is>
          <t>Kristin Agatone</t>
        </is>
      </c>
      <c r="I672" t="inlineStr">
        <is>
          <t>CHIEF INVESTMENT OFF.</t>
        </is>
      </c>
      <c r="J672" t="inlineStr">
        <is>
          <t>CIO</t>
        </is>
      </c>
      <c r="K672" t="inlineStr">
        <is>
          <t>CIO - Top Investment Executive</t>
        </is>
      </c>
      <c r="L672" s="28" t="n">
        <v>519625</v>
      </c>
      <c r="M672" s="28" t="n">
        <v>789247</v>
      </c>
      <c r="N672" s="28" t="n">
        <v>556</v>
      </c>
      <c r="O672" s="28" t="n">
        <v>27157</v>
      </c>
      <c r="P672" s="28" t="n">
        <v>2276</v>
      </c>
      <c r="Q672" s="28" t="n">
        <v>1338861</v>
      </c>
      <c r="R672" s="28" t="n">
        <v>0</v>
      </c>
      <c r="S672" s="28">
        <f>Q672-R672</f>
        <v/>
      </c>
      <c r="T672" s="28">
        <f>IF(S672="","",S672*(1+in_GrowthRate)^(YEARFRAC(DATE(2022,6,30),in_AgeToDate)*IF(in_AgeToDate&lt;DATE(2022,6,30),-1,1)+1))</f>
        <v/>
      </c>
      <c r="U672" s="50">
        <f>IF(AND(AND(OR(in_Mode="All Funds",AND(C672&gt;=in_BandFloor,C672&lt;=in_BandCeiling,OR(in_Geography="National",COUNTIFS(lst_GeoPreset,in_Geography,lst_GeoState,B672)&gt;0,AND(in_Geography="Custom",ISNUMBER(SEARCH(B672,SUBSTITUTE(in_CustomStates," ",""))))),OR(AND(D672="Endowment",Inputs!$B$14="Y"),AND(D672="Foundation",Inputs!$B$15="Y"),AND(D672="Healthcare",Inputs!$B$16="Y"),AND(D672="Pension",Inputs!$B$17="Y"),AND(D672="OCIO",Inputs!$B$18="Y"),AND(D672="Other",Inputs!$B$19="Y")))),A672&lt;&gt;in_ClientOrg,NOT(AND(in_ExclHarvard="Y",ISNUMBER(SEARCH("Harvard",A672))))),$AD672="Y",K672&lt;&gt;"",S672&gt;0),"Y","")</f>
        <v/>
      </c>
      <c r="V672" s="30" t="n">
        <v>1</v>
      </c>
      <c r="W672" t="inlineStr"/>
      <c r="X672" s="28">
        <f>IF(L672+M672=0,"",L672+M672)</f>
        <v/>
      </c>
      <c r="Y672" s="38">
        <f>IF(L672=0,"",M672/L672)</f>
        <v/>
      </c>
      <c r="Z672" t="inlineStr">
        <is>
          <t>CIO - Top Investment Executive</t>
        </is>
      </c>
      <c r="AA672" t="inlineStr">
        <is>
          <t>Leadership</t>
        </is>
      </c>
      <c r="AB672" s="50" t="inlineStr">
        <is>
          <t>Y</t>
        </is>
      </c>
      <c r="AC672" s="43">
        <f>HYPERLINK("https://projects.propublica.org/nonprofits/organizations/240795445/202340799349300989/full","view filing")</f>
        <v/>
      </c>
      <c r="AD672" s="50" t="inlineStr"/>
    </row>
    <row r="673">
      <c r="A673" t="inlineStr">
        <is>
          <t>Lehigh University</t>
        </is>
      </c>
      <c r="B673" s="50" t="inlineStr">
        <is>
          <t>PA</t>
        </is>
      </c>
      <c r="C673" s="52" t="n">
        <v>2</v>
      </c>
      <c r="D673" t="inlineStr">
        <is>
          <t>Endowment</t>
        </is>
      </c>
      <c r="E673" s="50" t="n">
        <v>2022</v>
      </c>
      <c r="F673" s="50" t="inlineStr">
        <is>
          <t>2023-03-20</t>
        </is>
      </c>
      <c r="G673" s="50" t="inlineStr">
        <is>
          <t>2022-06-30</t>
        </is>
      </c>
      <c r="H673" t="inlineStr">
        <is>
          <t>Michael D Gould</t>
        </is>
      </c>
      <c r="I673" t="inlineStr">
        <is>
          <t>ASSOC DIR. INVEST. OFF.</t>
        </is>
      </c>
      <c r="J673" t="inlineStr">
        <is>
          <t>Director of Investments</t>
        </is>
      </c>
      <c r="K673" t="inlineStr">
        <is>
          <t>Sr Investment Professional</t>
        </is>
      </c>
      <c r="L673" s="28" t="n">
        <v>212537</v>
      </c>
      <c r="M673" s="28" t="n">
        <v>232932</v>
      </c>
      <c r="N673" s="28" t="n">
        <v>167</v>
      </c>
      <c r="O673" s="28" t="n">
        <v>10848</v>
      </c>
      <c r="P673" s="28" t="n">
        <v>1077</v>
      </c>
      <c r="Q673" s="28" t="n">
        <v>457561</v>
      </c>
      <c r="R673" s="28" t="n">
        <v>0</v>
      </c>
      <c r="S673" s="28">
        <f>Q673-R673</f>
        <v/>
      </c>
      <c r="T673" s="28">
        <f>IF(S673="","",S673*(1+in_GrowthRate)^(YEARFRAC(DATE(2022,6,30),in_AgeToDate)*IF(in_AgeToDate&lt;DATE(2022,6,30),-1,1)+1))</f>
        <v/>
      </c>
      <c r="U673" s="50">
        <f>IF(AND(AND(OR(in_Mode="All Funds",AND(C673&gt;=in_BandFloor,C673&lt;=in_BandCeiling,OR(in_Geography="National",COUNTIFS(lst_GeoPreset,in_Geography,lst_GeoState,B673)&gt;0,AND(in_Geography="Custom",ISNUMBER(SEARCH(B673,SUBSTITUTE(in_CustomStates," ",""))))),OR(AND(D673="Endowment",Inputs!$B$14="Y"),AND(D673="Foundation",Inputs!$B$15="Y"),AND(D673="Healthcare",Inputs!$B$16="Y"),AND(D673="Pension",Inputs!$B$17="Y"),AND(D673="OCIO",Inputs!$B$18="Y"),AND(D673="Other",Inputs!$B$19="Y")))),A673&lt;&gt;in_ClientOrg,NOT(AND(in_ExclHarvard="Y",ISNUMBER(SEARCH("Harvard",A673))))),$AD673="Y",K673&lt;&gt;"",S673&gt;0),"Y","")</f>
        <v/>
      </c>
      <c r="V673" s="30" t="n">
        <v>0.3417539236709412</v>
      </c>
      <c r="W673" t="inlineStr"/>
      <c r="X673" s="28">
        <f>IF(L673+M673=0,"",L673+M673)</f>
        <v/>
      </c>
      <c r="Y673" s="38">
        <f>IF(L673=0,"",M673/L673)</f>
        <v/>
      </c>
      <c r="Z673" t="inlineStr">
        <is>
          <t>Director &amp; Investment Officer</t>
        </is>
      </c>
      <c r="AA673" t="inlineStr">
        <is>
          <t>Investments</t>
        </is>
      </c>
      <c r="AB673" s="50" t="inlineStr"/>
      <c r="AC673" s="43">
        <f>HYPERLINK("https://projects.propublica.org/nonprofits/organizations/240795445/202340799349300989/full","view filing")</f>
        <v/>
      </c>
      <c r="AD673" s="50" t="inlineStr"/>
    </row>
    <row r="674">
      <c r="A674" t="inlineStr">
        <is>
          <t>Leona M &amp; Harry B Helmsley Charitable Trust</t>
        </is>
      </c>
      <c r="B674" s="50" t="inlineStr">
        <is>
          <t>NY</t>
        </is>
      </c>
      <c r="C674" s="52" t="n">
        <v>6.99</v>
      </c>
      <c r="D674" t="inlineStr">
        <is>
          <t>Foundation</t>
        </is>
      </c>
      <c r="E674" s="50" t="n">
        <v>2025</v>
      </c>
      <c r="F674" s="50" t="inlineStr">
        <is>
          <t>2026-02-05</t>
        </is>
      </c>
      <c r="G674" s="50" t="inlineStr">
        <is>
          <t>2025-03-31</t>
        </is>
      </c>
      <c r="H674" t="inlineStr">
        <is>
          <t>Al Y Kim</t>
        </is>
      </c>
      <c r="I674" t="inlineStr">
        <is>
          <t>DIRECTOR OF INVESTME</t>
        </is>
      </c>
      <c r="J674" t="inlineStr">
        <is>
          <t>Director of Investments</t>
        </is>
      </c>
      <c r="K674" t="inlineStr">
        <is>
          <t>Sr Investment Professional</t>
        </is>
      </c>
      <c r="L674" s="28" t="n">
        <v>0</v>
      </c>
      <c r="M674" s="28" t="n">
        <v>0</v>
      </c>
      <c r="N674" s="28" t="n">
        <v>0</v>
      </c>
      <c r="O674" s="28" t="n">
        <v>0</v>
      </c>
      <c r="P674" s="28" t="n">
        <v>0</v>
      </c>
      <c r="Q674" s="28" t="n">
        <v>769227</v>
      </c>
      <c r="R674" s="28" t="n">
        <v>0</v>
      </c>
      <c r="S674" s="28">
        <f>Q674-R674</f>
        <v/>
      </c>
      <c r="T674" s="28">
        <f>IF(S674="","",S674*(1+in_GrowthRate)^(YEARFRAC(DATE(2025,3,31),in_AgeToDate)*IF(in_AgeToDate&lt;DATE(2025,3,31),-1,1)+1))</f>
        <v/>
      </c>
      <c r="U674" s="50">
        <f>IF(AND(AND(OR(in_Mode="All Funds",AND(C674&gt;=in_BandFloor,C674&lt;=in_BandCeiling,OR(in_Geography="National",COUNTIFS(lst_GeoPreset,in_Geography,lst_GeoState,B674)&gt;0,AND(in_Geography="Custom",ISNUMBER(SEARCH(B674,SUBSTITUTE(in_CustomStates," ",""))))),OR(AND(D674="Endowment",Inputs!$B$14="Y"),AND(D674="Foundation",Inputs!$B$15="Y"),AND(D674="Healthcare",Inputs!$B$16="Y"),AND(D674="Pension",Inputs!$B$17="Y"),AND(D674="OCIO",Inputs!$B$18="Y"),AND(D674="Other",Inputs!$B$19="Y")))),A674&lt;&gt;in_ClientOrg,NOT(AND(in_ExclHarvard="Y",ISNUMBER(SEARCH("Harvard",A674))))),$AD674="Y",K674&lt;&gt;"",S674&gt;0),"Y","")</f>
        <v/>
      </c>
      <c r="V674" s="30" t="n">
        <v>0.6126647992143638</v>
      </c>
      <c r="W674" t="inlineStr"/>
      <c r="X674" s="28">
        <f>IF(L674+M674=0,"",L674+M674)</f>
        <v/>
      </c>
      <c r="Y674" s="38">
        <f>IF(L674=0,"",M674/L674)</f>
        <v/>
      </c>
      <c r="Z674" t="inlineStr">
        <is>
          <t>Director &amp; Investment Officer</t>
        </is>
      </c>
      <c r="AA674" t="inlineStr">
        <is>
          <t>Investments</t>
        </is>
      </c>
      <c r="AB674" s="50" t="inlineStr"/>
      <c r="AC674" s="43">
        <f>HYPERLINK("https://projects.propublica.org/nonprofits/organizations/137184401/202600369349100525/full","view filing")</f>
        <v/>
      </c>
      <c r="AD674" s="50" t="inlineStr">
        <is>
          <t>Y</t>
        </is>
      </c>
    </row>
    <row r="675">
      <c r="A675" t="inlineStr">
        <is>
          <t>Leona M &amp; Harry B Helmsley Charitable Trust</t>
        </is>
      </c>
      <c r="B675" s="50" t="inlineStr">
        <is>
          <t>NY</t>
        </is>
      </c>
      <c r="C675" s="52" t="n">
        <v>6.99</v>
      </c>
      <c r="D675" t="inlineStr">
        <is>
          <t>Foundation</t>
        </is>
      </c>
      <c r="E675" s="50" t="n">
        <v>2025</v>
      </c>
      <c r="F675" s="50" t="inlineStr">
        <is>
          <t>2026-02-05</t>
        </is>
      </c>
      <c r="G675" s="50" t="inlineStr">
        <is>
          <t>2025-03-31</t>
        </is>
      </c>
      <c r="H675" t="inlineStr">
        <is>
          <t>Brian B Chun</t>
        </is>
      </c>
      <c r="I675" t="inlineStr">
        <is>
          <t>DIRECTOR OF INVESTME</t>
        </is>
      </c>
      <c r="J675" t="inlineStr">
        <is>
          <t>Director of Investments</t>
        </is>
      </c>
      <c r="K675" t="inlineStr">
        <is>
          <t>Sr Investment Professional</t>
        </is>
      </c>
      <c r="L675" s="28" t="n">
        <v>0</v>
      </c>
      <c r="M675" s="28" t="n">
        <v>0</v>
      </c>
      <c r="N675" s="28" t="n">
        <v>0</v>
      </c>
      <c r="O675" s="28" t="n">
        <v>0</v>
      </c>
      <c r="P675" s="28" t="n">
        <v>0</v>
      </c>
      <c r="Q675" s="28" t="n">
        <v>550358</v>
      </c>
      <c r="R675" s="28" t="n">
        <v>0</v>
      </c>
      <c r="S675" s="28">
        <f>Q675-R675</f>
        <v/>
      </c>
      <c r="T675" s="28">
        <f>IF(S675="","",S675*(1+in_GrowthRate)^(YEARFRAC(DATE(2025,3,31),in_AgeToDate)*IF(in_AgeToDate&lt;DATE(2025,3,31),-1,1)+1))</f>
        <v/>
      </c>
      <c r="U675" s="50">
        <f>IF(AND(AND(OR(in_Mode="All Funds",AND(C675&gt;=in_BandFloor,C675&lt;=in_BandCeiling,OR(in_Geography="National",COUNTIFS(lst_GeoPreset,in_Geography,lst_GeoState,B675)&gt;0,AND(in_Geography="Custom",ISNUMBER(SEARCH(B675,SUBSTITUTE(in_CustomStates," ",""))))),OR(AND(D675="Endowment",Inputs!$B$14="Y"),AND(D675="Foundation",Inputs!$B$15="Y"),AND(D675="Healthcare",Inputs!$B$16="Y"),AND(D675="Pension",Inputs!$B$17="Y"),AND(D675="OCIO",Inputs!$B$18="Y"),AND(D675="Other",Inputs!$B$19="Y")))),A675&lt;&gt;in_ClientOrg,NOT(AND(in_ExclHarvard="Y",ISNUMBER(SEARCH("Harvard",A675))))),$AD675="Y",K675&lt;&gt;"",S675&gt;0),"Y","")</f>
        <v/>
      </c>
      <c r="V675" s="30" t="n">
        <v>0.4383426135146307</v>
      </c>
      <c r="W675" t="inlineStr"/>
      <c r="X675" s="28">
        <f>IF(L675+M675=0,"",L675+M675)</f>
        <v/>
      </c>
      <c r="Y675" s="38">
        <f>IF(L675=0,"",M675/L675)</f>
        <v/>
      </c>
      <c r="Z675" t="inlineStr">
        <is>
          <t>Director &amp; Investment Officer</t>
        </is>
      </c>
      <c r="AA675" t="inlineStr">
        <is>
          <t>Investments</t>
        </is>
      </c>
      <c r="AB675" s="50" t="inlineStr"/>
      <c r="AC675" s="43">
        <f>HYPERLINK("https://projects.propublica.org/nonprofits/organizations/137184401/202600369349100525/full","view filing")</f>
        <v/>
      </c>
      <c r="AD675" s="50" t="inlineStr">
        <is>
          <t>Y</t>
        </is>
      </c>
    </row>
    <row r="676">
      <c r="A676" t="inlineStr">
        <is>
          <t>Leona M &amp; Harry B Helmsley Charitable Trust</t>
        </is>
      </c>
      <c r="B676" s="50" t="inlineStr">
        <is>
          <t>NY</t>
        </is>
      </c>
      <c r="C676" s="52" t="n">
        <v>6.99</v>
      </c>
      <c r="D676" t="inlineStr">
        <is>
          <t>Foundation</t>
        </is>
      </c>
      <c r="E676" s="50" t="n">
        <v>2025</v>
      </c>
      <c r="F676" s="50" t="inlineStr">
        <is>
          <t>2026-02-05</t>
        </is>
      </c>
      <c r="G676" s="50" t="inlineStr">
        <is>
          <t>2025-03-31</t>
        </is>
      </c>
      <c r="H676" t="inlineStr">
        <is>
          <t>Joshua W Fenton</t>
        </is>
      </c>
      <c r="I676" t="inlineStr">
        <is>
          <t>CHIEF INVESTMENT OFFICER</t>
        </is>
      </c>
      <c r="J676" t="inlineStr">
        <is>
          <t>CIO</t>
        </is>
      </c>
      <c r="K676" t="inlineStr">
        <is>
          <t>CIO - Top Investment Executive</t>
        </is>
      </c>
      <c r="L676" s="28" t="n">
        <v>0</v>
      </c>
      <c r="M676" s="28" t="n">
        <v>0</v>
      </c>
      <c r="N676" s="28" t="n">
        <v>0</v>
      </c>
      <c r="O676" s="28" t="n">
        <v>0</v>
      </c>
      <c r="P676" s="28" t="n">
        <v>237966</v>
      </c>
      <c r="Q676" s="28" t="n">
        <v>1255543</v>
      </c>
      <c r="R676" s="28" t="n">
        <v>0</v>
      </c>
      <c r="S676" s="28">
        <f>Q676-R676</f>
        <v/>
      </c>
      <c r="T676" s="28">
        <f>IF(S676="","",S676*(1+in_GrowthRate)^(YEARFRAC(DATE(2025,3,31),in_AgeToDate)*IF(in_AgeToDate&lt;DATE(2025,3,31),-1,1)+1))</f>
        <v/>
      </c>
      <c r="U676" s="50">
        <f>IF(AND(AND(OR(in_Mode="All Funds",AND(C676&gt;=in_BandFloor,C676&lt;=in_BandCeiling,OR(in_Geography="National",COUNTIFS(lst_GeoPreset,in_Geography,lst_GeoState,B676)&gt;0,AND(in_Geography="Custom",ISNUMBER(SEARCH(B676,SUBSTITUTE(in_CustomStates," ",""))))),OR(AND(D676="Endowment",Inputs!$B$14="Y"),AND(D676="Foundation",Inputs!$B$15="Y"),AND(D676="Healthcare",Inputs!$B$16="Y"),AND(D676="Pension",Inputs!$B$17="Y"),AND(D676="OCIO",Inputs!$B$18="Y"),AND(D676="Other",Inputs!$B$19="Y")))),A676&lt;&gt;in_ClientOrg,NOT(AND(in_ExclHarvard="Y",ISNUMBER(SEARCH("Harvard",A676))))),$AD676="Y",K676&lt;&gt;"",S676&gt;0),"Y","")</f>
        <v/>
      </c>
      <c r="V676" s="30" t="n">
        <v>1</v>
      </c>
      <c r="W676" t="inlineStr"/>
      <c r="X676" s="28">
        <f>IF(L676+M676=0,"",L676+M676)</f>
        <v/>
      </c>
      <c r="Y676" s="38">
        <f>IF(L676=0,"",M676/L676)</f>
        <v/>
      </c>
      <c r="Z676" t="inlineStr">
        <is>
          <t>CIO - Top Investment Executive</t>
        </is>
      </c>
      <c r="AA676" t="inlineStr">
        <is>
          <t>Leadership</t>
        </is>
      </c>
      <c r="AB676" s="50" t="inlineStr">
        <is>
          <t>Y</t>
        </is>
      </c>
      <c r="AC676" s="43">
        <f>HYPERLINK("https://projects.propublica.org/nonprofits/organizations/137184401/202600369349100525/full","view filing")</f>
        <v/>
      </c>
      <c r="AD676" s="50" t="inlineStr">
        <is>
          <t>Y</t>
        </is>
      </c>
    </row>
    <row r="677">
      <c r="A677" t="inlineStr">
        <is>
          <t>Leona M &amp; Harry B Helmsley Charitable Trust</t>
        </is>
      </c>
      <c r="B677" s="50" t="inlineStr">
        <is>
          <t>NY</t>
        </is>
      </c>
      <c r="C677" s="52" t="n">
        <v>6.99</v>
      </c>
      <c r="D677" t="inlineStr">
        <is>
          <t>Foundation</t>
        </is>
      </c>
      <c r="E677" s="50" t="n">
        <v>2024</v>
      </c>
      <c r="F677" s="50" t="inlineStr">
        <is>
          <t>2025-01-28</t>
        </is>
      </c>
      <c r="G677" s="50" t="inlineStr">
        <is>
          <t>2024-03-31</t>
        </is>
      </c>
      <c r="H677" t="inlineStr">
        <is>
          <t>Al Y Kim</t>
        </is>
      </c>
      <c r="I677" t="inlineStr">
        <is>
          <t>DIRECTOR OF INVESTME</t>
        </is>
      </c>
      <c r="J677" t="inlineStr">
        <is>
          <t>Director of Investments</t>
        </is>
      </c>
      <c r="K677" t="inlineStr">
        <is>
          <t>Sr Investment Professional</t>
        </is>
      </c>
      <c r="L677" s="28" t="n">
        <v>0</v>
      </c>
      <c r="M677" s="28" t="n">
        <v>0</v>
      </c>
      <c r="N677" s="28" t="n">
        <v>0</v>
      </c>
      <c r="O677" s="28" t="n">
        <v>0</v>
      </c>
      <c r="P677" s="28" t="n">
        <v>0</v>
      </c>
      <c r="Q677" s="28" t="n">
        <v>735817</v>
      </c>
      <c r="R677" s="28" t="n">
        <v>0</v>
      </c>
      <c r="S677" s="28">
        <f>Q677-R677</f>
        <v/>
      </c>
      <c r="T677" s="28">
        <f>IF(S677="","",S677*(1+in_GrowthRate)^(YEARFRAC(DATE(2024,3,31),in_AgeToDate)*IF(in_AgeToDate&lt;DATE(2024,3,31),-1,1)+1))</f>
        <v/>
      </c>
      <c r="U677" s="50">
        <f>IF(AND(AND(OR(in_Mode="All Funds",AND(C677&gt;=in_BandFloor,C677&lt;=in_BandCeiling,OR(in_Geography="National",COUNTIFS(lst_GeoPreset,in_Geography,lst_GeoState,B677)&gt;0,AND(in_Geography="Custom",ISNUMBER(SEARCH(B677,SUBSTITUTE(in_CustomStates," ",""))))),OR(AND(D677="Endowment",Inputs!$B$14="Y"),AND(D677="Foundation",Inputs!$B$15="Y"),AND(D677="Healthcare",Inputs!$B$16="Y"),AND(D677="Pension",Inputs!$B$17="Y"),AND(D677="OCIO",Inputs!$B$18="Y"),AND(D677="Other",Inputs!$B$19="Y")))),A677&lt;&gt;in_ClientOrg,NOT(AND(in_ExclHarvard="Y",ISNUMBER(SEARCH("Harvard",A677))))),$AD677="Y",K677&lt;&gt;"",S677&gt;0),"Y","")</f>
        <v/>
      </c>
      <c r="V677" s="30" t="n">
        <v>0.7466599964687187</v>
      </c>
      <c r="W677" t="inlineStr"/>
      <c r="X677" s="28">
        <f>IF(L677+M677=0,"",L677+M677)</f>
        <v/>
      </c>
      <c r="Y677" s="38">
        <f>IF(L677=0,"",M677/L677)</f>
        <v/>
      </c>
      <c r="Z677" t="inlineStr">
        <is>
          <t>Director &amp; Investment Officer</t>
        </is>
      </c>
      <c r="AA677" t="inlineStr">
        <is>
          <t>Investments</t>
        </is>
      </c>
      <c r="AB677" s="50" t="inlineStr"/>
      <c r="AC677" s="43">
        <f>HYPERLINK("https://projects.propublica.org/nonprofits/organizations/137184401/202530289349100408/full","view filing")</f>
        <v/>
      </c>
      <c r="AD677" s="50" t="inlineStr"/>
    </row>
    <row r="678">
      <c r="A678" t="inlineStr">
        <is>
          <t>Leona M &amp; Harry B Helmsley Charitable Trust</t>
        </is>
      </c>
      <c r="B678" s="50" t="inlineStr">
        <is>
          <t>NY</t>
        </is>
      </c>
      <c r="C678" s="52" t="n">
        <v>6.99</v>
      </c>
      <c r="D678" t="inlineStr">
        <is>
          <t>Foundation</t>
        </is>
      </c>
      <c r="E678" s="50" t="n">
        <v>2024</v>
      </c>
      <c r="F678" s="50" t="inlineStr">
        <is>
          <t>2025-01-28</t>
        </is>
      </c>
      <c r="G678" s="50" t="inlineStr">
        <is>
          <t>2024-03-31</t>
        </is>
      </c>
      <c r="H678" t="inlineStr">
        <is>
          <t>Brian B Chun</t>
        </is>
      </c>
      <c r="I678" t="inlineStr">
        <is>
          <t>DIRECTOR OF INVESTME</t>
        </is>
      </c>
      <c r="J678" t="inlineStr">
        <is>
          <t>Director of Investments</t>
        </is>
      </c>
      <c r="K678" t="inlineStr">
        <is>
          <t>Sr Investment Professional</t>
        </is>
      </c>
      <c r="L678" s="28" t="n">
        <v>0</v>
      </c>
      <c r="M678" s="28" t="n">
        <v>0</v>
      </c>
      <c r="N678" s="28" t="n">
        <v>0</v>
      </c>
      <c r="O678" s="28" t="n">
        <v>0</v>
      </c>
      <c r="P678" s="28" t="n">
        <v>0</v>
      </c>
      <c r="Q678" s="28" t="n">
        <v>454231</v>
      </c>
      <c r="R678" s="28" t="n">
        <v>0</v>
      </c>
      <c r="S678" s="28">
        <f>Q678-R678</f>
        <v/>
      </c>
      <c r="T678" s="28">
        <f>IF(S678="","",S678*(1+in_GrowthRate)^(YEARFRAC(DATE(2024,3,31),in_AgeToDate)*IF(in_AgeToDate&lt;DATE(2024,3,31),-1,1)+1))</f>
        <v/>
      </c>
      <c r="U678" s="50">
        <f>IF(AND(AND(OR(in_Mode="All Funds",AND(C678&gt;=in_BandFloor,C678&lt;=in_BandCeiling,OR(in_Geography="National",COUNTIFS(lst_GeoPreset,in_Geography,lst_GeoState,B678)&gt;0,AND(in_Geography="Custom",ISNUMBER(SEARCH(B678,SUBSTITUTE(in_CustomStates," ",""))))),OR(AND(D678="Endowment",Inputs!$B$14="Y"),AND(D678="Foundation",Inputs!$B$15="Y"),AND(D678="Healthcare",Inputs!$B$16="Y"),AND(D678="Pension",Inputs!$B$17="Y"),AND(D678="OCIO",Inputs!$B$18="Y"),AND(D678="Other",Inputs!$B$19="Y")))),A678&lt;&gt;in_ClientOrg,NOT(AND(in_ExclHarvard="Y",ISNUMBER(SEARCH("Harvard",A678))))),$AD678="Y",K678&lt;&gt;"",S678&gt;0),"Y","")</f>
        <v/>
      </c>
      <c r="V678" s="30" t="n">
        <v>0.4609245462607993</v>
      </c>
      <c r="W678" t="inlineStr"/>
      <c r="X678" s="28">
        <f>IF(L678+M678=0,"",L678+M678)</f>
        <v/>
      </c>
      <c r="Y678" s="38">
        <f>IF(L678=0,"",M678/L678)</f>
        <v/>
      </c>
      <c r="Z678" t="inlineStr">
        <is>
          <t>Director &amp; Investment Officer</t>
        </is>
      </c>
      <c r="AA678" t="inlineStr">
        <is>
          <t>Investments</t>
        </is>
      </c>
      <c r="AB678" s="50" t="inlineStr"/>
      <c r="AC678" s="43">
        <f>HYPERLINK("https://projects.propublica.org/nonprofits/organizations/137184401/202530289349100408/full","view filing")</f>
        <v/>
      </c>
      <c r="AD678" s="50" t="inlineStr"/>
    </row>
    <row r="679">
      <c r="A679" t="inlineStr">
        <is>
          <t>Leona M &amp; Harry B Helmsley Charitable Trust</t>
        </is>
      </c>
      <c r="B679" s="50" t="inlineStr">
        <is>
          <t>NY</t>
        </is>
      </c>
      <c r="C679" s="52" t="n">
        <v>6.99</v>
      </c>
      <c r="D679" t="inlineStr">
        <is>
          <t>Foundation</t>
        </is>
      </c>
      <c r="E679" s="50" t="n">
        <v>2024</v>
      </c>
      <c r="F679" s="50" t="inlineStr">
        <is>
          <t>2025-01-28</t>
        </is>
      </c>
      <c r="G679" s="50" t="inlineStr">
        <is>
          <t>2024-03-31</t>
        </is>
      </c>
      <c r="H679" t="inlineStr">
        <is>
          <t>Joshua W Fenton</t>
        </is>
      </c>
      <c r="I679" t="inlineStr">
        <is>
          <t>CHIEF INVESTMENT OFFICER FROM 1/1/24</t>
        </is>
      </c>
      <c r="J679" t="inlineStr">
        <is>
          <t>CIO</t>
        </is>
      </c>
      <c r="K679" t="inlineStr">
        <is>
          <t>CIO - Top Investment Executive</t>
        </is>
      </c>
      <c r="L679" s="28" t="n">
        <v>0</v>
      </c>
      <c r="M679" s="28" t="n">
        <v>0</v>
      </c>
      <c r="N679" s="28" t="n">
        <v>0</v>
      </c>
      <c r="O679" s="28" t="n">
        <v>0</v>
      </c>
      <c r="P679" s="28" t="n">
        <v>190587</v>
      </c>
      <c r="Q679" s="28" t="n">
        <v>985478</v>
      </c>
      <c r="R679" s="28" t="n">
        <v>0</v>
      </c>
      <c r="S679" s="28">
        <f>Q679-R679</f>
        <v/>
      </c>
      <c r="T679" s="28">
        <f>IF(S679="","",S679*(1+in_GrowthRate)^(YEARFRAC(DATE(2024,3,31),in_AgeToDate)*IF(in_AgeToDate&lt;DATE(2024,3,31),-1,1)+1))</f>
        <v/>
      </c>
      <c r="U679" s="50">
        <f>IF(AND(AND(OR(in_Mode="All Funds",AND(C679&gt;=in_BandFloor,C679&lt;=in_BandCeiling,OR(in_Geography="National",COUNTIFS(lst_GeoPreset,in_Geography,lst_GeoState,B679)&gt;0,AND(in_Geography="Custom",ISNUMBER(SEARCH(B679,SUBSTITUTE(in_CustomStates," ",""))))),OR(AND(D679="Endowment",Inputs!$B$14="Y"),AND(D679="Foundation",Inputs!$B$15="Y"),AND(D679="Healthcare",Inputs!$B$16="Y"),AND(D679="Pension",Inputs!$B$17="Y"),AND(D679="OCIO",Inputs!$B$18="Y"),AND(D679="Other",Inputs!$B$19="Y")))),A679&lt;&gt;in_ClientOrg,NOT(AND(in_ExclHarvard="Y",ISNUMBER(SEARCH("Harvard",A679))))),$AD679="Y",K679&lt;&gt;"",S679&gt;0),"Y","")</f>
        <v/>
      </c>
      <c r="V679" s="30" t="n">
        <v>1</v>
      </c>
      <c r="W679" t="inlineStr"/>
      <c r="X679" s="28">
        <f>IF(L679+M679=0,"",L679+M679)</f>
        <v/>
      </c>
      <c r="Y679" s="38">
        <f>IF(L679=0,"",M679/L679)</f>
        <v/>
      </c>
      <c r="Z679" t="inlineStr">
        <is>
          <t>CIO - Top Investment Executive</t>
        </is>
      </c>
      <c r="AA679" t="inlineStr">
        <is>
          <t>Leadership</t>
        </is>
      </c>
      <c r="AB679" s="50" t="inlineStr">
        <is>
          <t>Y</t>
        </is>
      </c>
      <c r="AC679" s="43">
        <f>HYPERLINK("https://projects.propublica.org/nonprofits/organizations/137184401/202530289349100408/full","view filing")</f>
        <v/>
      </c>
      <c r="AD679" s="50" t="inlineStr"/>
    </row>
    <row r="680">
      <c r="A680" t="inlineStr">
        <is>
          <t>Leona M &amp; Harry B Helmsley Charitable Trust</t>
        </is>
      </c>
      <c r="B680" s="50" t="inlineStr">
        <is>
          <t>NY</t>
        </is>
      </c>
      <c r="C680" s="52" t="n">
        <v>6.99</v>
      </c>
      <c r="D680" t="inlineStr">
        <is>
          <t>Foundation</t>
        </is>
      </c>
      <c r="E680" s="50" t="n">
        <v>2023</v>
      </c>
      <c r="F680" s="50" t="inlineStr">
        <is>
          <t>2024-02-06</t>
        </is>
      </c>
      <c r="G680" s="50" t="inlineStr">
        <is>
          <t>2023-03-31</t>
        </is>
      </c>
      <c r="H680" t="inlineStr">
        <is>
          <t>Al Y Kim</t>
        </is>
      </c>
      <c r="I680" t="inlineStr">
        <is>
          <t>DIRECTOR OF INVESTME</t>
        </is>
      </c>
      <c r="J680" t="inlineStr">
        <is>
          <t>Director of Investments</t>
        </is>
      </c>
      <c r="K680" t="inlineStr">
        <is>
          <t>Sr Investment Professional</t>
        </is>
      </c>
      <c r="L680" s="28" t="n">
        <v>0</v>
      </c>
      <c r="M680" s="28" t="n">
        <v>0</v>
      </c>
      <c r="N680" s="28" t="n">
        <v>0</v>
      </c>
      <c r="O680" s="28" t="n">
        <v>0</v>
      </c>
      <c r="P680" s="28" t="n">
        <v>0</v>
      </c>
      <c r="Q680" s="28" t="n">
        <v>952777</v>
      </c>
      <c r="R680" s="28" t="n">
        <v>0</v>
      </c>
      <c r="S680" s="28">
        <f>Q680-R680</f>
        <v/>
      </c>
      <c r="T680" s="28">
        <f>IF(S680="","",S680*(1+in_GrowthRate)^(YEARFRAC(DATE(2023,3,31),in_AgeToDate)*IF(in_AgeToDate&lt;DATE(2023,3,31),-1,1)+1))</f>
        <v/>
      </c>
      <c r="U680" s="50">
        <f>IF(AND(AND(OR(in_Mode="All Funds",AND(C680&gt;=in_BandFloor,C680&lt;=in_BandCeiling,OR(in_Geography="National",COUNTIFS(lst_GeoPreset,in_Geography,lst_GeoState,B680)&gt;0,AND(in_Geography="Custom",ISNUMBER(SEARCH(B680,SUBSTITUTE(in_CustomStates," ",""))))),OR(AND(D680="Endowment",Inputs!$B$14="Y"),AND(D680="Foundation",Inputs!$B$15="Y"),AND(D680="Healthcare",Inputs!$B$16="Y"),AND(D680="Pension",Inputs!$B$17="Y"),AND(D680="OCIO",Inputs!$B$18="Y"),AND(D680="Other",Inputs!$B$19="Y")))),A680&lt;&gt;in_ClientOrg,NOT(AND(in_ExclHarvard="Y",ISNUMBER(SEARCH("Harvard",A680))))),$AD680="Y",K680&lt;&gt;"",S680&gt;0),"Y","")</f>
        <v/>
      </c>
      <c r="V680" s="30" t="n">
        <v>0.492732180046037</v>
      </c>
      <c r="W680" t="inlineStr"/>
      <c r="X680" s="28">
        <f>IF(L680+M680=0,"",L680+M680)</f>
        <v/>
      </c>
      <c r="Y680" s="38">
        <f>IF(L680=0,"",M680/L680)</f>
        <v/>
      </c>
      <c r="Z680" t="inlineStr">
        <is>
          <t>Director &amp; Investment Officer</t>
        </is>
      </c>
      <c r="AA680" t="inlineStr">
        <is>
          <t>Investments</t>
        </is>
      </c>
      <c r="AB680" s="50" t="inlineStr"/>
      <c r="AC680" s="43">
        <f>HYPERLINK("https://projects.propublica.org/nonprofits/organizations/137184401/202400379349100025/full","view filing")</f>
        <v/>
      </c>
      <c r="AD680" s="50" t="inlineStr"/>
    </row>
    <row r="681">
      <c r="A681" t="inlineStr">
        <is>
          <t>Leona M &amp; Harry B Helmsley Charitable Trust</t>
        </is>
      </c>
      <c r="B681" s="50" t="inlineStr">
        <is>
          <t>NY</t>
        </is>
      </c>
      <c r="C681" s="52" t="n">
        <v>6.99</v>
      </c>
      <c r="D681" t="inlineStr">
        <is>
          <t>Foundation</t>
        </is>
      </c>
      <c r="E681" s="50" t="n">
        <v>2023</v>
      </c>
      <c r="F681" s="50" t="inlineStr">
        <is>
          <t>2024-02-06</t>
        </is>
      </c>
      <c r="G681" s="50" t="inlineStr">
        <is>
          <t>2023-03-31</t>
        </is>
      </c>
      <c r="H681" t="inlineStr">
        <is>
          <t>Brian B Chun</t>
        </is>
      </c>
      <c r="I681" t="inlineStr">
        <is>
          <t>INVESTMENT OFFICER</t>
        </is>
      </c>
      <c r="J681" t="inlineStr">
        <is>
          <t>Investment Officer</t>
        </is>
      </c>
      <c r="K681" t="inlineStr">
        <is>
          <t>Sr Investment Professional</t>
        </is>
      </c>
      <c r="L681" s="28" t="n">
        <v>0</v>
      </c>
      <c r="M681" s="28" t="n">
        <v>0</v>
      </c>
      <c r="N681" s="28" t="n">
        <v>0</v>
      </c>
      <c r="O681" s="28" t="n">
        <v>0</v>
      </c>
      <c r="P681" s="28" t="n">
        <v>0</v>
      </c>
      <c r="Q681" s="28" t="n">
        <v>468187</v>
      </c>
      <c r="R681" s="28" t="n">
        <v>0</v>
      </c>
      <c r="S681" s="28">
        <f>Q681-R681</f>
        <v/>
      </c>
      <c r="T681" s="28">
        <f>IF(S681="","",S681*(1+in_GrowthRate)^(YEARFRAC(DATE(2023,3,31),in_AgeToDate)*IF(in_AgeToDate&lt;DATE(2023,3,31),-1,1)+1))</f>
        <v/>
      </c>
      <c r="U681" s="50">
        <f>IF(AND(AND(OR(in_Mode="All Funds",AND(C681&gt;=in_BandFloor,C681&lt;=in_BandCeiling,OR(in_Geography="National",COUNTIFS(lst_GeoPreset,in_Geography,lst_GeoState,B681)&gt;0,AND(in_Geography="Custom",ISNUMBER(SEARCH(B681,SUBSTITUTE(in_CustomStates," ",""))))),OR(AND(D681="Endowment",Inputs!$B$14="Y"),AND(D681="Foundation",Inputs!$B$15="Y"),AND(D681="Healthcare",Inputs!$B$16="Y"),AND(D681="Pension",Inputs!$B$17="Y"),AND(D681="OCIO",Inputs!$B$18="Y"),AND(D681="Other",Inputs!$B$19="Y")))),A681&lt;&gt;in_ClientOrg,NOT(AND(in_ExclHarvard="Y",ISNUMBER(SEARCH("Harvard",A681))))),$AD681="Y",K681&lt;&gt;"",S681&gt;0),"Y","")</f>
        <v/>
      </c>
      <c r="V681" s="30" t="n">
        <v>0.2421246537009331</v>
      </c>
      <c r="W681" t="inlineStr"/>
      <c r="X681" s="28">
        <f>IF(L681+M681=0,"",L681+M681)</f>
        <v/>
      </c>
      <c r="Y681" s="38">
        <f>IF(L681=0,"",M681/L681)</f>
        <v/>
      </c>
      <c r="Z681" t="inlineStr">
        <is>
          <t>Director &amp; Investment Officer</t>
        </is>
      </c>
      <c r="AA681" t="inlineStr">
        <is>
          <t>Investments</t>
        </is>
      </c>
      <c r="AB681" s="50" t="inlineStr"/>
      <c r="AC681" s="43">
        <f>HYPERLINK("https://projects.propublica.org/nonprofits/organizations/137184401/202400379349100025/full","view filing")</f>
        <v/>
      </c>
      <c r="AD681" s="50" t="inlineStr"/>
    </row>
    <row r="682">
      <c r="A682" t="inlineStr">
        <is>
          <t>Leona M &amp; Harry B Helmsley Charitable Trust</t>
        </is>
      </c>
      <c r="B682" s="50" t="inlineStr">
        <is>
          <t>NY</t>
        </is>
      </c>
      <c r="C682" s="52" t="n">
        <v>6.99</v>
      </c>
      <c r="D682" t="inlineStr">
        <is>
          <t>Foundation</t>
        </is>
      </c>
      <c r="E682" s="50" t="n">
        <v>2023</v>
      </c>
      <c r="F682" s="50" t="inlineStr">
        <is>
          <t>2024-02-06</t>
        </is>
      </c>
      <c r="G682" s="50" t="inlineStr">
        <is>
          <t>2023-03-31</t>
        </is>
      </c>
      <c r="H682" t="inlineStr">
        <is>
          <t>Joshua W Fenton</t>
        </is>
      </c>
      <c r="I682" t="inlineStr">
        <is>
          <t>DIRECTOR OF INVESTME</t>
        </is>
      </c>
      <c r="J682" t="inlineStr">
        <is>
          <t>Director of Investments</t>
        </is>
      </c>
      <c r="K682" t="inlineStr">
        <is>
          <t>Sr Investment Professional</t>
        </is>
      </c>
      <c r="L682" s="28" t="n">
        <v>0</v>
      </c>
      <c r="M682" s="28" t="n">
        <v>0</v>
      </c>
      <c r="N682" s="28" t="n">
        <v>0</v>
      </c>
      <c r="O682" s="28" t="n">
        <v>0</v>
      </c>
      <c r="P682" s="28" t="n">
        <v>0</v>
      </c>
      <c r="Q682" s="28" t="n">
        <v>962255</v>
      </c>
      <c r="R682" s="28" t="n">
        <v>0</v>
      </c>
      <c r="S682" s="28">
        <f>Q682-R682</f>
        <v/>
      </c>
      <c r="T682" s="28">
        <f>IF(S682="","",S682*(1+in_GrowthRate)^(YEARFRAC(DATE(2023,3,31),in_AgeToDate)*IF(in_AgeToDate&lt;DATE(2023,3,31),-1,1)+1))</f>
        <v/>
      </c>
      <c r="U682" s="50">
        <f>IF(AND(AND(OR(in_Mode="All Funds",AND(C682&gt;=in_BandFloor,C682&lt;=in_BandCeiling,OR(in_Geography="National",COUNTIFS(lst_GeoPreset,in_Geography,lst_GeoState,B682)&gt;0,AND(in_Geography="Custom",ISNUMBER(SEARCH(B682,SUBSTITUTE(in_CustomStates," ",""))))),OR(AND(D682="Endowment",Inputs!$B$14="Y"),AND(D682="Foundation",Inputs!$B$15="Y"),AND(D682="Healthcare",Inputs!$B$16="Y"),AND(D682="Pension",Inputs!$B$17="Y"),AND(D682="OCIO",Inputs!$B$18="Y"),AND(D682="Other",Inputs!$B$19="Y")))),A682&lt;&gt;in_ClientOrg,NOT(AND(in_ExclHarvard="Y",ISNUMBER(SEARCH("Harvard",A682))))),$AD682="Y",K682&lt;&gt;"",S682&gt;0),"Y","")</f>
        <v/>
      </c>
      <c r="V682" s="30" t="n">
        <v>0.497633763105322</v>
      </c>
      <c r="W682" t="inlineStr"/>
      <c r="X682" s="28">
        <f>IF(L682+M682=0,"",L682+M682)</f>
        <v/>
      </c>
      <c r="Y682" s="38">
        <f>IF(L682=0,"",M682/L682)</f>
        <v/>
      </c>
      <c r="Z682" t="inlineStr">
        <is>
          <t>Director &amp; Investment Officer</t>
        </is>
      </c>
      <c r="AA682" t="inlineStr">
        <is>
          <t>Investments</t>
        </is>
      </c>
      <c r="AB682" s="50" t="inlineStr"/>
      <c r="AC682" s="43">
        <f>HYPERLINK("https://projects.propublica.org/nonprofits/organizations/137184401/202400379349100025/full","view filing")</f>
        <v/>
      </c>
      <c r="AD682" s="50" t="inlineStr"/>
    </row>
    <row r="683">
      <c r="A683" t="inlineStr">
        <is>
          <t>Leona M &amp; Harry B Helmsley Charitable Trust</t>
        </is>
      </c>
      <c r="B683" s="50" t="inlineStr">
        <is>
          <t>NY</t>
        </is>
      </c>
      <c r="C683" s="52" t="n">
        <v>6.99</v>
      </c>
      <c r="D683" t="inlineStr">
        <is>
          <t>Foundation</t>
        </is>
      </c>
      <c r="E683" s="50" t="n">
        <v>2023</v>
      </c>
      <c r="F683" s="50" t="inlineStr">
        <is>
          <t>2024-02-06</t>
        </is>
      </c>
      <c r="G683" s="50" t="inlineStr">
        <is>
          <t>2023-03-31</t>
        </is>
      </c>
      <c r="H683" t="inlineStr">
        <is>
          <t>Rosalind M Hewsenian</t>
        </is>
      </c>
      <c r="I683" t="inlineStr">
        <is>
          <t>CHIEF INVESTMENT OFFICER</t>
        </is>
      </c>
      <c r="J683" t="inlineStr">
        <is>
          <t>CIO</t>
        </is>
      </c>
      <c r="K683" t="inlineStr">
        <is>
          <t>CIO - Top Investment Executive</t>
        </is>
      </c>
      <c r="L683" s="28" t="n">
        <v>0</v>
      </c>
      <c r="M683" s="28" t="n">
        <v>0</v>
      </c>
      <c r="N683" s="28" t="n">
        <v>0</v>
      </c>
      <c r="O683" s="28" t="n">
        <v>0</v>
      </c>
      <c r="P683" s="28" t="n">
        <v>193856</v>
      </c>
      <c r="Q683" s="28" t="n">
        <v>1933661</v>
      </c>
      <c r="R683" s="28" t="n">
        <v>0</v>
      </c>
      <c r="S683" s="28">
        <f>Q683-R683</f>
        <v/>
      </c>
      <c r="T683" s="28">
        <f>IF(S683="","",S683*(1+in_GrowthRate)^(YEARFRAC(DATE(2023,3,31),in_AgeToDate)*IF(in_AgeToDate&lt;DATE(2023,3,31),-1,1)+1))</f>
        <v/>
      </c>
      <c r="U683" s="50">
        <f>IF(AND(AND(OR(in_Mode="All Funds",AND(C683&gt;=in_BandFloor,C683&lt;=in_BandCeiling,OR(in_Geography="National",COUNTIFS(lst_GeoPreset,in_Geography,lst_GeoState,B683)&gt;0,AND(in_Geography="Custom",ISNUMBER(SEARCH(B683,SUBSTITUTE(in_CustomStates," ",""))))),OR(AND(D683="Endowment",Inputs!$B$14="Y"),AND(D683="Foundation",Inputs!$B$15="Y"),AND(D683="Healthcare",Inputs!$B$16="Y"),AND(D683="Pension",Inputs!$B$17="Y"),AND(D683="OCIO",Inputs!$B$18="Y"),AND(D683="Other",Inputs!$B$19="Y")))),A683&lt;&gt;in_ClientOrg,NOT(AND(in_ExclHarvard="Y",ISNUMBER(SEARCH("Harvard",A683))))),$AD683="Y",K683&lt;&gt;"",S683&gt;0),"Y","")</f>
        <v/>
      </c>
      <c r="V683" s="30" t="n">
        <v>1</v>
      </c>
      <c r="W683" t="inlineStr"/>
      <c r="X683" s="28">
        <f>IF(L683+M683=0,"",L683+M683)</f>
        <v/>
      </c>
      <c r="Y683" s="38">
        <f>IF(L683=0,"",M683/L683)</f>
        <v/>
      </c>
      <c r="Z683" t="inlineStr">
        <is>
          <t>CIO - Top Investment Executive</t>
        </is>
      </c>
      <c r="AA683" t="inlineStr">
        <is>
          <t>Leadership</t>
        </is>
      </c>
      <c r="AB683" s="50" t="inlineStr">
        <is>
          <t>Y</t>
        </is>
      </c>
      <c r="AC683" s="43">
        <f>HYPERLINK("https://projects.propublica.org/nonprofits/organizations/137184401/202400379349100025/full","view filing")</f>
        <v/>
      </c>
      <c r="AD683" s="50" t="inlineStr"/>
    </row>
    <row r="684">
      <c r="A684" t="inlineStr">
        <is>
          <t>Leona M &amp; Harry B Helmsley Charitable Trust</t>
        </is>
      </c>
      <c r="B684" s="50" t="inlineStr">
        <is>
          <t>NY</t>
        </is>
      </c>
      <c r="C684" s="52" t="n">
        <v>6.99</v>
      </c>
      <c r="D684" t="inlineStr">
        <is>
          <t>Foundation</t>
        </is>
      </c>
      <c r="E684" s="50" t="n">
        <v>2022</v>
      </c>
      <c r="F684" s="50" t="inlineStr">
        <is>
          <t>2023-02-07</t>
        </is>
      </c>
      <c r="G684" s="50" t="inlineStr">
        <is>
          <t>2022-03-31</t>
        </is>
      </c>
      <c r="H684" t="inlineStr">
        <is>
          <t>Al Y Kim</t>
        </is>
      </c>
      <c r="I684" t="inlineStr">
        <is>
          <t>DIRECTOR OF INVESTME</t>
        </is>
      </c>
      <c r="J684" t="inlineStr">
        <is>
          <t>Director of Investments</t>
        </is>
      </c>
      <c r="K684" t="inlineStr">
        <is>
          <t>Sr Investment Professional</t>
        </is>
      </c>
      <c r="L684" s="28" t="n">
        <v>0</v>
      </c>
      <c r="M684" s="28" t="n">
        <v>0</v>
      </c>
      <c r="N684" s="28" t="n">
        <v>0</v>
      </c>
      <c r="O684" s="28" t="n">
        <v>0</v>
      </c>
      <c r="P684" s="28" t="n">
        <v>0</v>
      </c>
      <c r="Q684" s="28" t="n">
        <v>915458</v>
      </c>
      <c r="R684" s="28" t="n">
        <v>0</v>
      </c>
      <c r="S684" s="28">
        <f>Q684-R684</f>
        <v/>
      </c>
      <c r="T684" s="28">
        <f>IF(S684="","",S684*(1+in_GrowthRate)^(YEARFRAC(DATE(2022,3,31),in_AgeToDate)*IF(in_AgeToDate&lt;DATE(2022,3,31),-1,1)+1))</f>
        <v/>
      </c>
      <c r="U684" s="50">
        <f>IF(AND(AND(OR(in_Mode="All Funds",AND(C684&gt;=in_BandFloor,C684&lt;=in_BandCeiling,OR(in_Geography="National",COUNTIFS(lst_GeoPreset,in_Geography,lst_GeoState,B684)&gt;0,AND(in_Geography="Custom",ISNUMBER(SEARCH(B684,SUBSTITUTE(in_CustomStates," ",""))))),OR(AND(D684="Endowment",Inputs!$B$14="Y"),AND(D684="Foundation",Inputs!$B$15="Y"),AND(D684="Healthcare",Inputs!$B$16="Y"),AND(D684="Pension",Inputs!$B$17="Y"),AND(D684="OCIO",Inputs!$B$18="Y"),AND(D684="Other",Inputs!$B$19="Y")))),A684&lt;&gt;in_ClientOrg,NOT(AND(in_ExclHarvard="Y",ISNUMBER(SEARCH("Harvard",A684))))),$AD684="Y",K684&lt;&gt;"",S684&gt;0),"Y","")</f>
        <v/>
      </c>
      <c r="V684" s="30" t="n">
        <v>0.4880147045496465</v>
      </c>
      <c r="W684" t="inlineStr"/>
      <c r="X684" s="28">
        <f>IF(L684+M684=0,"",L684+M684)</f>
        <v/>
      </c>
      <c r="Y684" s="38">
        <f>IF(L684=0,"",M684/L684)</f>
        <v/>
      </c>
      <c r="Z684" t="inlineStr">
        <is>
          <t>Director &amp; Investment Officer</t>
        </is>
      </c>
      <c r="AA684" t="inlineStr">
        <is>
          <t>Investments</t>
        </is>
      </c>
      <c r="AB684" s="50" t="inlineStr"/>
      <c r="AC684" s="43">
        <f>HYPERLINK("https://projects.propublica.org/nonprofits/organizations/137184401/202300389349100520/full","view filing")</f>
        <v/>
      </c>
      <c r="AD684" s="50" t="inlineStr"/>
    </row>
    <row r="685">
      <c r="A685" t="inlineStr">
        <is>
          <t>Leona M &amp; Harry B Helmsley Charitable Trust</t>
        </is>
      </c>
      <c r="B685" s="50" t="inlineStr">
        <is>
          <t>NY</t>
        </is>
      </c>
      <c r="C685" s="52" t="n">
        <v>6.99</v>
      </c>
      <c r="D685" t="inlineStr">
        <is>
          <t>Foundation</t>
        </is>
      </c>
      <c r="E685" s="50" t="n">
        <v>2022</v>
      </c>
      <c r="F685" s="50" t="inlineStr">
        <is>
          <t>2023-02-07</t>
        </is>
      </c>
      <c r="G685" s="50" t="inlineStr">
        <is>
          <t>2022-03-31</t>
        </is>
      </c>
      <c r="H685" t="inlineStr">
        <is>
          <t>Brian B Chun</t>
        </is>
      </c>
      <c r="I685" t="inlineStr">
        <is>
          <t>INVESTMENT OFFICER</t>
        </is>
      </c>
      <c r="J685" t="inlineStr">
        <is>
          <t>Investment Officer</t>
        </is>
      </c>
      <c r="K685" t="inlineStr">
        <is>
          <t>Sr Investment Professional</t>
        </is>
      </c>
      <c r="L685" s="28" t="n">
        <v>0</v>
      </c>
      <c r="M685" s="28" t="n">
        <v>0</v>
      </c>
      <c r="N685" s="28" t="n">
        <v>0</v>
      </c>
      <c r="O685" s="28" t="n">
        <v>0</v>
      </c>
      <c r="P685" s="28" t="n">
        <v>0</v>
      </c>
      <c r="Q685" s="28" t="n">
        <v>461296</v>
      </c>
      <c r="R685" s="28" t="n">
        <v>0</v>
      </c>
      <c r="S685" s="28">
        <f>Q685-R685</f>
        <v/>
      </c>
      <c r="T685" s="28">
        <f>IF(S685="","",S685*(1+in_GrowthRate)^(YEARFRAC(DATE(2022,3,31),in_AgeToDate)*IF(in_AgeToDate&lt;DATE(2022,3,31),-1,1)+1))</f>
        <v/>
      </c>
      <c r="U685" s="50">
        <f>IF(AND(AND(OR(in_Mode="All Funds",AND(C685&gt;=in_BandFloor,C685&lt;=in_BandCeiling,OR(in_Geography="National",COUNTIFS(lst_GeoPreset,in_Geography,lst_GeoState,B685)&gt;0,AND(in_Geography="Custom",ISNUMBER(SEARCH(B685,SUBSTITUTE(in_CustomStates," ",""))))),OR(AND(D685="Endowment",Inputs!$B$14="Y"),AND(D685="Foundation",Inputs!$B$15="Y"),AND(D685="Healthcare",Inputs!$B$16="Y"),AND(D685="Pension",Inputs!$B$17="Y"),AND(D685="OCIO",Inputs!$B$18="Y"),AND(D685="Other",Inputs!$B$19="Y")))),A685&lt;&gt;in_ClientOrg,NOT(AND(in_ExclHarvard="Y",ISNUMBER(SEARCH("Harvard",A685))))),$AD685="Y",K685&lt;&gt;"",S685&gt;0),"Y","")</f>
        <v/>
      </c>
      <c r="V685" s="30" t="n">
        <v>0.2459088578066211</v>
      </c>
      <c r="W685" t="inlineStr"/>
      <c r="X685" s="28">
        <f>IF(L685+M685=0,"",L685+M685)</f>
        <v/>
      </c>
      <c r="Y685" s="38">
        <f>IF(L685=0,"",M685/L685)</f>
        <v/>
      </c>
      <c r="Z685" t="inlineStr">
        <is>
          <t>Director &amp; Investment Officer</t>
        </is>
      </c>
      <c r="AA685" t="inlineStr">
        <is>
          <t>Investments</t>
        </is>
      </c>
      <c r="AB685" s="50" t="inlineStr"/>
      <c r="AC685" s="43">
        <f>HYPERLINK("https://projects.propublica.org/nonprofits/organizations/137184401/202300389349100520/full","view filing")</f>
        <v/>
      </c>
      <c r="AD685" s="50" t="inlineStr"/>
    </row>
    <row r="686">
      <c r="A686" t="inlineStr">
        <is>
          <t>Leona M &amp; Harry B Helmsley Charitable Trust</t>
        </is>
      </c>
      <c r="B686" s="50" t="inlineStr">
        <is>
          <t>NY</t>
        </is>
      </c>
      <c r="C686" s="52" t="n">
        <v>6.99</v>
      </c>
      <c r="D686" t="inlineStr">
        <is>
          <t>Foundation</t>
        </is>
      </c>
      <c r="E686" s="50" t="n">
        <v>2022</v>
      </c>
      <c r="F686" s="50" t="inlineStr">
        <is>
          <t>2023-02-07</t>
        </is>
      </c>
      <c r="G686" s="50" t="inlineStr">
        <is>
          <t>2022-03-31</t>
        </is>
      </c>
      <c r="H686" t="inlineStr">
        <is>
          <t>Joshua W Fenton</t>
        </is>
      </c>
      <c r="I686" t="inlineStr">
        <is>
          <t>DIRECTOR OF INVESTME</t>
        </is>
      </c>
      <c r="J686" t="inlineStr">
        <is>
          <t>Director of Investments</t>
        </is>
      </c>
      <c r="K686" t="inlineStr">
        <is>
          <t>Sr Investment Professional</t>
        </is>
      </c>
      <c r="L686" s="28" t="n">
        <v>0</v>
      </c>
      <c r="M686" s="28" t="n">
        <v>0</v>
      </c>
      <c r="N686" s="28" t="n">
        <v>0</v>
      </c>
      <c r="O686" s="28" t="n">
        <v>0</v>
      </c>
      <c r="P686" s="28" t="n">
        <v>0</v>
      </c>
      <c r="Q686" s="28" t="n">
        <v>914728</v>
      </c>
      <c r="R686" s="28" t="n">
        <v>0</v>
      </c>
      <c r="S686" s="28">
        <f>Q686-R686</f>
        <v/>
      </c>
      <c r="T686" s="28">
        <f>IF(S686="","",S686*(1+in_GrowthRate)^(YEARFRAC(DATE(2022,3,31),in_AgeToDate)*IF(in_AgeToDate&lt;DATE(2022,3,31),-1,1)+1))</f>
        <v/>
      </c>
      <c r="U686" s="50">
        <f>IF(AND(AND(OR(in_Mode="All Funds",AND(C686&gt;=in_BandFloor,C686&lt;=in_BandCeiling,OR(in_Geography="National",COUNTIFS(lst_GeoPreset,in_Geography,lst_GeoState,B686)&gt;0,AND(in_Geography="Custom",ISNUMBER(SEARCH(B686,SUBSTITUTE(in_CustomStates," ",""))))),OR(AND(D686="Endowment",Inputs!$B$14="Y"),AND(D686="Foundation",Inputs!$B$15="Y"),AND(D686="Healthcare",Inputs!$B$16="Y"),AND(D686="Pension",Inputs!$B$17="Y"),AND(D686="OCIO",Inputs!$B$18="Y"),AND(D686="Other",Inputs!$B$19="Y")))),A686&lt;&gt;in_ClientOrg,NOT(AND(in_ExclHarvard="Y",ISNUMBER(SEARCH("Harvard",A686))))),$AD686="Y",K686&lt;&gt;"",S686&gt;0),"Y","")</f>
        <v/>
      </c>
      <c r="V686" s="30" t="n">
        <v>0.4876255542726035</v>
      </c>
      <c r="W686" t="inlineStr"/>
      <c r="X686" s="28">
        <f>IF(L686+M686=0,"",L686+M686)</f>
        <v/>
      </c>
      <c r="Y686" s="38">
        <f>IF(L686=0,"",M686/L686)</f>
        <v/>
      </c>
      <c r="Z686" t="inlineStr">
        <is>
          <t>Director &amp; Investment Officer</t>
        </is>
      </c>
      <c r="AA686" t="inlineStr">
        <is>
          <t>Investments</t>
        </is>
      </c>
      <c r="AB686" s="50" t="inlineStr"/>
      <c r="AC686" s="43">
        <f>HYPERLINK("https://projects.propublica.org/nonprofits/organizations/137184401/202300389349100520/full","view filing")</f>
        <v/>
      </c>
      <c r="AD686" s="50" t="inlineStr"/>
    </row>
    <row r="687">
      <c r="A687" t="inlineStr">
        <is>
          <t>Leona M &amp; Harry B Helmsley Charitable Trust</t>
        </is>
      </c>
      <c r="B687" s="50" t="inlineStr">
        <is>
          <t>NY</t>
        </is>
      </c>
      <c r="C687" s="52" t="n">
        <v>6.99</v>
      </c>
      <c r="D687" t="inlineStr">
        <is>
          <t>Foundation</t>
        </is>
      </c>
      <c r="E687" s="50" t="n">
        <v>2022</v>
      </c>
      <c r="F687" s="50" t="inlineStr">
        <is>
          <t>2023-02-07</t>
        </is>
      </c>
      <c r="G687" s="50" t="inlineStr">
        <is>
          <t>2022-03-31</t>
        </is>
      </c>
      <c r="H687" t="inlineStr">
        <is>
          <t>Rosalind M Hewsenian</t>
        </is>
      </c>
      <c r="I687" t="inlineStr">
        <is>
          <t>CHIEF INVESTMENT OFFICER</t>
        </is>
      </c>
      <c r="J687" t="inlineStr">
        <is>
          <t>CIO</t>
        </is>
      </c>
      <c r="K687" t="inlineStr">
        <is>
          <t>CIO - Top Investment Executive</t>
        </is>
      </c>
      <c r="L687" s="28" t="n">
        <v>0</v>
      </c>
      <c r="M687" s="28" t="n">
        <v>0</v>
      </c>
      <c r="N687" s="28" t="n">
        <v>0</v>
      </c>
      <c r="O687" s="28" t="n">
        <v>0</v>
      </c>
      <c r="P687" s="28" t="n">
        <v>204786</v>
      </c>
      <c r="Q687" s="28" t="n">
        <v>1875882</v>
      </c>
      <c r="R687" s="28" t="n">
        <v>0</v>
      </c>
      <c r="S687" s="28">
        <f>Q687-R687</f>
        <v/>
      </c>
      <c r="T687" s="28">
        <f>IF(S687="","",S687*(1+in_GrowthRate)^(YEARFRAC(DATE(2022,3,31),in_AgeToDate)*IF(in_AgeToDate&lt;DATE(2022,3,31),-1,1)+1))</f>
        <v/>
      </c>
      <c r="U687" s="50">
        <f>IF(AND(AND(OR(in_Mode="All Funds",AND(C687&gt;=in_BandFloor,C687&lt;=in_BandCeiling,OR(in_Geography="National",COUNTIFS(lst_GeoPreset,in_Geography,lst_GeoState,B687)&gt;0,AND(in_Geography="Custom",ISNUMBER(SEARCH(B687,SUBSTITUTE(in_CustomStates," ",""))))),OR(AND(D687="Endowment",Inputs!$B$14="Y"),AND(D687="Foundation",Inputs!$B$15="Y"),AND(D687="Healthcare",Inputs!$B$16="Y"),AND(D687="Pension",Inputs!$B$17="Y"),AND(D687="OCIO",Inputs!$B$18="Y"),AND(D687="Other",Inputs!$B$19="Y")))),A687&lt;&gt;in_ClientOrg,NOT(AND(in_ExclHarvard="Y",ISNUMBER(SEARCH("Harvard",A687))))),$AD687="Y",K687&lt;&gt;"",S687&gt;0),"Y","")</f>
        <v/>
      </c>
      <c r="V687" s="30" t="n">
        <v>1</v>
      </c>
      <c r="W687" t="inlineStr"/>
      <c r="X687" s="28">
        <f>IF(L687+M687=0,"",L687+M687)</f>
        <v/>
      </c>
      <c r="Y687" s="38">
        <f>IF(L687=0,"",M687/L687)</f>
        <v/>
      </c>
      <c r="Z687" t="inlineStr">
        <is>
          <t>CIO - Top Investment Executive</t>
        </is>
      </c>
      <c r="AA687" t="inlineStr">
        <is>
          <t>Leadership</t>
        </is>
      </c>
      <c r="AB687" s="50" t="inlineStr">
        <is>
          <t>Y</t>
        </is>
      </c>
      <c r="AC687" s="43">
        <f>HYPERLINK("https://projects.propublica.org/nonprofits/organizations/137184401/202300389349100520/full","view filing")</f>
        <v/>
      </c>
      <c r="AD687" s="50" t="inlineStr"/>
    </row>
    <row r="688">
      <c r="A688" t="inlineStr">
        <is>
          <t>Liberty University Inc</t>
        </is>
      </c>
      <c r="B688" s="50" t="inlineStr">
        <is>
          <t>VA</t>
        </is>
      </c>
      <c r="C688" s="52" t="n">
        <v>2.97</v>
      </c>
      <c r="D688" t="inlineStr">
        <is>
          <t>Endowment</t>
        </is>
      </c>
      <c r="E688" s="50" t="n">
        <v>2025</v>
      </c>
      <c r="F688" s="50" t="inlineStr">
        <is>
          <t>2026-05-14</t>
        </is>
      </c>
      <c r="G688" s="50" t="inlineStr">
        <is>
          <t>2025-06-30</t>
        </is>
      </c>
      <c r="H688" t="inlineStr">
        <is>
          <t>Mrs Cindy Gaebe</t>
        </is>
      </c>
      <c r="I688" t="inlineStr">
        <is>
          <t>SVP of Finance and Chief Investment Officer</t>
        </is>
      </c>
      <c r="J688" t="inlineStr">
        <is>
          <t>CIO</t>
        </is>
      </c>
      <c r="K688" t="inlineStr">
        <is>
          <t>CIO - Top Investment Executive</t>
        </is>
      </c>
      <c r="L688" s="28" t="n">
        <v>367679</v>
      </c>
      <c r="M688" s="28" t="n">
        <v>0</v>
      </c>
      <c r="N688" s="28" t="n">
        <v>24908</v>
      </c>
      <c r="O688" s="28" t="n">
        <v>17969</v>
      </c>
      <c r="P688" s="28" t="n">
        <v>21983</v>
      </c>
      <c r="Q688" s="28" t="n">
        <v>432539</v>
      </c>
      <c r="R688" s="28" t="n">
        <v>0</v>
      </c>
      <c r="S688" s="28">
        <f>Q688-R688</f>
        <v/>
      </c>
      <c r="T688" s="28">
        <f>IF(S688="","",S688*(1+in_GrowthRate)^(YEARFRAC(DATE(2025,6,30),in_AgeToDate)*IF(in_AgeToDate&lt;DATE(2025,6,30),-1,1)+1))</f>
        <v/>
      </c>
      <c r="U688" s="50">
        <f>IF(AND(AND(OR(in_Mode="All Funds",AND(C688&gt;=in_BandFloor,C688&lt;=in_BandCeiling,OR(in_Geography="National",COUNTIFS(lst_GeoPreset,in_Geography,lst_GeoState,B688)&gt;0,AND(in_Geography="Custom",ISNUMBER(SEARCH(B688,SUBSTITUTE(in_CustomStates," ",""))))),OR(AND(D688="Endowment",Inputs!$B$14="Y"),AND(D688="Foundation",Inputs!$B$15="Y"),AND(D688="Healthcare",Inputs!$B$16="Y"),AND(D688="Pension",Inputs!$B$17="Y"),AND(D688="OCIO",Inputs!$B$18="Y"),AND(D688="Other",Inputs!$B$19="Y")))),A688&lt;&gt;in_ClientOrg,NOT(AND(in_ExclHarvard="Y",ISNUMBER(SEARCH("Harvard",A688))))),$AD688="Y",K688&lt;&gt;"",S688&gt;0),"Y","")</f>
        <v/>
      </c>
      <c r="V688" s="30" t="n">
        <v>1</v>
      </c>
      <c r="W688" t="inlineStr"/>
      <c r="X688" s="28">
        <f>IF(L688+M688=0,"",L688+M688)</f>
        <v/>
      </c>
      <c r="Y688" s="38">
        <f>IF(L688=0,"",M688/L688)</f>
        <v/>
      </c>
      <c r="Z688" t="inlineStr">
        <is>
          <t>CIO - Top Investment Executive</t>
        </is>
      </c>
      <c r="AA688" t="inlineStr">
        <is>
          <t>Leadership</t>
        </is>
      </c>
      <c r="AB688" s="50" t="inlineStr">
        <is>
          <t>Y</t>
        </is>
      </c>
      <c r="AC688" s="43">
        <f>HYPERLINK("https://projects.propublica.org/nonprofits/organizations/540946734/202621349349312962/full","view filing")</f>
        <v/>
      </c>
      <c r="AD688" s="50" t="inlineStr">
        <is>
          <t>Y</t>
        </is>
      </c>
    </row>
    <row r="689">
      <c r="A689" t="inlineStr">
        <is>
          <t>Liberty University Inc</t>
        </is>
      </c>
      <c r="B689" s="50" t="inlineStr">
        <is>
          <t>VA</t>
        </is>
      </c>
      <c r="C689" s="52" t="n">
        <v>2.97</v>
      </c>
      <c r="D689" t="inlineStr">
        <is>
          <t>Endowment</t>
        </is>
      </c>
      <c r="E689" s="50" t="n">
        <v>2024</v>
      </c>
      <c r="F689" s="50" t="inlineStr">
        <is>
          <t>2025-05-15</t>
        </is>
      </c>
      <c r="G689" s="50" t="inlineStr">
        <is>
          <t>2024-06-30</t>
        </is>
      </c>
      <c r="H689" t="inlineStr">
        <is>
          <t>Mrs Cindy Gaebe</t>
        </is>
      </c>
      <c r="I689" t="inlineStr">
        <is>
          <t>SVP OF FIN.&amp; CHIEF INVEST OFF.</t>
        </is>
      </c>
      <c r="J689" t="inlineStr">
        <is>
          <t>CIO</t>
        </is>
      </c>
      <c r="K689" t="inlineStr">
        <is>
          <t>CIO - Top Investment Executive</t>
        </is>
      </c>
      <c r="L689" s="28" t="n">
        <v>369792</v>
      </c>
      <c r="M689" s="28" t="n">
        <v>0</v>
      </c>
      <c r="N689" s="28" t="n">
        <v>21752</v>
      </c>
      <c r="O689" s="28" t="n">
        <v>0</v>
      </c>
      <c r="P689" s="28" t="n">
        <v>13733</v>
      </c>
      <c r="Q689" s="28" t="n">
        <v>405277</v>
      </c>
      <c r="R689" s="28" t="n">
        <v>0</v>
      </c>
      <c r="S689" s="28">
        <f>Q689-R689</f>
        <v/>
      </c>
      <c r="T689" s="28">
        <f>IF(S689="","",S689*(1+in_GrowthRate)^(YEARFRAC(DATE(2024,6,30),in_AgeToDate)*IF(in_AgeToDate&lt;DATE(2024,6,30),-1,1)+1))</f>
        <v/>
      </c>
      <c r="U689" s="50">
        <f>IF(AND(AND(OR(in_Mode="All Funds",AND(C689&gt;=in_BandFloor,C689&lt;=in_BandCeiling,OR(in_Geography="National",COUNTIFS(lst_GeoPreset,in_Geography,lst_GeoState,B689)&gt;0,AND(in_Geography="Custom",ISNUMBER(SEARCH(B689,SUBSTITUTE(in_CustomStates," ",""))))),OR(AND(D689="Endowment",Inputs!$B$14="Y"),AND(D689="Foundation",Inputs!$B$15="Y"),AND(D689="Healthcare",Inputs!$B$16="Y"),AND(D689="Pension",Inputs!$B$17="Y"),AND(D689="OCIO",Inputs!$B$18="Y"),AND(D689="Other",Inputs!$B$19="Y")))),A689&lt;&gt;in_ClientOrg,NOT(AND(in_ExclHarvard="Y",ISNUMBER(SEARCH("Harvard",A689))))),$AD689="Y",K689&lt;&gt;"",S689&gt;0),"Y","")</f>
        <v/>
      </c>
      <c r="V689" s="30" t="n">
        <v>1</v>
      </c>
      <c r="W689" t="inlineStr"/>
      <c r="X689" s="28">
        <f>IF(L689+M689=0,"",L689+M689)</f>
        <v/>
      </c>
      <c r="Y689" s="38">
        <f>IF(L689=0,"",M689/L689)</f>
        <v/>
      </c>
      <c r="Z689" t="inlineStr">
        <is>
          <t>CIO - Top Investment Executive</t>
        </is>
      </c>
      <c r="AA689" t="inlineStr">
        <is>
          <t>Leadership</t>
        </is>
      </c>
      <c r="AB689" s="50" t="inlineStr">
        <is>
          <t>Y</t>
        </is>
      </c>
      <c r="AC689" s="43">
        <f>HYPERLINK("https://projects.propublica.org/nonprofits/organizations/540946734/202501359349307950/full","view filing")</f>
        <v/>
      </c>
      <c r="AD689" s="50" t="inlineStr"/>
    </row>
    <row r="690">
      <c r="A690" t="inlineStr">
        <is>
          <t>Liberty University Inc</t>
        </is>
      </c>
      <c r="B690" s="50" t="inlineStr">
        <is>
          <t>VA</t>
        </is>
      </c>
      <c r="C690" s="52" t="n">
        <v>2.97</v>
      </c>
      <c r="D690" t="inlineStr">
        <is>
          <t>Endowment</t>
        </is>
      </c>
      <c r="E690" s="50" t="n">
        <v>2023</v>
      </c>
      <c r="F690" s="50" t="inlineStr">
        <is>
          <t>2024-05-13</t>
        </is>
      </c>
      <c r="G690" s="50" t="inlineStr">
        <is>
          <t>2023-06-30</t>
        </is>
      </c>
      <c r="H690" t="inlineStr">
        <is>
          <t>Mrs Cindy Gaebe</t>
        </is>
      </c>
      <c r="I690" t="inlineStr">
        <is>
          <t>SVP of Fin.&amp; Chief Invest Off.</t>
        </is>
      </c>
      <c r="J690" t="inlineStr">
        <is>
          <t>CIO</t>
        </is>
      </c>
      <c r="K690" t="inlineStr">
        <is>
          <t>CIO - Top Investment Executive</t>
        </is>
      </c>
      <c r="L690" s="28" t="n">
        <v>284004</v>
      </c>
      <c r="M690" s="28" t="n">
        <v>46700</v>
      </c>
      <c r="N690" s="28" t="n">
        <v>0</v>
      </c>
      <c r="O690" s="28" t="n">
        <v>0</v>
      </c>
      <c r="P690" s="28" t="n">
        <v>13343</v>
      </c>
      <c r="Q690" s="28" t="n">
        <v>344047</v>
      </c>
      <c r="R690" s="28" t="n">
        <v>0</v>
      </c>
      <c r="S690" s="28">
        <f>Q690-R690</f>
        <v/>
      </c>
      <c r="T690" s="28">
        <f>IF(S690="","",S690*(1+in_GrowthRate)^(YEARFRAC(DATE(2023,6,30),in_AgeToDate)*IF(in_AgeToDate&lt;DATE(2023,6,30),-1,1)+1))</f>
        <v/>
      </c>
      <c r="U690" s="50">
        <f>IF(AND(AND(OR(in_Mode="All Funds",AND(C690&gt;=in_BandFloor,C690&lt;=in_BandCeiling,OR(in_Geography="National",COUNTIFS(lst_GeoPreset,in_Geography,lst_GeoState,B690)&gt;0,AND(in_Geography="Custom",ISNUMBER(SEARCH(B690,SUBSTITUTE(in_CustomStates," ",""))))),OR(AND(D690="Endowment",Inputs!$B$14="Y"),AND(D690="Foundation",Inputs!$B$15="Y"),AND(D690="Healthcare",Inputs!$B$16="Y"),AND(D690="Pension",Inputs!$B$17="Y"),AND(D690="OCIO",Inputs!$B$18="Y"),AND(D690="Other",Inputs!$B$19="Y")))),A690&lt;&gt;in_ClientOrg,NOT(AND(in_ExclHarvard="Y",ISNUMBER(SEARCH("Harvard",A690))))),$AD690="Y",K690&lt;&gt;"",S690&gt;0),"Y","")</f>
        <v/>
      </c>
      <c r="V690" s="30" t="n">
        <v>1</v>
      </c>
      <c r="W690" t="inlineStr"/>
      <c r="X690" s="28">
        <f>IF(L690+M690=0,"",L690+M690)</f>
        <v/>
      </c>
      <c r="Y690" s="38">
        <f>IF(L690=0,"",M690/L690)</f>
        <v/>
      </c>
      <c r="Z690" t="inlineStr">
        <is>
          <t>CIO - Top Investment Executive</t>
        </is>
      </c>
      <c r="AA690" t="inlineStr">
        <is>
          <t>Leadership</t>
        </is>
      </c>
      <c r="AB690" s="50" t="inlineStr">
        <is>
          <t>Y</t>
        </is>
      </c>
      <c r="AC690" s="43">
        <f>HYPERLINK("https://projects.propublica.org/nonprofits/organizations/540946734/202401359349310735/full","view filing")</f>
        <v/>
      </c>
      <c r="AD690" s="50" t="inlineStr"/>
    </row>
    <row r="691">
      <c r="A691" t="inlineStr">
        <is>
          <t>Liberty University Inc</t>
        </is>
      </c>
      <c r="B691" s="50" t="inlineStr">
        <is>
          <t>VA</t>
        </is>
      </c>
      <c r="C691" s="52" t="n">
        <v>2.97</v>
      </c>
      <c r="D691" t="inlineStr">
        <is>
          <t>Endowment</t>
        </is>
      </c>
      <c r="E691" s="50" t="n">
        <v>2022</v>
      </c>
      <c r="F691" s="50" t="inlineStr">
        <is>
          <t>2023-05-15</t>
        </is>
      </c>
      <c r="G691" s="50" t="inlineStr">
        <is>
          <t>2022-06-30</t>
        </is>
      </c>
      <c r="H691" t="inlineStr">
        <is>
          <t>Mrs Cindy Gaebe</t>
        </is>
      </c>
      <c r="I691" t="inlineStr">
        <is>
          <t>SVP of Fin.&amp; Chief Invest Off.</t>
        </is>
      </c>
      <c r="J691" t="inlineStr">
        <is>
          <t>CIO</t>
        </is>
      </c>
      <c r="K691" t="inlineStr">
        <is>
          <t>CIO - Top Investment Executive</t>
        </is>
      </c>
      <c r="L691" s="28" t="n">
        <v>235031</v>
      </c>
      <c r="M691" s="28" t="n">
        <v>49000</v>
      </c>
      <c r="N691" s="28" t="n">
        <v>1205</v>
      </c>
      <c r="O691" s="28" t="n">
        <v>0</v>
      </c>
      <c r="P691" s="28" t="n">
        <v>12413</v>
      </c>
      <c r="Q691" s="28" t="n">
        <v>297649</v>
      </c>
      <c r="R691" s="28" t="n">
        <v>0</v>
      </c>
      <c r="S691" s="28">
        <f>Q691-R691</f>
        <v/>
      </c>
      <c r="T691" s="28">
        <f>IF(S691="","",S691*(1+in_GrowthRate)^(YEARFRAC(DATE(2022,6,30),in_AgeToDate)*IF(in_AgeToDate&lt;DATE(2022,6,30),-1,1)+1))</f>
        <v/>
      </c>
      <c r="U691" s="50">
        <f>IF(AND(AND(OR(in_Mode="All Funds",AND(C691&gt;=in_BandFloor,C691&lt;=in_BandCeiling,OR(in_Geography="National",COUNTIFS(lst_GeoPreset,in_Geography,lst_GeoState,B691)&gt;0,AND(in_Geography="Custom",ISNUMBER(SEARCH(B691,SUBSTITUTE(in_CustomStates," ",""))))),OR(AND(D691="Endowment",Inputs!$B$14="Y"),AND(D691="Foundation",Inputs!$B$15="Y"),AND(D691="Healthcare",Inputs!$B$16="Y"),AND(D691="Pension",Inputs!$B$17="Y"),AND(D691="OCIO",Inputs!$B$18="Y"),AND(D691="Other",Inputs!$B$19="Y")))),A691&lt;&gt;in_ClientOrg,NOT(AND(in_ExclHarvard="Y",ISNUMBER(SEARCH("Harvard",A691))))),$AD691="Y",K691&lt;&gt;"",S691&gt;0),"Y","")</f>
        <v/>
      </c>
      <c r="V691" s="30" t="n">
        <v>1</v>
      </c>
      <c r="W691" t="inlineStr"/>
      <c r="X691" s="28">
        <f>IF(L691+M691=0,"",L691+M691)</f>
        <v/>
      </c>
      <c r="Y691" s="38">
        <f>IF(L691=0,"",M691/L691)</f>
        <v/>
      </c>
      <c r="Z691" t="inlineStr">
        <is>
          <t>CIO - Top Investment Executive</t>
        </is>
      </c>
      <c r="AA691" t="inlineStr">
        <is>
          <t>Leadership</t>
        </is>
      </c>
      <c r="AB691" s="50" t="inlineStr">
        <is>
          <t>Y</t>
        </is>
      </c>
      <c r="AC691" s="43">
        <f>HYPERLINK("https://projects.propublica.org/nonprofits/organizations/540946734/202321359349308877/full","view filing")</f>
        <v/>
      </c>
      <c r="AD691" s="50" t="inlineStr"/>
    </row>
    <row r="692">
      <c r="A692" t="inlineStr">
        <is>
          <t>Lilly Endowment Inc</t>
        </is>
      </c>
      <c r="B692" s="50" t="inlineStr">
        <is>
          <t>IN</t>
        </is>
      </c>
      <c r="C692" s="52" t="n">
        <v>60.57</v>
      </c>
      <c r="D692" t="inlineStr">
        <is>
          <t>Foundation</t>
        </is>
      </c>
      <c r="E692" s="50" t="n">
        <v>2025</v>
      </c>
      <c r="F692" s="50" t="inlineStr">
        <is>
          <t>2026-05-15</t>
        </is>
      </c>
      <c r="G692" s="50" t="inlineStr">
        <is>
          <t>2025-12-31</t>
        </is>
      </c>
      <c r="H692" t="inlineStr">
        <is>
          <t>Peter A Buck</t>
        </is>
      </c>
      <c r="I692" t="inlineStr">
        <is>
          <t>VP INVEST&amp;GM</t>
        </is>
      </c>
      <c r="J692" t="inlineStr">
        <is>
          <t>Director of Investments</t>
        </is>
      </c>
      <c r="K692" t="inlineStr">
        <is>
          <t>Sr Investment Professional</t>
        </is>
      </c>
      <c r="L692" s="28" t="n">
        <v>0</v>
      </c>
      <c r="M692" s="28" t="n">
        <v>0</v>
      </c>
      <c r="N692" s="28" t="n">
        <v>0</v>
      </c>
      <c r="O692" s="28" t="n">
        <v>0</v>
      </c>
      <c r="P692" s="28" t="n">
        <v>128456</v>
      </c>
      <c r="Q692" s="28" t="n">
        <v>635956</v>
      </c>
      <c r="R692" s="28" t="n">
        <v>0</v>
      </c>
      <c r="S692" s="28">
        <f>Q692-R692</f>
        <v/>
      </c>
      <c r="T692" s="28">
        <f>IF(S692="","",S692*(1+in_GrowthRate)^(YEARFRAC(DATE(2025,12,31),in_AgeToDate)*IF(in_AgeToDate&lt;DATE(2025,12,31),-1,1)+1))</f>
        <v/>
      </c>
      <c r="U692" s="50">
        <f>IF(AND(AND(OR(in_Mode="All Funds",AND(C692&gt;=in_BandFloor,C692&lt;=in_BandCeiling,OR(in_Geography="National",COUNTIFS(lst_GeoPreset,in_Geography,lst_GeoState,B692)&gt;0,AND(in_Geography="Custom",ISNUMBER(SEARCH(B692,SUBSTITUTE(in_CustomStates," ",""))))),OR(AND(D692="Endowment",Inputs!$B$14="Y"),AND(D692="Foundation",Inputs!$B$15="Y"),AND(D692="Healthcare",Inputs!$B$16="Y"),AND(D692="Pension",Inputs!$B$17="Y"),AND(D692="OCIO",Inputs!$B$18="Y"),AND(D692="Other",Inputs!$B$19="Y")))),A692&lt;&gt;in_ClientOrg,NOT(AND(in_ExclHarvard="Y",ISNUMBER(SEARCH("Harvard",A692))))),$AD692="Y",K692&lt;&gt;"",S692&gt;0),"Y","")</f>
        <v/>
      </c>
      <c r="V692" s="30" t="n"/>
      <c r="W692" t="inlineStr"/>
      <c r="X692" s="28">
        <f>IF(L692+M692=0,"",L692+M692)</f>
        <v/>
      </c>
      <c r="Y692" s="38">
        <f>IF(L692=0,"",M692/L692)</f>
        <v/>
      </c>
      <c r="Z692" t="inlineStr">
        <is>
          <t>Director &amp; Investment Officer</t>
        </is>
      </c>
      <c r="AA692" t="inlineStr">
        <is>
          <t>Investments</t>
        </is>
      </c>
      <c r="AB692" s="50" t="inlineStr"/>
      <c r="AC692" s="43">
        <f>HYPERLINK("https://projects.propublica.org/nonprofits/organizations/350868122/202641359349103099/full","view filing")</f>
        <v/>
      </c>
      <c r="AD692" s="50" t="inlineStr">
        <is>
          <t>Y</t>
        </is>
      </c>
    </row>
    <row r="693">
      <c r="A693" t="inlineStr">
        <is>
          <t>Lilly Endowment Inc</t>
        </is>
      </c>
      <c r="B693" s="50" t="inlineStr">
        <is>
          <t>IN</t>
        </is>
      </c>
      <c r="C693" s="52" t="n">
        <v>60.57</v>
      </c>
      <c r="D693" t="inlineStr">
        <is>
          <t>Foundation</t>
        </is>
      </c>
      <c r="E693" s="50" t="n">
        <v>2024</v>
      </c>
      <c r="F693" s="50" t="inlineStr">
        <is>
          <t>2025-05-15</t>
        </is>
      </c>
      <c r="G693" s="50" t="inlineStr">
        <is>
          <t>2024-12-31</t>
        </is>
      </c>
      <c r="H693" t="inlineStr">
        <is>
          <t>Peter A Buck</t>
        </is>
      </c>
      <c r="I693" t="inlineStr">
        <is>
          <t>VP INVEST&amp;GM</t>
        </is>
      </c>
      <c r="J693" t="inlineStr">
        <is>
          <t>Director of Investments</t>
        </is>
      </c>
      <c r="K693" t="inlineStr">
        <is>
          <t>Sr Investment Professional</t>
        </is>
      </c>
      <c r="L693" s="28" t="n">
        <v>0</v>
      </c>
      <c r="M693" s="28" t="n">
        <v>0</v>
      </c>
      <c r="N693" s="28" t="n">
        <v>0</v>
      </c>
      <c r="O693" s="28" t="n">
        <v>0</v>
      </c>
      <c r="P693" s="28" t="n">
        <v>122560</v>
      </c>
      <c r="Q693" s="28" t="n">
        <v>598560</v>
      </c>
      <c r="R693" s="28" t="n">
        <v>0</v>
      </c>
      <c r="S693" s="28">
        <f>Q693-R693</f>
        <v/>
      </c>
      <c r="T693" s="28">
        <f>IF(S693="","",S693*(1+in_GrowthRate)^(YEARFRAC(DATE(2024,12,31),in_AgeToDate)*IF(in_AgeToDate&lt;DATE(2024,12,31),-1,1)+1))</f>
        <v/>
      </c>
      <c r="U693" s="50">
        <f>IF(AND(AND(OR(in_Mode="All Funds",AND(C693&gt;=in_BandFloor,C693&lt;=in_BandCeiling,OR(in_Geography="National",COUNTIFS(lst_GeoPreset,in_Geography,lst_GeoState,B693)&gt;0,AND(in_Geography="Custom",ISNUMBER(SEARCH(B693,SUBSTITUTE(in_CustomStates," ",""))))),OR(AND(D693="Endowment",Inputs!$B$14="Y"),AND(D693="Foundation",Inputs!$B$15="Y"),AND(D693="Healthcare",Inputs!$B$16="Y"),AND(D693="Pension",Inputs!$B$17="Y"),AND(D693="OCIO",Inputs!$B$18="Y"),AND(D693="Other",Inputs!$B$19="Y")))),A693&lt;&gt;in_ClientOrg,NOT(AND(in_ExclHarvard="Y",ISNUMBER(SEARCH("Harvard",A693))))),$AD693="Y",K693&lt;&gt;"",S693&gt;0),"Y","")</f>
        <v/>
      </c>
      <c r="V693" s="30" t="n"/>
      <c r="W693" t="inlineStr"/>
      <c r="X693" s="28">
        <f>IF(L693+M693=0,"",L693+M693)</f>
        <v/>
      </c>
      <c r="Y693" s="38">
        <f>IF(L693=0,"",M693/L693)</f>
        <v/>
      </c>
      <c r="Z693" t="inlineStr">
        <is>
          <t>Director &amp; Investment Officer</t>
        </is>
      </c>
      <c r="AA693" t="inlineStr">
        <is>
          <t>Investments</t>
        </is>
      </c>
      <c r="AB693" s="50" t="inlineStr"/>
      <c r="AC693" s="43">
        <f>HYPERLINK("https://projects.propublica.org/nonprofits/organizations/350868122/202521359349102167/full","view filing")</f>
        <v/>
      </c>
      <c r="AD693" s="50" t="inlineStr"/>
    </row>
    <row r="694">
      <c r="A694" t="inlineStr">
        <is>
          <t>Lilly Endowment Inc</t>
        </is>
      </c>
      <c r="B694" s="50" t="inlineStr">
        <is>
          <t>IN</t>
        </is>
      </c>
      <c r="C694" s="52" t="n">
        <v>60.57</v>
      </c>
      <c r="D694" t="inlineStr">
        <is>
          <t>Foundation</t>
        </is>
      </c>
      <c r="E694" s="50" t="n">
        <v>2023</v>
      </c>
      <c r="F694" s="50" t="inlineStr">
        <is>
          <t>2024-05-14</t>
        </is>
      </c>
      <c r="G694" s="50" t="inlineStr">
        <is>
          <t>2023-12-31</t>
        </is>
      </c>
      <c r="H694" t="inlineStr">
        <is>
          <t>Peter A Buck</t>
        </is>
      </c>
      <c r="I694" t="inlineStr">
        <is>
          <t>VP INVEST&amp;GM</t>
        </is>
      </c>
      <c r="J694" t="inlineStr">
        <is>
          <t>Director of Investments</t>
        </is>
      </c>
      <c r="K694" t="inlineStr">
        <is>
          <t>Sr Investment Professional</t>
        </is>
      </c>
      <c r="L694" s="28" t="n">
        <v>0</v>
      </c>
      <c r="M694" s="28" t="n">
        <v>0</v>
      </c>
      <c r="N694" s="28" t="n">
        <v>0</v>
      </c>
      <c r="O694" s="28" t="n">
        <v>0</v>
      </c>
      <c r="P694" s="28" t="n">
        <v>105604</v>
      </c>
      <c r="Q694" s="28" t="n">
        <v>530604</v>
      </c>
      <c r="R694" s="28" t="n">
        <v>0</v>
      </c>
      <c r="S694" s="28">
        <f>Q694-R694</f>
        <v/>
      </c>
      <c r="T694" s="28">
        <f>IF(S694="","",S694*(1+in_GrowthRate)^(YEARFRAC(DATE(2023,12,31),in_AgeToDate)*IF(in_AgeToDate&lt;DATE(2023,12,31),-1,1)+1))</f>
        <v/>
      </c>
      <c r="U694" s="50">
        <f>IF(AND(AND(OR(in_Mode="All Funds",AND(C694&gt;=in_BandFloor,C694&lt;=in_BandCeiling,OR(in_Geography="National",COUNTIFS(lst_GeoPreset,in_Geography,lst_GeoState,B694)&gt;0,AND(in_Geography="Custom",ISNUMBER(SEARCH(B694,SUBSTITUTE(in_CustomStates," ",""))))),OR(AND(D694="Endowment",Inputs!$B$14="Y"),AND(D694="Foundation",Inputs!$B$15="Y"),AND(D694="Healthcare",Inputs!$B$16="Y"),AND(D694="Pension",Inputs!$B$17="Y"),AND(D694="OCIO",Inputs!$B$18="Y"),AND(D694="Other",Inputs!$B$19="Y")))),A694&lt;&gt;in_ClientOrg,NOT(AND(in_ExclHarvard="Y",ISNUMBER(SEARCH("Harvard",A694))))),$AD694="Y",K694&lt;&gt;"",S694&gt;0),"Y","")</f>
        <v/>
      </c>
      <c r="V694" s="30" t="n"/>
      <c r="W694" t="inlineStr"/>
      <c r="X694" s="28">
        <f>IF(L694+M694=0,"",L694+M694)</f>
        <v/>
      </c>
      <c r="Y694" s="38">
        <f>IF(L694=0,"",M694/L694)</f>
        <v/>
      </c>
      <c r="Z694" t="inlineStr">
        <is>
          <t>Director &amp; Investment Officer</t>
        </is>
      </c>
      <c r="AA694" t="inlineStr">
        <is>
          <t>Investments</t>
        </is>
      </c>
      <c r="AB694" s="50" t="inlineStr"/>
      <c r="AC694" s="43">
        <f>HYPERLINK("https://projects.propublica.org/nonprofits/organizations/350868122/202421359349103342/full","view filing")</f>
        <v/>
      </c>
      <c r="AD694" s="50" t="inlineStr"/>
    </row>
    <row r="695">
      <c r="A695" t="inlineStr">
        <is>
          <t>Lilly Endowment Inc</t>
        </is>
      </c>
      <c r="B695" s="50" t="inlineStr">
        <is>
          <t>IN</t>
        </is>
      </c>
      <c r="C695" s="52" t="n">
        <v>60.57</v>
      </c>
      <c r="D695" t="inlineStr">
        <is>
          <t>Foundation</t>
        </is>
      </c>
      <c r="E695" s="50" t="n">
        <v>2022</v>
      </c>
      <c r="F695" s="50" t="inlineStr">
        <is>
          <t>2023-05-15</t>
        </is>
      </c>
      <c r="G695" s="50" t="inlineStr">
        <is>
          <t>2022-12-31</t>
        </is>
      </c>
      <c r="H695" t="inlineStr">
        <is>
          <t>Peter A Buck</t>
        </is>
      </c>
      <c r="I695" t="inlineStr">
        <is>
          <t>VP INVEST&amp;GM</t>
        </is>
      </c>
      <c r="J695" t="inlineStr">
        <is>
          <t>Director of Investments</t>
        </is>
      </c>
      <c r="K695" t="inlineStr">
        <is>
          <t>Sr Investment Professional</t>
        </is>
      </c>
      <c r="L695" s="28" t="n">
        <v>0</v>
      </c>
      <c r="M695" s="28" t="n">
        <v>0</v>
      </c>
      <c r="N695" s="28" t="n">
        <v>0</v>
      </c>
      <c r="O695" s="28" t="n">
        <v>0</v>
      </c>
      <c r="P695" s="28" t="n">
        <v>92393</v>
      </c>
      <c r="Q695" s="28" t="n">
        <v>442393</v>
      </c>
      <c r="R695" s="28" t="n">
        <v>0</v>
      </c>
      <c r="S695" s="28">
        <f>Q695-R695</f>
        <v/>
      </c>
      <c r="T695" s="28">
        <f>IF(S695="","",S695*(1+in_GrowthRate)^(YEARFRAC(DATE(2022,12,31),in_AgeToDate)*IF(in_AgeToDate&lt;DATE(2022,12,31),-1,1)+1))</f>
        <v/>
      </c>
      <c r="U695" s="50">
        <f>IF(AND(AND(OR(in_Mode="All Funds",AND(C695&gt;=in_BandFloor,C695&lt;=in_BandCeiling,OR(in_Geography="National",COUNTIFS(lst_GeoPreset,in_Geography,lst_GeoState,B695)&gt;0,AND(in_Geography="Custom",ISNUMBER(SEARCH(B695,SUBSTITUTE(in_CustomStates," ",""))))),OR(AND(D695="Endowment",Inputs!$B$14="Y"),AND(D695="Foundation",Inputs!$B$15="Y"),AND(D695="Healthcare",Inputs!$B$16="Y"),AND(D695="Pension",Inputs!$B$17="Y"),AND(D695="OCIO",Inputs!$B$18="Y"),AND(D695="Other",Inputs!$B$19="Y")))),A695&lt;&gt;in_ClientOrg,NOT(AND(in_ExclHarvard="Y",ISNUMBER(SEARCH("Harvard",A695))))),$AD695="Y",K695&lt;&gt;"",S695&gt;0),"Y","")</f>
        <v/>
      </c>
      <c r="V695" s="30" t="n"/>
      <c r="W695" t="inlineStr"/>
      <c r="X695" s="28">
        <f>IF(L695+M695=0,"",L695+M695)</f>
        <v/>
      </c>
      <c r="Y695" s="38">
        <f>IF(L695=0,"",M695/L695)</f>
        <v/>
      </c>
      <c r="Z695" t="inlineStr">
        <is>
          <t>Director &amp; Investment Officer</t>
        </is>
      </c>
      <c r="AA695" t="inlineStr">
        <is>
          <t>Investments</t>
        </is>
      </c>
      <c r="AB695" s="50" t="inlineStr"/>
      <c r="AC695" s="43">
        <f>HYPERLINK("https://projects.propublica.org/nonprofits/organizations/350868122/202311359349102611/full","view filing")</f>
        <v/>
      </c>
      <c r="AD695" s="50" t="inlineStr"/>
    </row>
    <row r="696">
      <c r="A696" t="inlineStr">
        <is>
          <t>Loyola University Of Chicago</t>
        </is>
      </c>
      <c r="B696" s="50" t="inlineStr">
        <is>
          <t>IL</t>
        </is>
      </c>
      <c r="C696" s="52" t="n">
        <v>1.18</v>
      </c>
      <c r="D696" t="inlineStr">
        <is>
          <t>Endowment</t>
        </is>
      </c>
      <c r="E696" s="50" t="n">
        <v>2025</v>
      </c>
      <c r="F696" s="50" t="inlineStr">
        <is>
          <t>2026-05-13</t>
        </is>
      </c>
      <c r="G696" s="50" t="inlineStr">
        <is>
          <t>2025-06-30</t>
        </is>
      </c>
      <c r="H696" t="inlineStr">
        <is>
          <t>Katharine Wyatt</t>
        </is>
      </c>
      <c r="I696" t="inlineStr">
        <is>
          <t>CHIEF INVESTMENT OFFICER</t>
        </is>
      </c>
      <c r="J696" t="inlineStr">
        <is>
          <t>CIO</t>
        </is>
      </c>
      <c r="K696" t="inlineStr">
        <is>
          <t>CIO - Top Investment Executive</t>
        </is>
      </c>
      <c r="L696" s="28" t="n">
        <v>390472</v>
      </c>
      <c r="M696" s="28" t="n">
        <v>90000</v>
      </c>
      <c r="N696" s="28" t="n">
        <v>810</v>
      </c>
      <c r="O696" s="28" t="n">
        <v>34500</v>
      </c>
      <c r="P696" s="28" t="n">
        <v>38520</v>
      </c>
      <c r="Q696" s="28" t="n">
        <v>554302</v>
      </c>
      <c r="R696" s="28" t="n">
        <v>0</v>
      </c>
      <c r="S696" s="28">
        <f>Q696-R696</f>
        <v/>
      </c>
      <c r="T696" s="28">
        <f>IF(S696="","",S696*(1+in_GrowthRate)^(YEARFRAC(DATE(2025,6,30),in_AgeToDate)*IF(in_AgeToDate&lt;DATE(2025,6,30),-1,1)+1))</f>
        <v/>
      </c>
      <c r="U696" s="50">
        <f>IF(AND(AND(OR(in_Mode="All Funds",AND(C696&gt;=in_BandFloor,C696&lt;=in_BandCeiling,OR(in_Geography="National",COUNTIFS(lst_GeoPreset,in_Geography,lst_GeoState,B696)&gt;0,AND(in_Geography="Custom",ISNUMBER(SEARCH(B696,SUBSTITUTE(in_CustomStates," ",""))))),OR(AND(D696="Endowment",Inputs!$B$14="Y"),AND(D696="Foundation",Inputs!$B$15="Y"),AND(D696="Healthcare",Inputs!$B$16="Y"),AND(D696="Pension",Inputs!$B$17="Y"),AND(D696="OCIO",Inputs!$B$18="Y"),AND(D696="Other",Inputs!$B$19="Y")))),A696&lt;&gt;in_ClientOrg,NOT(AND(in_ExclHarvard="Y",ISNUMBER(SEARCH("Harvard",A696))))),$AD696="Y",K696&lt;&gt;"",S696&gt;0),"Y","")</f>
        <v/>
      </c>
      <c r="V696" s="30" t="n">
        <v>1</v>
      </c>
      <c r="W696" t="inlineStr"/>
      <c r="X696" s="28">
        <f>IF(L696+M696=0,"",L696+M696)</f>
        <v/>
      </c>
      <c r="Y696" s="38">
        <f>IF(L696=0,"",M696/L696)</f>
        <v/>
      </c>
      <c r="Z696" t="inlineStr">
        <is>
          <t>CIO - Top Investment Executive</t>
        </is>
      </c>
      <c r="AA696" t="inlineStr">
        <is>
          <t>Leadership</t>
        </is>
      </c>
      <c r="AB696" s="50" t="inlineStr">
        <is>
          <t>Y</t>
        </is>
      </c>
      <c r="AC696" s="43">
        <f>HYPERLINK("https://projects.propublica.org/nonprofits/organizations/361408475/202641339349308589/full","view filing")</f>
        <v/>
      </c>
      <c r="AD696" s="50" t="inlineStr">
        <is>
          <t>Y</t>
        </is>
      </c>
    </row>
    <row r="697">
      <c r="A697" t="inlineStr">
        <is>
          <t>Loyola University Of Chicago</t>
        </is>
      </c>
      <c r="B697" s="50" t="inlineStr">
        <is>
          <t>IL</t>
        </is>
      </c>
      <c r="C697" s="52" t="n">
        <v>1.18</v>
      </c>
      <c r="D697" t="inlineStr">
        <is>
          <t>Endowment</t>
        </is>
      </c>
      <c r="E697" s="50" t="n">
        <v>2024</v>
      </c>
      <c r="F697" s="50" t="inlineStr">
        <is>
          <t>2025-05-15</t>
        </is>
      </c>
      <c r="G697" s="50" t="inlineStr">
        <is>
          <t>2024-06-30</t>
        </is>
      </c>
      <c r="H697" t="inlineStr">
        <is>
          <t>Katharine Wyatt</t>
        </is>
      </c>
      <c r="I697" t="inlineStr">
        <is>
          <t>CHIEF INVESTMENT OFFICER</t>
        </is>
      </c>
      <c r="J697" t="inlineStr">
        <is>
          <t>CIO</t>
        </is>
      </c>
      <c r="K697" t="inlineStr">
        <is>
          <t>CIO - Top Investment Executive</t>
        </is>
      </c>
      <c r="L697" s="28" t="n">
        <v>376596</v>
      </c>
      <c r="M697" s="28" t="n">
        <v>85000</v>
      </c>
      <c r="N697" s="28" t="n">
        <v>800</v>
      </c>
      <c r="O697" s="28" t="n">
        <v>33000</v>
      </c>
      <c r="P697" s="28" t="n">
        <v>34910</v>
      </c>
      <c r="Q697" s="28" t="n">
        <v>530306</v>
      </c>
      <c r="R697" s="28" t="n">
        <v>0</v>
      </c>
      <c r="S697" s="28">
        <f>Q697-R697</f>
        <v/>
      </c>
      <c r="T697" s="28">
        <f>IF(S697="","",S697*(1+in_GrowthRate)^(YEARFRAC(DATE(2024,6,30),in_AgeToDate)*IF(in_AgeToDate&lt;DATE(2024,6,30),-1,1)+1))</f>
        <v/>
      </c>
      <c r="U697" s="50">
        <f>IF(AND(AND(OR(in_Mode="All Funds",AND(C697&gt;=in_BandFloor,C697&lt;=in_BandCeiling,OR(in_Geography="National",COUNTIFS(lst_GeoPreset,in_Geography,lst_GeoState,B697)&gt;0,AND(in_Geography="Custom",ISNUMBER(SEARCH(B697,SUBSTITUTE(in_CustomStates," ",""))))),OR(AND(D697="Endowment",Inputs!$B$14="Y"),AND(D697="Foundation",Inputs!$B$15="Y"),AND(D697="Healthcare",Inputs!$B$16="Y"),AND(D697="Pension",Inputs!$B$17="Y"),AND(D697="OCIO",Inputs!$B$18="Y"),AND(D697="Other",Inputs!$B$19="Y")))),A697&lt;&gt;in_ClientOrg,NOT(AND(in_ExclHarvard="Y",ISNUMBER(SEARCH("Harvard",A697))))),$AD697="Y",K697&lt;&gt;"",S697&gt;0),"Y","")</f>
        <v/>
      </c>
      <c r="V697" s="30" t="n">
        <v>1</v>
      </c>
      <c r="W697" t="inlineStr"/>
      <c r="X697" s="28">
        <f>IF(L697+M697=0,"",L697+M697)</f>
        <v/>
      </c>
      <c r="Y697" s="38">
        <f>IF(L697=0,"",M697/L697)</f>
        <v/>
      </c>
      <c r="Z697" t="inlineStr">
        <is>
          <t>CIO - Top Investment Executive</t>
        </is>
      </c>
      <c r="AA697" t="inlineStr">
        <is>
          <t>Leadership</t>
        </is>
      </c>
      <c r="AB697" s="50" t="inlineStr">
        <is>
          <t>Y</t>
        </is>
      </c>
      <c r="AC697" s="43">
        <f>HYPERLINK("https://projects.propublica.org/nonprofits/organizations/361408475/202501359349307250/full","view filing")</f>
        <v/>
      </c>
      <c r="AD697" s="50" t="inlineStr"/>
    </row>
    <row r="698">
      <c r="A698" t="inlineStr">
        <is>
          <t>Loyola University Of Chicago</t>
        </is>
      </c>
      <c r="B698" s="50" t="inlineStr">
        <is>
          <t>IL</t>
        </is>
      </c>
      <c r="C698" s="52" t="n">
        <v>1.18</v>
      </c>
      <c r="D698" t="inlineStr">
        <is>
          <t>Endowment</t>
        </is>
      </c>
      <c r="E698" s="50" t="n">
        <v>2023</v>
      </c>
      <c r="F698" s="50" t="inlineStr">
        <is>
          <t>2024-05-13</t>
        </is>
      </c>
      <c r="G698" s="50" t="inlineStr">
        <is>
          <t>2023-06-30</t>
        </is>
      </c>
      <c r="H698" t="inlineStr">
        <is>
          <t>Katharine Wyatt</t>
        </is>
      </c>
      <c r="I698" t="inlineStr">
        <is>
          <t>CHIEF INVESTMENT OFFICER</t>
        </is>
      </c>
      <c r="J698" t="inlineStr">
        <is>
          <t>CIO</t>
        </is>
      </c>
      <c r="K698" t="inlineStr">
        <is>
          <t>CIO - Top Investment Executive</t>
        </is>
      </c>
      <c r="L698" s="28" t="n">
        <v>356266</v>
      </c>
      <c r="M698" s="28" t="n">
        <v>80000</v>
      </c>
      <c r="N698" s="28" t="n">
        <v>2040</v>
      </c>
      <c r="O698" s="28" t="n">
        <v>30500</v>
      </c>
      <c r="P698" s="28" t="n">
        <v>32707</v>
      </c>
      <c r="Q698" s="28" t="n">
        <v>501513</v>
      </c>
      <c r="R698" s="28" t="n">
        <v>0</v>
      </c>
      <c r="S698" s="28">
        <f>Q698-R698</f>
        <v/>
      </c>
      <c r="T698" s="28">
        <f>IF(S698="","",S698*(1+in_GrowthRate)^(YEARFRAC(DATE(2023,6,30),in_AgeToDate)*IF(in_AgeToDate&lt;DATE(2023,6,30),-1,1)+1))</f>
        <v/>
      </c>
      <c r="U698" s="50">
        <f>IF(AND(AND(OR(in_Mode="All Funds",AND(C698&gt;=in_BandFloor,C698&lt;=in_BandCeiling,OR(in_Geography="National",COUNTIFS(lst_GeoPreset,in_Geography,lst_GeoState,B698)&gt;0,AND(in_Geography="Custom",ISNUMBER(SEARCH(B698,SUBSTITUTE(in_CustomStates," ",""))))),OR(AND(D698="Endowment",Inputs!$B$14="Y"),AND(D698="Foundation",Inputs!$B$15="Y"),AND(D698="Healthcare",Inputs!$B$16="Y"),AND(D698="Pension",Inputs!$B$17="Y"),AND(D698="OCIO",Inputs!$B$18="Y"),AND(D698="Other",Inputs!$B$19="Y")))),A698&lt;&gt;in_ClientOrg,NOT(AND(in_ExclHarvard="Y",ISNUMBER(SEARCH("Harvard",A698))))),$AD698="Y",K698&lt;&gt;"",S698&gt;0),"Y","")</f>
        <v/>
      </c>
      <c r="V698" s="30" t="n">
        <v>1</v>
      </c>
      <c r="W698" t="inlineStr"/>
      <c r="X698" s="28">
        <f>IF(L698+M698=0,"",L698+M698)</f>
        <v/>
      </c>
      <c r="Y698" s="38">
        <f>IF(L698=0,"",M698/L698)</f>
        <v/>
      </c>
      <c r="Z698" t="inlineStr">
        <is>
          <t>CIO - Top Investment Executive</t>
        </is>
      </c>
      <c r="AA698" t="inlineStr">
        <is>
          <t>Leadership</t>
        </is>
      </c>
      <c r="AB698" s="50" t="inlineStr">
        <is>
          <t>Y</t>
        </is>
      </c>
      <c r="AC698" s="43">
        <f>HYPERLINK("https://projects.propublica.org/nonprofits/organizations/361408475/202441349349304749/full","view filing")</f>
        <v/>
      </c>
      <c r="AD698" s="50" t="inlineStr"/>
    </row>
    <row r="699">
      <c r="A699" t="inlineStr">
        <is>
          <t>Loyola University Of Chicago</t>
        </is>
      </c>
      <c r="B699" s="50" t="inlineStr">
        <is>
          <t>IL</t>
        </is>
      </c>
      <c r="C699" s="52" t="n">
        <v>1.18</v>
      </c>
      <c r="D699" t="inlineStr">
        <is>
          <t>Endowment</t>
        </is>
      </c>
      <c r="E699" s="50" t="n">
        <v>2022</v>
      </c>
      <c r="F699" s="50" t="inlineStr">
        <is>
          <t>2023-05-12</t>
        </is>
      </c>
      <c r="G699" s="50" t="inlineStr">
        <is>
          <t>2022-06-30</t>
        </is>
      </c>
      <c r="H699" t="inlineStr">
        <is>
          <t>Katharine Wyatt</t>
        </is>
      </c>
      <c r="I699" t="inlineStr">
        <is>
          <t>CHIEF INVESTMENT OFFICER</t>
        </is>
      </c>
      <c r="J699" t="inlineStr">
        <is>
          <t>CIO</t>
        </is>
      </c>
      <c r="K699" t="inlineStr">
        <is>
          <t>CIO - Top Investment Executive</t>
        </is>
      </c>
      <c r="L699" s="28" t="n">
        <v>346065</v>
      </c>
      <c r="M699" s="28" t="n">
        <v>75000</v>
      </c>
      <c r="N699" s="28" t="n">
        <v>1540</v>
      </c>
      <c r="O699" s="28" t="n">
        <v>23882</v>
      </c>
      <c r="P699" s="28" t="n">
        <v>32706</v>
      </c>
      <c r="Q699" s="28" t="n">
        <v>479193</v>
      </c>
      <c r="R699" s="28" t="n">
        <v>0</v>
      </c>
      <c r="S699" s="28">
        <f>Q699-R699</f>
        <v/>
      </c>
      <c r="T699" s="28">
        <f>IF(S699="","",S699*(1+in_GrowthRate)^(YEARFRAC(DATE(2022,6,30),in_AgeToDate)*IF(in_AgeToDate&lt;DATE(2022,6,30),-1,1)+1))</f>
        <v/>
      </c>
      <c r="U699" s="50">
        <f>IF(AND(AND(OR(in_Mode="All Funds",AND(C699&gt;=in_BandFloor,C699&lt;=in_BandCeiling,OR(in_Geography="National",COUNTIFS(lst_GeoPreset,in_Geography,lst_GeoState,B699)&gt;0,AND(in_Geography="Custom",ISNUMBER(SEARCH(B699,SUBSTITUTE(in_CustomStates," ",""))))),OR(AND(D699="Endowment",Inputs!$B$14="Y"),AND(D699="Foundation",Inputs!$B$15="Y"),AND(D699="Healthcare",Inputs!$B$16="Y"),AND(D699="Pension",Inputs!$B$17="Y"),AND(D699="OCIO",Inputs!$B$18="Y"),AND(D699="Other",Inputs!$B$19="Y")))),A699&lt;&gt;in_ClientOrg,NOT(AND(in_ExclHarvard="Y",ISNUMBER(SEARCH("Harvard",A699))))),$AD699="Y",K699&lt;&gt;"",S699&gt;0),"Y","")</f>
        <v/>
      </c>
      <c r="V699" s="30" t="n">
        <v>1</v>
      </c>
      <c r="W699" t="inlineStr"/>
      <c r="X699" s="28">
        <f>IF(L699+M699=0,"",L699+M699)</f>
        <v/>
      </c>
      <c r="Y699" s="38">
        <f>IF(L699=0,"",M699/L699)</f>
        <v/>
      </c>
      <c r="Z699" t="inlineStr">
        <is>
          <t>CIO - Top Investment Executive</t>
        </is>
      </c>
      <c r="AA699" t="inlineStr">
        <is>
          <t>Leadership</t>
        </is>
      </c>
      <c r="AB699" s="50" t="inlineStr">
        <is>
          <t>Y</t>
        </is>
      </c>
      <c r="AC699" s="43">
        <f>HYPERLINK("https://projects.propublica.org/nonprofits/organizations/361408475/202301329349309100/full","view filing")</f>
        <v/>
      </c>
      <c r="AD699" s="50" t="inlineStr"/>
    </row>
    <row r="700">
      <c r="A700" t="inlineStr">
        <is>
          <t>Lumina Foundation For Education Inc</t>
        </is>
      </c>
      <c r="B700" s="50" t="inlineStr">
        <is>
          <t>IN</t>
        </is>
      </c>
      <c r="C700" s="52" t="n">
        <v>1.36</v>
      </c>
      <c r="D700" t="inlineStr">
        <is>
          <t>Foundation</t>
        </is>
      </c>
      <c r="E700" s="50" t="n">
        <v>2024</v>
      </c>
      <c r="F700" s="50" t="inlineStr">
        <is>
          <t>2025-11-17</t>
        </is>
      </c>
      <c r="G700" s="50" t="inlineStr">
        <is>
          <t>2024-12-31</t>
        </is>
      </c>
      <c r="H700" t="inlineStr">
        <is>
          <t>Cody Coppotelli</t>
        </is>
      </c>
      <c r="I700" t="inlineStr">
        <is>
          <t>Dir of Inv (8.24)</t>
        </is>
      </c>
      <c r="J700" t="inlineStr">
        <is>
          <t>Director of Investments</t>
        </is>
      </c>
      <c r="K700" t="inlineStr">
        <is>
          <t>Sr Investment Professional</t>
        </is>
      </c>
      <c r="L700" s="28" t="n">
        <v>0</v>
      </c>
      <c r="M700" s="28" t="n">
        <v>0</v>
      </c>
      <c r="N700" s="28" t="n">
        <v>0</v>
      </c>
      <c r="O700" s="28" t="n">
        <v>0</v>
      </c>
      <c r="P700" s="28" t="n">
        <v>0</v>
      </c>
      <c r="Q700" s="28" t="n">
        <v>318603</v>
      </c>
      <c r="R700" s="28" t="n">
        <v>0</v>
      </c>
      <c r="S700" s="28">
        <f>Q700-R700</f>
        <v/>
      </c>
      <c r="T700" s="28">
        <f>IF(S700="","",S700*(1+in_GrowthRate)^(YEARFRAC(DATE(2024,12,31),in_AgeToDate)*IF(in_AgeToDate&lt;DATE(2024,12,31),-1,1)+1))</f>
        <v/>
      </c>
      <c r="U700" s="50">
        <f>IF(AND(AND(OR(in_Mode="All Funds",AND(C700&gt;=in_BandFloor,C700&lt;=in_BandCeiling,OR(in_Geography="National",COUNTIFS(lst_GeoPreset,in_Geography,lst_GeoState,B700)&gt;0,AND(in_Geography="Custom",ISNUMBER(SEARCH(B700,SUBSTITUTE(in_CustomStates," ",""))))),OR(AND(D700="Endowment",Inputs!$B$14="Y"),AND(D700="Foundation",Inputs!$B$15="Y"),AND(D700="Healthcare",Inputs!$B$16="Y"),AND(D700="Pension",Inputs!$B$17="Y"),AND(D700="OCIO",Inputs!$B$18="Y"),AND(D700="Other",Inputs!$B$19="Y")))),A700&lt;&gt;in_ClientOrg,NOT(AND(in_ExclHarvard="Y",ISNUMBER(SEARCH("Harvard",A700))))),$AD700="Y",K700&lt;&gt;"",S700&gt;0),"Y","")</f>
        <v/>
      </c>
      <c r="V700" s="30" t="n"/>
      <c r="W700" t="inlineStr"/>
      <c r="X700" s="28">
        <f>IF(L700+M700=0,"",L700+M700)</f>
        <v/>
      </c>
      <c r="Y700" s="38">
        <f>IF(L700=0,"",M700/L700)</f>
        <v/>
      </c>
      <c r="Z700" t="inlineStr">
        <is>
          <t>Director &amp; Investment Officer</t>
        </is>
      </c>
      <c r="AA700" t="inlineStr">
        <is>
          <t>Investments</t>
        </is>
      </c>
      <c r="AB700" s="50" t="inlineStr"/>
      <c r="AC700" s="43">
        <f>HYPERLINK("https://projects.propublica.org/nonprofits/organizations/351813228/202533219349105458/full","view filing")</f>
        <v/>
      </c>
      <c r="AD700" s="50" t="inlineStr">
        <is>
          <t>Y</t>
        </is>
      </c>
    </row>
    <row r="701">
      <c r="A701" t="inlineStr">
        <is>
          <t>Lumina Foundation For Education Inc</t>
        </is>
      </c>
      <c r="B701" s="50" t="inlineStr">
        <is>
          <t>IN</t>
        </is>
      </c>
      <c r="C701" s="52" t="n">
        <v>1.36</v>
      </c>
      <c r="D701" t="inlineStr">
        <is>
          <t>Foundation</t>
        </is>
      </c>
      <c r="E701" s="50" t="n">
        <v>2023</v>
      </c>
      <c r="F701" s="50" t="inlineStr">
        <is>
          <t>2024-11-15</t>
        </is>
      </c>
      <c r="G701" s="50" t="inlineStr">
        <is>
          <t>2023-12-31</t>
        </is>
      </c>
      <c r="H701" t="inlineStr">
        <is>
          <t>Cody Coppotelli</t>
        </is>
      </c>
      <c r="I701" t="inlineStr">
        <is>
          <t>Dir. of Investments</t>
        </is>
      </c>
      <c r="J701" t="inlineStr">
        <is>
          <t>Director of Investments</t>
        </is>
      </c>
      <c r="K701" t="inlineStr">
        <is>
          <t>Sr Investment Professional</t>
        </is>
      </c>
      <c r="L701" s="28" t="n">
        <v>0</v>
      </c>
      <c r="M701" s="28" t="n">
        <v>0</v>
      </c>
      <c r="N701" s="28" t="n">
        <v>0</v>
      </c>
      <c r="O701" s="28" t="n">
        <v>0</v>
      </c>
      <c r="P701" s="28" t="n">
        <v>0</v>
      </c>
      <c r="Q701" s="28" t="n">
        <v>240274</v>
      </c>
      <c r="R701" s="28" t="n">
        <v>0</v>
      </c>
      <c r="S701" s="28">
        <f>Q701-R701</f>
        <v/>
      </c>
      <c r="T701" s="28">
        <f>IF(S701="","",S701*(1+in_GrowthRate)^(YEARFRAC(DATE(2023,12,31),in_AgeToDate)*IF(in_AgeToDate&lt;DATE(2023,12,31),-1,1)+1))</f>
        <v/>
      </c>
      <c r="U701" s="50">
        <f>IF(AND(AND(OR(in_Mode="All Funds",AND(C701&gt;=in_BandFloor,C701&lt;=in_BandCeiling,OR(in_Geography="National",COUNTIFS(lst_GeoPreset,in_Geography,lst_GeoState,B701)&gt;0,AND(in_Geography="Custom",ISNUMBER(SEARCH(B701,SUBSTITUTE(in_CustomStates," ",""))))),OR(AND(D701="Endowment",Inputs!$B$14="Y"),AND(D701="Foundation",Inputs!$B$15="Y"),AND(D701="Healthcare",Inputs!$B$16="Y"),AND(D701="Pension",Inputs!$B$17="Y"),AND(D701="OCIO",Inputs!$B$18="Y"),AND(D701="Other",Inputs!$B$19="Y")))),A701&lt;&gt;in_ClientOrg,NOT(AND(in_ExclHarvard="Y",ISNUMBER(SEARCH("Harvard",A701))))),$AD701="Y",K701&lt;&gt;"",S701&gt;0),"Y","")</f>
        <v/>
      </c>
      <c r="V701" s="30" t="n"/>
      <c r="W701" t="inlineStr"/>
      <c r="X701" s="28">
        <f>IF(L701+M701=0,"",L701+M701)</f>
        <v/>
      </c>
      <c r="Y701" s="38">
        <f>IF(L701=0,"",M701/L701)</f>
        <v/>
      </c>
      <c r="Z701" t="inlineStr">
        <is>
          <t>Director &amp; Investment Officer</t>
        </is>
      </c>
      <c r="AA701" t="inlineStr">
        <is>
          <t>Investments</t>
        </is>
      </c>
      <c r="AB701" s="50" t="inlineStr"/>
      <c r="AC701" s="43">
        <f>HYPERLINK("https://projects.propublica.org/nonprofits/organizations/351813228/202443209349104529/full","view filing")</f>
        <v/>
      </c>
      <c r="AD701" s="50" t="inlineStr"/>
    </row>
    <row r="702">
      <c r="A702" t="inlineStr">
        <is>
          <t>Lumina Foundation For Education Inc</t>
        </is>
      </c>
      <c r="B702" s="50" t="inlineStr">
        <is>
          <t>IN</t>
        </is>
      </c>
      <c r="C702" s="52" t="n">
        <v>1.36</v>
      </c>
      <c r="D702" t="inlineStr">
        <is>
          <t>Foundation</t>
        </is>
      </c>
      <c r="E702" s="50" t="n">
        <v>2022</v>
      </c>
      <c r="F702" s="50" t="inlineStr">
        <is>
          <t>2023-11-15</t>
        </is>
      </c>
      <c r="G702" s="50" t="inlineStr">
        <is>
          <t>2022-12-31</t>
        </is>
      </c>
      <c r="H702" t="inlineStr">
        <is>
          <t>Cody Coppotelli</t>
        </is>
      </c>
      <c r="I702" t="inlineStr">
        <is>
          <t>Dir. of Investments</t>
        </is>
      </c>
      <c r="J702" t="inlineStr">
        <is>
          <t>Director of Investments</t>
        </is>
      </c>
      <c r="K702" t="inlineStr">
        <is>
          <t>Sr Investment Professional</t>
        </is>
      </c>
      <c r="L702" s="28" t="n">
        <v>0</v>
      </c>
      <c r="M702" s="28" t="n">
        <v>0</v>
      </c>
      <c r="N702" s="28" t="n">
        <v>0</v>
      </c>
      <c r="O702" s="28" t="n">
        <v>0</v>
      </c>
      <c r="P702" s="28" t="n">
        <v>0</v>
      </c>
      <c r="Q702" s="28" t="n">
        <v>209958</v>
      </c>
      <c r="R702" s="28" t="n">
        <v>0</v>
      </c>
      <c r="S702" s="28">
        <f>Q702-R702</f>
        <v/>
      </c>
      <c r="T702" s="28">
        <f>IF(S702="","",S702*(1+in_GrowthRate)^(YEARFRAC(DATE(2022,12,31),in_AgeToDate)*IF(in_AgeToDate&lt;DATE(2022,12,31),-1,1)+1))</f>
        <v/>
      </c>
      <c r="U702" s="50">
        <f>IF(AND(AND(OR(in_Mode="All Funds",AND(C702&gt;=in_BandFloor,C702&lt;=in_BandCeiling,OR(in_Geography="National",COUNTIFS(lst_GeoPreset,in_Geography,lst_GeoState,B702)&gt;0,AND(in_Geography="Custom",ISNUMBER(SEARCH(B702,SUBSTITUTE(in_CustomStates," ",""))))),OR(AND(D702="Endowment",Inputs!$B$14="Y"),AND(D702="Foundation",Inputs!$B$15="Y"),AND(D702="Healthcare",Inputs!$B$16="Y"),AND(D702="Pension",Inputs!$B$17="Y"),AND(D702="OCIO",Inputs!$B$18="Y"),AND(D702="Other",Inputs!$B$19="Y")))),A702&lt;&gt;in_ClientOrg,NOT(AND(in_ExclHarvard="Y",ISNUMBER(SEARCH("Harvard",A702))))),$AD702="Y",K702&lt;&gt;"",S702&gt;0),"Y","")</f>
        <v/>
      </c>
      <c r="V702" s="30" t="n"/>
      <c r="W702" t="inlineStr"/>
      <c r="X702" s="28">
        <f>IF(L702+M702=0,"",L702+M702)</f>
        <v/>
      </c>
      <c r="Y702" s="38">
        <f>IF(L702=0,"",M702/L702)</f>
        <v/>
      </c>
      <c r="Z702" t="inlineStr">
        <is>
          <t>Director &amp; Investment Officer</t>
        </is>
      </c>
      <c r="AA702" t="inlineStr">
        <is>
          <t>Investments</t>
        </is>
      </c>
      <c r="AB702" s="50" t="inlineStr"/>
      <c r="AC702" s="43">
        <f>HYPERLINK("https://projects.propublica.org/nonprofits/organizations/351813228/202313199349101271/full","view filing")</f>
        <v/>
      </c>
      <c r="AD702" s="50" t="inlineStr"/>
    </row>
    <row r="703">
      <c r="A703" t="inlineStr">
        <is>
          <t>Lynde And Harry Bradley Foundation Inc</t>
        </is>
      </c>
      <c r="B703" s="50" t="inlineStr">
        <is>
          <t>WI</t>
        </is>
      </c>
      <c r="C703" s="52" t="n">
        <v>0.95</v>
      </c>
      <c r="D703" t="inlineStr">
        <is>
          <t>Foundation</t>
        </is>
      </c>
      <c r="E703" s="50" t="n">
        <v>2024</v>
      </c>
      <c r="F703" s="50" t="inlineStr">
        <is>
          <t>2025-11-17</t>
        </is>
      </c>
      <c r="G703" s="50" t="inlineStr">
        <is>
          <t>2024-12-31</t>
        </is>
      </c>
      <c r="H703" t="inlineStr">
        <is>
          <t>Dionne King</t>
        </is>
      </c>
      <c r="I703" t="inlineStr">
        <is>
          <t>Dir. of Operations</t>
        </is>
      </c>
      <c r="J703" t="inlineStr">
        <is>
          <t>Head of Inv Ops (Inv Entity)</t>
        </is>
      </c>
      <c r="K703" t="inlineStr">
        <is>
          <t>COO (Investment Office)</t>
        </is>
      </c>
      <c r="L703" s="28" t="n">
        <v>0</v>
      </c>
      <c r="M703" s="28" t="n">
        <v>0</v>
      </c>
      <c r="N703" s="28" t="n">
        <v>0</v>
      </c>
      <c r="O703" s="28" t="n">
        <v>0</v>
      </c>
      <c r="P703" s="28" t="n">
        <v>45105</v>
      </c>
      <c r="Q703" s="28" t="n">
        <v>184560</v>
      </c>
      <c r="R703" s="28" t="n">
        <v>0</v>
      </c>
      <c r="S703" s="28">
        <f>Q703-R703</f>
        <v/>
      </c>
      <c r="T703" s="28">
        <f>IF(S703="","",S703*(1+in_GrowthRate)^(YEARFRAC(DATE(2024,12,31),in_AgeToDate)*IF(in_AgeToDate&lt;DATE(2024,12,31),-1,1)+1))</f>
        <v/>
      </c>
      <c r="U703" s="50">
        <f>IF(AND(AND(OR(in_Mode="All Funds",AND(C703&gt;=in_BandFloor,C703&lt;=in_BandCeiling,OR(in_Geography="National",COUNTIFS(lst_GeoPreset,in_Geography,lst_GeoState,B703)&gt;0,AND(in_Geography="Custom",ISNUMBER(SEARCH(B703,SUBSTITUTE(in_CustomStates," ",""))))),OR(AND(D703="Endowment",Inputs!$B$14="Y"),AND(D703="Foundation",Inputs!$B$15="Y"),AND(D703="Healthcare",Inputs!$B$16="Y"),AND(D703="Pension",Inputs!$B$17="Y"),AND(D703="OCIO",Inputs!$B$18="Y"),AND(D703="Other",Inputs!$B$19="Y")))),A703&lt;&gt;in_ClientOrg,NOT(AND(in_ExclHarvard="Y",ISNUMBER(SEARCH("Harvard",A703))))),$AD703="Y",K703&lt;&gt;"",S703&gt;0),"Y","")</f>
        <v/>
      </c>
      <c r="V703" s="30" t="n">
        <v>0.3961025024681289</v>
      </c>
      <c r="W703" t="inlineStr"/>
      <c r="X703" s="28">
        <f>IF(L703+M703=0,"",L703+M703)</f>
        <v/>
      </c>
      <c r="Y703" s="38">
        <f>IF(L703=0,"",M703/L703)</f>
        <v/>
      </c>
      <c r="Z703" t="inlineStr">
        <is>
          <t>COO (Investment Office)</t>
        </is>
      </c>
      <c r="AA703" t="inlineStr">
        <is>
          <t>Operations &amp; Control</t>
        </is>
      </c>
      <c r="AB703" s="50" t="inlineStr"/>
      <c r="AC703" s="43">
        <f>HYPERLINK("https://projects.propublica.org/nonprofits/organizations/396037928/202523219349106577/full","view filing")</f>
        <v/>
      </c>
      <c r="AD703" s="50" t="inlineStr">
        <is>
          <t>Y</t>
        </is>
      </c>
    </row>
    <row r="704">
      <c r="A704" t="inlineStr">
        <is>
          <t>Lynde And Harry Bradley Foundation Inc</t>
        </is>
      </c>
      <c r="B704" s="50" t="inlineStr">
        <is>
          <t>WI</t>
        </is>
      </c>
      <c r="C704" s="52" t="n">
        <v>0.95</v>
      </c>
      <c r="D704" t="inlineStr">
        <is>
          <t>Foundation</t>
        </is>
      </c>
      <c r="E704" s="50" t="n">
        <v>2024</v>
      </c>
      <c r="F704" s="50" t="inlineStr">
        <is>
          <t>2025-11-17</t>
        </is>
      </c>
      <c r="G704" s="50" t="inlineStr">
        <is>
          <t>2024-12-31</t>
        </is>
      </c>
      <c r="H704" t="inlineStr">
        <is>
          <t>Stephen A Langlois</t>
        </is>
      </c>
      <c r="I704" t="inlineStr">
        <is>
          <t>Senior Vice President and Chief Investment Officer</t>
        </is>
      </c>
      <c r="J704" t="inlineStr">
        <is>
          <t>CIO</t>
        </is>
      </c>
      <c r="K704" t="inlineStr">
        <is>
          <t>CIO - Top Investment Executive</t>
        </is>
      </c>
      <c r="L704" s="28" t="n">
        <v>0</v>
      </c>
      <c r="M704" s="28" t="n">
        <v>0</v>
      </c>
      <c r="N704" s="28" t="n">
        <v>0</v>
      </c>
      <c r="O704" s="28" t="n">
        <v>0</v>
      </c>
      <c r="P704" s="28" t="n">
        <v>77063</v>
      </c>
      <c r="Q704" s="28" t="n">
        <v>465940</v>
      </c>
      <c r="R704" s="28" t="n">
        <v>0</v>
      </c>
      <c r="S704" s="28">
        <f>Q704-R704</f>
        <v/>
      </c>
      <c r="T704" s="28">
        <f>IF(S704="","",S704*(1+in_GrowthRate)^(YEARFRAC(DATE(2024,12,31),in_AgeToDate)*IF(in_AgeToDate&lt;DATE(2024,12,31),-1,1)+1))</f>
        <v/>
      </c>
      <c r="U704" s="50">
        <f>IF(AND(AND(OR(in_Mode="All Funds",AND(C704&gt;=in_BandFloor,C704&lt;=in_BandCeiling,OR(in_Geography="National",COUNTIFS(lst_GeoPreset,in_Geography,lst_GeoState,B704)&gt;0,AND(in_Geography="Custom",ISNUMBER(SEARCH(B704,SUBSTITUTE(in_CustomStates," ",""))))),OR(AND(D704="Endowment",Inputs!$B$14="Y"),AND(D704="Foundation",Inputs!$B$15="Y"),AND(D704="Healthcare",Inputs!$B$16="Y"),AND(D704="Pension",Inputs!$B$17="Y"),AND(D704="OCIO",Inputs!$B$18="Y"),AND(D704="Other",Inputs!$B$19="Y")))),A704&lt;&gt;in_ClientOrg,NOT(AND(in_ExclHarvard="Y",ISNUMBER(SEARCH("Harvard",A704))))),$AD704="Y",K704&lt;&gt;"",S704&gt;0),"Y","")</f>
        <v/>
      </c>
      <c r="V704" s="30" t="n">
        <v>1</v>
      </c>
      <c r="W704" t="inlineStr"/>
      <c r="X704" s="28">
        <f>IF(L704+M704=0,"",L704+M704)</f>
        <v/>
      </c>
      <c r="Y704" s="38">
        <f>IF(L704=0,"",M704/L704)</f>
        <v/>
      </c>
      <c r="Z704" t="inlineStr">
        <is>
          <t>CIO - Top Investment Executive</t>
        </is>
      </c>
      <c r="AA704" t="inlineStr">
        <is>
          <t>Leadership</t>
        </is>
      </c>
      <c r="AB704" s="50" t="inlineStr">
        <is>
          <t>Y</t>
        </is>
      </c>
      <c r="AC704" s="43">
        <f>HYPERLINK("https://projects.propublica.org/nonprofits/organizations/396037928/202523219349106577/full","view filing")</f>
        <v/>
      </c>
      <c r="AD704" s="50" t="inlineStr">
        <is>
          <t>Y</t>
        </is>
      </c>
    </row>
    <row r="705">
      <c r="A705" t="inlineStr">
        <is>
          <t>Lynde And Harry Bradley Foundation Inc</t>
        </is>
      </c>
      <c r="B705" s="50" t="inlineStr">
        <is>
          <t>WI</t>
        </is>
      </c>
      <c r="C705" s="52" t="n">
        <v>0.95</v>
      </c>
      <c r="D705" t="inlineStr">
        <is>
          <t>Foundation</t>
        </is>
      </c>
      <c r="E705" s="50" t="n">
        <v>2023</v>
      </c>
      <c r="F705" s="50" t="inlineStr">
        <is>
          <t>2024-11-15</t>
        </is>
      </c>
      <c r="G705" s="50" t="inlineStr">
        <is>
          <t>2023-12-31</t>
        </is>
      </c>
      <c r="H705" t="inlineStr">
        <is>
          <t>Dionne King</t>
        </is>
      </c>
      <c r="I705" t="inlineStr">
        <is>
          <t>Dir. of Operations</t>
        </is>
      </c>
      <c r="J705" t="inlineStr">
        <is>
          <t>Head of Inv Ops (Inv Entity)</t>
        </is>
      </c>
      <c r="K705" t="inlineStr">
        <is>
          <t>COO (Investment Office)</t>
        </is>
      </c>
      <c r="L705" s="28" t="n">
        <v>0</v>
      </c>
      <c r="M705" s="28" t="n">
        <v>0</v>
      </c>
      <c r="N705" s="28" t="n">
        <v>0</v>
      </c>
      <c r="O705" s="28" t="n">
        <v>0</v>
      </c>
      <c r="P705" s="28" t="n">
        <v>0</v>
      </c>
      <c r="Q705" s="28" t="n">
        <v>123360</v>
      </c>
      <c r="R705" s="28" t="n">
        <v>0</v>
      </c>
      <c r="S705" s="28">
        <f>Q705-R705</f>
        <v/>
      </c>
      <c r="T705" s="28">
        <f>IF(S705="","",S705*(1+in_GrowthRate)^(YEARFRAC(DATE(2023,12,31),in_AgeToDate)*IF(in_AgeToDate&lt;DATE(2023,12,31),-1,1)+1))</f>
        <v/>
      </c>
      <c r="U705" s="50">
        <f>IF(AND(AND(OR(in_Mode="All Funds",AND(C705&gt;=in_BandFloor,C705&lt;=in_BandCeiling,OR(in_Geography="National",COUNTIFS(lst_GeoPreset,in_Geography,lst_GeoState,B705)&gt;0,AND(in_Geography="Custom",ISNUMBER(SEARCH(B705,SUBSTITUTE(in_CustomStates," ",""))))),OR(AND(D705="Endowment",Inputs!$B$14="Y"),AND(D705="Foundation",Inputs!$B$15="Y"),AND(D705="Healthcare",Inputs!$B$16="Y"),AND(D705="Pension",Inputs!$B$17="Y"),AND(D705="OCIO",Inputs!$B$18="Y"),AND(D705="Other",Inputs!$B$19="Y")))),A705&lt;&gt;in_ClientOrg,NOT(AND(in_ExclHarvard="Y",ISNUMBER(SEARCH("Harvard",A705))))),$AD705="Y",K705&lt;&gt;"",S705&gt;0),"Y","")</f>
        <v/>
      </c>
      <c r="V705" s="30" t="n">
        <v>0.2998731081692085</v>
      </c>
      <c r="W705" t="inlineStr"/>
      <c r="X705" s="28">
        <f>IF(L705+M705=0,"",L705+M705)</f>
        <v/>
      </c>
      <c r="Y705" s="38">
        <f>IF(L705=0,"",M705/L705)</f>
        <v/>
      </c>
      <c r="Z705" t="inlineStr">
        <is>
          <t>COO (Investment Office)</t>
        </is>
      </c>
      <c r="AA705" t="inlineStr">
        <is>
          <t>Operations &amp; Control</t>
        </is>
      </c>
      <c r="AB705" s="50" t="inlineStr"/>
      <c r="AC705" s="43">
        <f>HYPERLINK("https://projects.propublica.org/nonprofits/organizations/396037928/202403209349104125/full","view filing")</f>
        <v/>
      </c>
      <c r="AD705" s="50" t="inlineStr"/>
    </row>
    <row r="706">
      <c r="A706" t="inlineStr">
        <is>
          <t>Lynde And Harry Bradley Foundation Inc</t>
        </is>
      </c>
      <c r="B706" s="50" t="inlineStr">
        <is>
          <t>WI</t>
        </is>
      </c>
      <c r="C706" s="52" t="n">
        <v>0.95</v>
      </c>
      <c r="D706" t="inlineStr">
        <is>
          <t>Foundation</t>
        </is>
      </c>
      <c r="E706" s="50" t="n">
        <v>2023</v>
      </c>
      <c r="F706" s="50" t="inlineStr">
        <is>
          <t>2024-11-15</t>
        </is>
      </c>
      <c r="G706" s="50" t="inlineStr">
        <is>
          <t>2023-12-31</t>
        </is>
      </c>
      <c r="H706" t="inlineStr">
        <is>
          <t>Stephen A Langlois</t>
        </is>
      </c>
      <c r="I706" t="inlineStr">
        <is>
          <t>Senior Vice President and Chief Investment Officer</t>
        </is>
      </c>
      <c r="J706" t="inlineStr">
        <is>
          <t>CIO</t>
        </is>
      </c>
      <c r="K706" t="inlineStr">
        <is>
          <t>CIO - Top Investment Executive</t>
        </is>
      </c>
      <c r="L706" s="28" t="n">
        <v>0</v>
      </c>
      <c r="M706" s="28" t="n">
        <v>0</v>
      </c>
      <c r="N706" s="28" t="n">
        <v>0</v>
      </c>
      <c r="O706" s="28" t="n">
        <v>0</v>
      </c>
      <c r="P706" s="28" t="n">
        <v>75344</v>
      </c>
      <c r="Q706" s="28" t="n">
        <v>411374</v>
      </c>
      <c r="R706" s="28" t="n">
        <v>0</v>
      </c>
      <c r="S706" s="28">
        <f>Q706-R706</f>
        <v/>
      </c>
      <c r="T706" s="28">
        <f>IF(S706="","",S706*(1+in_GrowthRate)^(YEARFRAC(DATE(2023,12,31),in_AgeToDate)*IF(in_AgeToDate&lt;DATE(2023,12,31),-1,1)+1))</f>
        <v/>
      </c>
      <c r="U706" s="50">
        <f>IF(AND(AND(OR(in_Mode="All Funds",AND(C706&gt;=in_BandFloor,C706&lt;=in_BandCeiling,OR(in_Geography="National",COUNTIFS(lst_GeoPreset,in_Geography,lst_GeoState,B706)&gt;0,AND(in_Geography="Custom",ISNUMBER(SEARCH(B706,SUBSTITUTE(in_CustomStates," ",""))))),OR(AND(D706="Endowment",Inputs!$B$14="Y"),AND(D706="Foundation",Inputs!$B$15="Y"),AND(D706="Healthcare",Inputs!$B$16="Y"),AND(D706="Pension",Inputs!$B$17="Y"),AND(D706="OCIO",Inputs!$B$18="Y"),AND(D706="Other",Inputs!$B$19="Y")))),A706&lt;&gt;in_ClientOrg,NOT(AND(in_ExclHarvard="Y",ISNUMBER(SEARCH("Harvard",A706))))),$AD706="Y",K706&lt;&gt;"",S706&gt;0),"Y","")</f>
        <v/>
      </c>
      <c r="V706" s="30" t="n">
        <v>1</v>
      </c>
      <c r="W706" t="inlineStr"/>
      <c r="X706" s="28">
        <f>IF(L706+M706=0,"",L706+M706)</f>
        <v/>
      </c>
      <c r="Y706" s="38">
        <f>IF(L706=0,"",M706/L706)</f>
        <v/>
      </c>
      <c r="Z706" t="inlineStr">
        <is>
          <t>CIO - Top Investment Executive</t>
        </is>
      </c>
      <c r="AA706" t="inlineStr">
        <is>
          <t>Leadership</t>
        </is>
      </c>
      <c r="AB706" s="50" t="inlineStr">
        <is>
          <t>Y</t>
        </is>
      </c>
      <c r="AC706" s="43">
        <f>HYPERLINK("https://projects.propublica.org/nonprofits/organizations/396037928/202403209349104125/full","view filing")</f>
        <v/>
      </c>
      <c r="AD706" s="50" t="inlineStr"/>
    </row>
    <row r="707">
      <c r="A707" t="inlineStr">
        <is>
          <t>M J Murdock Charitable Trust</t>
        </is>
      </c>
      <c r="B707" s="50" t="inlineStr">
        <is>
          <t>WA</t>
        </is>
      </c>
      <c r="C707" s="52" t="n">
        <v>1.96</v>
      </c>
      <c r="D707" t="inlineStr">
        <is>
          <t>Foundation</t>
        </is>
      </c>
      <c r="E707" s="50" t="n">
        <v>2024</v>
      </c>
      <c r="F707" s="50" t="inlineStr">
        <is>
          <t>2025-11-14</t>
        </is>
      </c>
      <c r="G707" s="50" t="inlineStr">
        <is>
          <t>2024-12-31</t>
        </is>
      </c>
      <c r="H707" t="inlineStr">
        <is>
          <t>Clare Maxwell</t>
        </is>
      </c>
      <c r="I707" t="inlineStr">
        <is>
          <t>INVESTMENT OFFICER</t>
        </is>
      </c>
      <c r="J707" t="inlineStr">
        <is>
          <t>Investment Officer</t>
        </is>
      </c>
      <c r="K707" t="inlineStr">
        <is>
          <t>Sr Investment Professional</t>
        </is>
      </c>
      <c r="L707" s="28" t="n">
        <v>0</v>
      </c>
      <c r="M707" s="28" t="n">
        <v>0</v>
      </c>
      <c r="N707" s="28" t="n">
        <v>0</v>
      </c>
      <c r="O707" s="28" t="n">
        <v>0</v>
      </c>
      <c r="P707" s="28" t="n">
        <v>0</v>
      </c>
      <c r="Q707" s="28" t="n">
        <v>284025</v>
      </c>
      <c r="R707" s="28" t="n">
        <v>0</v>
      </c>
      <c r="S707" s="28">
        <f>Q707-R707</f>
        <v/>
      </c>
      <c r="T707" s="28">
        <f>IF(S707="","",S707*(1+in_GrowthRate)^(YEARFRAC(DATE(2024,12,31),in_AgeToDate)*IF(in_AgeToDate&lt;DATE(2024,12,31),-1,1)+1))</f>
        <v/>
      </c>
      <c r="U707" s="50">
        <f>IF(AND(AND(OR(in_Mode="All Funds",AND(C707&gt;=in_BandFloor,C707&lt;=in_BandCeiling,OR(in_Geography="National",COUNTIFS(lst_GeoPreset,in_Geography,lst_GeoState,B707)&gt;0,AND(in_Geography="Custom",ISNUMBER(SEARCH(B707,SUBSTITUTE(in_CustomStates," ",""))))),OR(AND(D707="Endowment",Inputs!$B$14="Y"),AND(D707="Foundation",Inputs!$B$15="Y"),AND(D707="Healthcare",Inputs!$B$16="Y"),AND(D707="Pension",Inputs!$B$17="Y"),AND(D707="OCIO",Inputs!$B$18="Y"),AND(D707="Other",Inputs!$B$19="Y")))),A707&lt;&gt;in_ClientOrg,NOT(AND(in_ExclHarvard="Y",ISNUMBER(SEARCH("Harvard",A707))))),$AD707="Y",K707&lt;&gt;"",S707&gt;0),"Y","")</f>
        <v/>
      </c>
      <c r="V707" s="30" t="n">
        <v>0.3581895866805558</v>
      </c>
      <c r="W707" t="inlineStr"/>
      <c r="X707" s="28">
        <f>IF(L707+M707=0,"",L707+M707)</f>
        <v/>
      </c>
      <c r="Y707" s="38">
        <f>IF(L707=0,"",M707/L707)</f>
        <v/>
      </c>
      <c r="Z707" t="inlineStr">
        <is>
          <t>Director &amp; Investment Officer</t>
        </is>
      </c>
      <c r="AA707" t="inlineStr">
        <is>
          <t>Investments</t>
        </is>
      </c>
      <c r="AB707" s="50" t="inlineStr"/>
      <c r="AC707" s="43">
        <f>HYPERLINK("https://projects.propublica.org/nonprofits/organizations/237456468/202513189349104056/full","view filing")</f>
        <v/>
      </c>
      <c r="AD707" s="50" t="inlineStr">
        <is>
          <t>Y</t>
        </is>
      </c>
    </row>
    <row r="708">
      <c r="A708" t="inlineStr">
        <is>
          <t>M J Murdock Charitable Trust</t>
        </is>
      </c>
      <c r="B708" s="50" t="inlineStr">
        <is>
          <t>WA</t>
        </is>
      </c>
      <c r="C708" s="52" t="n">
        <v>1.96</v>
      </c>
      <c r="D708" t="inlineStr">
        <is>
          <t>Foundation</t>
        </is>
      </c>
      <c r="E708" s="50" t="n">
        <v>2024</v>
      </c>
      <c r="F708" s="50" t="inlineStr">
        <is>
          <t>2025-11-14</t>
        </is>
      </c>
      <c r="G708" s="50" t="inlineStr">
        <is>
          <t>2024-12-31</t>
        </is>
      </c>
      <c r="H708" t="inlineStr">
        <is>
          <t>Elmer Huh</t>
        </is>
      </c>
      <c r="I708" t="inlineStr">
        <is>
          <t>CIO</t>
        </is>
      </c>
      <c r="J708" t="inlineStr">
        <is>
          <t>CIO</t>
        </is>
      </c>
      <c r="K708" t="inlineStr">
        <is>
          <t>CIO - Top Investment Executive</t>
        </is>
      </c>
      <c r="L708" s="28" t="n">
        <v>0</v>
      </c>
      <c r="M708" s="28" t="n">
        <v>0</v>
      </c>
      <c r="N708" s="28" t="n">
        <v>0</v>
      </c>
      <c r="O708" s="28" t="n">
        <v>0</v>
      </c>
      <c r="P708" s="28" t="n">
        <v>93296</v>
      </c>
      <c r="Q708" s="28" t="n">
        <v>792946</v>
      </c>
      <c r="R708" s="28" t="n">
        <v>0</v>
      </c>
      <c r="S708" s="28">
        <f>Q708-R708</f>
        <v/>
      </c>
      <c r="T708" s="28">
        <f>IF(S708="","",S708*(1+in_GrowthRate)^(YEARFRAC(DATE(2024,12,31),in_AgeToDate)*IF(in_AgeToDate&lt;DATE(2024,12,31),-1,1)+1))</f>
        <v/>
      </c>
      <c r="U708" s="50">
        <f>IF(AND(AND(OR(in_Mode="All Funds",AND(C708&gt;=in_BandFloor,C708&lt;=in_BandCeiling,OR(in_Geography="National",COUNTIFS(lst_GeoPreset,in_Geography,lst_GeoState,B708)&gt;0,AND(in_Geography="Custom",ISNUMBER(SEARCH(B708,SUBSTITUTE(in_CustomStates," ",""))))),OR(AND(D708="Endowment",Inputs!$B$14="Y"),AND(D708="Foundation",Inputs!$B$15="Y"),AND(D708="Healthcare",Inputs!$B$16="Y"),AND(D708="Pension",Inputs!$B$17="Y"),AND(D708="OCIO",Inputs!$B$18="Y"),AND(D708="Other",Inputs!$B$19="Y")))),A708&lt;&gt;in_ClientOrg,NOT(AND(in_ExclHarvard="Y",ISNUMBER(SEARCH("Harvard",A708))))),$AD708="Y",K708&lt;&gt;"",S708&gt;0),"Y","")</f>
        <v/>
      </c>
      <c r="V708" s="30" t="n">
        <v>1</v>
      </c>
      <c r="W708" t="inlineStr"/>
      <c r="X708" s="28">
        <f>IF(L708+M708=0,"",L708+M708)</f>
        <v/>
      </c>
      <c r="Y708" s="38">
        <f>IF(L708=0,"",M708/L708)</f>
        <v/>
      </c>
      <c r="Z708" t="inlineStr">
        <is>
          <t>CIO - Top Investment Executive</t>
        </is>
      </c>
      <c r="AA708" t="inlineStr">
        <is>
          <t>Leadership</t>
        </is>
      </c>
      <c r="AB708" s="50" t="inlineStr">
        <is>
          <t>Y</t>
        </is>
      </c>
      <c r="AC708" s="43">
        <f>HYPERLINK("https://projects.propublica.org/nonprofits/organizations/237456468/202513189349104056/full","view filing")</f>
        <v/>
      </c>
      <c r="AD708" s="50" t="inlineStr">
        <is>
          <t>Y</t>
        </is>
      </c>
    </row>
    <row r="709">
      <c r="A709" t="inlineStr">
        <is>
          <t>M J Murdock Charitable Trust</t>
        </is>
      </c>
      <c r="B709" s="50" t="inlineStr">
        <is>
          <t>WA</t>
        </is>
      </c>
      <c r="C709" s="52" t="n">
        <v>1.96</v>
      </c>
      <c r="D709" t="inlineStr">
        <is>
          <t>Foundation</t>
        </is>
      </c>
      <c r="E709" s="50" t="n">
        <v>2023</v>
      </c>
      <c r="F709" s="50" t="inlineStr">
        <is>
          <t>2024-11-14</t>
        </is>
      </c>
      <c r="G709" s="50" t="inlineStr">
        <is>
          <t>2023-12-31</t>
        </is>
      </c>
      <c r="H709" t="inlineStr">
        <is>
          <t>Clare Maxwell</t>
        </is>
      </c>
      <c r="I709" t="inlineStr">
        <is>
          <t>INVESTMENT OFFICER</t>
        </is>
      </c>
      <c r="J709" t="inlineStr">
        <is>
          <t>Investment Officer</t>
        </is>
      </c>
      <c r="K709" t="inlineStr">
        <is>
          <t>Sr Investment Professional</t>
        </is>
      </c>
      <c r="L709" s="28" t="n">
        <v>0</v>
      </c>
      <c r="M709" s="28" t="n">
        <v>0</v>
      </c>
      <c r="N709" s="28" t="n">
        <v>0</v>
      </c>
      <c r="O709" s="28" t="n">
        <v>0</v>
      </c>
      <c r="P709" s="28" t="n">
        <v>0</v>
      </c>
      <c r="Q709" s="28" t="n">
        <v>242481</v>
      </c>
      <c r="R709" s="28" t="n">
        <v>0</v>
      </c>
      <c r="S709" s="28">
        <f>Q709-R709</f>
        <v/>
      </c>
      <c r="T709" s="28">
        <f>IF(S709="","",S709*(1+in_GrowthRate)^(YEARFRAC(DATE(2023,12,31),in_AgeToDate)*IF(in_AgeToDate&lt;DATE(2023,12,31),-1,1)+1))</f>
        <v/>
      </c>
      <c r="U709" s="50">
        <f>IF(AND(AND(OR(in_Mode="All Funds",AND(C709&gt;=in_BandFloor,C709&lt;=in_BandCeiling,OR(in_Geography="National",COUNTIFS(lst_GeoPreset,in_Geography,lst_GeoState,B709)&gt;0,AND(in_Geography="Custom",ISNUMBER(SEARCH(B709,SUBSTITUTE(in_CustomStates," ",""))))),OR(AND(D709="Endowment",Inputs!$B$14="Y"),AND(D709="Foundation",Inputs!$B$15="Y"),AND(D709="Healthcare",Inputs!$B$16="Y"),AND(D709="Pension",Inputs!$B$17="Y"),AND(D709="OCIO",Inputs!$B$18="Y"),AND(D709="Other",Inputs!$B$19="Y")))),A709&lt;&gt;in_ClientOrg,NOT(AND(in_ExclHarvard="Y",ISNUMBER(SEARCH("Harvard",A709))))),$AD709="Y",K709&lt;&gt;"",S709&gt;0),"Y","")</f>
        <v/>
      </c>
      <c r="V709" s="30" t="n">
        <v>0.3300251110944762</v>
      </c>
      <c r="W709" t="inlineStr"/>
      <c r="X709" s="28">
        <f>IF(L709+M709=0,"",L709+M709)</f>
        <v/>
      </c>
      <c r="Y709" s="38">
        <f>IF(L709=0,"",M709/L709)</f>
        <v/>
      </c>
      <c r="Z709" t="inlineStr">
        <is>
          <t>Director &amp; Investment Officer</t>
        </is>
      </c>
      <c r="AA709" t="inlineStr">
        <is>
          <t>Investments</t>
        </is>
      </c>
      <c r="AB709" s="50" t="inlineStr"/>
      <c r="AC709" s="43">
        <f>HYPERLINK("https://projects.propublica.org/nonprofits/organizations/237456468/202443199349106519/full","view filing")</f>
        <v/>
      </c>
      <c r="AD709" s="50" t="inlineStr"/>
    </row>
    <row r="710">
      <c r="A710" t="inlineStr">
        <is>
          <t>M J Murdock Charitable Trust</t>
        </is>
      </c>
      <c r="B710" s="50" t="inlineStr">
        <is>
          <t>WA</t>
        </is>
      </c>
      <c r="C710" s="52" t="n">
        <v>1.96</v>
      </c>
      <c r="D710" t="inlineStr">
        <is>
          <t>Foundation</t>
        </is>
      </c>
      <c r="E710" s="50" t="n">
        <v>2023</v>
      </c>
      <c r="F710" s="50" t="inlineStr">
        <is>
          <t>2024-11-14</t>
        </is>
      </c>
      <c r="G710" s="50" t="inlineStr">
        <is>
          <t>2023-12-31</t>
        </is>
      </c>
      <c r="H710" t="inlineStr">
        <is>
          <t>Elmer Huh</t>
        </is>
      </c>
      <c r="I710" t="inlineStr">
        <is>
          <t>CIO</t>
        </is>
      </c>
      <c r="J710" t="inlineStr">
        <is>
          <t>CIO</t>
        </is>
      </c>
      <c r="K710" t="inlineStr">
        <is>
          <t>CIO - Top Investment Executive</t>
        </is>
      </c>
      <c r="L710" s="28" t="n">
        <v>0</v>
      </c>
      <c r="M710" s="28" t="n">
        <v>0</v>
      </c>
      <c r="N710" s="28" t="n">
        <v>0</v>
      </c>
      <c r="O710" s="28" t="n">
        <v>0</v>
      </c>
      <c r="P710" s="28" t="n">
        <v>95326</v>
      </c>
      <c r="Q710" s="28" t="n">
        <v>734735</v>
      </c>
      <c r="R710" s="28" t="n">
        <v>0</v>
      </c>
      <c r="S710" s="28">
        <f>Q710-R710</f>
        <v/>
      </c>
      <c r="T710" s="28">
        <f>IF(S710="","",S710*(1+in_GrowthRate)^(YEARFRAC(DATE(2023,12,31),in_AgeToDate)*IF(in_AgeToDate&lt;DATE(2023,12,31),-1,1)+1))</f>
        <v/>
      </c>
      <c r="U710" s="50">
        <f>IF(AND(AND(OR(in_Mode="All Funds",AND(C710&gt;=in_BandFloor,C710&lt;=in_BandCeiling,OR(in_Geography="National",COUNTIFS(lst_GeoPreset,in_Geography,lst_GeoState,B710)&gt;0,AND(in_Geography="Custom",ISNUMBER(SEARCH(B710,SUBSTITUTE(in_CustomStates," ",""))))),OR(AND(D710="Endowment",Inputs!$B$14="Y"),AND(D710="Foundation",Inputs!$B$15="Y"),AND(D710="Healthcare",Inputs!$B$16="Y"),AND(D710="Pension",Inputs!$B$17="Y"),AND(D710="OCIO",Inputs!$B$18="Y"),AND(D710="Other",Inputs!$B$19="Y")))),A710&lt;&gt;in_ClientOrg,NOT(AND(in_ExclHarvard="Y",ISNUMBER(SEARCH("Harvard",A710))))),$AD710="Y",K710&lt;&gt;"",S710&gt;0),"Y","")</f>
        <v/>
      </c>
      <c r="V710" s="30" t="n">
        <v>1</v>
      </c>
      <c r="W710" t="inlineStr"/>
      <c r="X710" s="28">
        <f>IF(L710+M710=0,"",L710+M710)</f>
        <v/>
      </c>
      <c r="Y710" s="38">
        <f>IF(L710=0,"",M710/L710)</f>
        <v/>
      </c>
      <c r="Z710" t="inlineStr">
        <is>
          <t>CIO - Top Investment Executive</t>
        </is>
      </c>
      <c r="AA710" t="inlineStr">
        <is>
          <t>Leadership</t>
        </is>
      </c>
      <c r="AB710" s="50" t="inlineStr">
        <is>
          <t>Y</t>
        </is>
      </c>
      <c r="AC710" s="43">
        <f>HYPERLINK("https://projects.propublica.org/nonprofits/organizations/237456468/202443199349106519/full","view filing")</f>
        <v/>
      </c>
      <c r="AD710" s="50" t="inlineStr"/>
    </row>
    <row r="711">
      <c r="A711" t="inlineStr">
        <is>
          <t>M J Murdock Charitable Trust</t>
        </is>
      </c>
      <c r="B711" s="50" t="inlineStr">
        <is>
          <t>WA</t>
        </is>
      </c>
      <c r="C711" s="52" t="n">
        <v>1.96</v>
      </c>
      <c r="D711" t="inlineStr">
        <is>
          <t>Foundation</t>
        </is>
      </c>
      <c r="E711" s="50" t="n">
        <v>2022</v>
      </c>
      <c r="F711" s="50" t="inlineStr">
        <is>
          <t>2023-11-15</t>
        </is>
      </c>
      <c r="G711" s="50" t="inlineStr">
        <is>
          <t>2022-12-31</t>
        </is>
      </c>
      <c r="H711" t="inlineStr">
        <is>
          <t>Elmer Huh</t>
        </is>
      </c>
      <c r="I711" t="inlineStr">
        <is>
          <t>CIO</t>
        </is>
      </c>
      <c r="J711" t="inlineStr">
        <is>
          <t>CIO</t>
        </is>
      </c>
      <c r="K711" t="inlineStr">
        <is>
          <t>CIO - Top Investment Executive</t>
        </is>
      </c>
      <c r="L711" s="28" t="n">
        <v>0</v>
      </c>
      <c r="M711" s="28" t="n">
        <v>0</v>
      </c>
      <c r="N711" s="28" t="n">
        <v>0</v>
      </c>
      <c r="O711" s="28" t="n">
        <v>0</v>
      </c>
      <c r="P711" s="28" t="n">
        <v>94083</v>
      </c>
      <c r="Q711" s="28" t="n">
        <v>689241</v>
      </c>
      <c r="R711" s="28" t="n">
        <v>0</v>
      </c>
      <c r="S711" s="28">
        <f>Q711-R711</f>
        <v/>
      </c>
      <c r="T711" s="28">
        <f>IF(S711="","",S711*(1+in_GrowthRate)^(YEARFRAC(DATE(2022,12,31),in_AgeToDate)*IF(in_AgeToDate&lt;DATE(2022,12,31),-1,1)+1))</f>
        <v/>
      </c>
      <c r="U711" s="50">
        <f>IF(AND(AND(OR(in_Mode="All Funds",AND(C711&gt;=in_BandFloor,C711&lt;=in_BandCeiling,OR(in_Geography="National",COUNTIFS(lst_GeoPreset,in_Geography,lst_GeoState,B711)&gt;0,AND(in_Geography="Custom",ISNUMBER(SEARCH(B711,SUBSTITUTE(in_CustomStates," ",""))))),OR(AND(D711="Endowment",Inputs!$B$14="Y"),AND(D711="Foundation",Inputs!$B$15="Y"),AND(D711="Healthcare",Inputs!$B$16="Y"),AND(D711="Pension",Inputs!$B$17="Y"),AND(D711="OCIO",Inputs!$B$18="Y"),AND(D711="Other",Inputs!$B$19="Y")))),A711&lt;&gt;in_ClientOrg,NOT(AND(in_ExclHarvard="Y",ISNUMBER(SEARCH("Harvard",A711))))),$AD711="Y",K711&lt;&gt;"",S711&gt;0),"Y","")</f>
        <v/>
      </c>
      <c r="V711" s="30" t="n">
        <v>1</v>
      </c>
      <c r="W711" t="inlineStr"/>
      <c r="X711" s="28">
        <f>IF(L711+M711=0,"",L711+M711)</f>
        <v/>
      </c>
      <c r="Y711" s="38">
        <f>IF(L711=0,"",M711/L711)</f>
        <v/>
      </c>
      <c r="Z711" t="inlineStr">
        <is>
          <t>CIO - Top Investment Executive</t>
        </is>
      </c>
      <c r="AA711" t="inlineStr">
        <is>
          <t>Leadership</t>
        </is>
      </c>
      <c r="AB711" s="50" t="inlineStr">
        <is>
          <t>Y</t>
        </is>
      </c>
      <c r="AC711" s="43">
        <f>HYPERLINK("https://projects.propublica.org/nonprofits/organizations/237456468/202313199349103306/full","view filing")</f>
        <v/>
      </c>
      <c r="AD711" s="50" t="inlineStr"/>
    </row>
    <row r="712">
      <c r="A712" t="inlineStr">
        <is>
          <t>M J Murdock Charitable Trust</t>
        </is>
      </c>
      <c r="B712" s="50" t="inlineStr">
        <is>
          <t>WA</t>
        </is>
      </c>
      <c r="C712" s="52" t="n">
        <v>1.96</v>
      </c>
      <c r="D712" t="inlineStr">
        <is>
          <t>Foundation</t>
        </is>
      </c>
      <c r="E712" s="50" t="n">
        <v>2022</v>
      </c>
      <c r="F712" s="50" t="inlineStr">
        <is>
          <t>2023-11-15</t>
        </is>
      </c>
      <c r="G712" s="50" t="inlineStr">
        <is>
          <t>2022-12-31</t>
        </is>
      </c>
      <c r="H712" t="inlineStr">
        <is>
          <t>Mark Pyatt</t>
        </is>
      </c>
      <c r="I712" t="inlineStr">
        <is>
          <t>INVESTMENT OFFICER</t>
        </is>
      </c>
      <c r="J712" t="inlineStr">
        <is>
          <t>Investment Officer</t>
        </is>
      </c>
      <c r="K712" t="inlineStr">
        <is>
          <t>Sr Investment Professional</t>
        </is>
      </c>
      <c r="L712" s="28" t="n">
        <v>0</v>
      </c>
      <c r="M712" s="28" t="n">
        <v>0</v>
      </c>
      <c r="N712" s="28" t="n">
        <v>0</v>
      </c>
      <c r="O712" s="28" t="n">
        <v>0</v>
      </c>
      <c r="P712" s="28" t="n">
        <v>0</v>
      </c>
      <c r="Q712" s="28" t="n">
        <v>223042</v>
      </c>
      <c r="R712" s="28" t="n">
        <v>0</v>
      </c>
      <c r="S712" s="28">
        <f>Q712-R712</f>
        <v/>
      </c>
      <c r="T712" s="28">
        <f>IF(S712="","",S712*(1+in_GrowthRate)^(YEARFRAC(DATE(2022,12,31),in_AgeToDate)*IF(in_AgeToDate&lt;DATE(2022,12,31),-1,1)+1))</f>
        <v/>
      </c>
      <c r="U712" s="50">
        <f>IF(AND(AND(OR(in_Mode="All Funds",AND(C712&gt;=in_BandFloor,C712&lt;=in_BandCeiling,OR(in_Geography="National",COUNTIFS(lst_GeoPreset,in_Geography,lst_GeoState,B712)&gt;0,AND(in_Geography="Custom",ISNUMBER(SEARCH(B712,SUBSTITUTE(in_CustomStates," ",""))))),OR(AND(D712="Endowment",Inputs!$B$14="Y"),AND(D712="Foundation",Inputs!$B$15="Y"),AND(D712="Healthcare",Inputs!$B$16="Y"),AND(D712="Pension",Inputs!$B$17="Y"),AND(D712="OCIO",Inputs!$B$18="Y"),AND(D712="Other",Inputs!$B$19="Y")))),A712&lt;&gt;in_ClientOrg,NOT(AND(in_ExclHarvard="Y",ISNUMBER(SEARCH("Harvard",A712))))),$AD712="Y",K712&lt;&gt;"",S712&gt;0),"Y","")</f>
        <v/>
      </c>
      <c r="V712" s="30" t="n">
        <v>0.3236052411275592</v>
      </c>
      <c r="W712" t="inlineStr"/>
      <c r="X712" s="28">
        <f>IF(L712+M712=0,"",L712+M712)</f>
        <v/>
      </c>
      <c r="Y712" s="38">
        <f>IF(L712=0,"",M712/L712)</f>
        <v/>
      </c>
      <c r="Z712" t="inlineStr">
        <is>
          <t>Director &amp; Investment Officer</t>
        </is>
      </c>
      <c r="AA712" t="inlineStr">
        <is>
          <t>Investments</t>
        </is>
      </c>
      <c r="AB712" s="50" t="inlineStr"/>
      <c r="AC712" s="43">
        <f>HYPERLINK("https://projects.propublica.org/nonprofits/organizations/237456468/202313199349103306/full","view filing")</f>
        <v/>
      </c>
      <c r="AD712" s="50" t="inlineStr"/>
    </row>
    <row r="713">
      <c r="A713" t="inlineStr">
        <is>
          <t>Macalester College</t>
        </is>
      </c>
      <c r="B713" s="50" t="inlineStr">
        <is>
          <t>MN</t>
        </is>
      </c>
      <c r="C713" s="52" t="n">
        <v>0.92</v>
      </c>
      <c r="D713" t="inlineStr">
        <is>
          <t>Endowment</t>
        </is>
      </c>
      <c r="E713" s="50" t="n">
        <v>2025</v>
      </c>
      <c r="F713" s="50" t="inlineStr">
        <is>
          <t>2026-03-17</t>
        </is>
      </c>
      <c r="G713" s="50" t="inlineStr">
        <is>
          <t>2025-05-31</t>
        </is>
      </c>
      <c r="H713" t="inlineStr">
        <is>
          <t>Gary Martin End 83024</t>
        </is>
      </c>
      <c r="I713" t="inlineStr">
        <is>
          <t>CHIEF INVESTMENT OFFICER</t>
        </is>
      </c>
      <c r="J713" t="inlineStr">
        <is>
          <t>CIO</t>
        </is>
      </c>
      <c r="K713" t="inlineStr">
        <is>
          <t>CIO - Top Investment Executive</t>
        </is>
      </c>
      <c r="L713" s="28" t="n">
        <v>267236</v>
      </c>
      <c r="M713" s="28" t="n">
        <v>62000</v>
      </c>
      <c r="N713" s="28" t="n">
        <v>190401</v>
      </c>
      <c r="O713" s="28" t="n">
        <v>31270</v>
      </c>
      <c r="P713" s="28" t="n">
        <v>17660</v>
      </c>
      <c r="Q713" s="28" t="n">
        <v>568567</v>
      </c>
      <c r="R713" s="28" t="n">
        <v>0</v>
      </c>
      <c r="S713" s="28">
        <f>Q713-R713</f>
        <v/>
      </c>
      <c r="T713" s="28">
        <f>IF(S713="","",S713*(1+in_GrowthRate)^(YEARFRAC(DATE(2025,5,31),in_AgeToDate)*IF(in_AgeToDate&lt;DATE(2025,5,31),-1,1)+1))</f>
        <v/>
      </c>
      <c r="U713" s="50">
        <f>IF(AND(AND(OR(in_Mode="All Funds",AND(C713&gt;=in_BandFloor,C713&lt;=in_BandCeiling,OR(in_Geography="National",COUNTIFS(lst_GeoPreset,in_Geography,lst_GeoState,B713)&gt;0,AND(in_Geography="Custom",ISNUMBER(SEARCH(B713,SUBSTITUTE(in_CustomStates," ",""))))),OR(AND(D713="Endowment",Inputs!$B$14="Y"),AND(D713="Foundation",Inputs!$B$15="Y"),AND(D713="Healthcare",Inputs!$B$16="Y"),AND(D713="Pension",Inputs!$B$17="Y"),AND(D713="OCIO",Inputs!$B$18="Y"),AND(D713="Other",Inputs!$B$19="Y")))),A713&lt;&gt;in_ClientOrg,NOT(AND(in_ExclHarvard="Y",ISNUMBER(SEARCH("Harvard",A713))))),$AD713="Y",K713&lt;&gt;"",S713&gt;0),"Y","")</f>
        <v/>
      </c>
      <c r="V713" s="30" t="n">
        <v>1</v>
      </c>
      <c r="W713" t="inlineStr"/>
      <c r="X713" s="28">
        <f>IF(L713+M713=0,"",L713+M713)</f>
        <v/>
      </c>
      <c r="Y713" s="38">
        <f>IF(L713=0,"",M713/L713)</f>
        <v/>
      </c>
      <c r="Z713" t="inlineStr">
        <is>
          <t>CIO - Top Investment Executive</t>
        </is>
      </c>
      <c r="AA713" t="inlineStr">
        <is>
          <t>Leadership</t>
        </is>
      </c>
      <c r="AB713" s="50" t="inlineStr">
        <is>
          <t>Y</t>
        </is>
      </c>
      <c r="AC713" s="43">
        <f>HYPERLINK("https://projects.propublica.org/nonprofits/organizations/410693962/202600769349301400/full","view filing")</f>
        <v/>
      </c>
      <c r="AD713" s="50" t="inlineStr">
        <is>
          <t>Y</t>
        </is>
      </c>
    </row>
    <row r="714">
      <c r="A714" t="inlineStr">
        <is>
          <t>Macalester College</t>
        </is>
      </c>
      <c r="B714" s="50" t="inlineStr">
        <is>
          <t>MN</t>
        </is>
      </c>
      <c r="C714" s="52" t="n">
        <v>0.92</v>
      </c>
      <c r="D714" t="inlineStr">
        <is>
          <t>Endowment</t>
        </is>
      </c>
      <c r="E714" s="50" t="n">
        <v>2025</v>
      </c>
      <c r="F714" s="50" t="inlineStr">
        <is>
          <t>2026-03-17</t>
        </is>
      </c>
      <c r="G714" s="50" t="inlineStr">
        <is>
          <t>2025-05-31</t>
        </is>
      </c>
      <c r="H714" t="inlineStr">
        <is>
          <t>Jeff Doherty End 83024</t>
        </is>
      </c>
      <c r="I714" t="inlineStr">
        <is>
          <t>DIRECTOR, INVESTMENT ANALYSIS</t>
        </is>
      </c>
      <c r="J714" t="inlineStr">
        <is>
          <t>Director of Investments</t>
        </is>
      </c>
      <c r="K714" t="inlineStr">
        <is>
          <t>Sr Investment Professional</t>
        </is>
      </c>
      <c r="L714" s="28" t="n">
        <v>110862</v>
      </c>
      <c r="M714" s="28" t="n">
        <v>0</v>
      </c>
      <c r="N714" s="28" t="n">
        <v>91233</v>
      </c>
      <c r="O714" s="28" t="n">
        <v>13602</v>
      </c>
      <c r="P714" s="28" t="n">
        <v>20996</v>
      </c>
      <c r="Q714" s="28" t="n">
        <v>236693</v>
      </c>
      <c r="R714" s="28" t="n">
        <v>0</v>
      </c>
      <c r="S714" s="28">
        <f>Q714-R714</f>
        <v/>
      </c>
      <c r="T714" s="28">
        <f>IF(S714="","",S714*(1+in_GrowthRate)^(YEARFRAC(DATE(2025,5,31),in_AgeToDate)*IF(in_AgeToDate&lt;DATE(2025,5,31),-1,1)+1))</f>
        <v/>
      </c>
      <c r="U714" s="50">
        <f>IF(AND(AND(OR(in_Mode="All Funds",AND(C714&gt;=in_BandFloor,C714&lt;=in_BandCeiling,OR(in_Geography="National",COUNTIFS(lst_GeoPreset,in_Geography,lst_GeoState,B714)&gt;0,AND(in_Geography="Custom",ISNUMBER(SEARCH(B714,SUBSTITUTE(in_CustomStates," ",""))))),OR(AND(D714="Endowment",Inputs!$B$14="Y"),AND(D714="Foundation",Inputs!$B$15="Y"),AND(D714="Healthcare",Inputs!$B$16="Y"),AND(D714="Pension",Inputs!$B$17="Y"),AND(D714="OCIO",Inputs!$B$18="Y"),AND(D714="Other",Inputs!$B$19="Y")))),A714&lt;&gt;in_ClientOrg,NOT(AND(in_ExclHarvard="Y",ISNUMBER(SEARCH("Harvard",A714))))),$AD714="Y",K714&lt;&gt;"",S714&gt;0),"Y","")</f>
        <v/>
      </c>
      <c r="V714" s="30" t="n">
        <v>0.4162974636234604</v>
      </c>
      <c r="W714" t="inlineStr"/>
      <c r="X714" s="28">
        <f>IF(L714+M714=0,"",L714+M714)</f>
        <v/>
      </c>
      <c r="Y714" s="38">
        <f>IF(L714=0,"",M714/L714)</f>
        <v/>
      </c>
      <c r="Z714" t="inlineStr">
        <is>
          <t>Director &amp; Investment Officer</t>
        </is>
      </c>
      <c r="AA714" t="inlineStr">
        <is>
          <t>Investments</t>
        </is>
      </c>
      <c r="AB714" s="50" t="inlineStr"/>
      <c r="AC714" s="43">
        <f>HYPERLINK("https://projects.propublica.org/nonprofits/organizations/410693962/202600769349301400/full","view filing")</f>
        <v/>
      </c>
      <c r="AD714" s="50" t="inlineStr">
        <is>
          <t>Y</t>
        </is>
      </c>
    </row>
    <row r="715">
      <c r="A715" t="inlineStr">
        <is>
          <t>Macalester College</t>
        </is>
      </c>
      <c r="B715" s="50" t="inlineStr">
        <is>
          <t>MN</t>
        </is>
      </c>
      <c r="C715" s="52" t="n">
        <v>0.92</v>
      </c>
      <c r="D715" t="inlineStr">
        <is>
          <t>Endowment</t>
        </is>
      </c>
      <c r="E715" s="50" t="n">
        <v>2024</v>
      </c>
      <c r="F715" s="50" t="inlineStr">
        <is>
          <t>2025-04-02</t>
        </is>
      </c>
      <c r="G715" s="50" t="inlineStr">
        <is>
          <t>2024-05-31</t>
        </is>
      </c>
      <c r="H715" t="inlineStr">
        <is>
          <t>Gary Martin</t>
        </is>
      </c>
      <c r="I715" t="inlineStr">
        <is>
          <t>CHIEF INVESTMENT OFFICER</t>
        </is>
      </c>
      <c r="J715" t="inlineStr">
        <is>
          <t>CIO</t>
        </is>
      </c>
      <c r="K715" t="inlineStr">
        <is>
          <t>CIO - Top Investment Executive</t>
        </is>
      </c>
      <c r="L715" s="28" t="n">
        <v>393992</v>
      </c>
      <c r="M715" s="28" t="n">
        <v>0</v>
      </c>
      <c r="N715" s="28" t="n">
        <v>2804</v>
      </c>
      <c r="O715" s="28" t="n">
        <v>33000</v>
      </c>
      <c r="P715" s="28" t="n">
        <v>24003</v>
      </c>
      <c r="Q715" s="28" t="n">
        <v>453799</v>
      </c>
      <c r="R715" s="28" t="n">
        <v>0</v>
      </c>
      <c r="S715" s="28">
        <f>Q715-R715</f>
        <v/>
      </c>
      <c r="T715" s="28">
        <f>IF(S715="","",S715*(1+in_GrowthRate)^(YEARFRAC(DATE(2024,5,31),in_AgeToDate)*IF(in_AgeToDate&lt;DATE(2024,5,31),-1,1)+1))</f>
        <v/>
      </c>
      <c r="U715" s="50">
        <f>IF(AND(AND(OR(in_Mode="All Funds",AND(C715&gt;=in_BandFloor,C715&lt;=in_BandCeiling,OR(in_Geography="National",COUNTIFS(lst_GeoPreset,in_Geography,lst_GeoState,B715)&gt;0,AND(in_Geography="Custom",ISNUMBER(SEARCH(B715,SUBSTITUTE(in_CustomStates," ",""))))),OR(AND(D715="Endowment",Inputs!$B$14="Y"),AND(D715="Foundation",Inputs!$B$15="Y"),AND(D715="Healthcare",Inputs!$B$16="Y"),AND(D715="Pension",Inputs!$B$17="Y"),AND(D715="OCIO",Inputs!$B$18="Y"),AND(D715="Other",Inputs!$B$19="Y")))),A715&lt;&gt;in_ClientOrg,NOT(AND(in_ExclHarvard="Y",ISNUMBER(SEARCH("Harvard",A715))))),$AD715="Y",K715&lt;&gt;"",S715&gt;0),"Y","")</f>
        <v/>
      </c>
      <c r="V715" s="30" t="n">
        <v>1</v>
      </c>
      <c r="W715" t="inlineStr"/>
      <c r="X715" s="28">
        <f>IF(L715+M715=0,"",L715+M715)</f>
        <v/>
      </c>
      <c r="Y715" s="38">
        <f>IF(L715=0,"",M715/L715)</f>
        <v/>
      </c>
      <c r="Z715" t="inlineStr">
        <is>
          <t>CIO - Top Investment Executive</t>
        </is>
      </c>
      <c r="AA715" t="inlineStr">
        <is>
          <t>Leadership</t>
        </is>
      </c>
      <c r="AB715" s="50" t="inlineStr">
        <is>
          <t>Y</t>
        </is>
      </c>
      <c r="AC715" s="43">
        <f>HYPERLINK("https://projects.propublica.org/nonprofits/organizations/410693962/202540929349300944/full","view filing")</f>
        <v/>
      </c>
      <c r="AD715" s="50" t="inlineStr"/>
    </row>
    <row r="716">
      <c r="A716" t="inlineStr">
        <is>
          <t>Macalester College</t>
        </is>
      </c>
      <c r="B716" s="50" t="inlineStr">
        <is>
          <t>MN</t>
        </is>
      </c>
      <c r="C716" s="52" t="n">
        <v>0.92</v>
      </c>
      <c r="D716" t="inlineStr">
        <is>
          <t>Endowment</t>
        </is>
      </c>
      <c r="E716" s="50" t="n">
        <v>2024</v>
      </c>
      <c r="F716" s="50" t="inlineStr">
        <is>
          <t>2025-04-02</t>
        </is>
      </c>
      <c r="G716" s="50" t="inlineStr">
        <is>
          <t>2024-05-31</t>
        </is>
      </c>
      <c r="H716" t="inlineStr">
        <is>
          <t>Jeff Doherty</t>
        </is>
      </c>
      <c r="I716" t="inlineStr">
        <is>
          <t>DIRECTOR, INVESTMENT ANALYSIS</t>
        </is>
      </c>
      <c r="J716" t="inlineStr">
        <is>
          <t>Director of Investments</t>
        </is>
      </c>
      <c r="K716" t="inlineStr">
        <is>
          <t>Sr Investment Professional</t>
        </is>
      </c>
      <c r="L716" s="28" t="n">
        <v>167373</v>
      </c>
      <c r="M716" s="28" t="n">
        <v>0</v>
      </c>
      <c r="N716" s="28" t="n">
        <v>136</v>
      </c>
      <c r="O716" s="28" t="n">
        <v>17574</v>
      </c>
      <c r="P716" s="28" t="n">
        <v>22013</v>
      </c>
      <c r="Q716" s="28" t="n">
        <v>207096</v>
      </c>
      <c r="R716" s="28" t="n">
        <v>0</v>
      </c>
      <c r="S716" s="28">
        <f>Q716-R716</f>
        <v/>
      </c>
      <c r="T716" s="28">
        <f>IF(S716="","",S716*(1+in_GrowthRate)^(YEARFRAC(DATE(2024,5,31),in_AgeToDate)*IF(in_AgeToDate&lt;DATE(2024,5,31),-1,1)+1))</f>
        <v/>
      </c>
      <c r="U716" s="50">
        <f>IF(AND(AND(OR(in_Mode="All Funds",AND(C716&gt;=in_BandFloor,C716&lt;=in_BandCeiling,OR(in_Geography="National",COUNTIFS(lst_GeoPreset,in_Geography,lst_GeoState,B716)&gt;0,AND(in_Geography="Custom",ISNUMBER(SEARCH(B716,SUBSTITUTE(in_CustomStates," ",""))))),OR(AND(D716="Endowment",Inputs!$B$14="Y"),AND(D716="Foundation",Inputs!$B$15="Y"),AND(D716="Healthcare",Inputs!$B$16="Y"),AND(D716="Pension",Inputs!$B$17="Y"),AND(D716="OCIO",Inputs!$B$18="Y"),AND(D716="Other",Inputs!$B$19="Y")))),A716&lt;&gt;in_ClientOrg,NOT(AND(in_ExclHarvard="Y",ISNUMBER(SEARCH("Harvard",A716))))),$AD716="Y",K716&lt;&gt;"",S716&gt;0),"Y","")</f>
        <v/>
      </c>
      <c r="V716" s="30" t="n">
        <v>0.4563606354355122</v>
      </c>
      <c r="W716" t="inlineStr"/>
      <c r="X716" s="28">
        <f>IF(L716+M716=0,"",L716+M716)</f>
        <v/>
      </c>
      <c r="Y716" s="38">
        <f>IF(L716=0,"",M716/L716)</f>
        <v/>
      </c>
      <c r="Z716" t="inlineStr">
        <is>
          <t>Director &amp; Investment Officer</t>
        </is>
      </c>
      <c r="AA716" t="inlineStr">
        <is>
          <t>Investments</t>
        </is>
      </c>
      <c r="AB716" s="50" t="inlineStr"/>
      <c r="AC716" s="43">
        <f>HYPERLINK("https://projects.propublica.org/nonprofits/organizations/410693962/202540929349300944/full","view filing")</f>
        <v/>
      </c>
      <c r="AD716" s="50" t="inlineStr"/>
    </row>
    <row r="717">
      <c r="A717" t="inlineStr">
        <is>
          <t>Macalester College</t>
        </is>
      </c>
      <c r="B717" s="50" t="inlineStr">
        <is>
          <t>MN</t>
        </is>
      </c>
      <c r="C717" s="52" t="n">
        <v>0.92</v>
      </c>
      <c r="D717" t="inlineStr">
        <is>
          <t>Endowment</t>
        </is>
      </c>
      <c r="E717" s="50" t="n">
        <v>2023</v>
      </c>
      <c r="F717" s="50" t="inlineStr">
        <is>
          <t>2024-04-15</t>
        </is>
      </c>
      <c r="G717" s="50" t="inlineStr">
        <is>
          <t>2023-05-31</t>
        </is>
      </c>
      <c r="H717" t="inlineStr">
        <is>
          <t>Gary Martin</t>
        </is>
      </c>
      <c r="I717" t="inlineStr">
        <is>
          <t>CHIEF INVESTMENT OFFICER</t>
        </is>
      </c>
      <c r="J717" t="inlineStr">
        <is>
          <t>CIO</t>
        </is>
      </c>
      <c r="K717" t="inlineStr">
        <is>
          <t>CIO - Top Investment Executive</t>
        </is>
      </c>
      <c r="L717" s="28" t="n">
        <v>375753</v>
      </c>
      <c r="M717" s="28" t="n">
        <v>0</v>
      </c>
      <c r="N717" s="28" t="n">
        <v>2640</v>
      </c>
      <c r="O717" s="28" t="n">
        <v>30500</v>
      </c>
      <c r="P717" s="28" t="n">
        <v>22201</v>
      </c>
      <c r="Q717" s="28" t="n">
        <v>431094</v>
      </c>
      <c r="R717" s="28" t="n">
        <v>0</v>
      </c>
      <c r="S717" s="28">
        <f>Q717-R717</f>
        <v/>
      </c>
      <c r="T717" s="28">
        <f>IF(S717="","",S717*(1+in_GrowthRate)^(YEARFRAC(DATE(2023,5,31),in_AgeToDate)*IF(in_AgeToDate&lt;DATE(2023,5,31),-1,1)+1))</f>
        <v/>
      </c>
      <c r="U717" s="50">
        <f>IF(AND(AND(OR(in_Mode="All Funds",AND(C717&gt;=in_BandFloor,C717&lt;=in_BandCeiling,OR(in_Geography="National",COUNTIFS(lst_GeoPreset,in_Geography,lst_GeoState,B717)&gt;0,AND(in_Geography="Custom",ISNUMBER(SEARCH(B717,SUBSTITUTE(in_CustomStates," ",""))))),OR(AND(D717="Endowment",Inputs!$B$14="Y"),AND(D717="Foundation",Inputs!$B$15="Y"),AND(D717="Healthcare",Inputs!$B$16="Y"),AND(D717="Pension",Inputs!$B$17="Y"),AND(D717="OCIO",Inputs!$B$18="Y"),AND(D717="Other",Inputs!$B$19="Y")))),A717&lt;&gt;in_ClientOrg,NOT(AND(in_ExclHarvard="Y",ISNUMBER(SEARCH("Harvard",A717))))),$AD717="Y",K717&lt;&gt;"",S717&gt;0),"Y","")</f>
        <v/>
      </c>
      <c r="V717" s="30" t="n">
        <v>1</v>
      </c>
      <c r="W717" t="inlineStr"/>
      <c r="X717" s="28">
        <f>IF(L717+M717=0,"",L717+M717)</f>
        <v/>
      </c>
      <c r="Y717" s="38">
        <f>IF(L717=0,"",M717/L717)</f>
        <v/>
      </c>
      <c r="Z717" t="inlineStr">
        <is>
          <t>CIO - Top Investment Executive</t>
        </is>
      </c>
      <c r="AA717" t="inlineStr">
        <is>
          <t>Leadership</t>
        </is>
      </c>
      <c r="AB717" s="50" t="inlineStr">
        <is>
          <t>Y</t>
        </is>
      </c>
      <c r="AC717" s="43">
        <f>HYPERLINK("https://projects.propublica.org/nonprofits/organizations/410693962/202431069349300843/full","view filing")</f>
        <v/>
      </c>
      <c r="AD717" s="50" t="inlineStr"/>
    </row>
    <row r="718">
      <c r="A718" t="inlineStr">
        <is>
          <t>Macalester College</t>
        </is>
      </c>
      <c r="B718" s="50" t="inlineStr">
        <is>
          <t>MN</t>
        </is>
      </c>
      <c r="C718" s="52" t="n">
        <v>0.92</v>
      </c>
      <c r="D718" t="inlineStr">
        <is>
          <t>Endowment</t>
        </is>
      </c>
      <c r="E718" s="50" t="n">
        <v>2022</v>
      </c>
      <c r="F718" s="50" t="inlineStr">
        <is>
          <t>2023-04-13</t>
        </is>
      </c>
      <c r="G718" s="50" t="inlineStr">
        <is>
          <t>2022-05-31</t>
        </is>
      </c>
      <c r="H718" t="inlineStr">
        <is>
          <t>Gary Martin</t>
        </is>
      </c>
      <c r="I718" t="inlineStr">
        <is>
          <t>CHIEF INVESTMENT OFFICER</t>
        </is>
      </c>
      <c r="J718" t="inlineStr">
        <is>
          <t>CIO</t>
        </is>
      </c>
      <c r="K718" t="inlineStr">
        <is>
          <t>CIO - Top Investment Executive</t>
        </is>
      </c>
      <c r="L718" s="28" t="n">
        <v>360146</v>
      </c>
      <c r="M718" s="28" t="n">
        <v>0</v>
      </c>
      <c r="N718" s="28" t="n">
        <v>2474</v>
      </c>
      <c r="O718" s="28" t="n">
        <v>29000</v>
      </c>
      <c r="P718" s="28" t="n">
        <v>21414</v>
      </c>
      <c r="Q718" s="28" t="n">
        <v>413034</v>
      </c>
      <c r="R718" s="28" t="n">
        <v>0</v>
      </c>
      <c r="S718" s="28">
        <f>Q718-R718</f>
        <v/>
      </c>
      <c r="T718" s="28">
        <f>IF(S718="","",S718*(1+in_GrowthRate)^(YEARFRAC(DATE(2022,5,31),in_AgeToDate)*IF(in_AgeToDate&lt;DATE(2022,5,31),-1,1)+1))</f>
        <v/>
      </c>
      <c r="U718" s="50">
        <f>IF(AND(AND(OR(in_Mode="All Funds",AND(C718&gt;=in_BandFloor,C718&lt;=in_BandCeiling,OR(in_Geography="National",COUNTIFS(lst_GeoPreset,in_Geography,lst_GeoState,B718)&gt;0,AND(in_Geography="Custom",ISNUMBER(SEARCH(B718,SUBSTITUTE(in_CustomStates," ",""))))),OR(AND(D718="Endowment",Inputs!$B$14="Y"),AND(D718="Foundation",Inputs!$B$15="Y"),AND(D718="Healthcare",Inputs!$B$16="Y"),AND(D718="Pension",Inputs!$B$17="Y"),AND(D718="OCIO",Inputs!$B$18="Y"),AND(D718="Other",Inputs!$B$19="Y")))),A718&lt;&gt;in_ClientOrg,NOT(AND(in_ExclHarvard="Y",ISNUMBER(SEARCH("Harvard",A718))))),$AD718="Y",K718&lt;&gt;"",S718&gt;0),"Y","")</f>
        <v/>
      </c>
      <c r="V718" s="30" t="n">
        <v>1</v>
      </c>
      <c r="W718" t="inlineStr"/>
      <c r="X718" s="28">
        <f>IF(L718+M718=0,"",L718+M718)</f>
        <v/>
      </c>
      <c r="Y718" s="38">
        <f>IF(L718=0,"",M718/L718)</f>
        <v/>
      </c>
      <c r="Z718" t="inlineStr">
        <is>
          <t>CIO - Top Investment Executive</t>
        </is>
      </c>
      <c r="AA718" t="inlineStr">
        <is>
          <t>Leadership</t>
        </is>
      </c>
      <c r="AB718" s="50" t="inlineStr">
        <is>
          <t>Y</t>
        </is>
      </c>
      <c r="AC718" s="43">
        <f>HYPERLINK("https://projects.propublica.org/nonprofits/organizations/410693962/202321039349301707/full","view filing")</f>
        <v/>
      </c>
      <c r="AD718" s="50" t="inlineStr"/>
    </row>
    <row r="719">
      <c r="A719" t="inlineStr">
        <is>
          <t>Maclellan Foundation Inc</t>
        </is>
      </c>
      <c r="B719" s="50" t="inlineStr">
        <is>
          <t>TN</t>
        </is>
      </c>
      <c r="C719" s="52" t="n">
        <v>0.24</v>
      </c>
      <c r="D719" t="inlineStr">
        <is>
          <t>Foundation</t>
        </is>
      </c>
      <c r="E719" s="50" t="n">
        <v>2024</v>
      </c>
      <c r="F719" s="50" t="inlineStr">
        <is>
          <t>2025-11-17</t>
        </is>
      </c>
      <c r="G719" s="50" t="inlineStr">
        <is>
          <t>2024-12-31</t>
        </is>
      </c>
      <c r="H719" t="inlineStr">
        <is>
          <t>Matthew B Ashton</t>
        </is>
      </c>
      <c r="I719" t="inlineStr">
        <is>
          <t>INVESTMENT OFFICER</t>
        </is>
      </c>
      <c r="J719" t="inlineStr">
        <is>
          <t>Investment Officer</t>
        </is>
      </c>
      <c r="K719" t="inlineStr">
        <is>
          <t>Sr Investment Professional</t>
        </is>
      </c>
      <c r="L719" s="28" t="n">
        <v>0</v>
      </c>
      <c r="M719" s="28" t="n">
        <v>0</v>
      </c>
      <c r="N719" s="28" t="n">
        <v>0</v>
      </c>
      <c r="O719" s="28" t="n">
        <v>0</v>
      </c>
      <c r="P719" s="28" t="n">
        <v>0</v>
      </c>
      <c r="Q719" s="28" t="n">
        <v>197488</v>
      </c>
      <c r="R719" s="28" t="n">
        <v>0</v>
      </c>
      <c r="S719" s="28">
        <f>Q719-R719</f>
        <v/>
      </c>
      <c r="T719" s="28">
        <f>IF(S719="","",S719*(1+in_GrowthRate)^(YEARFRAC(DATE(2024,12,31),in_AgeToDate)*IF(in_AgeToDate&lt;DATE(2024,12,31),-1,1)+1))</f>
        <v/>
      </c>
      <c r="U719" s="50">
        <f>IF(AND(AND(OR(in_Mode="All Funds",AND(C719&gt;=in_BandFloor,C719&lt;=in_BandCeiling,OR(in_Geography="National",COUNTIFS(lst_GeoPreset,in_Geography,lst_GeoState,B719)&gt;0,AND(in_Geography="Custom",ISNUMBER(SEARCH(B719,SUBSTITUTE(in_CustomStates," ",""))))),OR(AND(D719="Endowment",Inputs!$B$14="Y"),AND(D719="Foundation",Inputs!$B$15="Y"),AND(D719="Healthcare",Inputs!$B$16="Y"),AND(D719="Pension",Inputs!$B$17="Y"),AND(D719="OCIO",Inputs!$B$18="Y"),AND(D719="Other",Inputs!$B$19="Y")))),A719&lt;&gt;in_ClientOrg,NOT(AND(in_ExclHarvard="Y",ISNUMBER(SEARCH("Harvard",A719))))),$AD719="Y",K719&lt;&gt;"",S719&gt;0),"Y","")</f>
        <v/>
      </c>
      <c r="V719" s="30" t="n"/>
      <c r="W719" t="inlineStr"/>
      <c r="X719" s="28">
        <f>IF(L719+M719=0,"",L719+M719)</f>
        <v/>
      </c>
      <c r="Y719" s="38">
        <f>IF(L719=0,"",M719/L719)</f>
        <v/>
      </c>
      <c r="Z719" t="inlineStr">
        <is>
          <t>Director &amp; Investment Officer</t>
        </is>
      </c>
      <c r="AA719" t="inlineStr">
        <is>
          <t>Investments</t>
        </is>
      </c>
      <c r="AB719" s="50" t="inlineStr"/>
      <c r="AC719" s="43">
        <f>HYPERLINK("https://projects.propublica.org/nonprofits/organizations/626041468/202543219349103334/full","view filing")</f>
        <v/>
      </c>
      <c r="AD719" s="50" t="inlineStr">
        <is>
          <t>Y</t>
        </is>
      </c>
    </row>
    <row r="720">
      <c r="A720" t="inlineStr">
        <is>
          <t>Maclellan Foundation Inc</t>
        </is>
      </c>
      <c r="B720" s="50" t="inlineStr">
        <is>
          <t>TN</t>
        </is>
      </c>
      <c r="C720" s="52" t="n">
        <v>0.24</v>
      </c>
      <c r="D720" t="inlineStr">
        <is>
          <t>Foundation</t>
        </is>
      </c>
      <c r="E720" s="50" t="n">
        <v>2023</v>
      </c>
      <c r="F720" s="50" t="inlineStr">
        <is>
          <t>2024-11-15</t>
        </is>
      </c>
      <c r="G720" s="50" t="inlineStr">
        <is>
          <t>2023-12-31</t>
        </is>
      </c>
      <c r="H720" t="inlineStr">
        <is>
          <t>Matthew B Ashton</t>
        </is>
      </c>
      <c r="I720" t="inlineStr">
        <is>
          <t>INVESTMENT OFFICER</t>
        </is>
      </c>
      <c r="J720" t="inlineStr">
        <is>
          <t>Investment Officer</t>
        </is>
      </c>
      <c r="K720" t="inlineStr">
        <is>
          <t>Sr Investment Professional</t>
        </is>
      </c>
      <c r="L720" s="28" t="n">
        <v>0</v>
      </c>
      <c r="M720" s="28" t="n">
        <v>0</v>
      </c>
      <c r="N720" s="28" t="n">
        <v>0</v>
      </c>
      <c r="O720" s="28" t="n">
        <v>0</v>
      </c>
      <c r="P720" s="28" t="n">
        <v>0</v>
      </c>
      <c r="Q720" s="28" t="n">
        <v>176584</v>
      </c>
      <c r="R720" s="28" t="n">
        <v>0</v>
      </c>
      <c r="S720" s="28">
        <f>Q720-R720</f>
        <v/>
      </c>
      <c r="T720" s="28">
        <f>IF(S720="","",S720*(1+in_GrowthRate)^(YEARFRAC(DATE(2023,12,31),in_AgeToDate)*IF(in_AgeToDate&lt;DATE(2023,12,31),-1,1)+1))</f>
        <v/>
      </c>
      <c r="U720" s="50">
        <f>IF(AND(AND(OR(in_Mode="All Funds",AND(C720&gt;=in_BandFloor,C720&lt;=in_BandCeiling,OR(in_Geography="National",COUNTIFS(lst_GeoPreset,in_Geography,lst_GeoState,B720)&gt;0,AND(in_Geography="Custom",ISNUMBER(SEARCH(B720,SUBSTITUTE(in_CustomStates," ",""))))),OR(AND(D720="Endowment",Inputs!$B$14="Y"),AND(D720="Foundation",Inputs!$B$15="Y"),AND(D720="Healthcare",Inputs!$B$16="Y"),AND(D720="Pension",Inputs!$B$17="Y"),AND(D720="OCIO",Inputs!$B$18="Y"),AND(D720="Other",Inputs!$B$19="Y")))),A720&lt;&gt;in_ClientOrg,NOT(AND(in_ExclHarvard="Y",ISNUMBER(SEARCH("Harvard",A720))))),$AD720="Y",K720&lt;&gt;"",S720&gt;0),"Y","")</f>
        <v/>
      </c>
      <c r="V720" s="30" t="n"/>
      <c r="W720" t="inlineStr"/>
      <c r="X720" s="28">
        <f>IF(L720+M720=0,"",L720+M720)</f>
        <v/>
      </c>
      <c r="Y720" s="38">
        <f>IF(L720=0,"",M720/L720)</f>
        <v/>
      </c>
      <c r="Z720" t="inlineStr">
        <is>
          <t>Director &amp; Investment Officer</t>
        </is>
      </c>
      <c r="AA720" t="inlineStr">
        <is>
          <t>Investments</t>
        </is>
      </c>
      <c r="AB720" s="50" t="inlineStr"/>
      <c r="AC720" s="43">
        <f>HYPERLINK("https://projects.propublica.org/nonprofits/organizations/626041468/202403209349103050/full","view filing")</f>
        <v/>
      </c>
      <c r="AD720" s="50" t="inlineStr"/>
    </row>
    <row r="721">
      <c r="A721" t="inlineStr">
        <is>
          <t>Maclellan Foundation Inc</t>
        </is>
      </c>
      <c r="B721" s="50" t="inlineStr">
        <is>
          <t>TN</t>
        </is>
      </c>
      <c r="C721" s="52" t="n">
        <v>0.24</v>
      </c>
      <c r="D721" t="inlineStr">
        <is>
          <t>Foundation</t>
        </is>
      </c>
      <c r="E721" s="50" t="n">
        <v>2022</v>
      </c>
      <c r="F721" s="50" t="inlineStr">
        <is>
          <t>2023-11-15</t>
        </is>
      </c>
      <c r="G721" s="50" t="inlineStr">
        <is>
          <t>2022-12-31</t>
        </is>
      </c>
      <c r="H721" t="inlineStr">
        <is>
          <t>Matthew B Ashton</t>
        </is>
      </c>
      <c r="I721" t="inlineStr">
        <is>
          <t>INVESTMENT OFFICER</t>
        </is>
      </c>
      <c r="J721" t="inlineStr">
        <is>
          <t>Investment Officer</t>
        </is>
      </c>
      <c r="K721" t="inlineStr">
        <is>
          <t>Sr Investment Professional</t>
        </is>
      </c>
      <c r="L721" s="28" t="n">
        <v>0</v>
      </c>
      <c r="M721" s="28" t="n">
        <v>0</v>
      </c>
      <c r="N721" s="28" t="n">
        <v>0</v>
      </c>
      <c r="O721" s="28" t="n">
        <v>0</v>
      </c>
      <c r="P721" s="28" t="n">
        <v>0</v>
      </c>
      <c r="Q721" s="28" t="n">
        <v>155753</v>
      </c>
      <c r="R721" s="28" t="n">
        <v>0</v>
      </c>
      <c r="S721" s="28">
        <f>Q721-R721</f>
        <v/>
      </c>
      <c r="T721" s="28">
        <f>IF(S721="","",S721*(1+in_GrowthRate)^(YEARFRAC(DATE(2022,12,31),in_AgeToDate)*IF(in_AgeToDate&lt;DATE(2022,12,31),-1,1)+1))</f>
        <v/>
      </c>
      <c r="U721" s="50">
        <f>IF(AND(AND(OR(in_Mode="All Funds",AND(C721&gt;=in_BandFloor,C721&lt;=in_BandCeiling,OR(in_Geography="National",COUNTIFS(lst_GeoPreset,in_Geography,lst_GeoState,B721)&gt;0,AND(in_Geography="Custom",ISNUMBER(SEARCH(B721,SUBSTITUTE(in_CustomStates," ",""))))),OR(AND(D721="Endowment",Inputs!$B$14="Y"),AND(D721="Foundation",Inputs!$B$15="Y"),AND(D721="Healthcare",Inputs!$B$16="Y"),AND(D721="Pension",Inputs!$B$17="Y"),AND(D721="OCIO",Inputs!$B$18="Y"),AND(D721="Other",Inputs!$B$19="Y")))),A721&lt;&gt;in_ClientOrg,NOT(AND(in_ExclHarvard="Y",ISNUMBER(SEARCH("Harvard",A721))))),$AD721="Y",K721&lt;&gt;"",S721&gt;0),"Y","")</f>
        <v/>
      </c>
      <c r="V721" s="30" t="n"/>
      <c r="W721" t="inlineStr"/>
      <c r="X721" s="28">
        <f>IF(L721+M721=0,"",L721+M721)</f>
        <v/>
      </c>
      <c r="Y721" s="38">
        <f>IF(L721=0,"",M721/L721)</f>
        <v/>
      </c>
      <c r="Z721" t="inlineStr">
        <is>
          <t>Director &amp; Investment Officer</t>
        </is>
      </c>
      <c r="AA721" t="inlineStr">
        <is>
          <t>Investments</t>
        </is>
      </c>
      <c r="AB721" s="50" t="inlineStr"/>
      <c r="AC721" s="43">
        <f>HYPERLINK("https://projects.propublica.org/nonprofits/organizations/626041468/202333199349110163/full","view filing")</f>
        <v/>
      </c>
      <c r="AD721" s="50" t="inlineStr"/>
    </row>
    <row r="722">
      <c r="A722" t="inlineStr">
        <is>
          <t>Margaret A Cargill Foundation</t>
        </is>
      </c>
      <c r="B722" s="50" t="inlineStr">
        <is>
          <t>MN</t>
        </is>
      </c>
      <c r="C722" s="52" t="n">
        <v>3.05</v>
      </c>
      <c r="D722" t="inlineStr">
        <is>
          <t>Foundation</t>
        </is>
      </c>
      <c r="E722" s="50" t="n">
        <v>2024</v>
      </c>
      <c r="F722" s="50" t="inlineStr">
        <is>
          <t>2025-11-14</t>
        </is>
      </c>
      <c r="G722" s="50" t="inlineStr">
        <is>
          <t>2024-12-31</t>
        </is>
      </c>
      <c r="H722" t="inlineStr">
        <is>
          <t>Christopher Vogt</t>
        </is>
      </c>
      <c r="I722" t="inlineStr">
        <is>
          <t>INVESTMENT DIRECTOR</t>
        </is>
      </c>
      <c r="J722" t="inlineStr">
        <is>
          <t>Director of Investments</t>
        </is>
      </c>
      <c r="K722" t="inlineStr">
        <is>
          <t>Sr Investment Professional</t>
        </is>
      </c>
      <c r="L722" s="28" t="n">
        <v>0</v>
      </c>
      <c r="M722" s="28" t="n">
        <v>0</v>
      </c>
      <c r="N722" s="28" t="n">
        <v>0</v>
      </c>
      <c r="O722" s="28" t="n">
        <v>0</v>
      </c>
      <c r="P722" s="28" t="n">
        <v>0</v>
      </c>
      <c r="Q722" s="28" t="n">
        <v>1156794</v>
      </c>
      <c r="R722" s="28" t="n">
        <v>0</v>
      </c>
      <c r="S722" s="28">
        <f>Q722-R722</f>
        <v/>
      </c>
      <c r="T722" s="28">
        <f>IF(S722="","",S722*(1+in_GrowthRate)^(YEARFRAC(DATE(2024,12,31),in_AgeToDate)*IF(in_AgeToDate&lt;DATE(2024,12,31),-1,1)+1))</f>
        <v/>
      </c>
      <c r="U722" s="50">
        <f>IF(AND(AND(OR(in_Mode="All Funds",AND(C722&gt;=in_BandFloor,C722&lt;=in_BandCeiling,OR(in_Geography="National",COUNTIFS(lst_GeoPreset,in_Geography,lst_GeoState,B722)&gt;0,AND(in_Geography="Custom",ISNUMBER(SEARCH(B722,SUBSTITUTE(in_CustomStates," ",""))))),OR(AND(D722="Endowment",Inputs!$B$14="Y"),AND(D722="Foundation",Inputs!$B$15="Y"),AND(D722="Healthcare",Inputs!$B$16="Y"),AND(D722="Pension",Inputs!$B$17="Y"),AND(D722="OCIO",Inputs!$B$18="Y"),AND(D722="Other",Inputs!$B$19="Y")))),A722&lt;&gt;in_ClientOrg,NOT(AND(in_ExclHarvard="Y",ISNUMBER(SEARCH("Harvard",A722))))),$AD722="Y",K722&lt;&gt;"",S722&gt;0),"Y","")</f>
        <v/>
      </c>
      <c r="V722" s="30" t="n">
        <v>0.3899573330258965</v>
      </c>
      <c r="W722" t="inlineStr"/>
      <c r="X722" s="28">
        <f>IF(L722+M722=0,"",L722+M722)</f>
        <v/>
      </c>
      <c r="Y722" s="38">
        <f>IF(L722=0,"",M722/L722)</f>
        <v/>
      </c>
      <c r="Z722" t="inlineStr">
        <is>
          <t>Director &amp; Investment Officer</t>
        </is>
      </c>
      <c r="AA722" t="inlineStr">
        <is>
          <t>Investments</t>
        </is>
      </c>
      <c r="AB722" s="50" t="inlineStr"/>
      <c r="AC722" s="43">
        <f>HYPERLINK("https://projects.propublica.org/nonprofits/organizations/371758406/202503189349102200/full","view filing")</f>
        <v/>
      </c>
      <c r="AD722" s="50" t="inlineStr">
        <is>
          <t>Y</t>
        </is>
      </c>
    </row>
    <row r="723">
      <c r="A723" t="inlineStr">
        <is>
          <t>Margaret A Cargill Foundation</t>
        </is>
      </c>
      <c r="B723" s="50" t="inlineStr">
        <is>
          <t>MN</t>
        </is>
      </c>
      <c r="C723" s="52" t="n">
        <v>3.05</v>
      </c>
      <c r="D723" t="inlineStr">
        <is>
          <t>Foundation</t>
        </is>
      </c>
      <c r="E723" s="50" t="n">
        <v>2024</v>
      </c>
      <c r="F723" s="50" t="inlineStr">
        <is>
          <t>2025-11-14</t>
        </is>
      </c>
      <c r="G723" s="50" t="inlineStr">
        <is>
          <t>2024-12-31</t>
        </is>
      </c>
      <c r="H723" t="inlineStr">
        <is>
          <t>Matthew Minnis</t>
        </is>
      </c>
      <c r="I723" t="inlineStr">
        <is>
          <t>INVESTMENT DIRECTOR</t>
        </is>
      </c>
      <c r="J723" t="inlineStr">
        <is>
          <t>Director of Investments</t>
        </is>
      </c>
      <c r="K723" t="inlineStr">
        <is>
          <t>Sr Investment Professional</t>
        </is>
      </c>
      <c r="L723" s="28" t="n">
        <v>0</v>
      </c>
      <c r="M723" s="28" t="n">
        <v>0</v>
      </c>
      <c r="N723" s="28" t="n">
        <v>0</v>
      </c>
      <c r="O723" s="28" t="n">
        <v>0</v>
      </c>
      <c r="P723" s="28" t="n">
        <v>0</v>
      </c>
      <c r="Q723" s="28" t="n">
        <v>1169575</v>
      </c>
      <c r="R723" s="28" t="n">
        <v>0</v>
      </c>
      <c r="S723" s="28">
        <f>Q723-R723</f>
        <v/>
      </c>
      <c r="T723" s="28">
        <f>IF(S723="","",S723*(1+in_GrowthRate)^(YEARFRAC(DATE(2024,12,31),in_AgeToDate)*IF(in_AgeToDate&lt;DATE(2024,12,31),-1,1)+1))</f>
        <v/>
      </c>
      <c r="U723" s="50">
        <f>IF(AND(AND(OR(in_Mode="All Funds",AND(C723&gt;=in_BandFloor,C723&lt;=in_BandCeiling,OR(in_Geography="National",COUNTIFS(lst_GeoPreset,in_Geography,lst_GeoState,B723)&gt;0,AND(in_Geography="Custom",ISNUMBER(SEARCH(B723,SUBSTITUTE(in_CustomStates," ",""))))),OR(AND(D723="Endowment",Inputs!$B$14="Y"),AND(D723="Foundation",Inputs!$B$15="Y"),AND(D723="Healthcare",Inputs!$B$16="Y"),AND(D723="Pension",Inputs!$B$17="Y"),AND(D723="OCIO",Inputs!$B$18="Y"),AND(D723="Other",Inputs!$B$19="Y")))),A723&lt;&gt;in_ClientOrg,NOT(AND(in_ExclHarvard="Y",ISNUMBER(SEARCH("Harvard",A723))))),$AD723="Y",K723&lt;&gt;"",S723&gt;0),"Y","")</f>
        <v/>
      </c>
      <c r="V723" s="30" t="n">
        <v>0.394265831058739</v>
      </c>
      <c r="W723" t="inlineStr"/>
      <c r="X723" s="28">
        <f>IF(L723+M723=0,"",L723+M723)</f>
        <v/>
      </c>
      <c r="Y723" s="38">
        <f>IF(L723=0,"",M723/L723)</f>
        <v/>
      </c>
      <c r="Z723" t="inlineStr">
        <is>
          <t>Director &amp; Investment Officer</t>
        </is>
      </c>
      <c r="AA723" t="inlineStr">
        <is>
          <t>Investments</t>
        </is>
      </c>
      <c r="AB723" s="50" t="inlineStr"/>
      <c r="AC723" s="43">
        <f>HYPERLINK("https://projects.propublica.org/nonprofits/organizations/371758406/202503189349102200/full","view filing")</f>
        <v/>
      </c>
      <c r="AD723" s="50" t="inlineStr">
        <is>
          <t>Y</t>
        </is>
      </c>
    </row>
    <row r="724">
      <c r="A724" t="inlineStr">
        <is>
          <t>Margaret A Cargill Foundation</t>
        </is>
      </c>
      <c r="B724" s="50" t="inlineStr">
        <is>
          <t>MN</t>
        </is>
      </c>
      <c r="C724" s="52" t="n">
        <v>3.05</v>
      </c>
      <c r="D724" t="inlineStr">
        <is>
          <t>Foundation</t>
        </is>
      </c>
      <c r="E724" s="50" t="n">
        <v>2024</v>
      </c>
      <c r="F724" s="50" t="inlineStr">
        <is>
          <t>2025-11-14</t>
        </is>
      </c>
      <c r="G724" s="50" t="inlineStr">
        <is>
          <t>2024-12-31</t>
        </is>
      </c>
      <c r="H724" t="inlineStr">
        <is>
          <t>Michael Ruetz</t>
        </is>
      </c>
      <c r="I724" t="inlineStr">
        <is>
          <t>INVESTMENT DIRECTOR/</t>
        </is>
      </c>
      <c r="J724" t="inlineStr">
        <is>
          <t>Director of Investments</t>
        </is>
      </c>
      <c r="K724" t="inlineStr">
        <is>
          <t>Sr Investment Professional</t>
        </is>
      </c>
      <c r="L724" s="28" t="n">
        <v>0</v>
      </c>
      <c r="M724" s="28" t="n">
        <v>0</v>
      </c>
      <c r="N724" s="28" t="n">
        <v>0</v>
      </c>
      <c r="O724" s="28" t="n">
        <v>0</v>
      </c>
      <c r="P724" s="28" t="n">
        <v>0</v>
      </c>
      <c r="Q724" s="28" t="n">
        <v>1469321</v>
      </c>
      <c r="R724" s="28" t="n">
        <v>0</v>
      </c>
      <c r="S724" s="28">
        <f>Q724-R724</f>
        <v/>
      </c>
      <c r="T724" s="28">
        <f>IF(S724="","",S724*(1+in_GrowthRate)^(YEARFRAC(DATE(2024,12,31),in_AgeToDate)*IF(in_AgeToDate&lt;DATE(2024,12,31),-1,1)+1))</f>
        <v/>
      </c>
      <c r="U724" s="50">
        <f>IF(AND(AND(OR(in_Mode="All Funds",AND(C724&gt;=in_BandFloor,C724&lt;=in_BandCeiling,OR(in_Geography="National",COUNTIFS(lst_GeoPreset,in_Geography,lst_GeoState,B724)&gt;0,AND(in_Geography="Custom",ISNUMBER(SEARCH(B724,SUBSTITUTE(in_CustomStates," ",""))))),OR(AND(D724="Endowment",Inputs!$B$14="Y"),AND(D724="Foundation",Inputs!$B$15="Y"),AND(D724="Healthcare",Inputs!$B$16="Y"),AND(D724="Pension",Inputs!$B$17="Y"),AND(D724="OCIO",Inputs!$B$18="Y"),AND(D724="Other",Inputs!$B$19="Y")))),A724&lt;&gt;in_ClientOrg,NOT(AND(in_ExclHarvard="Y",ISNUMBER(SEARCH("Harvard",A724))))),$AD724="Y",K724&lt;&gt;"",S724&gt;0),"Y","")</f>
        <v/>
      </c>
      <c r="V724" s="30" t="n">
        <v>0.495310745490505</v>
      </c>
      <c r="W724" t="inlineStr"/>
      <c r="X724" s="28">
        <f>IF(L724+M724=0,"",L724+M724)</f>
        <v/>
      </c>
      <c r="Y724" s="38">
        <f>IF(L724=0,"",M724/L724)</f>
        <v/>
      </c>
      <c r="Z724" t="inlineStr">
        <is>
          <t>Director &amp; Investment Officer</t>
        </is>
      </c>
      <c r="AA724" t="inlineStr">
        <is>
          <t>Investments</t>
        </is>
      </c>
      <c r="AB724" s="50" t="inlineStr"/>
      <c r="AC724" s="43">
        <f>HYPERLINK("https://projects.propublica.org/nonprofits/organizations/371758406/202503189349102200/full","view filing")</f>
        <v/>
      </c>
      <c r="AD724" s="50" t="inlineStr">
        <is>
          <t>Y</t>
        </is>
      </c>
    </row>
    <row r="725">
      <c r="A725" t="inlineStr">
        <is>
          <t>Margaret A Cargill Foundation</t>
        </is>
      </c>
      <c r="B725" s="50" t="inlineStr">
        <is>
          <t>MN</t>
        </is>
      </c>
      <c r="C725" s="52" t="n">
        <v>3.05</v>
      </c>
      <c r="D725" t="inlineStr">
        <is>
          <t>Foundation</t>
        </is>
      </c>
      <c r="E725" s="50" t="n">
        <v>2024</v>
      </c>
      <c r="F725" s="50" t="inlineStr">
        <is>
          <t>2025-11-14</t>
        </is>
      </c>
      <c r="G725" s="50" t="inlineStr">
        <is>
          <t>2024-12-31</t>
        </is>
      </c>
      <c r="H725" t="inlineStr">
        <is>
          <t>Rodney Overcash</t>
        </is>
      </c>
      <c r="I725" t="inlineStr">
        <is>
          <t>INVESTMENT DIRECTOR</t>
        </is>
      </c>
      <c r="J725" t="inlineStr">
        <is>
          <t>Director of Investments</t>
        </is>
      </c>
      <c r="K725" t="inlineStr">
        <is>
          <t>Sr Investment Professional</t>
        </is>
      </c>
      <c r="L725" s="28" t="n">
        <v>0</v>
      </c>
      <c r="M725" s="28" t="n">
        <v>0</v>
      </c>
      <c r="N725" s="28" t="n">
        <v>0</v>
      </c>
      <c r="O725" s="28" t="n">
        <v>0</v>
      </c>
      <c r="P725" s="28" t="n">
        <v>0</v>
      </c>
      <c r="Q725" s="28" t="n">
        <v>1186225</v>
      </c>
      <c r="R725" s="28" t="n">
        <v>0</v>
      </c>
      <c r="S725" s="28">
        <f>Q725-R725</f>
        <v/>
      </c>
      <c r="T725" s="28">
        <f>IF(S725="","",S725*(1+in_GrowthRate)^(YEARFRAC(DATE(2024,12,31),in_AgeToDate)*IF(in_AgeToDate&lt;DATE(2024,12,31),-1,1)+1))</f>
        <v/>
      </c>
      <c r="U725" s="50">
        <f>IF(AND(AND(OR(in_Mode="All Funds",AND(C725&gt;=in_BandFloor,C725&lt;=in_BandCeiling,OR(in_Geography="National",COUNTIFS(lst_GeoPreset,in_Geography,lst_GeoState,B725)&gt;0,AND(in_Geography="Custom",ISNUMBER(SEARCH(B725,SUBSTITUTE(in_CustomStates," ",""))))),OR(AND(D725="Endowment",Inputs!$B$14="Y"),AND(D725="Foundation",Inputs!$B$15="Y"),AND(D725="Healthcare",Inputs!$B$16="Y"),AND(D725="Pension",Inputs!$B$17="Y"),AND(D725="OCIO",Inputs!$B$18="Y"),AND(D725="Other",Inputs!$B$19="Y")))),A725&lt;&gt;in_ClientOrg,NOT(AND(in_ExclHarvard="Y",ISNUMBER(SEARCH("Harvard",A725))))),$AD725="Y",K725&lt;&gt;"",S725&gt;0),"Y","")</f>
        <v/>
      </c>
      <c r="V725" s="30" t="n">
        <v>0.3998785759336961</v>
      </c>
      <c r="W725" t="inlineStr"/>
      <c r="X725" s="28">
        <f>IF(L725+M725=0,"",L725+M725)</f>
        <v/>
      </c>
      <c r="Y725" s="38">
        <f>IF(L725=0,"",M725/L725)</f>
        <v/>
      </c>
      <c r="Z725" t="inlineStr">
        <is>
          <t>Director &amp; Investment Officer</t>
        </is>
      </c>
      <c r="AA725" t="inlineStr">
        <is>
          <t>Investments</t>
        </is>
      </c>
      <c r="AB725" s="50" t="inlineStr"/>
      <c r="AC725" s="43">
        <f>HYPERLINK("https://projects.propublica.org/nonprofits/organizations/371758406/202503189349102200/full","view filing")</f>
        <v/>
      </c>
      <c r="AD725" s="50" t="inlineStr">
        <is>
          <t>Y</t>
        </is>
      </c>
    </row>
    <row r="726">
      <c r="A726" t="inlineStr">
        <is>
          <t>Margaret A Cargill Foundation</t>
        </is>
      </c>
      <c r="B726" s="50" t="inlineStr">
        <is>
          <t>MN</t>
        </is>
      </c>
      <c r="C726" s="52" t="n">
        <v>3.05</v>
      </c>
      <c r="D726" t="inlineStr">
        <is>
          <t>Foundation</t>
        </is>
      </c>
      <c r="E726" s="50" t="n">
        <v>2024</v>
      </c>
      <c r="F726" s="50" t="inlineStr">
        <is>
          <t>2025-11-14</t>
        </is>
      </c>
      <c r="G726" s="50" t="inlineStr">
        <is>
          <t>2024-12-31</t>
        </is>
      </c>
      <c r="H726" t="inlineStr">
        <is>
          <t>Shawn Wischmeier</t>
        </is>
      </c>
      <c r="I726" t="inlineStr">
        <is>
          <t>CHIEF INVESTMENT OFFICER</t>
        </is>
      </c>
      <c r="J726" t="inlineStr">
        <is>
          <t>CIO</t>
        </is>
      </c>
      <c r="K726" t="inlineStr">
        <is>
          <t>CIO - Top Investment Executive</t>
        </is>
      </c>
      <c r="L726" s="28" t="n">
        <v>0</v>
      </c>
      <c r="M726" s="28" t="n">
        <v>0</v>
      </c>
      <c r="N726" s="28" t="n">
        <v>0</v>
      </c>
      <c r="O726" s="28" t="n">
        <v>0</v>
      </c>
      <c r="P726" s="28" t="n">
        <v>365543</v>
      </c>
      <c r="Q726" s="28" t="n">
        <v>2966463</v>
      </c>
      <c r="R726" s="28" t="n">
        <v>0</v>
      </c>
      <c r="S726" s="28">
        <f>Q726-R726</f>
        <v/>
      </c>
      <c r="T726" s="28">
        <f>IF(S726="","",S726*(1+in_GrowthRate)^(YEARFRAC(DATE(2024,12,31),in_AgeToDate)*IF(in_AgeToDate&lt;DATE(2024,12,31),-1,1)+1))</f>
        <v/>
      </c>
      <c r="U726" s="50">
        <f>IF(AND(AND(OR(in_Mode="All Funds",AND(C726&gt;=in_BandFloor,C726&lt;=in_BandCeiling,OR(in_Geography="National",COUNTIFS(lst_GeoPreset,in_Geography,lst_GeoState,B726)&gt;0,AND(in_Geography="Custom",ISNUMBER(SEARCH(B726,SUBSTITUTE(in_CustomStates," ",""))))),OR(AND(D726="Endowment",Inputs!$B$14="Y"),AND(D726="Foundation",Inputs!$B$15="Y"),AND(D726="Healthcare",Inputs!$B$16="Y"),AND(D726="Pension",Inputs!$B$17="Y"),AND(D726="OCIO",Inputs!$B$18="Y"),AND(D726="Other",Inputs!$B$19="Y")))),A726&lt;&gt;in_ClientOrg,NOT(AND(in_ExclHarvard="Y",ISNUMBER(SEARCH("Harvard",A726))))),$AD726="Y",K726&lt;&gt;"",S726&gt;0),"Y","")</f>
        <v/>
      </c>
      <c r="V726" s="30" t="n">
        <v>1</v>
      </c>
      <c r="W726" t="inlineStr"/>
      <c r="X726" s="28">
        <f>IF(L726+M726=0,"",L726+M726)</f>
        <v/>
      </c>
      <c r="Y726" s="38">
        <f>IF(L726=0,"",M726/L726)</f>
        <v/>
      </c>
      <c r="Z726" t="inlineStr">
        <is>
          <t>CIO - Top Investment Executive</t>
        </is>
      </c>
      <c r="AA726" t="inlineStr">
        <is>
          <t>Leadership</t>
        </is>
      </c>
      <c r="AB726" s="50" t="inlineStr">
        <is>
          <t>Y</t>
        </is>
      </c>
      <c r="AC726" s="43">
        <f>HYPERLINK("https://projects.propublica.org/nonprofits/organizations/371758406/202503189349102200/full","view filing")</f>
        <v/>
      </c>
      <c r="AD726" s="50" t="inlineStr">
        <is>
          <t>Y</t>
        </is>
      </c>
    </row>
    <row r="727">
      <c r="A727" t="inlineStr">
        <is>
          <t>Margaret A Cargill Foundation</t>
        </is>
      </c>
      <c r="B727" s="50" t="inlineStr">
        <is>
          <t>MN</t>
        </is>
      </c>
      <c r="C727" s="52" t="n">
        <v>3.05</v>
      </c>
      <c r="D727" t="inlineStr">
        <is>
          <t>Foundation</t>
        </is>
      </c>
      <c r="E727" s="50" t="n">
        <v>2024</v>
      </c>
      <c r="F727" s="50" t="inlineStr">
        <is>
          <t>2025-11-14</t>
        </is>
      </c>
      <c r="G727" s="50" t="inlineStr">
        <is>
          <t>2024-12-31</t>
        </is>
      </c>
      <c r="H727" t="inlineStr">
        <is>
          <t>Tricia Scrivner</t>
        </is>
      </c>
      <c r="I727" t="inlineStr">
        <is>
          <t>INVESTMENT DIRECTOR</t>
        </is>
      </c>
      <c r="J727" t="inlineStr">
        <is>
          <t>Director of Investments</t>
        </is>
      </c>
      <c r="K727" t="inlineStr">
        <is>
          <t>Sr Investment Professional</t>
        </is>
      </c>
      <c r="L727" s="28" t="n">
        <v>0</v>
      </c>
      <c r="M727" s="28" t="n">
        <v>0</v>
      </c>
      <c r="N727" s="28" t="n">
        <v>0</v>
      </c>
      <c r="O727" s="28" t="n">
        <v>0</v>
      </c>
      <c r="P727" s="28" t="n">
        <v>0</v>
      </c>
      <c r="Q727" s="28" t="n">
        <v>1158163</v>
      </c>
      <c r="R727" s="28" t="n">
        <v>0</v>
      </c>
      <c r="S727" s="28">
        <f>Q727-R727</f>
        <v/>
      </c>
      <c r="T727" s="28">
        <f>IF(S727="","",S727*(1+in_GrowthRate)^(YEARFRAC(DATE(2024,12,31),in_AgeToDate)*IF(in_AgeToDate&lt;DATE(2024,12,31),-1,1)+1))</f>
        <v/>
      </c>
      <c r="U727" s="50">
        <f>IF(AND(AND(OR(in_Mode="All Funds",AND(C727&gt;=in_BandFloor,C727&lt;=in_BandCeiling,OR(in_Geography="National",COUNTIFS(lst_GeoPreset,in_Geography,lst_GeoState,B727)&gt;0,AND(in_Geography="Custom",ISNUMBER(SEARCH(B727,SUBSTITUTE(in_CustomStates," ",""))))),OR(AND(D727="Endowment",Inputs!$B$14="Y"),AND(D727="Foundation",Inputs!$B$15="Y"),AND(D727="Healthcare",Inputs!$B$16="Y"),AND(D727="Pension",Inputs!$B$17="Y"),AND(D727="OCIO",Inputs!$B$18="Y"),AND(D727="Other",Inputs!$B$19="Y")))),A727&lt;&gt;in_ClientOrg,NOT(AND(in_ExclHarvard="Y",ISNUMBER(SEARCH("Harvard",A727))))),$AD727="Y",K727&lt;&gt;"",S727&gt;0),"Y","")</f>
        <v/>
      </c>
      <c r="V727" s="30" t="n">
        <v>0.3904188253822818</v>
      </c>
      <c r="W727" t="inlineStr"/>
      <c r="X727" s="28">
        <f>IF(L727+M727=0,"",L727+M727)</f>
        <v/>
      </c>
      <c r="Y727" s="38">
        <f>IF(L727=0,"",M727/L727)</f>
        <v/>
      </c>
      <c r="Z727" t="inlineStr">
        <is>
          <t>Director &amp; Investment Officer</t>
        </is>
      </c>
      <c r="AA727" t="inlineStr">
        <is>
          <t>Investments</t>
        </is>
      </c>
      <c r="AB727" s="50" t="inlineStr"/>
      <c r="AC727" s="43">
        <f>HYPERLINK("https://projects.propublica.org/nonprofits/organizations/371758406/202503189349102200/full","view filing")</f>
        <v/>
      </c>
      <c r="AD727" s="50" t="inlineStr">
        <is>
          <t>Y</t>
        </is>
      </c>
    </row>
    <row r="728">
      <c r="A728" t="inlineStr">
        <is>
          <t>Margaret A Cargill Foundation</t>
        </is>
      </c>
      <c r="B728" s="50" t="inlineStr">
        <is>
          <t>MN</t>
        </is>
      </c>
      <c r="C728" s="52" t="n">
        <v>3.05</v>
      </c>
      <c r="D728" t="inlineStr">
        <is>
          <t>Foundation</t>
        </is>
      </c>
      <c r="E728" s="50" t="n">
        <v>2023</v>
      </c>
      <c r="F728" s="50" t="inlineStr">
        <is>
          <t>2024-11-14</t>
        </is>
      </c>
      <c r="G728" s="50" t="inlineStr">
        <is>
          <t>2023-12-31</t>
        </is>
      </c>
      <c r="H728" t="inlineStr">
        <is>
          <t>Christopher Vogt</t>
        </is>
      </c>
      <c r="I728" t="inlineStr">
        <is>
          <t>INVESTMENT DIRECTOR</t>
        </is>
      </c>
      <c r="J728" t="inlineStr">
        <is>
          <t>Director of Investments</t>
        </is>
      </c>
      <c r="K728" t="inlineStr">
        <is>
          <t>Sr Investment Professional</t>
        </is>
      </c>
      <c r="L728" s="28" t="n">
        <v>0</v>
      </c>
      <c r="M728" s="28" t="n">
        <v>0</v>
      </c>
      <c r="N728" s="28" t="n">
        <v>0</v>
      </c>
      <c r="O728" s="28" t="n">
        <v>0</v>
      </c>
      <c r="P728" s="28" t="n">
        <v>0</v>
      </c>
      <c r="Q728" s="28" t="n">
        <v>919493</v>
      </c>
      <c r="R728" s="28" t="n">
        <v>0</v>
      </c>
      <c r="S728" s="28">
        <f>Q728-R728</f>
        <v/>
      </c>
      <c r="T728" s="28">
        <f>IF(S728="","",S728*(1+in_GrowthRate)^(YEARFRAC(DATE(2023,12,31),in_AgeToDate)*IF(in_AgeToDate&lt;DATE(2023,12,31),-1,1)+1))</f>
        <v/>
      </c>
      <c r="U728" s="50">
        <f>IF(AND(AND(OR(in_Mode="All Funds",AND(C728&gt;=in_BandFloor,C728&lt;=in_BandCeiling,OR(in_Geography="National",COUNTIFS(lst_GeoPreset,in_Geography,lst_GeoState,B728)&gt;0,AND(in_Geography="Custom",ISNUMBER(SEARCH(B728,SUBSTITUTE(in_CustomStates," ",""))))),OR(AND(D728="Endowment",Inputs!$B$14="Y"),AND(D728="Foundation",Inputs!$B$15="Y"),AND(D728="Healthcare",Inputs!$B$16="Y"),AND(D728="Pension",Inputs!$B$17="Y"),AND(D728="OCIO",Inputs!$B$18="Y"),AND(D728="Other",Inputs!$B$19="Y")))),A728&lt;&gt;in_ClientOrg,NOT(AND(in_ExclHarvard="Y",ISNUMBER(SEARCH("Harvard",A728))))),$AD728="Y",K728&lt;&gt;"",S728&gt;0),"Y","")</f>
        <v/>
      </c>
      <c r="V728" s="30" t="n">
        <v>0.3914625185089315</v>
      </c>
      <c r="W728" t="inlineStr"/>
      <c r="X728" s="28">
        <f>IF(L728+M728=0,"",L728+M728)</f>
        <v/>
      </c>
      <c r="Y728" s="38">
        <f>IF(L728=0,"",M728/L728)</f>
        <v/>
      </c>
      <c r="Z728" t="inlineStr">
        <is>
          <t>Director &amp; Investment Officer</t>
        </is>
      </c>
      <c r="AA728" t="inlineStr">
        <is>
          <t>Investments</t>
        </is>
      </c>
      <c r="AB728" s="50" t="inlineStr"/>
      <c r="AC728" s="43">
        <f>HYPERLINK("https://projects.propublica.org/nonprofits/organizations/371758406/202403199349105610/full","view filing")</f>
        <v/>
      </c>
      <c r="AD728" s="50" t="inlineStr"/>
    </row>
    <row r="729">
      <c r="A729" t="inlineStr">
        <is>
          <t>Margaret A Cargill Foundation</t>
        </is>
      </c>
      <c r="B729" s="50" t="inlineStr">
        <is>
          <t>MN</t>
        </is>
      </c>
      <c r="C729" s="52" t="n">
        <v>3.05</v>
      </c>
      <c r="D729" t="inlineStr">
        <is>
          <t>Foundation</t>
        </is>
      </c>
      <c r="E729" s="50" t="n">
        <v>2023</v>
      </c>
      <c r="F729" s="50" t="inlineStr">
        <is>
          <t>2024-11-14</t>
        </is>
      </c>
      <c r="G729" s="50" t="inlineStr">
        <is>
          <t>2023-12-31</t>
        </is>
      </c>
      <c r="H729" t="inlineStr">
        <is>
          <t>Matthew Minnis</t>
        </is>
      </c>
      <c r="I729" t="inlineStr">
        <is>
          <t>INVESTMENT DIRECTOR</t>
        </is>
      </c>
      <c r="J729" t="inlineStr">
        <is>
          <t>Director of Investments</t>
        </is>
      </c>
      <c r="K729" t="inlineStr">
        <is>
          <t>Sr Investment Professional</t>
        </is>
      </c>
      <c r="L729" s="28" t="n">
        <v>0</v>
      </c>
      <c r="M729" s="28" t="n">
        <v>0</v>
      </c>
      <c r="N729" s="28" t="n">
        <v>0</v>
      </c>
      <c r="O729" s="28" t="n">
        <v>0</v>
      </c>
      <c r="P729" s="28" t="n">
        <v>0</v>
      </c>
      <c r="Q729" s="28" t="n">
        <v>934905</v>
      </c>
      <c r="R729" s="28" t="n">
        <v>0</v>
      </c>
      <c r="S729" s="28">
        <f>Q729-R729</f>
        <v/>
      </c>
      <c r="T729" s="28">
        <f>IF(S729="","",S729*(1+in_GrowthRate)^(YEARFRAC(DATE(2023,12,31),in_AgeToDate)*IF(in_AgeToDate&lt;DATE(2023,12,31),-1,1)+1))</f>
        <v/>
      </c>
      <c r="U729" s="50">
        <f>IF(AND(AND(OR(in_Mode="All Funds",AND(C729&gt;=in_BandFloor,C729&lt;=in_BandCeiling,OR(in_Geography="National",COUNTIFS(lst_GeoPreset,in_Geography,lst_GeoState,B729)&gt;0,AND(in_Geography="Custom",ISNUMBER(SEARCH(B729,SUBSTITUTE(in_CustomStates," ",""))))),OR(AND(D729="Endowment",Inputs!$B$14="Y"),AND(D729="Foundation",Inputs!$B$15="Y"),AND(D729="Healthcare",Inputs!$B$16="Y"),AND(D729="Pension",Inputs!$B$17="Y"),AND(D729="OCIO",Inputs!$B$18="Y"),AND(D729="Other",Inputs!$B$19="Y")))),A729&lt;&gt;in_ClientOrg,NOT(AND(in_ExclHarvard="Y",ISNUMBER(SEARCH("Harvard",A729))))),$AD729="Y",K729&lt;&gt;"",S729&gt;0),"Y","")</f>
        <v/>
      </c>
      <c r="V729" s="30" t="n">
        <v>0.3980239826367277</v>
      </c>
      <c r="W729" t="inlineStr"/>
      <c r="X729" s="28">
        <f>IF(L729+M729=0,"",L729+M729)</f>
        <v/>
      </c>
      <c r="Y729" s="38">
        <f>IF(L729=0,"",M729/L729)</f>
        <v/>
      </c>
      <c r="Z729" t="inlineStr">
        <is>
          <t>Director &amp; Investment Officer</t>
        </is>
      </c>
      <c r="AA729" t="inlineStr">
        <is>
          <t>Investments</t>
        </is>
      </c>
      <c r="AB729" s="50" t="inlineStr"/>
      <c r="AC729" s="43">
        <f>HYPERLINK("https://projects.propublica.org/nonprofits/organizations/371758406/202403199349105610/full","view filing")</f>
        <v/>
      </c>
      <c r="AD729" s="50" t="inlineStr"/>
    </row>
    <row r="730">
      <c r="A730" t="inlineStr">
        <is>
          <t>Margaret A Cargill Foundation</t>
        </is>
      </c>
      <c r="B730" s="50" t="inlineStr">
        <is>
          <t>MN</t>
        </is>
      </c>
      <c r="C730" s="52" t="n">
        <v>3.05</v>
      </c>
      <c r="D730" t="inlineStr">
        <is>
          <t>Foundation</t>
        </is>
      </c>
      <c r="E730" s="50" t="n">
        <v>2023</v>
      </c>
      <c r="F730" s="50" t="inlineStr">
        <is>
          <t>2024-11-14</t>
        </is>
      </c>
      <c r="G730" s="50" t="inlineStr">
        <is>
          <t>2023-12-31</t>
        </is>
      </c>
      <c r="H730" t="inlineStr">
        <is>
          <t>Michael Ruetz</t>
        </is>
      </c>
      <c r="I730" t="inlineStr">
        <is>
          <t>INVESTMENT DIRECTOR/</t>
        </is>
      </c>
      <c r="J730" t="inlineStr">
        <is>
          <t>Director of Investments</t>
        </is>
      </c>
      <c r="K730" t="inlineStr">
        <is>
          <t>Sr Investment Professional</t>
        </is>
      </c>
      <c r="L730" s="28" t="n">
        <v>0</v>
      </c>
      <c r="M730" s="28" t="n">
        <v>0</v>
      </c>
      <c r="N730" s="28" t="n">
        <v>0</v>
      </c>
      <c r="O730" s="28" t="n">
        <v>0</v>
      </c>
      <c r="P730" s="28" t="n">
        <v>0</v>
      </c>
      <c r="Q730" s="28" t="n">
        <v>1152158</v>
      </c>
      <c r="R730" s="28" t="n">
        <v>0</v>
      </c>
      <c r="S730" s="28">
        <f>Q730-R730</f>
        <v/>
      </c>
      <c r="T730" s="28">
        <f>IF(S730="","",S730*(1+in_GrowthRate)^(YEARFRAC(DATE(2023,12,31),in_AgeToDate)*IF(in_AgeToDate&lt;DATE(2023,12,31),-1,1)+1))</f>
        <v/>
      </c>
      <c r="U730" s="50">
        <f>IF(AND(AND(OR(in_Mode="All Funds",AND(C730&gt;=in_BandFloor,C730&lt;=in_BandCeiling,OR(in_Geography="National",COUNTIFS(lst_GeoPreset,in_Geography,lst_GeoState,B730)&gt;0,AND(in_Geography="Custom",ISNUMBER(SEARCH(B730,SUBSTITUTE(in_CustomStates," ",""))))),OR(AND(D730="Endowment",Inputs!$B$14="Y"),AND(D730="Foundation",Inputs!$B$15="Y"),AND(D730="Healthcare",Inputs!$B$16="Y"),AND(D730="Pension",Inputs!$B$17="Y"),AND(D730="OCIO",Inputs!$B$18="Y"),AND(D730="Other",Inputs!$B$19="Y")))),A730&lt;&gt;in_ClientOrg,NOT(AND(in_ExclHarvard="Y",ISNUMBER(SEARCH("Harvard",A730))))),$AD730="Y",K730&lt;&gt;"",S730&gt;0),"Y","")</f>
        <v/>
      </c>
      <c r="V730" s="30" t="n">
        <v>0.4905167003992565</v>
      </c>
      <c r="W730" t="inlineStr"/>
      <c r="X730" s="28">
        <f>IF(L730+M730=0,"",L730+M730)</f>
        <v/>
      </c>
      <c r="Y730" s="38">
        <f>IF(L730=0,"",M730/L730)</f>
        <v/>
      </c>
      <c r="Z730" t="inlineStr">
        <is>
          <t>Director &amp; Investment Officer</t>
        </is>
      </c>
      <c r="AA730" t="inlineStr">
        <is>
          <t>Investments</t>
        </is>
      </c>
      <c r="AB730" s="50" t="inlineStr"/>
      <c r="AC730" s="43">
        <f>HYPERLINK("https://projects.propublica.org/nonprofits/organizations/371758406/202403199349105610/full","view filing")</f>
        <v/>
      </c>
      <c r="AD730" s="50" t="inlineStr"/>
    </row>
    <row r="731">
      <c r="A731" t="inlineStr">
        <is>
          <t>Margaret A Cargill Foundation</t>
        </is>
      </c>
      <c r="B731" s="50" t="inlineStr">
        <is>
          <t>MN</t>
        </is>
      </c>
      <c r="C731" s="52" t="n">
        <v>3.05</v>
      </c>
      <c r="D731" t="inlineStr">
        <is>
          <t>Foundation</t>
        </is>
      </c>
      <c r="E731" s="50" t="n">
        <v>2023</v>
      </c>
      <c r="F731" s="50" t="inlineStr">
        <is>
          <t>2024-11-14</t>
        </is>
      </c>
      <c r="G731" s="50" t="inlineStr">
        <is>
          <t>2023-12-31</t>
        </is>
      </c>
      <c r="H731" t="inlineStr">
        <is>
          <t>Rodney Overcash</t>
        </is>
      </c>
      <c r="I731" t="inlineStr">
        <is>
          <t>INVESTMENT DIRECTOR</t>
        </is>
      </c>
      <c r="J731" t="inlineStr">
        <is>
          <t>Director of Investments</t>
        </is>
      </c>
      <c r="K731" t="inlineStr">
        <is>
          <t>Sr Investment Professional</t>
        </is>
      </c>
      <c r="L731" s="28" t="n">
        <v>0</v>
      </c>
      <c r="M731" s="28" t="n">
        <v>0</v>
      </c>
      <c r="N731" s="28" t="n">
        <v>0</v>
      </c>
      <c r="O731" s="28" t="n">
        <v>0</v>
      </c>
      <c r="P731" s="28" t="n">
        <v>0</v>
      </c>
      <c r="Q731" s="28" t="n">
        <v>990561</v>
      </c>
      <c r="R731" s="28" t="n">
        <v>0</v>
      </c>
      <c r="S731" s="28">
        <f>Q731-R731</f>
        <v/>
      </c>
      <c r="T731" s="28">
        <f>IF(S731="","",S731*(1+in_GrowthRate)^(YEARFRAC(DATE(2023,12,31),in_AgeToDate)*IF(in_AgeToDate&lt;DATE(2023,12,31),-1,1)+1))</f>
        <v/>
      </c>
      <c r="U731" s="50">
        <f>IF(AND(AND(OR(in_Mode="All Funds",AND(C731&gt;=in_BandFloor,C731&lt;=in_BandCeiling,OR(in_Geography="National",COUNTIFS(lst_GeoPreset,in_Geography,lst_GeoState,B731)&gt;0,AND(in_Geography="Custom",ISNUMBER(SEARCH(B731,SUBSTITUTE(in_CustomStates," ",""))))),OR(AND(D731="Endowment",Inputs!$B$14="Y"),AND(D731="Foundation",Inputs!$B$15="Y"),AND(D731="Healthcare",Inputs!$B$16="Y"),AND(D731="Pension",Inputs!$B$17="Y"),AND(D731="OCIO",Inputs!$B$18="Y"),AND(D731="Other",Inputs!$B$19="Y")))),A731&lt;&gt;in_ClientOrg,NOT(AND(in_ExclHarvard="Y",ISNUMBER(SEARCH("Harvard",A731))))),$AD731="Y",K731&lt;&gt;"",S731&gt;0),"Y","")</f>
        <v/>
      </c>
      <c r="V731" s="30" t="n">
        <v>0.4217188209118783</v>
      </c>
      <c r="W731" t="inlineStr"/>
      <c r="X731" s="28">
        <f>IF(L731+M731=0,"",L731+M731)</f>
        <v/>
      </c>
      <c r="Y731" s="38">
        <f>IF(L731=0,"",M731/L731)</f>
        <v/>
      </c>
      <c r="Z731" t="inlineStr">
        <is>
          <t>Director &amp; Investment Officer</t>
        </is>
      </c>
      <c r="AA731" t="inlineStr">
        <is>
          <t>Investments</t>
        </is>
      </c>
      <c r="AB731" s="50" t="inlineStr"/>
      <c r="AC731" s="43">
        <f>HYPERLINK("https://projects.propublica.org/nonprofits/organizations/371758406/202403199349105610/full","view filing")</f>
        <v/>
      </c>
      <c r="AD731" s="50" t="inlineStr"/>
    </row>
    <row r="732">
      <c r="A732" t="inlineStr">
        <is>
          <t>Margaret A Cargill Foundation</t>
        </is>
      </c>
      <c r="B732" s="50" t="inlineStr">
        <is>
          <t>MN</t>
        </is>
      </c>
      <c r="C732" s="52" t="n">
        <v>3.05</v>
      </c>
      <c r="D732" t="inlineStr">
        <is>
          <t>Foundation</t>
        </is>
      </c>
      <c r="E732" s="50" t="n">
        <v>2023</v>
      </c>
      <c r="F732" s="50" t="inlineStr">
        <is>
          <t>2024-11-14</t>
        </is>
      </c>
      <c r="G732" s="50" t="inlineStr">
        <is>
          <t>2023-12-31</t>
        </is>
      </c>
      <c r="H732" t="inlineStr">
        <is>
          <t>Shawn Wischmeier</t>
        </is>
      </c>
      <c r="I732" t="inlineStr">
        <is>
          <t>CHIEF INVESTMENT OFFICER</t>
        </is>
      </c>
      <c r="J732" t="inlineStr">
        <is>
          <t>CIO</t>
        </is>
      </c>
      <c r="K732" t="inlineStr">
        <is>
          <t>CIO - Top Investment Executive</t>
        </is>
      </c>
      <c r="L732" s="28" t="n">
        <v>0</v>
      </c>
      <c r="M732" s="28" t="n">
        <v>0</v>
      </c>
      <c r="N732" s="28" t="n">
        <v>0</v>
      </c>
      <c r="O732" s="28" t="n">
        <v>0</v>
      </c>
      <c r="P732" s="28" t="n">
        <v>283589</v>
      </c>
      <c r="Q732" s="28" t="n">
        <v>2348866</v>
      </c>
      <c r="R732" s="28" t="n">
        <v>0</v>
      </c>
      <c r="S732" s="28">
        <f>Q732-R732</f>
        <v/>
      </c>
      <c r="T732" s="28">
        <f>IF(S732="","",S732*(1+in_GrowthRate)^(YEARFRAC(DATE(2023,12,31),in_AgeToDate)*IF(in_AgeToDate&lt;DATE(2023,12,31),-1,1)+1))</f>
        <v/>
      </c>
      <c r="U732" s="50">
        <f>IF(AND(AND(OR(in_Mode="All Funds",AND(C732&gt;=in_BandFloor,C732&lt;=in_BandCeiling,OR(in_Geography="National",COUNTIFS(lst_GeoPreset,in_Geography,lst_GeoState,B732)&gt;0,AND(in_Geography="Custom",ISNUMBER(SEARCH(B732,SUBSTITUTE(in_CustomStates," ",""))))),OR(AND(D732="Endowment",Inputs!$B$14="Y"),AND(D732="Foundation",Inputs!$B$15="Y"),AND(D732="Healthcare",Inputs!$B$16="Y"),AND(D732="Pension",Inputs!$B$17="Y"),AND(D732="OCIO",Inputs!$B$18="Y"),AND(D732="Other",Inputs!$B$19="Y")))),A732&lt;&gt;in_ClientOrg,NOT(AND(in_ExclHarvard="Y",ISNUMBER(SEARCH("Harvard",A732))))),$AD732="Y",K732&lt;&gt;"",S732&gt;0),"Y","")</f>
        <v/>
      </c>
      <c r="V732" s="30" t="n">
        <v>1</v>
      </c>
      <c r="W732" t="inlineStr"/>
      <c r="X732" s="28">
        <f>IF(L732+M732=0,"",L732+M732)</f>
        <v/>
      </c>
      <c r="Y732" s="38">
        <f>IF(L732=0,"",M732/L732)</f>
        <v/>
      </c>
      <c r="Z732" t="inlineStr">
        <is>
          <t>CIO - Top Investment Executive</t>
        </is>
      </c>
      <c r="AA732" t="inlineStr">
        <is>
          <t>Leadership</t>
        </is>
      </c>
      <c r="AB732" s="50" t="inlineStr">
        <is>
          <t>Y</t>
        </is>
      </c>
      <c r="AC732" s="43">
        <f>HYPERLINK("https://projects.propublica.org/nonprofits/organizations/371758406/202403199349105610/full","view filing")</f>
        <v/>
      </c>
      <c r="AD732" s="50" t="inlineStr"/>
    </row>
    <row r="733">
      <c r="A733" t="inlineStr">
        <is>
          <t>Margaret A Cargill Foundation</t>
        </is>
      </c>
      <c r="B733" s="50" t="inlineStr">
        <is>
          <t>MN</t>
        </is>
      </c>
      <c r="C733" s="52" t="n">
        <v>3.05</v>
      </c>
      <c r="D733" t="inlineStr">
        <is>
          <t>Foundation</t>
        </is>
      </c>
      <c r="E733" s="50" t="n">
        <v>2023</v>
      </c>
      <c r="F733" s="50" t="inlineStr">
        <is>
          <t>2024-11-14</t>
        </is>
      </c>
      <c r="G733" s="50" t="inlineStr">
        <is>
          <t>2023-12-31</t>
        </is>
      </c>
      <c r="H733" t="inlineStr">
        <is>
          <t>Tricia Scrivner</t>
        </is>
      </c>
      <c r="I733" t="inlineStr">
        <is>
          <t>INVESTMENT DIRECTOR</t>
        </is>
      </c>
      <c r="J733" t="inlineStr">
        <is>
          <t>Director of Investments</t>
        </is>
      </c>
      <c r="K733" t="inlineStr">
        <is>
          <t>Sr Investment Professional</t>
        </is>
      </c>
      <c r="L733" s="28" t="n">
        <v>0</v>
      </c>
      <c r="M733" s="28" t="n">
        <v>0</v>
      </c>
      <c r="N733" s="28" t="n">
        <v>0</v>
      </c>
      <c r="O733" s="28" t="n">
        <v>0</v>
      </c>
      <c r="P733" s="28" t="n">
        <v>0</v>
      </c>
      <c r="Q733" s="28" t="n">
        <v>894673</v>
      </c>
      <c r="R733" s="28" t="n">
        <v>0</v>
      </c>
      <c r="S733" s="28">
        <f>Q733-R733</f>
        <v/>
      </c>
      <c r="T733" s="28">
        <f>IF(S733="","",S733*(1+in_GrowthRate)^(YEARFRAC(DATE(2023,12,31),in_AgeToDate)*IF(in_AgeToDate&lt;DATE(2023,12,31),-1,1)+1))</f>
        <v/>
      </c>
      <c r="U733" s="50">
        <f>IF(AND(AND(OR(in_Mode="All Funds",AND(C733&gt;=in_BandFloor,C733&lt;=in_BandCeiling,OR(in_Geography="National",COUNTIFS(lst_GeoPreset,in_Geography,lst_GeoState,B733)&gt;0,AND(in_Geography="Custom",ISNUMBER(SEARCH(B733,SUBSTITUTE(in_CustomStates," ",""))))),OR(AND(D733="Endowment",Inputs!$B$14="Y"),AND(D733="Foundation",Inputs!$B$15="Y"),AND(D733="Healthcare",Inputs!$B$16="Y"),AND(D733="Pension",Inputs!$B$17="Y"),AND(D733="OCIO",Inputs!$B$18="Y"),AND(D733="Other",Inputs!$B$19="Y")))),A733&lt;&gt;in_ClientOrg,NOT(AND(in_ExclHarvard="Y",ISNUMBER(SEARCH("Harvard",A733))))),$AD733="Y",K733&lt;&gt;"",S733&gt;0),"Y","")</f>
        <v/>
      </c>
      <c r="V733" s="30" t="n">
        <v>0.3808957173376429</v>
      </c>
      <c r="W733" t="inlineStr"/>
      <c r="X733" s="28">
        <f>IF(L733+M733=0,"",L733+M733)</f>
        <v/>
      </c>
      <c r="Y733" s="38">
        <f>IF(L733=0,"",M733/L733)</f>
        <v/>
      </c>
      <c r="Z733" t="inlineStr">
        <is>
          <t>Director &amp; Investment Officer</t>
        </is>
      </c>
      <c r="AA733" t="inlineStr">
        <is>
          <t>Investments</t>
        </is>
      </c>
      <c r="AB733" s="50" t="inlineStr"/>
      <c r="AC733" s="43">
        <f>HYPERLINK("https://projects.propublica.org/nonprofits/organizations/371758406/202403199349105610/full","view filing")</f>
        <v/>
      </c>
      <c r="AD733" s="50" t="inlineStr"/>
    </row>
    <row r="734">
      <c r="A734" t="inlineStr">
        <is>
          <t>Margaret A Cargill Foundation</t>
        </is>
      </c>
      <c r="B734" s="50" t="inlineStr">
        <is>
          <t>MN</t>
        </is>
      </c>
      <c r="C734" s="52" t="n">
        <v>3.05</v>
      </c>
      <c r="D734" t="inlineStr">
        <is>
          <t>Foundation</t>
        </is>
      </c>
      <c r="E734" s="50" t="n">
        <v>2022</v>
      </c>
      <c r="F734" s="50" t="inlineStr">
        <is>
          <t>2023-11-10</t>
        </is>
      </c>
      <c r="G734" s="50" t="inlineStr">
        <is>
          <t>2022-12-31</t>
        </is>
      </c>
      <c r="H734" t="inlineStr">
        <is>
          <t>Christopher Vogt</t>
        </is>
      </c>
      <c r="I734" t="inlineStr">
        <is>
          <t>INVESTMENT DIRECTOR</t>
        </is>
      </c>
      <c r="J734" t="inlineStr">
        <is>
          <t>Director of Investments</t>
        </is>
      </c>
      <c r="K734" t="inlineStr">
        <is>
          <t>Sr Investment Professional</t>
        </is>
      </c>
      <c r="L734" s="28" t="n">
        <v>0</v>
      </c>
      <c r="M734" s="28" t="n">
        <v>0</v>
      </c>
      <c r="N734" s="28" t="n">
        <v>0</v>
      </c>
      <c r="O734" s="28" t="n">
        <v>0</v>
      </c>
      <c r="P734" s="28" t="n">
        <v>0</v>
      </c>
      <c r="Q734" s="28" t="n">
        <v>783320</v>
      </c>
      <c r="R734" s="28" t="n">
        <v>0</v>
      </c>
      <c r="S734" s="28">
        <f>Q734-R734</f>
        <v/>
      </c>
      <c r="T734" s="28">
        <f>IF(S734="","",S734*(1+in_GrowthRate)^(YEARFRAC(DATE(2022,12,31),in_AgeToDate)*IF(in_AgeToDate&lt;DATE(2022,12,31),-1,1)+1))</f>
        <v/>
      </c>
      <c r="U734" s="50">
        <f>IF(AND(AND(OR(in_Mode="All Funds",AND(C734&gt;=in_BandFloor,C734&lt;=in_BandCeiling,OR(in_Geography="National",COUNTIFS(lst_GeoPreset,in_Geography,lst_GeoState,B734)&gt;0,AND(in_Geography="Custom",ISNUMBER(SEARCH(B734,SUBSTITUTE(in_CustomStates," ",""))))),OR(AND(D734="Endowment",Inputs!$B$14="Y"),AND(D734="Foundation",Inputs!$B$15="Y"),AND(D734="Healthcare",Inputs!$B$16="Y"),AND(D734="Pension",Inputs!$B$17="Y"),AND(D734="OCIO",Inputs!$B$18="Y"),AND(D734="Other",Inputs!$B$19="Y")))),A734&lt;&gt;in_ClientOrg,NOT(AND(in_ExclHarvard="Y",ISNUMBER(SEARCH("Harvard",A734))))),$AD734="Y",K734&lt;&gt;"",S734&gt;0),"Y","")</f>
        <v/>
      </c>
      <c r="V734" s="30" t="n">
        <v>0.4044340494519395</v>
      </c>
      <c r="W734" t="inlineStr"/>
      <c r="X734" s="28">
        <f>IF(L734+M734=0,"",L734+M734)</f>
        <v/>
      </c>
      <c r="Y734" s="38">
        <f>IF(L734=0,"",M734/L734)</f>
        <v/>
      </c>
      <c r="Z734" t="inlineStr">
        <is>
          <t>Director &amp; Investment Officer</t>
        </is>
      </c>
      <c r="AA734" t="inlineStr">
        <is>
          <t>Investments</t>
        </is>
      </c>
      <c r="AB734" s="50" t="inlineStr"/>
      <c r="AC734" s="43">
        <f>HYPERLINK("https://projects.propublica.org/nonprofits/organizations/371758406/202323149349100022/full","view filing")</f>
        <v/>
      </c>
      <c r="AD734" s="50" t="inlineStr"/>
    </row>
    <row r="735">
      <c r="A735" t="inlineStr">
        <is>
          <t>Margaret A Cargill Foundation</t>
        </is>
      </c>
      <c r="B735" s="50" t="inlineStr">
        <is>
          <t>MN</t>
        </is>
      </c>
      <c r="C735" s="52" t="n">
        <v>3.05</v>
      </c>
      <c r="D735" t="inlineStr">
        <is>
          <t>Foundation</t>
        </is>
      </c>
      <c r="E735" s="50" t="n">
        <v>2022</v>
      </c>
      <c r="F735" s="50" t="inlineStr">
        <is>
          <t>2023-11-10</t>
        </is>
      </c>
      <c r="G735" s="50" t="inlineStr">
        <is>
          <t>2022-12-31</t>
        </is>
      </c>
      <c r="H735" t="inlineStr">
        <is>
          <t>Matthew Minnis</t>
        </is>
      </c>
      <c r="I735" t="inlineStr">
        <is>
          <t>INVESTMENT DIRECTOR</t>
        </is>
      </c>
      <c r="J735" t="inlineStr">
        <is>
          <t>Director of Investments</t>
        </is>
      </c>
      <c r="K735" t="inlineStr">
        <is>
          <t>Sr Investment Professional</t>
        </is>
      </c>
      <c r="L735" s="28" t="n">
        <v>0</v>
      </c>
      <c r="M735" s="28" t="n">
        <v>0</v>
      </c>
      <c r="N735" s="28" t="n">
        <v>0</v>
      </c>
      <c r="O735" s="28" t="n">
        <v>0</v>
      </c>
      <c r="P735" s="28" t="n">
        <v>0</v>
      </c>
      <c r="Q735" s="28" t="n">
        <v>750908</v>
      </c>
      <c r="R735" s="28" t="n">
        <v>0</v>
      </c>
      <c r="S735" s="28">
        <f>Q735-R735</f>
        <v/>
      </c>
      <c r="T735" s="28">
        <f>IF(S735="","",S735*(1+in_GrowthRate)^(YEARFRAC(DATE(2022,12,31),in_AgeToDate)*IF(in_AgeToDate&lt;DATE(2022,12,31),-1,1)+1))</f>
        <v/>
      </c>
      <c r="U735" s="50">
        <f>IF(AND(AND(OR(in_Mode="All Funds",AND(C735&gt;=in_BandFloor,C735&lt;=in_BandCeiling,OR(in_Geography="National",COUNTIFS(lst_GeoPreset,in_Geography,lst_GeoState,B735)&gt;0,AND(in_Geography="Custom",ISNUMBER(SEARCH(B735,SUBSTITUTE(in_CustomStates," ",""))))),OR(AND(D735="Endowment",Inputs!$B$14="Y"),AND(D735="Foundation",Inputs!$B$15="Y"),AND(D735="Healthcare",Inputs!$B$16="Y"),AND(D735="Pension",Inputs!$B$17="Y"),AND(D735="OCIO",Inputs!$B$18="Y"),AND(D735="Other",Inputs!$B$19="Y")))),A735&lt;&gt;in_ClientOrg,NOT(AND(in_ExclHarvard="Y",ISNUMBER(SEARCH("Harvard",A735))))),$AD735="Y",K735&lt;&gt;"",S735&gt;0),"Y","")</f>
        <v/>
      </c>
      <c r="V735" s="30" t="n">
        <v>0.3876994883391934</v>
      </c>
      <c r="W735" t="inlineStr"/>
      <c r="X735" s="28">
        <f>IF(L735+M735=0,"",L735+M735)</f>
        <v/>
      </c>
      <c r="Y735" s="38">
        <f>IF(L735=0,"",M735/L735)</f>
        <v/>
      </c>
      <c r="Z735" t="inlineStr">
        <is>
          <t>Director &amp; Investment Officer</t>
        </is>
      </c>
      <c r="AA735" t="inlineStr">
        <is>
          <t>Investments</t>
        </is>
      </c>
      <c r="AB735" s="50" t="inlineStr"/>
      <c r="AC735" s="43">
        <f>HYPERLINK("https://projects.propublica.org/nonprofits/organizations/371758406/202323149349100022/full","view filing")</f>
        <v/>
      </c>
      <c r="AD735" s="50" t="inlineStr"/>
    </row>
    <row r="736">
      <c r="A736" t="inlineStr">
        <is>
          <t>Margaret A Cargill Foundation</t>
        </is>
      </c>
      <c r="B736" s="50" t="inlineStr">
        <is>
          <t>MN</t>
        </is>
      </c>
      <c r="C736" s="52" t="n">
        <v>3.05</v>
      </c>
      <c r="D736" t="inlineStr">
        <is>
          <t>Foundation</t>
        </is>
      </c>
      <c r="E736" s="50" t="n">
        <v>2022</v>
      </c>
      <c r="F736" s="50" t="inlineStr">
        <is>
          <t>2023-11-10</t>
        </is>
      </c>
      <c r="G736" s="50" t="inlineStr">
        <is>
          <t>2022-12-31</t>
        </is>
      </c>
      <c r="H736" t="inlineStr">
        <is>
          <t>Michael Ruetz</t>
        </is>
      </c>
      <c r="I736" t="inlineStr">
        <is>
          <t>INVESTMENT DIRECTOR/</t>
        </is>
      </c>
      <c r="J736" t="inlineStr">
        <is>
          <t>Director of Investments</t>
        </is>
      </c>
      <c r="K736" t="inlineStr">
        <is>
          <t>Sr Investment Professional</t>
        </is>
      </c>
      <c r="L736" s="28" t="n">
        <v>0</v>
      </c>
      <c r="M736" s="28" t="n">
        <v>0</v>
      </c>
      <c r="N736" s="28" t="n">
        <v>0</v>
      </c>
      <c r="O736" s="28" t="n">
        <v>0</v>
      </c>
      <c r="P736" s="28" t="n">
        <v>0</v>
      </c>
      <c r="Q736" s="28" t="n">
        <v>952253</v>
      </c>
      <c r="R736" s="28" t="n">
        <v>0</v>
      </c>
      <c r="S736" s="28">
        <f>Q736-R736</f>
        <v/>
      </c>
      <c r="T736" s="28">
        <f>IF(S736="","",S736*(1+in_GrowthRate)^(YEARFRAC(DATE(2022,12,31),in_AgeToDate)*IF(in_AgeToDate&lt;DATE(2022,12,31),-1,1)+1))</f>
        <v/>
      </c>
      <c r="U736" s="50">
        <f>IF(AND(AND(OR(in_Mode="All Funds",AND(C736&gt;=in_BandFloor,C736&lt;=in_BandCeiling,OR(in_Geography="National",COUNTIFS(lst_GeoPreset,in_Geography,lst_GeoState,B736)&gt;0,AND(in_Geography="Custom",ISNUMBER(SEARCH(B736,SUBSTITUTE(in_CustomStates," ",""))))),OR(AND(D736="Endowment",Inputs!$B$14="Y"),AND(D736="Foundation",Inputs!$B$15="Y"),AND(D736="Healthcare",Inputs!$B$16="Y"),AND(D736="Pension",Inputs!$B$17="Y"),AND(D736="OCIO",Inputs!$B$18="Y"),AND(D736="Other",Inputs!$B$19="Y")))),A736&lt;&gt;in_ClientOrg,NOT(AND(in_ExclHarvard="Y",ISNUMBER(SEARCH("Harvard",A736))))),$AD736="Y",K736&lt;&gt;"",S736&gt;0),"Y","")</f>
        <v/>
      </c>
      <c r="V736" s="30" t="n">
        <v>0.4916554369769159</v>
      </c>
      <c r="W736" t="inlineStr"/>
      <c r="X736" s="28">
        <f>IF(L736+M736=0,"",L736+M736)</f>
        <v/>
      </c>
      <c r="Y736" s="38">
        <f>IF(L736=0,"",M736/L736)</f>
        <v/>
      </c>
      <c r="Z736" t="inlineStr">
        <is>
          <t>Director &amp; Investment Officer</t>
        </is>
      </c>
      <c r="AA736" t="inlineStr">
        <is>
          <t>Investments</t>
        </is>
      </c>
      <c r="AB736" s="50" t="inlineStr"/>
      <c r="AC736" s="43">
        <f>HYPERLINK("https://projects.propublica.org/nonprofits/organizations/371758406/202323149349100022/full","view filing")</f>
        <v/>
      </c>
      <c r="AD736" s="50" t="inlineStr"/>
    </row>
    <row r="737">
      <c r="A737" t="inlineStr">
        <is>
          <t>Margaret A Cargill Foundation</t>
        </is>
      </c>
      <c r="B737" s="50" t="inlineStr">
        <is>
          <t>MN</t>
        </is>
      </c>
      <c r="C737" s="52" t="n">
        <v>3.05</v>
      </c>
      <c r="D737" t="inlineStr">
        <is>
          <t>Foundation</t>
        </is>
      </c>
      <c r="E737" s="50" t="n">
        <v>2022</v>
      </c>
      <c r="F737" s="50" t="inlineStr">
        <is>
          <t>2023-11-10</t>
        </is>
      </c>
      <c r="G737" s="50" t="inlineStr">
        <is>
          <t>2022-12-31</t>
        </is>
      </c>
      <c r="H737" t="inlineStr">
        <is>
          <t>Rodney Overcash</t>
        </is>
      </c>
      <c r="I737" t="inlineStr">
        <is>
          <t>INVESTMENT DIRECTOR</t>
        </is>
      </c>
      <c r="J737" t="inlineStr">
        <is>
          <t>Director of Investments</t>
        </is>
      </c>
      <c r="K737" t="inlineStr">
        <is>
          <t>Sr Investment Professional</t>
        </is>
      </c>
      <c r="L737" s="28" t="n">
        <v>0</v>
      </c>
      <c r="M737" s="28" t="n">
        <v>0</v>
      </c>
      <c r="N737" s="28" t="n">
        <v>0</v>
      </c>
      <c r="O737" s="28" t="n">
        <v>0</v>
      </c>
      <c r="P737" s="28" t="n">
        <v>0</v>
      </c>
      <c r="Q737" s="28" t="n">
        <v>789545</v>
      </c>
      <c r="R737" s="28" t="n">
        <v>0</v>
      </c>
      <c r="S737" s="28">
        <f>Q737-R737</f>
        <v/>
      </c>
      <c r="T737" s="28">
        <f>IF(S737="","",S737*(1+in_GrowthRate)^(YEARFRAC(DATE(2022,12,31),in_AgeToDate)*IF(in_AgeToDate&lt;DATE(2022,12,31),-1,1)+1))</f>
        <v/>
      </c>
      <c r="U737" s="50">
        <f>IF(AND(AND(OR(in_Mode="All Funds",AND(C737&gt;=in_BandFloor,C737&lt;=in_BandCeiling,OR(in_Geography="National",COUNTIFS(lst_GeoPreset,in_Geography,lst_GeoState,B737)&gt;0,AND(in_Geography="Custom",ISNUMBER(SEARCH(B737,SUBSTITUTE(in_CustomStates," ",""))))),OR(AND(D737="Endowment",Inputs!$B$14="Y"),AND(D737="Foundation",Inputs!$B$15="Y"),AND(D737="Healthcare",Inputs!$B$16="Y"),AND(D737="Pension",Inputs!$B$17="Y"),AND(D737="OCIO",Inputs!$B$18="Y"),AND(D737="Other",Inputs!$B$19="Y")))),A737&lt;&gt;in_ClientOrg,NOT(AND(in_ExclHarvard="Y",ISNUMBER(SEARCH("Harvard",A737))))),$AD737="Y",K737&lt;&gt;"",S737&gt;0),"Y","")</f>
        <v/>
      </c>
      <c r="V737" s="30" t="n">
        <v>0.4076480641047485</v>
      </c>
      <c r="W737" t="inlineStr"/>
      <c r="X737" s="28">
        <f>IF(L737+M737=0,"",L737+M737)</f>
        <v/>
      </c>
      <c r="Y737" s="38">
        <f>IF(L737=0,"",M737/L737)</f>
        <v/>
      </c>
      <c r="Z737" t="inlineStr">
        <is>
          <t>Director &amp; Investment Officer</t>
        </is>
      </c>
      <c r="AA737" t="inlineStr">
        <is>
          <t>Investments</t>
        </is>
      </c>
      <c r="AB737" s="50" t="inlineStr"/>
      <c r="AC737" s="43">
        <f>HYPERLINK("https://projects.propublica.org/nonprofits/organizations/371758406/202323149349100022/full","view filing")</f>
        <v/>
      </c>
      <c r="AD737" s="50" t="inlineStr"/>
    </row>
    <row r="738">
      <c r="A738" t="inlineStr">
        <is>
          <t>Margaret A Cargill Foundation</t>
        </is>
      </c>
      <c r="B738" s="50" t="inlineStr">
        <is>
          <t>MN</t>
        </is>
      </c>
      <c r="C738" s="52" t="n">
        <v>3.05</v>
      </c>
      <c r="D738" t="inlineStr">
        <is>
          <t>Foundation</t>
        </is>
      </c>
      <c r="E738" s="50" t="n">
        <v>2022</v>
      </c>
      <c r="F738" s="50" t="inlineStr">
        <is>
          <t>2023-11-10</t>
        </is>
      </c>
      <c r="G738" s="50" t="inlineStr">
        <is>
          <t>2022-12-31</t>
        </is>
      </c>
      <c r="H738" t="inlineStr">
        <is>
          <t>Shawn Wischmeier</t>
        </is>
      </c>
      <c r="I738" t="inlineStr">
        <is>
          <t>CHIEF INVESTMENT OFFICER</t>
        </is>
      </c>
      <c r="J738" t="inlineStr">
        <is>
          <t>CIO</t>
        </is>
      </c>
      <c r="K738" t="inlineStr">
        <is>
          <t>CIO - Top Investment Executive</t>
        </is>
      </c>
      <c r="L738" s="28" t="n">
        <v>0</v>
      </c>
      <c r="M738" s="28" t="n">
        <v>0</v>
      </c>
      <c r="N738" s="28" t="n">
        <v>0</v>
      </c>
      <c r="O738" s="28" t="n">
        <v>0</v>
      </c>
      <c r="P738" s="28" t="n">
        <v>234508</v>
      </c>
      <c r="Q738" s="28" t="n">
        <v>1936830</v>
      </c>
      <c r="R738" s="28" t="n">
        <v>0</v>
      </c>
      <c r="S738" s="28">
        <f>Q738-R738</f>
        <v/>
      </c>
      <c r="T738" s="28">
        <f>IF(S738="","",S738*(1+in_GrowthRate)^(YEARFRAC(DATE(2022,12,31),in_AgeToDate)*IF(in_AgeToDate&lt;DATE(2022,12,31),-1,1)+1))</f>
        <v/>
      </c>
      <c r="U738" s="50">
        <f>IF(AND(AND(OR(in_Mode="All Funds",AND(C738&gt;=in_BandFloor,C738&lt;=in_BandCeiling,OR(in_Geography="National",COUNTIFS(lst_GeoPreset,in_Geography,lst_GeoState,B738)&gt;0,AND(in_Geography="Custom",ISNUMBER(SEARCH(B738,SUBSTITUTE(in_CustomStates," ",""))))),OR(AND(D738="Endowment",Inputs!$B$14="Y"),AND(D738="Foundation",Inputs!$B$15="Y"),AND(D738="Healthcare",Inputs!$B$16="Y"),AND(D738="Pension",Inputs!$B$17="Y"),AND(D738="OCIO",Inputs!$B$18="Y"),AND(D738="Other",Inputs!$B$19="Y")))),A738&lt;&gt;in_ClientOrg,NOT(AND(in_ExclHarvard="Y",ISNUMBER(SEARCH("Harvard",A738))))),$AD738="Y",K738&lt;&gt;"",S738&gt;0),"Y","")</f>
        <v/>
      </c>
      <c r="V738" s="30" t="n">
        <v>1</v>
      </c>
      <c r="W738" t="inlineStr"/>
      <c r="X738" s="28">
        <f>IF(L738+M738=0,"",L738+M738)</f>
        <v/>
      </c>
      <c r="Y738" s="38">
        <f>IF(L738=0,"",M738/L738)</f>
        <v/>
      </c>
      <c r="Z738" t="inlineStr">
        <is>
          <t>CIO - Top Investment Executive</t>
        </is>
      </c>
      <c r="AA738" t="inlineStr">
        <is>
          <t>Leadership</t>
        </is>
      </c>
      <c r="AB738" s="50" t="inlineStr">
        <is>
          <t>Y</t>
        </is>
      </c>
      <c r="AC738" s="43">
        <f>HYPERLINK("https://projects.propublica.org/nonprofits/organizations/371758406/202323149349100022/full","view filing")</f>
        <v/>
      </c>
      <c r="AD738" s="50" t="inlineStr"/>
    </row>
    <row r="739">
      <c r="A739" t="inlineStr">
        <is>
          <t>Margaret A Cargill Foundation</t>
        </is>
      </c>
      <c r="B739" s="50" t="inlineStr">
        <is>
          <t>MN</t>
        </is>
      </c>
      <c r="C739" s="52" t="n">
        <v>3.05</v>
      </c>
      <c r="D739" t="inlineStr">
        <is>
          <t>Foundation</t>
        </is>
      </c>
      <c r="E739" s="50" t="n">
        <v>2022</v>
      </c>
      <c r="F739" s="50" t="inlineStr">
        <is>
          <t>2023-11-10</t>
        </is>
      </c>
      <c r="G739" s="50" t="inlineStr">
        <is>
          <t>2022-12-31</t>
        </is>
      </c>
      <c r="H739" t="inlineStr">
        <is>
          <t>Tricia Scrivner</t>
        </is>
      </c>
      <c r="I739" t="inlineStr">
        <is>
          <t>INVESTMENT DIRECTOR</t>
        </is>
      </c>
      <c r="J739" t="inlineStr">
        <is>
          <t>Director of Investments</t>
        </is>
      </c>
      <c r="K739" t="inlineStr">
        <is>
          <t>Sr Investment Professional</t>
        </is>
      </c>
      <c r="L739" s="28" t="n">
        <v>0</v>
      </c>
      <c r="M739" s="28" t="n">
        <v>0</v>
      </c>
      <c r="N739" s="28" t="n">
        <v>0</v>
      </c>
      <c r="O739" s="28" t="n">
        <v>0</v>
      </c>
      <c r="P739" s="28" t="n">
        <v>0</v>
      </c>
      <c r="Q739" s="28" t="n">
        <v>770803</v>
      </c>
      <c r="R739" s="28" t="n">
        <v>0</v>
      </c>
      <c r="S739" s="28">
        <f>Q739-R739</f>
        <v/>
      </c>
      <c r="T739" s="28">
        <f>IF(S739="","",S739*(1+in_GrowthRate)^(YEARFRAC(DATE(2022,12,31),in_AgeToDate)*IF(in_AgeToDate&lt;DATE(2022,12,31),-1,1)+1))</f>
        <v/>
      </c>
      <c r="U739" s="50">
        <f>IF(AND(AND(OR(in_Mode="All Funds",AND(C739&gt;=in_BandFloor,C739&lt;=in_BandCeiling,OR(in_Geography="National",COUNTIFS(lst_GeoPreset,in_Geography,lst_GeoState,B739)&gt;0,AND(in_Geography="Custom",ISNUMBER(SEARCH(B739,SUBSTITUTE(in_CustomStates," ",""))))),OR(AND(D739="Endowment",Inputs!$B$14="Y"),AND(D739="Foundation",Inputs!$B$15="Y"),AND(D739="Healthcare",Inputs!$B$16="Y"),AND(D739="Pension",Inputs!$B$17="Y"),AND(D739="OCIO",Inputs!$B$18="Y"),AND(D739="Other",Inputs!$B$19="Y")))),A739&lt;&gt;in_ClientOrg,NOT(AND(in_ExclHarvard="Y",ISNUMBER(SEARCH("Harvard",A739))))),$AD739="Y",K739&lt;&gt;"",S739&gt;0),"Y","")</f>
        <v/>
      </c>
      <c r="V739" s="30" t="n">
        <v>0.3979714275388134</v>
      </c>
      <c r="W739" t="inlineStr"/>
      <c r="X739" s="28">
        <f>IF(L739+M739=0,"",L739+M739)</f>
        <v/>
      </c>
      <c r="Y739" s="38">
        <f>IF(L739=0,"",M739/L739)</f>
        <v/>
      </c>
      <c r="Z739" t="inlineStr">
        <is>
          <t>Director &amp; Investment Officer</t>
        </is>
      </c>
      <c r="AA739" t="inlineStr">
        <is>
          <t>Investments</t>
        </is>
      </c>
      <c r="AB739" s="50" t="inlineStr"/>
      <c r="AC739" s="43">
        <f>HYPERLINK("https://projects.propublica.org/nonprofits/organizations/371758406/202323149349100022/full","view filing")</f>
        <v/>
      </c>
      <c r="AD739" s="50" t="inlineStr"/>
    </row>
    <row r="740">
      <c r="A740" t="inlineStr">
        <is>
          <t>Marguerite Casey Foundation</t>
        </is>
      </c>
      <c r="B740" s="50" t="inlineStr">
        <is>
          <t>WA</t>
        </is>
      </c>
      <c r="C740" s="52" t="n">
        <v>0.83</v>
      </c>
      <c r="D740" t="inlineStr">
        <is>
          <t>Foundation</t>
        </is>
      </c>
      <c r="E740" s="50" t="n">
        <v>2024</v>
      </c>
      <c r="F740" s="50" t="inlineStr">
        <is>
          <t>2025-11-14</t>
        </is>
      </c>
      <c r="G740" s="50" t="inlineStr">
        <is>
          <t>2024-12-31</t>
        </is>
      </c>
      <c r="H740" t="inlineStr">
        <is>
          <t>Daniel Gould</t>
        </is>
      </c>
      <c r="I740" t="inlineStr">
        <is>
          <t>VP OF INVESTMENTS &amp; OPERATIONS</t>
        </is>
      </c>
      <c r="J740" t="inlineStr">
        <is>
          <t>Director of Investments</t>
        </is>
      </c>
      <c r="K740" t="inlineStr">
        <is>
          <t>COO (Investment Office)</t>
        </is>
      </c>
      <c r="L740" s="28" t="n">
        <v>0</v>
      </c>
      <c r="M740" s="28" t="n">
        <v>0</v>
      </c>
      <c r="N740" s="28" t="n">
        <v>0</v>
      </c>
      <c r="O740" s="28" t="n">
        <v>0</v>
      </c>
      <c r="P740" s="28" t="n">
        <v>81059</v>
      </c>
      <c r="Q740" s="28" t="n">
        <v>567938</v>
      </c>
      <c r="R740" s="28" t="n">
        <v>0</v>
      </c>
      <c r="S740" s="28">
        <f>Q740-R740</f>
        <v/>
      </c>
      <c r="T740" s="28">
        <f>IF(S740="","",S740*(1+in_GrowthRate)^(YEARFRAC(DATE(2024,12,31),in_AgeToDate)*IF(in_AgeToDate&lt;DATE(2024,12,31),-1,1)+1))</f>
        <v/>
      </c>
      <c r="U740" s="50">
        <f>IF(AND(AND(OR(in_Mode="All Funds",AND(C740&gt;=in_BandFloor,C740&lt;=in_BandCeiling,OR(in_Geography="National",COUNTIFS(lst_GeoPreset,in_Geography,lst_GeoState,B740)&gt;0,AND(in_Geography="Custom",ISNUMBER(SEARCH(B740,SUBSTITUTE(in_CustomStates," ",""))))),OR(AND(D740="Endowment",Inputs!$B$14="Y"),AND(D740="Foundation",Inputs!$B$15="Y"),AND(D740="Healthcare",Inputs!$B$16="Y"),AND(D740="Pension",Inputs!$B$17="Y"),AND(D740="OCIO",Inputs!$B$18="Y"),AND(D740="Other",Inputs!$B$19="Y")))),A740&lt;&gt;in_ClientOrg,NOT(AND(in_ExclHarvard="Y",ISNUMBER(SEARCH("Harvard",A740))))),$AD740="Y",K740&lt;&gt;"",S740&gt;0),"Y","")</f>
        <v/>
      </c>
      <c r="V740" s="30" t="n"/>
      <c r="W740" t="inlineStr"/>
      <c r="X740" s="28">
        <f>IF(L740+M740=0,"",L740+M740)</f>
        <v/>
      </c>
      <c r="Y740" s="38">
        <f>IF(L740=0,"",M740/L740)</f>
        <v/>
      </c>
      <c r="Z740" t="inlineStr">
        <is>
          <t>COO (Investment Office)</t>
        </is>
      </c>
      <c r="AA740" t="inlineStr">
        <is>
          <t>Operations &amp; Control</t>
        </is>
      </c>
      <c r="AB740" s="50" t="inlineStr"/>
      <c r="AC740" s="43">
        <f>HYPERLINK("https://projects.propublica.org/nonprofits/organizations/912062197/202513189349105326/full","view filing")</f>
        <v/>
      </c>
      <c r="AD740" s="50" t="inlineStr">
        <is>
          <t>Y</t>
        </is>
      </c>
    </row>
    <row r="741">
      <c r="A741" t="inlineStr">
        <is>
          <t>Marguerite Casey Foundation</t>
        </is>
      </c>
      <c r="B741" s="50" t="inlineStr">
        <is>
          <t>WA</t>
        </is>
      </c>
      <c r="C741" s="52" t="n">
        <v>0.83</v>
      </c>
      <c r="D741" t="inlineStr">
        <is>
          <t>Foundation</t>
        </is>
      </c>
      <c r="E741" s="50" t="n">
        <v>2023</v>
      </c>
      <c r="F741" s="50" t="inlineStr">
        <is>
          <t>2024-11-14</t>
        </is>
      </c>
      <c r="G741" s="50" t="inlineStr">
        <is>
          <t>2023-12-31</t>
        </is>
      </c>
      <c r="H741" t="inlineStr">
        <is>
          <t>Daniel Gould</t>
        </is>
      </c>
      <c r="I741" t="inlineStr">
        <is>
          <t>VP OF INVESTMENTS &amp; OPERATIONS</t>
        </is>
      </c>
      <c r="J741" t="inlineStr">
        <is>
          <t>Director of Investments</t>
        </is>
      </c>
      <c r="K741" t="inlineStr">
        <is>
          <t>COO (Investment Office)</t>
        </is>
      </c>
      <c r="L741" s="28" t="n">
        <v>0</v>
      </c>
      <c r="M741" s="28" t="n">
        <v>0</v>
      </c>
      <c r="N741" s="28" t="n">
        <v>0</v>
      </c>
      <c r="O741" s="28" t="n">
        <v>0</v>
      </c>
      <c r="P741" s="28" t="n">
        <v>65015</v>
      </c>
      <c r="Q741" s="28" t="n">
        <v>451639</v>
      </c>
      <c r="R741" s="28" t="n">
        <v>0</v>
      </c>
      <c r="S741" s="28">
        <f>Q741-R741</f>
        <v/>
      </c>
      <c r="T741" s="28">
        <f>IF(S741="","",S741*(1+in_GrowthRate)^(YEARFRAC(DATE(2023,12,31),in_AgeToDate)*IF(in_AgeToDate&lt;DATE(2023,12,31),-1,1)+1))</f>
        <v/>
      </c>
      <c r="U741" s="50">
        <f>IF(AND(AND(OR(in_Mode="All Funds",AND(C741&gt;=in_BandFloor,C741&lt;=in_BandCeiling,OR(in_Geography="National",COUNTIFS(lst_GeoPreset,in_Geography,lst_GeoState,B741)&gt;0,AND(in_Geography="Custom",ISNUMBER(SEARCH(B741,SUBSTITUTE(in_CustomStates," ",""))))),OR(AND(D741="Endowment",Inputs!$B$14="Y"),AND(D741="Foundation",Inputs!$B$15="Y"),AND(D741="Healthcare",Inputs!$B$16="Y"),AND(D741="Pension",Inputs!$B$17="Y"),AND(D741="OCIO",Inputs!$B$18="Y"),AND(D741="Other",Inputs!$B$19="Y")))),A741&lt;&gt;in_ClientOrg,NOT(AND(in_ExclHarvard="Y",ISNUMBER(SEARCH("Harvard",A741))))),$AD741="Y",K741&lt;&gt;"",S741&gt;0),"Y","")</f>
        <v/>
      </c>
      <c r="V741" s="30" t="n"/>
      <c r="W741" t="inlineStr"/>
      <c r="X741" s="28">
        <f>IF(L741+M741=0,"",L741+M741)</f>
        <v/>
      </c>
      <c r="Y741" s="38">
        <f>IF(L741=0,"",M741/L741)</f>
        <v/>
      </c>
      <c r="Z741" t="inlineStr">
        <is>
          <t>COO (Investment Office)</t>
        </is>
      </c>
      <c r="AA741" t="inlineStr">
        <is>
          <t>Operations &amp; Control</t>
        </is>
      </c>
      <c r="AB741" s="50" t="inlineStr"/>
      <c r="AC741" s="43">
        <f>HYPERLINK("https://projects.propublica.org/nonprofits/organizations/912062197/202423209349100302/full","view filing")</f>
        <v/>
      </c>
      <c r="AD741" s="50" t="inlineStr"/>
    </row>
    <row r="742">
      <c r="A742" t="inlineStr">
        <is>
          <t>Marguerite Casey Foundation</t>
        </is>
      </c>
      <c r="B742" s="50" t="inlineStr">
        <is>
          <t>WA</t>
        </is>
      </c>
      <c r="C742" s="52" t="n">
        <v>0.83</v>
      </c>
      <c r="D742" t="inlineStr">
        <is>
          <t>Foundation</t>
        </is>
      </c>
      <c r="E742" s="50" t="n">
        <v>2022</v>
      </c>
      <c r="F742" s="50" t="inlineStr">
        <is>
          <t>2023-11-14</t>
        </is>
      </c>
      <c r="G742" s="50" t="inlineStr">
        <is>
          <t>2022-12-31</t>
        </is>
      </c>
      <c r="H742" t="inlineStr">
        <is>
          <t>Dan Gould</t>
        </is>
      </c>
      <c r="I742" t="inlineStr">
        <is>
          <t>VP OF INVESTMENT/FINANCE</t>
        </is>
      </c>
      <c r="J742" t="inlineStr">
        <is>
          <t>Director of Investments</t>
        </is>
      </c>
      <c r="K742" t="inlineStr">
        <is>
          <t>Sr Investment Professional</t>
        </is>
      </c>
      <c r="L742" s="28" t="n">
        <v>0</v>
      </c>
      <c r="M742" s="28" t="n">
        <v>0</v>
      </c>
      <c r="N742" s="28" t="n">
        <v>0</v>
      </c>
      <c r="O742" s="28" t="n">
        <v>0</v>
      </c>
      <c r="P742" s="28" t="n">
        <v>65229</v>
      </c>
      <c r="Q742" s="28" t="n">
        <v>383499</v>
      </c>
      <c r="R742" s="28" t="n">
        <v>0</v>
      </c>
      <c r="S742" s="28">
        <f>Q742-R742</f>
        <v/>
      </c>
      <c r="T742" s="28">
        <f>IF(S742="","",S742*(1+in_GrowthRate)^(YEARFRAC(DATE(2022,12,31),in_AgeToDate)*IF(in_AgeToDate&lt;DATE(2022,12,31),-1,1)+1))</f>
        <v/>
      </c>
      <c r="U742" s="50">
        <f>IF(AND(AND(OR(in_Mode="All Funds",AND(C742&gt;=in_BandFloor,C742&lt;=in_BandCeiling,OR(in_Geography="National",COUNTIFS(lst_GeoPreset,in_Geography,lst_GeoState,B742)&gt;0,AND(in_Geography="Custom",ISNUMBER(SEARCH(B742,SUBSTITUTE(in_CustomStates," ",""))))),OR(AND(D742="Endowment",Inputs!$B$14="Y"),AND(D742="Foundation",Inputs!$B$15="Y"),AND(D742="Healthcare",Inputs!$B$16="Y"),AND(D742="Pension",Inputs!$B$17="Y"),AND(D742="OCIO",Inputs!$B$18="Y"),AND(D742="Other",Inputs!$B$19="Y")))),A742&lt;&gt;in_ClientOrg,NOT(AND(in_ExclHarvard="Y",ISNUMBER(SEARCH("Harvard",A742))))),$AD742="Y",K742&lt;&gt;"",S742&gt;0),"Y","")</f>
        <v/>
      </c>
      <c r="V742" s="30" t="n"/>
      <c r="W742" t="inlineStr"/>
      <c r="X742" s="28">
        <f>IF(L742+M742=0,"",L742+M742)</f>
        <v/>
      </c>
      <c r="Y742" s="38">
        <f>IF(L742=0,"",M742/L742)</f>
        <v/>
      </c>
      <c r="Z742" t="inlineStr">
        <is>
          <t>Director &amp; Investment Officer</t>
        </is>
      </c>
      <c r="AA742" t="inlineStr">
        <is>
          <t>Investments</t>
        </is>
      </c>
      <c r="AB742" s="50" t="inlineStr"/>
      <c r="AC742" s="43">
        <f>HYPERLINK("https://projects.propublica.org/nonprofits/organizations/912062197/202333189349106243/full","view filing")</f>
        <v/>
      </c>
      <c r="AD742" s="50" t="inlineStr"/>
    </row>
    <row r="743">
      <c r="A743" t="inlineStr">
        <is>
          <t>Marguerite Casey Foundation</t>
        </is>
      </c>
      <c r="B743" s="50" t="inlineStr">
        <is>
          <t>WA</t>
        </is>
      </c>
      <c r="C743" s="52" t="n">
        <v>0.83</v>
      </c>
      <c r="D743" t="inlineStr">
        <is>
          <t>Foundation</t>
        </is>
      </c>
      <c r="E743" s="50" t="n">
        <v>2022</v>
      </c>
      <c r="F743" s="50" t="inlineStr">
        <is>
          <t>2023-11-14</t>
        </is>
      </c>
      <c r="G743" s="50" t="inlineStr">
        <is>
          <t>2022-12-31</t>
        </is>
      </c>
      <c r="H743" t="inlineStr">
        <is>
          <t>Richard Boswell</t>
        </is>
      </c>
      <c r="I743" t="inlineStr">
        <is>
          <t>OPERATIONS MANAGER</t>
        </is>
      </c>
      <c r="J743" t="inlineStr">
        <is>
          <t>Investment Operations (Inv Entity)</t>
        </is>
      </c>
      <c r="K743" t="inlineStr">
        <is>
          <t>Other disclosed professionals</t>
        </is>
      </c>
      <c r="L743" s="28" t="n">
        <v>0</v>
      </c>
      <c r="M743" s="28" t="n">
        <v>0</v>
      </c>
      <c r="N743" s="28" t="n">
        <v>0</v>
      </c>
      <c r="O743" s="28" t="n">
        <v>0</v>
      </c>
      <c r="P743" s="28" t="n">
        <v>0</v>
      </c>
      <c r="Q743" s="28" t="n">
        <v>214102</v>
      </c>
      <c r="R743" s="28" t="n">
        <v>0</v>
      </c>
      <c r="S743" s="28">
        <f>Q743-R743</f>
        <v/>
      </c>
      <c r="T743" s="28">
        <f>IF(S743="","",S743*(1+in_GrowthRate)^(YEARFRAC(DATE(2022,12,31),in_AgeToDate)*IF(in_AgeToDate&lt;DATE(2022,12,31),-1,1)+1))</f>
        <v/>
      </c>
      <c r="U743" s="50">
        <f>IF(AND(AND(OR(in_Mode="All Funds",AND(C743&gt;=in_BandFloor,C743&lt;=in_BandCeiling,OR(in_Geography="National",COUNTIFS(lst_GeoPreset,in_Geography,lst_GeoState,B743)&gt;0,AND(in_Geography="Custom",ISNUMBER(SEARCH(B743,SUBSTITUTE(in_CustomStates," ",""))))),OR(AND(D743="Endowment",Inputs!$B$14="Y"),AND(D743="Foundation",Inputs!$B$15="Y"),AND(D743="Healthcare",Inputs!$B$16="Y"),AND(D743="Pension",Inputs!$B$17="Y"),AND(D743="OCIO",Inputs!$B$18="Y"),AND(D743="Other",Inputs!$B$19="Y")))),A743&lt;&gt;in_ClientOrg,NOT(AND(in_ExclHarvard="Y",ISNUMBER(SEARCH("Harvard",A743))))),$AD743="Y",K743&lt;&gt;"",S743&gt;0),"Y","")</f>
        <v/>
      </c>
      <c r="V743" s="30" t="n"/>
      <c r="W743" t="inlineStr">
        <is>
          <t>Other disclosed professionals</t>
        </is>
      </c>
      <c r="X743" s="28">
        <f>IF(L743+M743=0,"",L743+M743)</f>
        <v/>
      </c>
      <c r="Y743" s="38">
        <f>IF(L743=0,"",M743/L743)</f>
        <v/>
      </c>
      <c r="Z743" t="inlineStr">
        <is>
          <t>Other disclosed professionals</t>
        </is>
      </c>
      <c r="AA743" t="inlineStr">
        <is>
          <t>Operations &amp; Control</t>
        </is>
      </c>
      <c r="AB743" s="50" t="inlineStr"/>
      <c r="AC743" s="43">
        <f>HYPERLINK("https://projects.propublica.org/nonprofits/organizations/912062197/202333189349106243/full","view filing")</f>
        <v/>
      </c>
      <c r="AD743" s="50" t="inlineStr"/>
    </row>
    <row r="744">
      <c r="A744" t="inlineStr">
        <is>
          <t>Marquette University</t>
        </is>
      </c>
      <c r="B744" s="50" t="inlineStr">
        <is>
          <t>WI</t>
        </is>
      </c>
      <c r="C744" s="52" t="n">
        <v>1.13</v>
      </c>
      <c r="D744" t="inlineStr">
        <is>
          <t>Endowment</t>
        </is>
      </c>
      <c r="E744" s="50" t="n">
        <v>2025</v>
      </c>
      <c r="F744" s="50" t="inlineStr">
        <is>
          <t>2026-05-14</t>
        </is>
      </c>
      <c r="G744" s="50" t="inlineStr">
        <is>
          <t>2025-06-30</t>
        </is>
      </c>
      <c r="H744" t="inlineStr">
        <is>
          <t>Mr Sean Gissal</t>
        </is>
      </c>
      <c r="I744" t="inlineStr">
        <is>
          <t>Chief Investment Officer</t>
        </is>
      </c>
      <c r="J744" t="inlineStr">
        <is>
          <t>CIO</t>
        </is>
      </c>
      <c r="K744" t="inlineStr">
        <is>
          <t>CIO - Top Investment Executive</t>
        </is>
      </c>
      <c r="L744" s="28" t="n">
        <v>353185</v>
      </c>
      <c r="M744" s="28" t="n">
        <v>0</v>
      </c>
      <c r="N744" s="28" t="n">
        <v>0</v>
      </c>
      <c r="O744" s="28" t="n">
        <v>27600</v>
      </c>
      <c r="P744" s="28" t="n">
        <v>93786</v>
      </c>
      <c r="Q744" s="28" t="n">
        <v>474571</v>
      </c>
      <c r="R744" s="28" t="n">
        <v>0</v>
      </c>
      <c r="S744" s="28">
        <f>Q744-R744</f>
        <v/>
      </c>
      <c r="T744" s="28">
        <f>IF(S744="","",S744*(1+in_GrowthRate)^(YEARFRAC(DATE(2025,6,30),in_AgeToDate)*IF(in_AgeToDate&lt;DATE(2025,6,30),-1,1)+1))</f>
        <v/>
      </c>
      <c r="U744" s="50">
        <f>IF(AND(AND(OR(in_Mode="All Funds",AND(C744&gt;=in_BandFloor,C744&lt;=in_BandCeiling,OR(in_Geography="National",COUNTIFS(lst_GeoPreset,in_Geography,lst_GeoState,B744)&gt;0,AND(in_Geography="Custom",ISNUMBER(SEARCH(B744,SUBSTITUTE(in_CustomStates," ",""))))),OR(AND(D744="Endowment",Inputs!$B$14="Y"),AND(D744="Foundation",Inputs!$B$15="Y"),AND(D744="Healthcare",Inputs!$B$16="Y"),AND(D744="Pension",Inputs!$B$17="Y"),AND(D744="OCIO",Inputs!$B$18="Y"),AND(D744="Other",Inputs!$B$19="Y")))),A744&lt;&gt;in_ClientOrg,NOT(AND(in_ExclHarvard="Y",ISNUMBER(SEARCH("Harvard",A744))))),$AD744="Y",K744&lt;&gt;"",S744&gt;0),"Y","")</f>
        <v/>
      </c>
      <c r="V744" s="30" t="n">
        <v>1</v>
      </c>
      <c r="W744" t="inlineStr"/>
      <c r="X744" s="28">
        <f>IF(L744+M744=0,"",L744+M744)</f>
        <v/>
      </c>
      <c r="Y744" s="38">
        <f>IF(L744=0,"",M744/L744)</f>
        <v/>
      </c>
      <c r="Z744" t="inlineStr">
        <is>
          <t>CIO - Top Investment Executive</t>
        </is>
      </c>
      <c r="AA744" t="inlineStr">
        <is>
          <t>Leadership</t>
        </is>
      </c>
      <c r="AB744" s="50" t="inlineStr">
        <is>
          <t>Y</t>
        </is>
      </c>
      <c r="AC744" s="43">
        <f>HYPERLINK("https://projects.propublica.org/nonprofits/organizations/390806251/202611349349303611/full","view filing")</f>
        <v/>
      </c>
      <c r="AD744" s="50" t="inlineStr">
        <is>
          <t>Y</t>
        </is>
      </c>
    </row>
    <row r="745">
      <c r="A745" t="inlineStr">
        <is>
          <t>Marquette University</t>
        </is>
      </c>
      <c r="B745" s="50" t="inlineStr">
        <is>
          <t>WI</t>
        </is>
      </c>
      <c r="C745" s="52" t="n">
        <v>1.13</v>
      </c>
      <c r="D745" t="inlineStr">
        <is>
          <t>Endowment</t>
        </is>
      </c>
      <c r="E745" s="50" t="n">
        <v>2024</v>
      </c>
      <c r="F745" s="50" t="inlineStr">
        <is>
          <t>2025-05-14</t>
        </is>
      </c>
      <c r="G745" s="50" t="inlineStr">
        <is>
          <t>2024-06-30</t>
        </is>
      </c>
      <c r="H745" t="inlineStr">
        <is>
          <t>Mr Sean W Gissal</t>
        </is>
      </c>
      <c r="I745" t="inlineStr">
        <is>
          <t>Chief Investment Officer</t>
        </is>
      </c>
      <c r="J745" t="inlineStr">
        <is>
          <t>CIO</t>
        </is>
      </c>
      <c r="K745" t="inlineStr">
        <is>
          <t>CIO - Top Investment Executive</t>
        </is>
      </c>
      <c r="L745" s="28" t="n">
        <v>344851</v>
      </c>
      <c r="M745" s="28" t="n">
        <v>0</v>
      </c>
      <c r="N745" s="28" t="n">
        <v>241</v>
      </c>
      <c r="O745" s="28" t="n">
        <v>26400</v>
      </c>
      <c r="P745" s="28" t="n">
        <v>84273</v>
      </c>
      <c r="Q745" s="28" t="n">
        <v>455765</v>
      </c>
      <c r="R745" s="28" t="n">
        <v>0</v>
      </c>
      <c r="S745" s="28">
        <f>Q745-R745</f>
        <v/>
      </c>
      <c r="T745" s="28">
        <f>IF(S745="","",S745*(1+in_GrowthRate)^(YEARFRAC(DATE(2024,6,30),in_AgeToDate)*IF(in_AgeToDate&lt;DATE(2024,6,30),-1,1)+1))</f>
        <v/>
      </c>
      <c r="U745" s="50">
        <f>IF(AND(AND(OR(in_Mode="All Funds",AND(C745&gt;=in_BandFloor,C745&lt;=in_BandCeiling,OR(in_Geography="National",COUNTIFS(lst_GeoPreset,in_Geography,lst_GeoState,B745)&gt;0,AND(in_Geography="Custom",ISNUMBER(SEARCH(B745,SUBSTITUTE(in_CustomStates," ",""))))),OR(AND(D745="Endowment",Inputs!$B$14="Y"),AND(D745="Foundation",Inputs!$B$15="Y"),AND(D745="Healthcare",Inputs!$B$16="Y"),AND(D745="Pension",Inputs!$B$17="Y"),AND(D745="OCIO",Inputs!$B$18="Y"),AND(D745="Other",Inputs!$B$19="Y")))),A745&lt;&gt;in_ClientOrg,NOT(AND(in_ExclHarvard="Y",ISNUMBER(SEARCH("Harvard",A745))))),$AD745="Y",K745&lt;&gt;"",S745&gt;0),"Y","")</f>
        <v/>
      </c>
      <c r="V745" s="30" t="n">
        <v>1</v>
      </c>
      <c r="W745" t="inlineStr"/>
      <c r="X745" s="28">
        <f>IF(L745+M745=0,"",L745+M745)</f>
        <v/>
      </c>
      <c r="Y745" s="38">
        <f>IF(L745=0,"",M745/L745)</f>
        <v/>
      </c>
      <c r="Z745" t="inlineStr">
        <is>
          <t>CIO - Top Investment Executive</t>
        </is>
      </c>
      <c r="AA745" t="inlineStr">
        <is>
          <t>Leadership</t>
        </is>
      </c>
      <c r="AB745" s="50" t="inlineStr">
        <is>
          <t>Y</t>
        </is>
      </c>
      <c r="AC745" s="43">
        <f>HYPERLINK("https://projects.propublica.org/nonprofits/organizations/390806251/202541349349306029/full","view filing")</f>
        <v/>
      </c>
      <c r="AD745" s="50" t="inlineStr"/>
    </row>
    <row r="746">
      <c r="A746" t="inlineStr">
        <is>
          <t>Marquette University</t>
        </is>
      </c>
      <c r="B746" s="50" t="inlineStr">
        <is>
          <t>WI</t>
        </is>
      </c>
      <c r="C746" s="52" t="n">
        <v>1.13</v>
      </c>
      <c r="D746" t="inlineStr">
        <is>
          <t>Endowment</t>
        </is>
      </c>
      <c r="E746" s="50" t="n">
        <v>2023</v>
      </c>
      <c r="F746" s="50" t="inlineStr">
        <is>
          <t>2024-05-15</t>
        </is>
      </c>
      <c r="G746" s="50" t="inlineStr">
        <is>
          <t>2023-06-30</t>
        </is>
      </c>
      <c r="H746" t="inlineStr">
        <is>
          <t>Mr Sean Gissal</t>
        </is>
      </c>
      <c r="I746" t="inlineStr">
        <is>
          <t>Chief Investment Officer</t>
        </is>
      </c>
      <c r="J746" t="inlineStr">
        <is>
          <t>CIO</t>
        </is>
      </c>
      <c r="K746" t="inlineStr">
        <is>
          <t>CIO - Top Investment Executive</t>
        </is>
      </c>
      <c r="L746" s="28" t="n">
        <v>327604</v>
      </c>
      <c r="M746" s="28" t="n">
        <v>0</v>
      </c>
      <c r="N746" s="28" t="n">
        <v>247</v>
      </c>
      <c r="O746" s="28" t="n">
        <v>24400</v>
      </c>
      <c r="P746" s="28" t="n">
        <v>80325</v>
      </c>
      <c r="Q746" s="28" t="n">
        <v>432576</v>
      </c>
      <c r="R746" s="28" t="n">
        <v>0</v>
      </c>
      <c r="S746" s="28">
        <f>Q746-R746</f>
        <v/>
      </c>
      <c r="T746" s="28">
        <f>IF(S746="","",S746*(1+in_GrowthRate)^(YEARFRAC(DATE(2023,6,30),in_AgeToDate)*IF(in_AgeToDate&lt;DATE(2023,6,30),-1,1)+1))</f>
        <v/>
      </c>
      <c r="U746" s="50">
        <f>IF(AND(AND(OR(in_Mode="All Funds",AND(C746&gt;=in_BandFloor,C746&lt;=in_BandCeiling,OR(in_Geography="National",COUNTIFS(lst_GeoPreset,in_Geography,lst_GeoState,B746)&gt;0,AND(in_Geography="Custom",ISNUMBER(SEARCH(B746,SUBSTITUTE(in_CustomStates," ",""))))),OR(AND(D746="Endowment",Inputs!$B$14="Y"),AND(D746="Foundation",Inputs!$B$15="Y"),AND(D746="Healthcare",Inputs!$B$16="Y"),AND(D746="Pension",Inputs!$B$17="Y"),AND(D746="OCIO",Inputs!$B$18="Y"),AND(D746="Other",Inputs!$B$19="Y")))),A746&lt;&gt;in_ClientOrg,NOT(AND(in_ExclHarvard="Y",ISNUMBER(SEARCH("Harvard",A746))))),$AD746="Y",K746&lt;&gt;"",S746&gt;0),"Y","")</f>
        <v/>
      </c>
      <c r="V746" s="30" t="n">
        <v>1</v>
      </c>
      <c r="W746" t="inlineStr"/>
      <c r="X746" s="28">
        <f>IF(L746+M746=0,"",L746+M746)</f>
        <v/>
      </c>
      <c r="Y746" s="38">
        <f>IF(L746=0,"",M746/L746)</f>
        <v/>
      </c>
      <c r="Z746" t="inlineStr">
        <is>
          <t>CIO - Top Investment Executive</t>
        </is>
      </c>
      <c r="AA746" t="inlineStr">
        <is>
          <t>Leadership</t>
        </is>
      </c>
      <c r="AB746" s="50" t="inlineStr">
        <is>
          <t>Y</t>
        </is>
      </c>
      <c r="AC746" s="43">
        <f>HYPERLINK("https://projects.propublica.org/nonprofits/organizations/390806251/202421369349308087/full","view filing")</f>
        <v/>
      </c>
      <c r="AD746" s="50" t="inlineStr"/>
    </row>
    <row r="747">
      <c r="A747" t="inlineStr">
        <is>
          <t>Marquette University</t>
        </is>
      </c>
      <c r="B747" s="50" t="inlineStr">
        <is>
          <t>WI</t>
        </is>
      </c>
      <c r="C747" s="52" t="n">
        <v>1.13</v>
      </c>
      <c r="D747" t="inlineStr">
        <is>
          <t>Endowment</t>
        </is>
      </c>
      <c r="E747" s="50" t="n">
        <v>2022</v>
      </c>
      <c r="F747" s="50" t="inlineStr">
        <is>
          <t>2023-05-13</t>
        </is>
      </c>
      <c r="G747" s="50" t="inlineStr">
        <is>
          <t>2022-06-30</t>
        </is>
      </c>
      <c r="H747" t="inlineStr">
        <is>
          <t>Mr Sean Gissal</t>
        </is>
      </c>
      <c r="I747" t="inlineStr">
        <is>
          <t>Chief Investment Officer</t>
        </is>
      </c>
      <c r="J747" t="inlineStr">
        <is>
          <t>CIO</t>
        </is>
      </c>
      <c r="K747" t="inlineStr">
        <is>
          <t>CIO - Top Investment Executive</t>
        </is>
      </c>
      <c r="L747" s="28" t="n">
        <v>302142</v>
      </c>
      <c r="M747" s="28" t="n">
        <v>0</v>
      </c>
      <c r="N747" s="28" t="n">
        <v>0</v>
      </c>
      <c r="O747" s="28" t="n">
        <v>16640</v>
      </c>
      <c r="P747" s="28" t="n">
        <v>76640</v>
      </c>
      <c r="Q747" s="28" t="n">
        <v>395422</v>
      </c>
      <c r="R747" s="28" t="n">
        <v>0</v>
      </c>
      <c r="S747" s="28">
        <f>Q747-R747</f>
        <v/>
      </c>
      <c r="T747" s="28">
        <f>IF(S747="","",S747*(1+in_GrowthRate)^(YEARFRAC(DATE(2022,6,30),in_AgeToDate)*IF(in_AgeToDate&lt;DATE(2022,6,30),-1,1)+1))</f>
        <v/>
      </c>
      <c r="U747" s="50">
        <f>IF(AND(AND(OR(in_Mode="All Funds",AND(C747&gt;=in_BandFloor,C747&lt;=in_BandCeiling,OR(in_Geography="National",COUNTIFS(lst_GeoPreset,in_Geography,lst_GeoState,B747)&gt;0,AND(in_Geography="Custom",ISNUMBER(SEARCH(B747,SUBSTITUTE(in_CustomStates," ",""))))),OR(AND(D747="Endowment",Inputs!$B$14="Y"),AND(D747="Foundation",Inputs!$B$15="Y"),AND(D747="Healthcare",Inputs!$B$16="Y"),AND(D747="Pension",Inputs!$B$17="Y"),AND(D747="OCIO",Inputs!$B$18="Y"),AND(D747="Other",Inputs!$B$19="Y")))),A747&lt;&gt;in_ClientOrg,NOT(AND(in_ExclHarvard="Y",ISNUMBER(SEARCH("Harvard",A747))))),$AD747="Y",K747&lt;&gt;"",S747&gt;0),"Y","")</f>
        <v/>
      </c>
      <c r="V747" s="30" t="n">
        <v>1</v>
      </c>
      <c r="W747" t="inlineStr"/>
      <c r="X747" s="28">
        <f>IF(L747+M747=0,"",L747+M747)</f>
        <v/>
      </c>
      <c r="Y747" s="38">
        <f>IF(L747=0,"",M747/L747)</f>
        <v/>
      </c>
      <c r="Z747" t="inlineStr">
        <is>
          <t>CIO - Top Investment Executive</t>
        </is>
      </c>
      <c r="AA747" t="inlineStr">
        <is>
          <t>Leadership</t>
        </is>
      </c>
      <c r="AB747" s="50" t="inlineStr">
        <is>
          <t>Y</t>
        </is>
      </c>
      <c r="AC747" s="43">
        <f>HYPERLINK("https://projects.propublica.org/nonprofits/organizations/390806251/202301339349301530/full","view filing")</f>
        <v/>
      </c>
      <c r="AD747" s="50" t="inlineStr"/>
    </row>
    <row r="748">
      <c r="A748" t="inlineStr">
        <is>
          <t>Mass General Brigham Incorporated</t>
        </is>
      </c>
      <c r="B748" s="50" t="inlineStr">
        <is>
          <t>MA</t>
        </is>
      </c>
      <c r="C748" s="52" t="n">
        <v>2.28</v>
      </c>
      <c r="D748" t="inlineStr">
        <is>
          <t>Healthcare</t>
        </is>
      </c>
      <c r="E748" s="50" t="n">
        <v>2025</v>
      </c>
      <c r="F748" s="50" t="inlineStr">
        <is>
          <t>2026-08-13</t>
        </is>
      </c>
      <c r="G748" s="50" t="inlineStr">
        <is>
          <t>2025-09-30</t>
        </is>
      </c>
      <c r="H748" t="inlineStr">
        <is>
          <t>Elizabeth L Baldwin</t>
        </is>
      </c>
      <c r="I748" t="inlineStr">
        <is>
          <t>PORTFOLIO MANAGER</t>
        </is>
      </c>
      <c r="J748" t="inlineStr">
        <is>
          <t>Portfolio Manager</t>
        </is>
      </c>
      <c r="K748" t="inlineStr">
        <is>
          <t>Sr Investment Professional</t>
        </is>
      </c>
      <c r="L748" s="28" t="n">
        <v>199583</v>
      </c>
      <c r="M748" s="28" t="n">
        <v>1896590</v>
      </c>
      <c r="N748" s="28" t="n">
        <v>592016</v>
      </c>
      <c r="O748" s="28" t="n">
        <v>24064</v>
      </c>
      <c r="P748" s="28" t="n">
        <v>12364</v>
      </c>
      <c r="Q748" s="28" t="n">
        <v>2724617</v>
      </c>
      <c r="R748" s="28" t="n">
        <v>0</v>
      </c>
      <c r="S748" s="28">
        <f>Q748-R748</f>
        <v/>
      </c>
      <c r="T748" s="28">
        <f>IF(S748="","",S748*(1+in_GrowthRate)^(YEARFRAC(DATE(2025,9,30),in_AgeToDate)*IF(in_AgeToDate&lt;DATE(2025,9,30),-1,1)+1))</f>
        <v/>
      </c>
      <c r="U748" s="50">
        <f>IF(AND(AND(OR(in_Mode="All Funds",AND(C748&gt;=in_BandFloor,C748&lt;=in_BandCeiling,OR(in_Geography="National",COUNTIFS(lst_GeoPreset,in_Geography,lst_GeoState,B748)&gt;0,AND(in_Geography="Custom",ISNUMBER(SEARCH(B748,SUBSTITUTE(in_CustomStates," ",""))))),OR(AND(D748="Endowment",Inputs!$B$14="Y"),AND(D748="Foundation",Inputs!$B$15="Y"),AND(D748="Healthcare",Inputs!$B$16="Y"),AND(D748="Pension",Inputs!$B$17="Y"),AND(D748="OCIO",Inputs!$B$18="Y"),AND(D748="Other",Inputs!$B$19="Y")))),A748&lt;&gt;in_ClientOrg,NOT(AND(in_ExclHarvard="Y",ISNUMBER(SEARCH("Harvard",A748))))),$AD748="Y",K748&lt;&gt;"",S748&gt;0),"Y","")</f>
        <v/>
      </c>
      <c r="V748" s="30" t="n">
        <v>0.8449349649744607</v>
      </c>
      <c r="W748" t="inlineStr"/>
      <c r="X748" s="28">
        <f>IF(L748+M748=0,"",L748+M748)</f>
        <v/>
      </c>
      <c r="Y748" s="38">
        <f>IF(L748=0,"",M748/L748)</f>
        <v/>
      </c>
      <c r="Z748" t="inlineStr">
        <is>
          <t>Other investment staff</t>
        </is>
      </c>
      <c r="AA748" t="inlineStr">
        <is>
          <t>Investments</t>
        </is>
      </c>
      <c r="AB748" s="50" t="inlineStr"/>
      <c r="AC748" s="43">
        <f>HYPERLINK("https://projects.propublica.org/nonprofits/organizations/43230035/202622259349300127/full","view filing")</f>
        <v/>
      </c>
      <c r="AD748" s="50" t="inlineStr">
        <is>
          <t>Y</t>
        </is>
      </c>
    </row>
    <row r="749">
      <c r="A749" t="inlineStr">
        <is>
          <t>Mass General Brigham Incorporated</t>
        </is>
      </c>
      <c r="B749" s="50" t="inlineStr">
        <is>
          <t>MA</t>
        </is>
      </c>
      <c r="C749" s="52" t="n">
        <v>2.28</v>
      </c>
      <c r="D749" t="inlineStr">
        <is>
          <t>Healthcare</t>
        </is>
      </c>
      <c r="E749" s="50" t="n">
        <v>2025</v>
      </c>
      <c r="F749" s="50" t="inlineStr">
        <is>
          <t>2026-08-13</t>
        </is>
      </c>
      <c r="G749" s="50" t="inlineStr">
        <is>
          <t>2025-09-30</t>
        </is>
      </c>
      <c r="H749" t="inlineStr">
        <is>
          <t>Emma Somers-Roy</t>
        </is>
      </c>
      <c r="I749" t="inlineStr">
        <is>
          <t>CHIEF INVESTMENT OFFICER</t>
        </is>
      </c>
      <c r="J749" t="inlineStr">
        <is>
          <t>CIO</t>
        </is>
      </c>
      <c r="K749" t="inlineStr">
        <is>
          <t>CIO - Top Investment Executive</t>
        </is>
      </c>
      <c r="L749" s="28" t="n">
        <v>877000</v>
      </c>
      <c r="M749" s="28" t="n">
        <v>2205061</v>
      </c>
      <c r="N749" s="28" t="n">
        <v>81943</v>
      </c>
      <c r="O749" s="28" t="n">
        <v>18833</v>
      </c>
      <c r="P749" s="28" t="n">
        <v>41810</v>
      </c>
      <c r="Q749" s="28" t="n">
        <v>3224647</v>
      </c>
      <c r="R749" s="28" t="n">
        <v>0</v>
      </c>
      <c r="S749" s="28">
        <f>Q749-R749</f>
        <v/>
      </c>
      <c r="T749" s="28">
        <f>IF(S749="","",S749*(1+in_GrowthRate)^(YEARFRAC(DATE(2025,9,30),in_AgeToDate)*IF(in_AgeToDate&lt;DATE(2025,9,30),-1,1)+1))</f>
        <v/>
      </c>
      <c r="U749" s="50">
        <f>IF(AND(AND(OR(in_Mode="All Funds",AND(C749&gt;=in_BandFloor,C749&lt;=in_BandCeiling,OR(in_Geography="National",COUNTIFS(lst_GeoPreset,in_Geography,lst_GeoState,B749)&gt;0,AND(in_Geography="Custom",ISNUMBER(SEARCH(B749,SUBSTITUTE(in_CustomStates," ",""))))),OR(AND(D749="Endowment",Inputs!$B$14="Y"),AND(D749="Foundation",Inputs!$B$15="Y"),AND(D749="Healthcare",Inputs!$B$16="Y"),AND(D749="Pension",Inputs!$B$17="Y"),AND(D749="OCIO",Inputs!$B$18="Y"),AND(D749="Other",Inputs!$B$19="Y")))),A749&lt;&gt;in_ClientOrg,NOT(AND(in_ExclHarvard="Y",ISNUMBER(SEARCH("Harvard",A749))))),$AD749="Y",K749&lt;&gt;"",S749&gt;0),"Y","")</f>
        <v/>
      </c>
      <c r="V749" s="30" t="n">
        <v>1</v>
      </c>
      <c r="W749" t="inlineStr"/>
      <c r="X749" s="28">
        <f>IF(L749+M749=0,"",L749+M749)</f>
        <v/>
      </c>
      <c r="Y749" s="38">
        <f>IF(L749=0,"",M749/L749)</f>
        <v/>
      </c>
      <c r="Z749" t="inlineStr">
        <is>
          <t>CIO - Top Investment Executive</t>
        </is>
      </c>
      <c r="AA749" t="inlineStr">
        <is>
          <t>Leadership</t>
        </is>
      </c>
      <c r="AB749" s="50" t="inlineStr">
        <is>
          <t>Y</t>
        </is>
      </c>
      <c r="AC749" s="43">
        <f>HYPERLINK("https://projects.propublica.org/nonprofits/organizations/43230035/202622259349300127/full","view filing")</f>
        <v/>
      </c>
      <c r="AD749" s="50" t="inlineStr">
        <is>
          <t>Y</t>
        </is>
      </c>
    </row>
    <row r="750">
      <c r="A750" t="inlineStr">
        <is>
          <t>Mass General Brigham Incorporated</t>
        </is>
      </c>
      <c r="B750" s="50" t="inlineStr">
        <is>
          <t>MA</t>
        </is>
      </c>
      <c r="C750" s="52" t="n">
        <v>2.28</v>
      </c>
      <c r="D750" t="inlineStr">
        <is>
          <t>Healthcare</t>
        </is>
      </c>
      <c r="E750" s="50" t="n">
        <v>2024</v>
      </c>
      <c r="F750" s="50" t="inlineStr">
        <is>
          <t>2025-08-14</t>
        </is>
      </c>
      <c r="G750" s="50" t="inlineStr">
        <is>
          <t>2024-09-30</t>
        </is>
      </c>
      <c r="H750" t="inlineStr">
        <is>
          <t>Elizabeth L Baldwin</t>
        </is>
      </c>
      <c r="I750" t="inlineStr">
        <is>
          <t>PORTFOLIO MANAGER</t>
        </is>
      </c>
      <c r="J750" t="inlineStr">
        <is>
          <t>Portfolio Manager</t>
        </is>
      </c>
      <c r="K750" t="inlineStr">
        <is>
          <t>Sr Investment Professional</t>
        </is>
      </c>
      <c r="L750" s="28" t="n">
        <v>620123</v>
      </c>
      <c r="M750" s="28" t="n">
        <v>1610437</v>
      </c>
      <c r="N750" s="28" t="n">
        <v>36650</v>
      </c>
      <c r="O750" s="28" t="n">
        <v>23100</v>
      </c>
      <c r="P750" s="28" t="n">
        <v>59311</v>
      </c>
      <c r="Q750" s="28" t="n">
        <v>2349621</v>
      </c>
      <c r="R750" s="28" t="n">
        <v>0</v>
      </c>
      <c r="S750" s="28">
        <f>Q750-R750</f>
        <v/>
      </c>
      <c r="T750" s="28">
        <f>IF(S750="","",S750*(1+in_GrowthRate)^(YEARFRAC(DATE(2024,9,30),in_AgeToDate)*IF(in_AgeToDate&lt;DATE(2024,9,30),-1,1)+1))</f>
        <v/>
      </c>
      <c r="U750" s="50">
        <f>IF(AND(AND(OR(in_Mode="All Funds",AND(C750&gt;=in_BandFloor,C750&lt;=in_BandCeiling,OR(in_Geography="National",COUNTIFS(lst_GeoPreset,in_Geography,lst_GeoState,B750)&gt;0,AND(in_Geography="Custom",ISNUMBER(SEARCH(B750,SUBSTITUTE(in_CustomStates," ",""))))),OR(AND(D750="Endowment",Inputs!$B$14="Y"),AND(D750="Foundation",Inputs!$B$15="Y"),AND(D750="Healthcare",Inputs!$B$16="Y"),AND(D750="Pension",Inputs!$B$17="Y"),AND(D750="OCIO",Inputs!$B$18="Y"),AND(D750="Other",Inputs!$B$19="Y")))),A750&lt;&gt;in_ClientOrg,NOT(AND(in_ExclHarvard="Y",ISNUMBER(SEARCH("Harvard",A750))))),$AD750="Y",K750&lt;&gt;"",S750&gt;0),"Y","")</f>
        <v/>
      </c>
      <c r="V750" s="30" t="n">
        <v>1.896637566746177</v>
      </c>
      <c r="W750" t="inlineStr"/>
      <c r="X750" s="28">
        <f>IF(L750+M750=0,"",L750+M750)</f>
        <v/>
      </c>
      <c r="Y750" s="38">
        <f>IF(L750=0,"",M750/L750)</f>
        <v/>
      </c>
      <c r="Z750" t="inlineStr">
        <is>
          <t>Other investment staff</t>
        </is>
      </c>
      <c r="AA750" t="inlineStr">
        <is>
          <t>Investments</t>
        </is>
      </c>
      <c r="AB750" s="50" t="inlineStr"/>
      <c r="AC750" s="43">
        <f>HYPERLINK("https://projects.propublica.org/nonprofits/organizations/43230035/202502269349302855/full","view filing")</f>
        <v/>
      </c>
      <c r="AD750" s="50" t="inlineStr"/>
    </row>
    <row r="751">
      <c r="A751" t="inlineStr">
        <is>
          <t>Mass General Brigham Incorporated</t>
        </is>
      </c>
      <c r="B751" s="50" t="inlineStr">
        <is>
          <t>MA</t>
        </is>
      </c>
      <c r="C751" s="52" t="n">
        <v>2.28</v>
      </c>
      <c r="D751" t="inlineStr">
        <is>
          <t>Healthcare</t>
        </is>
      </c>
      <c r="E751" s="50" t="n">
        <v>2024</v>
      </c>
      <c r="F751" s="50" t="inlineStr">
        <is>
          <t>2025-08-14</t>
        </is>
      </c>
      <c r="G751" s="50" t="inlineStr">
        <is>
          <t>2024-09-30</t>
        </is>
      </c>
      <c r="H751" t="inlineStr">
        <is>
          <t>Emma Somers-Roy</t>
        </is>
      </c>
      <c r="I751" t="inlineStr">
        <is>
          <t>CHIEF INVESTMENT OFFICER</t>
        </is>
      </c>
      <c r="J751" t="inlineStr">
        <is>
          <t>CIO</t>
        </is>
      </c>
      <c r="K751" t="inlineStr">
        <is>
          <t>CIO - Top Investment Executive</t>
        </is>
      </c>
      <c r="L751" s="28" t="n">
        <v>354457</v>
      </c>
      <c r="M751" s="28" t="n">
        <v>836551</v>
      </c>
      <c r="N751" s="28" t="n">
        <v>11183</v>
      </c>
      <c r="O751" s="28" t="n">
        <v>0</v>
      </c>
      <c r="P751" s="28" t="n">
        <v>36644</v>
      </c>
      <c r="Q751" s="28" t="n">
        <v>1238835</v>
      </c>
      <c r="R751" s="28" t="n">
        <v>0</v>
      </c>
      <c r="S751" s="28">
        <f>Q751-R751</f>
        <v/>
      </c>
      <c r="T751" s="28">
        <f>IF(S751="","",S751*(1+in_GrowthRate)^(YEARFRAC(DATE(2024,9,30),in_AgeToDate)*IF(in_AgeToDate&lt;DATE(2024,9,30),-1,1)+1))</f>
        <v/>
      </c>
      <c r="U751" s="50">
        <f>IF(AND(AND(OR(in_Mode="All Funds",AND(C751&gt;=in_BandFloor,C751&lt;=in_BandCeiling,OR(in_Geography="National",COUNTIFS(lst_GeoPreset,in_Geography,lst_GeoState,B751)&gt;0,AND(in_Geography="Custom",ISNUMBER(SEARCH(B751,SUBSTITUTE(in_CustomStates," ",""))))),OR(AND(D751="Endowment",Inputs!$B$14="Y"),AND(D751="Foundation",Inputs!$B$15="Y"),AND(D751="Healthcare",Inputs!$B$16="Y"),AND(D751="Pension",Inputs!$B$17="Y"),AND(D751="OCIO",Inputs!$B$18="Y"),AND(D751="Other",Inputs!$B$19="Y")))),A751&lt;&gt;in_ClientOrg,NOT(AND(in_ExclHarvard="Y",ISNUMBER(SEARCH("Harvard",A751))))),$AD751="Y",K751&lt;&gt;"",S751&gt;0),"Y","")</f>
        <v/>
      </c>
      <c r="V751" s="30" t="n">
        <v>1</v>
      </c>
      <c r="W751" t="inlineStr"/>
      <c r="X751" s="28">
        <f>IF(L751+M751=0,"",L751+M751)</f>
        <v/>
      </c>
      <c r="Y751" s="38">
        <f>IF(L751=0,"",M751/L751)</f>
        <v/>
      </c>
      <c r="Z751" t="inlineStr">
        <is>
          <t>CIO - Top Investment Executive</t>
        </is>
      </c>
      <c r="AA751" t="inlineStr">
        <is>
          <t>Leadership</t>
        </is>
      </c>
      <c r="AB751" s="50" t="inlineStr">
        <is>
          <t>Y</t>
        </is>
      </c>
      <c r="AC751" s="43">
        <f>HYPERLINK("https://projects.propublica.org/nonprofits/organizations/43230035/202502269349302855/full","view filing")</f>
        <v/>
      </c>
      <c r="AD751" s="50" t="inlineStr"/>
    </row>
    <row r="752">
      <c r="A752" t="inlineStr">
        <is>
          <t>Mass General Brigham Incorporated</t>
        </is>
      </c>
      <c r="B752" s="50" t="inlineStr">
        <is>
          <t>MA</t>
        </is>
      </c>
      <c r="C752" s="52" t="n">
        <v>2.28</v>
      </c>
      <c r="D752" t="inlineStr">
        <is>
          <t>Healthcare</t>
        </is>
      </c>
      <c r="E752" s="50" t="n">
        <v>2024</v>
      </c>
      <c r="F752" s="50" t="inlineStr">
        <is>
          <t>2025-08-14</t>
        </is>
      </c>
      <c r="G752" s="50" t="inlineStr">
        <is>
          <t>2024-09-30</t>
        </is>
      </c>
      <c r="H752" t="inlineStr">
        <is>
          <t>Katherine L Kamm</t>
        </is>
      </c>
      <c r="I752" t="inlineStr">
        <is>
          <t>PORTFOLIO MANAGER</t>
        </is>
      </c>
      <c r="J752" t="inlineStr">
        <is>
          <t>Portfolio Manager</t>
        </is>
      </c>
      <c r="K752" t="inlineStr">
        <is>
          <t>Sr Investment Professional</t>
        </is>
      </c>
      <c r="L752" s="28" t="n">
        <v>582623</v>
      </c>
      <c r="M752" s="28" t="n">
        <v>1610437</v>
      </c>
      <c r="N752" s="28" t="n">
        <v>57923</v>
      </c>
      <c r="O752" s="28" t="n">
        <v>23100</v>
      </c>
      <c r="P752" s="28" t="n">
        <v>38913</v>
      </c>
      <c r="Q752" s="28" t="n">
        <v>2312996</v>
      </c>
      <c r="R752" s="28" t="n">
        <v>0</v>
      </c>
      <c r="S752" s="28">
        <f>Q752-R752</f>
        <v/>
      </c>
      <c r="T752" s="28">
        <f>IF(S752="","",S752*(1+in_GrowthRate)^(YEARFRAC(DATE(2024,9,30),in_AgeToDate)*IF(in_AgeToDate&lt;DATE(2024,9,30),-1,1)+1))</f>
        <v/>
      </c>
      <c r="U752" s="50">
        <f>IF(AND(AND(OR(in_Mode="All Funds",AND(C752&gt;=in_BandFloor,C752&lt;=in_BandCeiling,OR(in_Geography="National",COUNTIFS(lst_GeoPreset,in_Geography,lst_GeoState,B752)&gt;0,AND(in_Geography="Custom",ISNUMBER(SEARCH(B752,SUBSTITUTE(in_CustomStates," ",""))))),OR(AND(D752="Endowment",Inputs!$B$14="Y"),AND(D752="Foundation",Inputs!$B$15="Y"),AND(D752="Healthcare",Inputs!$B$16="Y"),AND(D752="Pension",Inputs!$B$17="Y"),AND(D752="OCIO",Inputs!$B$18="Y"),AND(D752="Other",Inputs!$B$19="Y")))),A752&lt;&gt;in_ClientOrg,NOT(AND(in_ExclHarvard="Y",ISNUMBER(SEARCH("Harvard",A752))))),$AD752="Y",K752&lt;&gt;"",S752&gt;0),"Y","")</f>
        <v/>
      </c>
      <c r="V752" s="30" t="n">
        <v>1.867073500506524</v>
      </c>
      <c r="W752" t="inlineStr"/>
      <c r="X752" s="28">
        <f>IF(L752+M752=0,"",L752+M752)</f>
        <v/>
      </c>
      <c r="Y752" s="38">
        <f>IF(L752=0,"",M752/L752)</f>
        <v/>
      </c>
      <c r="Z752" t="inlineStr">
        <is>
          <t>Other investment staff</t>
        </is>
      </c>
      <c r="AA752" t="inlineStr">
        <is>
          <t>Investments</t>
        </is>
      </c>
      <c r="AB752" s="50" t="inlineStr"/>
      <c r="AC752" s="43">
        <f>HYPERLINK("https://projects.propublica.org/nonprofits/organizations/43230035/202502269349302855/full","view filing")</f>
        <v/>
      </c>
      <c r="AD752" s="50" t="inlineStr"/>
    </row>
    <row r="753">
      <c r="A753" t="inlineStr">
        <is>
          <t>Mass General Brigham Incorporated</t>
        </is>
      </c>
      <c r="B753" s="50" t="inlineStr">
        <is>
          <t>MA</t>
        </is>
      </c>
      <c r="C753" s="52" t="n">
        <v>2.28</v>
      </c>
      <c r="D753" t="inlineStr">
        <is>
          <t>Healthcare</t>
        </is>
      </c>
      <c r="E753" s="50" t="n">
        <v>2023</v>
      </c>
      <c r="F753" s="50" t="inlineStr">
        <is>
          <t>2024-08-13</t>
        </is>
      </c>
      <c r="G753" s="50" t="inlineStr">
        <is>
          <t>2023-09-30</t>
        </is>
      </c>
      <c r="H753" t="inlineStr">
        <is>
          <t>Elizabeth L Baldwin</t>
        </is>
      </c>
      <c r="I753" t="inlineStr">
        <is>
          <t>PORTFOLIO MANAGER</t>
        </is>
      </c>
      <c r="J753" t="inlineStr">
        <is>
          <t>Portfolio Manager</t>
        </is>
      </c>
      <c r="K753" t="inlineStr">
        <is>
          <t>Sr Investment Professional</t>
        </is>
      </c>
      <c r="L753" s="28" t="n">
        <v>610309</v>
      </c>
      <c r="M753" s="28" t="n">
        <v>1111556</v>
      </c>
      <c r="N753" s="28" t="n">
        <v>51854</v>
      </c>
      <c r="O753" s="28" t="n">
        <v>21350</v>
      </c>
      <c r="P753" s="28" t="n">
        <v>37411</v>
      </c>
      <c r="Q753" s="28" t="n">
        <v>1832480</v>
      </c>
      <c r="R753" s="28" t="n">
        <v>0</v>
      </c>
      <c r="S753" s="28">
        <f>Q753-R753</f>
        <v/>
      </c>
      <c r="T753" s="28">
        <f>IF(S753="","",S753*(1+in_GrowthRate)^(YEARFRAC(DATE(2023,9,30),in_AgeToDate)*IF(in_AgeToDate&lt;DATE(2023,9,30),-1,1)+1))</f>
        <v/>
      </c>
      <c r="U753" s="50">
        <f>IF(AND(AND(OR(in_Mode="All Funds",AND(C753&gt;=in_BandFloor,C753&lt;=in_BandCeiling,OR(in_Geography="National",COUNTIFS(lst_GeoPreset,in_Geography,lst_GeoState,B753)&gt;0,AND(in_Geography="Custom",ISNUMBER(SEARCH(B753,SUBSTITUTE(in_CustomStates," ",""))))),OR(AND(D753="Endowment",Inputs!$B$14="Y"),AND(D753="Foundation",Inputs!$B$15="Y"),AND(D753="Healthcare",Inputs!$B$16="Y"),AND(D753="Pension",Inputs!$B$17="Y"),AND(D753="OCIO",Inputs!$B$18="Y"),AND(D753="Other",Inputs!$B$19="Y")))),A753&lt;&gt;in_ClientOrg,NOT(AND(in_ExclHarvard="Y",ISNUMBER(SEARCH("Harvard",A753))))),$AD753="Y",K753&lt;&gt;"",S753&gt;0),"Y","")</f>
        <v/>
      </c>
      <c r="V753" s="30" t="n">
        <v>0.5421528837522773</v>
      </c>
      <c r="W753" t="inlineStr"/>
      <c r="X753" s="28">
        <f>IF(L753+M753=0,"",L753+M753)</f>
        <v/>
      </c>
      <c r="Y753" s="38">
        <f>IF(L753=0,"",M753/L753)</f>
        <v/>
      </c>
      <c r="Z753" t="inlineStr">
        <is>
          <t>Other investment staff</t>
        </is>
      </c>
      <c r="AA753" t="inlineStr">
        <is>
          <t>Investments</t>
        </is>
      </c>
      <c r="AB753" s="50" t="inlineStr"/>
      <c r="AC753" s="43">
        <f>HYPERLINK("https://projects.propublica.org/nonprofits/organizations/43230035/202442269349300854/full","view filing")</f>
        <v/>
      </c>
      <c r="AD753" s="50" t="inlineStr"/>
    </row>
    <row r="754">
      <c r="A754" t="inlineStr">
        <is>
          <t>Mass General Brigham Incorporated</t>
        </is>
      </c>
      <c r="B754" s="50" t="inlineStr">
        <is>
          <t>MA</t>
        </is>
      </c>
      <c r="C754" s="52" t="n">
        <v>2.28</v>
      </c>
      <c r="D754" t="inlineStr">
        <is>
          <t>Healthcare</t>
        </is>
      </c>
      <c r="E754" s="50" t="n">
        <v>2023</v>
      </c>
      <c r="F754" s="50" t="inlineStr">
        <is>
          <t>2024-08-13</t>
        </is>
      </c>
      <c r="G754" s="50" t="inlineStr">
        <is>
          <t>2023-09-30</t>
        </is>
      </c>
      <c r="H754" t="inlineStr">
        <is>
          <t>John R Barker</t>
        </is>
      </c>
      <c r="I754" t="inlineStr">
        <is>
          <t>CHIEF INVESTMENT OFFICER</t>
        </is>
      </c>
      <c r="J754" t="inlineStr">
        <is>
          <t>CIO</t>
        </is>
      </c>
      <c r="K754" t="inlineStr">
        <is>
          <t>CIO - Top Investment Executive</t>
        </is>
      </c>
      <c r="L754" s="28" t="n">
        <v>719500</v>
      </c>
      <c r="M754" s="28" t="n">
        <v>2536466</v>
      </c>
      <c r="N754" s="28" t="n">
        <v>61089</v>
      </c>
      <c r="O754" s="28" t="n">
        <v>27450</v>
      </c>
      <c r="P754" s="28" t="n">
        <v>35501</v>
      </c>
      <c r="Q754" s="28" t="n">
        <v>3380006</v>
      </c>
      <c r="R754" s="28" t="n">
        <v>0</v>
      </c>
      <c r="S754" s="28">
        <f>Q754-R754</f>
        <v/>
      </c>
      <c r="T754" s="28">
        <f>IF(S754="","",S754*(1+in_GrowthRate)^(YEARFRAC(DATE(2023,9,30),in_AgeToDate)*IF(in_AgeToDate&lt;DATE(2023,9,30),-1,1)+1))</f>
        <v/>
      </c>
      <c r="U754" s="50">
        <f>IF(AND(AND(OR(in_Mode="All Funds",AND(C754&gt;=in_BandFloor,C754&lt;=in_BandCeiling,OR(in_Geography="National",COUNTIFS(lst_GeoPreset,in_Geography,lst_GeoState,B754)&gt;0,AND(in_Geography="Custom",ISNUMBER(SEARCH(B754,SUBSTITUTE(in_CustomStates," ",""))))),OR(AND(D754="Endowment",Inputs!$B$14="Y"),AND(D754="Foundation",Inputs!$B$15="Y"),AND(D754="Healthcare",Inputs!$B$16="Y"),AND(D754="Pension",Inputs!$B$17="Y"),AND(D754="OCIO",Inputs!$B$18="Y"),AND(D754="Other",Inputs!$B$19="Y")))),A754&lt;&gt;in_ClientOrg,NOT(AND(in_ExclHarvard="Y",ISNUMBER(SEARCH("Harvard",A754))))),$AD754="Y",K754&lt;&gt;"",S754&gt;0),"Y","")</f>
        <v/>
      </c>
      <c r="V754" s="30" t="n">
        <v>1</v>
      </c>
      <c r="W754" t="inlineStr"/>
      <c r="X754" s="28">
        <f>IF(L754+M754=0,"",L754+M754)</f>
        <v/>
      </c>
      <c r="Y754" s="38">
        <f>IF(L754=0,"",M754/L754)</f>
        <v/>
      </c>
      <c r="Z754" t="inlineStr">
        <is>
          <t>CIO - Top Investment Executive</t>
        </is>
      </c>
      <c r="AA754" t="inlineStr">
        <is>
          <t>Leadership</t>
        </is>
      </c>
      <c r="AB754" s="50" t="inlineStr">
        <is>
          <t>Y</t>
        </is>
      </c>
      <c r="AC754" s="43">
        <f>HYPERLINK("https://projects.propublica.org/nonprofits/organizations/43230035/202442269349300854/full","view filing")</f>
        <v/>
      </c>
      <c r="AD754" s="50" t="inlineStr"/>
    </row>
    <row r="755">
      <c r="A755" t="inlineStr">
        <is>
          <t>Mass General Brigham Incorporated</t>
        </is>
      </c>
      <c r="B755" s="50" t="inlineStr">
        <is>
          <t>MA</t>
        </is>
      </c>
      <c r="C755" s="52" t="n">
        <v>2.28</v>
      </c>
      <c r="D755" t="inlineStr">
        <is>
          <t>Healthcare</t>
        </is>
      </c>
      <c r="E755" s="50" t="n">
        <v>2023</v>
      </c>
      <c r="F755" s="50" t="inlineStr">
        <is>
          <t>2024-08-13</t>
        </is>
      </c>
      <c r="G755" s="50" t="inlineStr">
        <is>
          <t>2023-09-30</t>
        </is>
      </c>
      <c r="H755" t="inlineStr">
        <is>
          <t>Katherine L Kamm</t>
        </is>
      </c>
      <c r="I755" t="inlineStr">
        <is>
          <t>PORTFOLIO MANAGER</t>
        </is>
      </c>
      <c r="J755" t="inlineStr">
        <is>
          <t>Portfolio Manager</t>
        </is>
      </c>
      <c r="K755" t="inlineStr">
        <is>
          <t>Sr Investment Professional</t>
        </is>
      </c>
      <c r="L755" s="28" t="n">
        <v>610682</v>
      </c>
      <c r="M755" s="28" t="n">
        <v>1086670</v>
      </c>
      <c r="N755" s="28" t="n">
        <v>52120</v>
      </c>
      <c r="O755" s="28" t="n">
        <v>21350</v>
      </c>
      <c r="P755" s="28" t="n">
        <v>38355</v>
      </c>
      <c r="Q755" s="28" t="n">
        <v>1809177</v>
      </c>
      <c r="R755" s="28" t="n">
        <v>0</v>
      </c>
      <c r="S755" s="28">
        <f>Q755-R755</f>
        <v/>
      </c>
      <c r="T755" s="28">
        <f>IF(S755="","",S755*(1+in_GrowthRate)^(YEARFRAC(DATE(2023,9,30),in_AgeToDate)*IF(in_AgeToDate&lt;DATE(2023,9,30),-1,1)+1))</f>
        <v/>
      </c>
      <c r="U755" s="50">
        <f>IF(AND(AND(OR(in_Mode="All Funds",AND(C755&gt;=in_BandFloor,C755&lt;=in_BandCeiling,OR(in_Geography="National",COUNTIFS(lst_GeoPreset,in_Geography,lst_GeoState,B755)&gt;0,AND(in_Geography="Custom",ISNUMBER(SEARCH(B755,SUBSTITUTE(in_CustomStates," ",""))))),OR(AND(D755="Endowment",Inputs!$B$14="Y"),AND(D755="Foundation",Inputs!$B$15="Y"),AND(D755="Healthcare",Inputs!$B$16="Y"),AND(D755="Pension",Inputs!$B$17="Y"),AND(D755="OCIO",Inputs!$B$18="Y"),AND(D755="Other",Inputs!$B$19="Y")))),A755&lt;&gt;in_ClientOrg,NOT(AND(in_ExclHarvard="Y",ISNUMBER(SEARCH("Harvard",A755))))),$AD755="Y",K755&lt;&gt;"",S755&gt;0),"Y","")</f>
        <v/>
      </c>
      <c r="V755" s="30" t="n">
        <v>0.5352585172925729</v>
      </c>
      <c r="W755" t="inlineStr"/>
      <c r="X755" s="28">
        <f>IF(L755+M755=0,"",L755+M755)</f>
        <v/>
      </c>
      <c r="Y755" s="38">
        <f>IF(L755=0,"",M755/L755)</f>
        <v/>
      </c>
      <c r="Z755" t="inlineStr">
        <is>
          <t>Other investment staff</t>
        </is>
      </c>
      <c r="AA755" t="inlineStr">
        <is>
          <t>Investments</t>
        </is>
      </c>
      <c r="AB755" s="50" t="inlineStr"/>
      <c r="AC755" s="43">
        <f>HYPERLINK("https://projects.propublica.org/nonprofits/organizations/43230035/202442269349300854/full","view filing")</f>
        <v/>
      </c>
      <c r="AD755" s="50" t="inlineStr"/>
    </row>
    <row r="756">
      <c r="A756" t="inlineStr">
        <is>
          <t>Mass General Brigham Incorporated</t>
        </is>
      </c>
      <c r="B756" s="50" t="inlineStr">
        <is>
          <t>MA</t>
        </is>
      </c>
      <c r="C756" s="52" t="n">
        <v>2.28</v>
      </c>
      <c r="D756" t="inlineStr">
        <is>
          <t>Healthcare</t>
        </is>
      </c>
      <c r="E756" s="50" t="n">
        <v>2022</v>
      </c>
      <c r="F756" s="50" t="inlineStr">
        <is>
          <t>2023-08-14</t>
        </is>
      </c>
      <c r="G756" s="50" t="inlineStr">
        <is>
          <t>2022-09-30</t>
        </is>
      </c>
      <c r="H756" t="inlineStr">
        <is>
          <t>Elizabeth L Baldwin</t>
        </is>
      </c>
      <c r="I756" t="inlineStr">
        <is>
          <t>PORTFOLIO MANAGER</t>
        </is>
      </c>
      <c r="J756" t="inlineStr">
        <is>
          <t>Portfolio Manager</t>
        </is>
      </c>
      <c r="K756" t="inlineStr">
        <is>
          <t>Sr Investment Professional</t>
        </is>
      </c>
      <c r="L756" s="28" t="n">
        <v>573577</v>
      </c>
      <c r="M756" s="28" t="n">
        <v>1189266</v>
      </c>
      <c r="N756" s="28" t="n">
        <v>50411</v>
      </c>
      <c r="O756" s="28" t="n">
        <v>20300</v>
      </c>
      <c r="P756" s="28" t="n">
        <v>31992</v>
      </c>
      <c r="Q756" s="28" t="n">
        <v>1865546</v>
      </c>
      <c r="R756" s="28" t="n">
        <v>0</v>
      </c>
      <c r="S756" s="28">
        <f>Q756-R756</f>
        <v/>
      </c>
      <c r="T756" s="28">
        <f>IF(S756="","",S756*(1+in_GrowthRate)^(YEARFRAC(DATE(2022,9,30),in_AgeToDate)*IF(in_AgeToDate&lt;DATE(2022,9,30),-1,1)+1))</f>
        <v/>
      </c>
      <c r="U756" s="50">
        <f>IF(AND(AND(OR(in_Mode="All Funds",AND(C756&gt;=in_BandFloor,C756&lt;=in_BandCeiling,OR(in_Geography="National",COUNTIFS(lst_GeoPreset,in_Geography,lst_GeoState,B756)&gt;0,AND(in_Geography="Custom",ISNUMBER(SEARCH(B756,SUBSTITUTE(in_CustomStates," ",""))))),OR(AND(D756="Endowment",Inputs!$B$14="Y"),AND(D756="Foundation",Inputs!$B$15="Y"),AND(D756="Healthcare",Inputs!$B$16="Y"),AND(D756="Pension",Inputs!$B$17="Y"),AND(D756="OCIO",Inputs!$B$18="Y"),AND(D756="Other",Inputs!$B$19="Y")))),A756&lt;&gt;in_ClientOrg,NOT(AND(in_ExclHarvard="Y",ISNUMBER(SEARCH("Harvard",A756))))),$AD756="Y",K756&lt;&gt;"",S756&gt;0),"Y","")</f>
        <v/>
      </c>
      <c r="V756" s="30" t="n">
        <v>0.532215276127474</v>
      </c>
      <c r="W756" t="inlineStr"/>
      <c r="X756" s="28">
        <f>IF(L756+M756=0,"",L756+M756)</f>
        <v/>
      </c>
      <c r="Y756" s="38">
        <f>IF(L756=0,"",M756/L756)</f>
        <v/>
      </c>
      <c r="Z756" t="inlineStr">
        <is>
          <t>Other investment staff</t>
        </is>
      </c>
      <c r="AA756" t="inlineStr">
        <is>
          <t>Investments</t>
        </is>
      </c>
      <c r="AB756" s="50" t="inlineStr"/>
      <c r="AC756" s="43">
        <f>HYPERLINK("https://projects.propublica.org/nonprofits/organizations/43230035/202342269349302779/full","view filing")</f>
        <v/>
      </c>
      <c r="AD756" s="50" t="inlineStr"/>
    </row>
    <row r="757">
      <c r="A757" t="inlineStr">
        <is>
          <t>Mass General Brigham Incorporated</t>
        </is>
      </c>
      <c r="B757" s="50" t="inlineStr">
        <is>
          <t>MA</t>
        </is>
      </c>
      <c r="C757" s="52" t="n">
        <v>2.28</v>
      </c>
      <c r="D757" t="inlineStr">
        <is>
          <t>Healthcare</t>
        </is>
      </c>
      <c r="E757" s="50" t="n">
        <v>2022</v>
      </c>
      <c r="F757" s="50" t="inlineStr">
        <is>
          <t>2023-08-14</t>
        </is>
      </c>
      <c r="G757" s="50" t="inlineStr">
        <is>
          <t>2022-09-30</t>
        </is>
      </c>
      <c r="H757" t="inlineStr">
        <is>
          <t>John R Barker</t>
        </is>
      </c>
      <c r="I757" t="inlineStr">
        <is>
          <t>CHIEF INVESTMENT OFFICER</t>
        </is>
      </c>
      <c r="J757" t="inlineStr">
        <is>
          <t>CIO</t>
        </is>
      </c>
      <c r="K757" t="inlineStr">
        <is>
          <t>CIO - Top Investment Executive</t>
        </is>
      </c>
      <c r="L757" s="28" t="n">
        <v>694500</v>
      </c>
      <c r="M757" s="28" t="n">
        <v>2664000</v>
      </c>
      <c r="N757" s="28" t="n">
        <v>87896</v>
      </c>
      <c r="O757" s="28" t="n">
        <v>26100</v>
      </c>
      <c r="P757" s="28" t="n">
        <v>32751</v>
      </c>
      <c r="Q757" s="28" t="n">
        <v>3505247</v>
      </c>
      <c r="R757" s="28" t="n">
        <v>0</v>
      </c>
      <c r="S757" s="28">
        <f>Q757-R757</f>
        <v/>
      </c>
      <c r="T757" s="28">
        <f>IF(S757="","",S757*(1+in_GrowthRate)^(YEARFRAC(DATE(2022,9,30),in_AgeToDate)*IF(in_AgeToDate&lt;DATE(2022,9,30),-1,1)+1))</f>
        <v/>
      </c>
      <c r="U757" s="50">
        <f>IF(AND(AND(OR(in_Mode="All Funds",AND(C757&gt;=in_BandFloor,C757&lt;=in_BandCeiling,OR(in_Geography="National",COUNTIFS(lst_GeoPreset,in_Geography,lst_GeoState,B757)&gt;0,AND(in_Geography="Custom",ISNUMBER(SEARCH(B757,SUBSTITUTE(in_CustomStates," ",""))))),OR(AND(D757="Endowment",Inputs!$B$14="Y"),AND(D757="Foundation",Inputs!$B$15="Y"),AND(D757="Healthcare",Inputs!$B$16="Y"),AND(D757="Pension",Inputs!$B$17="Y"),AND(D757="OCIO",Inputs!$B$18="Y"),AND(D757="Other",Inputs!$B$19="Y")))),A757&lt;&gt;in_ClientOrg,NOT(AND(in_ExclHarvard="Y",ISNUMBER(SEARCH("Harvard",A757))))),$AD757="Y",K757&lt;&gt;"",S757&gt;0),"Y","")</f>
        <v/>
      </c>
      <c r="V757" s="30" t="n">
        <v>1</v>
      </c>
      <c r="W757" t="inlineStr"/>
      <c r="X757" s="28">
        <f>IF(L757+M757=0,"",L757+M757)</f>
        <v/>
      </c>
      <c r="Y757" s="38">
        <f>IF(L757=0,"",M757/L757)</f>
        <v/>
      </c>
      <c r="Z757" t="inlineStr">
        <is>
          <t>CIO - Top Investment Executive</t>
        </is>
      </c>
      <c r="AA757" t="inlineStr">
        <is>
          <t>Leadership</t>
        </is>
      </c>
      <c r="AB757" s="50" t="inlineStr">
        <is>
          <t>Y</t>
        </is>
      </c>
      <c r="AC757" s="43">
        <f>HYPERLINK("https://projects.propublica.org/nonprofits/organizations/43230035/202342269349302779/full","view filing")</f>
        <v/>
      </c>
      <c r="AD757" s="50" t="inlineStr"/>
    </row>
    <row r="758">
      <c r="A758" t="inlineStr">
        <is>
          <t>Mass General Brigham Incorporated</t>
        </is>
      </c>
      <c r="B758" s="50" t="inlineStr">
        <is>
          <t>MA</t>
        </is>
      </c>
      <c r="C758" s="52" t="n">
        <v>2.28</v>
      </c>
      <c r="D758" t="inlineStr">
        <is>
          <t>Healthcare</t>
        </is>
      </c>
      <c r="E758" s="50" t="n">
        <v>2022</v>
      </c>
      <c r="F758" s="50" t="inlineStr">
        <is>
          <t>2023-08-14</t>
        </is>
      </c>
      <c r="G758" s="50" t="inlineStr">
        <is>
          <t>2022-09-30</t>
        </is>
      </c>
      <c r="H758" t="inlineStr">
        <is>
          <t>Katherine L Kamm</t>
        </is>
      </c>
      <c r="I758" t="inlineStr">
        <is>
          <t>PORTFOLIO MANAGER</t>
        </is>
      </c>
      <c r="J758" t="inlineStr">
        <is>
          <t>Portfolio Manager</t>
        </is>
      </c>
      <c r="K758" t="inlineStr">
        <is>
          <t>Sr Investment Professional</t>
        </is>
      </c>
      <c r="L758" s="28" t="n">
        <v>559846</v>
      </c>
      <c r="M758" s="28" t="n">
        <v>1121405</v>
      </c>
      <c r="N758" s="28" t="n">
        <v>50413</v>
      </c>
      <c r="O758" s="28" t="n">
        <v>20300</v>
      </c>
      <c r="P758" s="28" t="n">
        <v>13422</v>
      </c>
      <c r="Q758" s="28" t="n">
        <v>1765386</v>
      </c>
      <c r="R758" s="28" t="n">
        <v>0</v>
      </c>
      <c r="S758" s="28">
        <f>Q758-R758</f>
        <v/>
      </c>
      <c r="T758" s="28">
        <f>IF(S758="","",S758*(1+in_GrowthRate)^(YEARFRAC(DATE(2022,9,30),in_AgeToDate)*IF(in_AgeToDate&lt;DATE(2022,9,30),-1,1)+1))</f>
        <v/>
      </c>
      <c r="U758" s="50">
        <f>IF(AND(AND(OR(in_Mode="All Funds",AND(C758&gt;=in_BandFloor,C758&lt;=in_BandCeiling,OR(in_Geography="National",COUNTIFS(lst_GeoPreset,in_Geography,lst_GeoState,B758)&gt;0,AND(in_Geography="Custom",ISNUMBER(SEARCH(B758,SUBSTITUTE(in_CustomStates," ",""))))),OR(AND(D758="Endowment",Inputs!$B$14="Y"),AND(D758="Foundation",Inputs!$B$15="Y"),AND(D758="Healthcare",Inputs!$B$16="Y"),AND(D758="Pension",Inputs!$B$17="Y"),AND(D758="OCIO",Inputs!$B$18="Y"),AND(D758="Other",Inputs!$B$19="Y")))),A758&lt;&gt;in_ClientOrg,NOT(AND(in_ExclHarvard="Y",ISNUMBER(SEARCH("Harvard",A758))))),$AD758="Y",K758&lt;&gt;"",S758&gt;0),"Y","")</f>
        <v/>
      </c>
      <c r="V758" s="30" t="n">
        <v>0.5036409702369048</v>
      </c>
      <c r="W758" t="inlineStr"/>
      <c r="X758" s="28">
        <f>IF(L758+M758=0,"",L758+M758)</f>
        <v/>
      </c>
      <c r="Y758" s="38">
        <f>IF(L758=0,"",M758/L758)</f>
        <v/>
      </c>
      <c r="Z758" t="inlineStr">
        <is>
          <t>Other investment staff</t>
        </is>
      </c>
      <c r="AA758" t="inlineStr">
        <is>
          <t>Investments</t>
        </is>
      </c>
      <c r="AB758" s="50" t="inlineStr"/>
      <c r="AC758" s="43">
        <f>HYPERLINK("https://projects.propublica.org/nonprofits/organizations/43230035/202342269349302779/full","view filing")</f>
        <v/>
      </c>
      <c r="AD758" s="50" t="inlineStr"/>
    </row>
    <row r="759">
      <c r="A759" t="inlineStr">
        <is>
          <t>Massachusetts Institute Of Technology</t>
        </is>
      </c>
      <c r="B759" s="50" t="inlineStr">
        <is>
          <t>MA</t>
        </is>
      </c>
      <c r="C759" s="52" t="n">
        <v>27.37</v>
      </c>
      <c r="D759" t="inlineStr">
        <is>
          <t>Endowment</t>
        </is>
      </c>
      <c r="E759" s="50" t="n">
        <v>2025</v>
      </c>
      <c r="F759" s="50" t="inlineStr">
        <is>
          <t>2026-05-15</t>
        </is>
      </c>
      <c r="G759" s="50" t="inlineStr">
        <is>
          <t>2025-06-30</t>
        </is>
      </c>
      <c r="H759" t="inlineStr">
        <is>
          <t>Joel Cohen</t>
        </is>
      </c>
      <c r="I759" t="inlineStr">
        <is>
          <t>Global Investment Professional, MITIMCo</t>
        </is>
      </c>
      <c r="J759" t="inlineStr">
        <is>
          <t>Investment Officer</t>
        </is>
      </c>
      <c r="K759" t="inlineStr">
        <is>
          <t>Sr Investment Professional</t>
        </is>
      </c>
      <c r="L759" s="28" t="n">
        <v>539270</v>
      </c>
      <c r="M759" s="28" t="n">
        <v>1580662</v>
      </c>
      <c r="N759" s="28" t="n">
        <v>12879</v>
      </c>
      <c r="O759" s="28" t="n">
        <v>443550</v>
      </c>
      <c r="P759" s="28" t="n">
        <v>34474</v>
      </c>
      <c r="Q759" s="28" t="n">
        <v>2610835</v>
      </c>
      <c r="R759" s="28" t="n">
        <v>0</v>
      </c>
      <c r="S759" s="28">
        <f>Q759-R759</f>
        <v/>
      </c>
      <c r="T759" s="28">
        <f>IF(S759="","",S759*(1+in_GrowthRate)^(YEARFRAC(DATE(2025,6,30),in_AgeToDate)*IF(in_AgeToDate&lt;DATE(2025,6,30),-1,1)+1))</f>
        <v/>
      </c>
      <c r="U759" s="50">
        <f>IF(AND(AND(OR(in_Mode="All Funds",AND(C759&gt;=in_BandFloor,C759&lt;=in_BandCeiling,OR(in_Geography="National",COUNTIFS(lst_GeoPreset,in_Geography,lst_GeoState,B759)&gt;0,AND(in_Geography="Custom",ISNUMBER(SEARCH(B759,SUBSTITUTE(in_CustomStates," ",""))))),OR(AND(D759="Endowment",Inputs!$B$14="Y"),AND(D759="Foundation",Inputs!$B$15="Y"),AND(D759="Healthcare",Inputs!$B$16="Y"),AND(D759="Pension",Inputs!$B$17="Y"),AND(D759="OCIO",Inputs!$B$18="Y"),AND(D759="Other",Inputs!$B$19="Y")))),A759&lt;&gt;in_ClientOrg,NOT(AND(in_ExclHarvard="Y",ISNUMBER(SEARCH("Harvard",A759))))),$AD759="Y",K759&lt;&gt;"",S759&gt;0),"Y","")</f>
        <v/>
      </c>
      <c r="V759" s="30" t="n">
        <v>0.6813149504978141</v>
      </c>
      <c r="W759" t="inlineStr"/>
      <c r="X759" s="28">
        <f>IF(L759+M759=0,"",L759+M759)</f>
        <v/>
      </c>
      <c r="Y759" s="38">
        <f>IF(L759=0,"",M759/L759)</f>
        <v/>
      </c>
      <c r="Z759" t="inlineStr">
        <is>
          <t>Managing Director</t>
        </is>
      </c>
      <c r="AA759" t="inlineStr">
        <is>
          <t>Investments</t>
        </is>
      </c>
      <c r="AB759" s="50" t="inlineStr"/>
      <c r="AC759" s="43">
        <f>HYPERLINK("https://projects.propublica.org/nonprofits/organizations/42103594/202601359349306115/full","view filing")</f>
        <v/>
      </c>
      <c r="AD759" s="50" t="inlineStr">
        <is>
          <t>Y</t>
        </is>
      </c>
    </row>
    <row r="760">
      <c r="A760" t="inlineStr">
        <is>
          <t>Massachusetts Institute Of Technology</t>
        </is>
      </c>
      <c r="B760" s="50" t="inlineStr">
        <is>
          <t>MA</t>
        </is>
      </c>
      <c r="C760" s="52" t="n">
        <v>27.37</v>
      </c>
      <c r="D760" t="inlineStr">
        <is>
          <t>Endowment</t>
        </is>
      </c>
      <c r="E760" s="50" t="n">
        <v>2025</v>
      </c>
      <c r="F760" s="50" t="inlineStr">
        <is>
          <t>2026-05-15</t>
        </is>
      </c>
      <c r="G760" s="50" t="inlineStr">
        <is>
          <t>2025-06-30</t>
        </is>
      </c>
      <c r="H760" t="inlineStr">
        <is>
          <t>Navneeth Harikumar</t>
        </is>
      </c>
      <c r="I760" t="inlineStr">
        <is>
          <t>Global Investment Professional, MITIMCo</t>
        </is>
      </c>
      <c r="J760" t="inlineStr">
        <is>
          <t>Investment Officer</t>
        </is>
      </c>
      <c r="K760" t="inlineStr">
        <is>
          <t>Sr Investment Professional</t>
        </is>
      </c>
      <c r="L760" s="28" t="n">
        <v>546870</v>
      </c>
      <c r="M760" s="28" t="n">
        <v>1859594</v>
      </c>
      <c r="N760" s="28" t="n">
        <v>0</v>
      </c>
      <c r="O760" s="28" t="n">
        <v>511803</v>
      </c>
      <c r="P760" s="28" t="n">
        <v>11718</v>
      </c>
      <c r="Q760" s="28" t="n">
        <v>2929985</v>
      </c>
      <c r="R760" s="28" t="n">
        <v>392414</v>
      </c>
      <c r="S760" s="28">
        <f>Q760-R760</f>
        <v/>
      </c>
      <c r="T760" s="28">
        <f>IF(S760="","",S760*(1+in_GrowthRate)^(YEARFRAC(DATE(2025,6,30),in_AgeToDate)*IF(in_AgeToDate&lt;DATE(2025,6,30),-1,1)+1))</f>
        <v/>
      </c>
      <c r="U760" s="50">
        <f>IF(AND(AND(OR(in_Mode="All Funds",AND(C760&gt;=in_BandFloor,C760&lt;=in_BandCeiling,OR(in_Geography="National",COUNTIFS(lst_GeoPreset,in_Geography,lst_GeoState,B760)&gt;0,AND(in_Geography="Custom",ISNUMBER(SEARCH(B760,SUBSTITUTE(in_CustomStates," ",""))))),OR(AND(D760="Endowment",Inputs!$B$14="Y"),AND(D760="Foundation",Inputs!$B$15="Y"),AND(D760="Healthcare",Inputs!$B$16="Y"),AND(D760="Pension",Inputs!$B$17="Y"),AND(D760="OCIO",Inputs!$B$18="Y"),AND(D760="Other",Inputs!$B$19="Y")))),A760&lt;&gt;in_ClientOrg,NOT(AND(in_ExclHarvard="Y",ISNUMBER(SEARCH("Harvard",A760))))),$AD760="Y",K760&lt;&gt;"",S760&gt;0),"Y","")</f>
        <v/>
      </c>
      <c r="V760" s="30" t="n">
        <v>0.6621962170147438</v>
      </c>
      <c r="W760" t="inlineStr"/>
      <c r="X760" s="28">
        <f>IF(L760+M760=0,"",L760+M760)</f>
        <v/>
      </c>
      <c r="Y760" s="38">
        <f>IF(L760=0,"",M760/L760)</f>
        <v/>
      </c>
      <c r="Z760" t="inlineStr">
        <is>
          <t>Managing Director</t>
        </is>
      </c>
      <c r="AA760" t="inlineStr">
        <is>
          <t>Investments</t>
        </is>
      </c>
      <c r="AB760" s="50" t="inlineStr"/>
      <c r="AC760" s="43">
        <f>HYPERLINK("https://projects.propublica.org/nonprofits/organizations/42103594/202601359349306115/full","view filing")</f>
        <v/>
      </c>
      <c r="AD760" s="50" t="inlineStr">
        <is>
          <t>Y</t>
        </is>
      </c>
    </row>
    <row r="761">
      <c r="A761" t="inlineStr">
        <is>
          <t>Massachusetts Institute Of Technology</t>
        </is>
      </c>
      <c r="B761" s="50" t="inlineStr">
        <is>
          <t>MA</t>
        </is>
      </c>
      <c r="C761" s="52" t="n">
        <v>27.37</v>
      </c>
      <c r="D761" t="inlineStr">
        <is>
          <t>Endowment</t>
        </is>
      </c>
      <c r="E761" s="50" t="n">
        <v>2025</v>
      </c>
      <c r="F761" s="50" t="inlineStr">
        <is>
          <t>2026-05-15</t>
        </is>
      </c>
      <c r="G761" s="50" t="inlineStr">
        <is>
          <t>2025-06-30</t>
        </is>
      </c>
      <c r="H761" t="inlineStr">
        <is>
          <t>Ryan Akkina</t>
        </is>
      </c>
      <c r="I761" t="inlineStr">
        <is>
          <t>Global Investment Professional, MITIMCo</t>
        </is>
      </c>
      <c r="J761" t="inlineStr">
        <is>
          <t>Investment Officer</t>
        </is>
      </c>
      <c r="K761" t="inlineStr">
        <is>
          <t>Sr Investment Professional</t>
        </is>
      </c>
      <c r="L761" s="28" t="n">
        <v>534255</v>
      </c>
      <c r="M761" s="28" t="n">
        <v>1823473</v>
      </c>
      <c r="N761" s="28" t="n">
        <v>15064</v>
      </c>
      <c r="O761" s="28" t="n">
        <v>506050</v>
      </c>
      <c r="P761" s="28" t="n">
        <v>40489</v>
      </c>
      <c r="Q761" s="28" t="n">
        <v>2919331</v>
      </c>
      <c r="R761" s="28" t="n">
        <v>356293</v>
      </c>
      <c r="S761" s="28">
        <f>Q761-R761</f>
        <v/>
      </c>
      <c r="T761" s="28">
        <f>IF(S761="","",S761*(1+in_GrowthRate)^(YEARFRAC(DATE(2025,6,30),in_AgeToDate)*IF(in_AgeToDate&lt;DATE(2025,6,30),-1,1)+1))</f>
        <v/>
      </c>
      <c r="U761" s="50">
        <f>IF(AND(AND(OR(in_Mode="All Funds",AND(C761&gt;=in_BandFloor,C761&lt;=in_BandCeiling,OR(in_Geography="National",COUNTIFS(lst_GeoPreset,in_Geography,lst_GeoState,B761)&gt;0,AND(in_Geography="Custom",ISNUMBER(SEARCH(B761,SUBSTITUTE(in_CustomStates," ",""))))),OR(AND(D761="Endowment",Inputs!$B$14="Y"),AND(D761="Foundation",Inputs!$B$15="Y"),AND(D761="Healthcare",Inputs!$B$16="Y"),AND(D761="Pension",Inputs!$B$17="Y"),AND(D761="OCIO",Inputs!$B$18="Y"),AND(D761="Other",Inputs!$B$19="Y")))),A761&lt;&gt;in_ClientOrg,NOT(AND(in_ExclHarvard="Y",ISNUMBER(SEARCH("Harvard",A761))))),$AD761="Y",K761&lt;&gt;"",S761&gt;0),"Y","")</f>
        <v/>
      </c>
      <c r="V761" s="30" t="n">
        <v>0.6688420019242949</v>
      </c>
      <c r="W761" t="inlineStr"/>
      <c r="X761" s="28">
        <f>IF(L761+M761=0,"",L761+M761)</f>
        <v/>
      </c>
      <c r="Y761" s="38">
        <f>IF(L761=0,"",M761/L761)</f>
        <v/>
      </c>
      <c r="Z761" t="inlineStr">
        <is>
          <t>Managing Director</t>
        </is>
      </c>
      <c r="AA761" t="inlineStr">
        <is>
          <t>Investments</t>
        </is>
      </c>
      <c r="AB761" s="50" t="inlineStr"/>
      <c r="AC761" s="43">
        <f>HYPERLINK("https://projects.propublica.org/nonprofits/organizations/42103594/202601359349306115/full","view filing")</f>
        <v/>
      </c>
      <c r="AD761" s="50" t="inlineStr">
        <is>
          <t>Y</t>
        </is>
      </c>
    </row>
    <row r="762">
      <c r="A762" t="inlineStr">
        <is>
          <t>Massachusetts Institute Of Technology</t>
        </is>
      </c>
      <c r="B762" s="50" t="inlineStr">
        <is>
          <t>MA</t>
        </is>
      </c>
      <c r="C762" s="52" t="n">
        <v>27.37</v>
      </c>
      <c r="D762" t="inlineStr">
        <is>
          <t>Endowment</t>
        </is>
      </c>
      <c r="E762" s="50" t="n">
        <v>2025</v>
      </c>
      <c r="F762" s="50" t="inlineStr">
        <is>
          <t>2026-05-15</t>
        </is>
      </c>
      <c r="G762" s="50" t="inlineStr">
        <is>
          <t>2025-06-30</t>
        </is>
      </c>
      <c r="H762" t="inlineStr">
        <is>
          <t>Seth Alexander</t>
        </is>
      </c>
      <c r="I762" t="inlineStr">
        <is>
          <t>President of MITIMCo</t>
        </is>
      </c>
      <c r="J762" t="inlineStr">
        <is>
          <t>CEO (Inv Entity)</t>
        </is>
      </c>
      <c r="K762" t="inlineStr">
        <is>
          <t>CIO - Top Investment Executive</t>
        </is>
      </c>
      <c r="L762" s="28" t="n">
        <v>994577</v>
      </c>
      <c r="M762" s="28" t="n">
        <v>2788083</v>
      </c>
      <c r="N762" s="28" t="n">
        <v>62415</v>
      </c>
      <c r="O762" s="28" t="n">
        <v>581546</v>
      </c>
      <c r="P762" s="28" t="n">
        <v>35769</v>
      </c>
      <c r="Q762" s="28" t="n">
        <v>4462390</v>
      </c>
      <c r="R762" s="28" t="n">
        <v>630337</v>
      </c>
      <c r="S762" s="28">
        <f>Q762-R762</f>
        <v/>
      </c>
      <c r="T762" s="28">
        <f>IF(S762="","",S762*(1+in_GrowthRate)^(YEARFRAC(DATE(2025,6,30),in_AgeToDate)*IF(in_AgeToDate&lt;DATE(2025,6,30),-1,1)+1))</f>
        <v/>
      </c>
      <c r="U762" s="50">
        <f>IF(AND(AND(OR(in_Mode="All Funds",AND(C762&gt;=in_BandFloor,C762&lt;=in_BandCeiling,OR(in_Geography="National",COUNTIFS(lst_GeoPreset,in_Geography,lst_GeoState,B762)&gt;0,AND(in_Geography="Custom",ISNUMBER(SEARCH(B762,SUBSTITUTE(in_CustomStates," ",""))))),OR(AND(D762="Endowment",Inputs!$B$14="Y"),AND(D762="Foundation",Inputs!$B$15="Y"),AND(D762="Healthcare",Inputs!$B$16="Y"),AND(D762="Pension",Inputs!$B$17="Y"),AND(D762="OCIO",Inputs!$B$18="Y"),AND(D762="Other",Inputs!$B$19="Y")))),A762&lt;&gt;in_ClientOrg,NOT(AND(in_ExclHarvard="Y",ISNUMBER(SEARCH("Harvard",A762))))),$AD762="Y",K762&lt;&gt;"",S762&gt;0),"Y","")</f>
        <v/>
      </c>
      <c r="V762" s="30" t="n">
        <v>1</v>
      </c>
      <c r="W762" t="inlineStr"/>
      <c r="X762" s="28">
        <f>IF(L762+M762=0,"",L762+M762)</f>
        <v/>
      </c>
      <c r="Y762" s="38">
        <f>IF(L762=0,"",M762/L762)</f>
        <v/>
      </c>
      <c r="Z762" t="inlineStr">
        <is>
          <t>CIO - Top Investment Executive</t>
        </is>
      </c>
      <c r="AA762" t="inlineStr">
        <is>
          <t>Leadership</t>
        </is>
      </c>
      <c r="AB762" s="50" t="inlineStr">
        <is>
          <t>Y</t>
        </is>
      </c>
      <c r="AC762" s="43">
        <f>HYPERLINK("https://projects.propublica.org/nonprofits/organizations/42103594/202601359349306115/full","view filing")</f>
        <v/>
      </c>
      <c r="AD762" s="50" t="inlineStr">
        <is>
          <t>Y</t>
        </is>
      </c>
    </row>
    <row r="763">
      <c r="A763" t="inlineStr">
        <is>
          <t>Massachusetts Institute Of Technology</t>
        </is>
      </c>
      <c r="B763" s="50" t="inlineStr">
        <is>
          <t>MA</t>
        </is>
      </c>
      <c r="C763" s="52" t="n">
        <v>27.37</v>
      </c>
      <c r="D763" t="inlineStr">
        <is>
          <t>Endowment</t>
        </is>
      </c>
      <c r="E763" s="50" t="n">
        <v>2025</v>
      </c>
      <c r="F763" s="50" t="inlineStr">
        <is>
          <t>2026-05-15</t>
        </is>
      </c>
      <c r="G763" s="50" t="inlineStr">
        <is>
          <t>2025-06-30</t>
        </is>
      </c>
      <c r="H763" t="inlineStr">
        <is>
          <t>Thomas Wieand</t>
        </is>
      </c>
      <c r="I763" t="inlineStr">
        <is>
          <t>Global Investment Professional, MITIMCo</t>
        </is>
      </c>
      <c r="J763" t="inlineStr">
        <is>
          <t>Investment Officer</t>
        </is>
      </c>
      <c r="K763" t="inlineStr">
        <is>
          <t>Sr Investment Professional</t>
        </is>
      </c>
      <c r="L763" s="28" t="n">
        <v>537103</v>
      </c>
      <c r="M763" s="28" t="n">
        <v>1857245</v>
      </c>
      <c r="N763" s="28" t="n">
        <v>17456</v>
      </c>
      <c r="O763" s="28" t="n">
        <v>525450</v>
      </c>
      <c r="P763" s="28" t="n">
        <v>36641</v>
      </c>
      <c r="Q763" s="28" t="n">
        <v>2973895</v>
      </c>
      <c r="R763" s="28" t="n">
        <v>351455</v>
      </c>
      <c r="S763" s="28">
        <f>Q763-R763</f>
        <v/>
      </c>
      <c r="T763" s="28">
        <f>IF(S763="","",S763*(1+in_GrowthRate)^(YEARFRAC(DATE(2025,6,30),in_AgeToDate)*IF(in_AgeToDate&lt;DATE(2025,6,30),-1,1)+1))</f>
        <v/>
      </c>
      <c r="U763" s="50">
        <f>IF(AND(AND(OR(in_Mode="All Funds",AND(C763&gt;=in_BandFloor,C763&lt;=in_BandCeiling,OR(in_Geography="National",COUNTIFS(lst_GeoPreset,in_Geography,lst_GeoState,B763)&gt;0,AND(in_Geography="Custom",ISNUMBER(SEARCH(B763,SUBSTITUTE(in_CustomStates," ",""))))),OR(AND(D763="Endowment",Inputs!$B$14="Y"),AND(D763="Foundation",Inputs!$B$15="Y"),AND(D763="Healthcare",Inputs!$B$16="Y"),AND(D763="Pension",Inputs!$B$17="Y"),AND(D763="OCIO",Inputs!$B$18="Y"),AND(D763="Other",Inputs!$B$19="Y")))),A763&lt;&gt;in_ClientOrg,NOT(AND(in_ExclHarvard="Y",ISNUMBER(SEARCH("Harvard",A763))))),$AD763="Y",K763&lt;&gt;"",S763&gt;0),"Y","")</f>
        <v/>
      </c>
      <c r="V763" s="30" t="n">
        <v>0.6843433532886941</v>
      </c>
      <c r="W763" t="inlineStr"/>
      <c r="X763" s="28">
        <f>IF(L763+M763=0,"",L763+M763)</f>
        <v/>
      </c>
      <c r="Y763" s="38">
        <f>IF(L763=0,"",M763/L763)</f>
        <v/>
      </c>
      <c r="Z763" t="inlineStr">
        <is>
          <t>Managing Director</t>
        </is>
      </c>
      <c r="AA763" t="inlineStr">
        <is>
          <t>Investments</t>
        </is>
      </c>
      <c r="AB763" s="50" t="inlineStr"/>
      <c r="AC763" s="43">
        <f>HYPERLINK("https://projects.propublica.org/nonprofits/organizations/42103594/202601359349306115/full","view filing")</f>
        <v/>
      </c>
      <c r="AD763" s="50" t="inlineStr">
        <is>
          <t>Y</t>
        </is>
      </c>
    </row>
    <row r="764">
      <c r="A764" t="inlineStr">
        <is>
          <t>Massachusetts Institute Of Technology</t>
        </is>
      </c>
      <c r="B764" s="50" t="inlineStr">
        <is>
          <t>MA</t>
        </is>
      </c>
      <c r="C764" s="52" t="n">
        <v>27.37</v>
      </c>
      <c r="D764" t="inlineStr">
        <is>
          <t>Endowment</t>
        </is>
      </c>
      <c r="E764" s="50" t="n">
        <v>2024</v>
      </c>
      <c r="F764" s="50" t="inlineStr">
        <is>
          <t>2025-05-15</t>
        </is>
      </c>
      <c r="G764" s="50" t="inlineStr">
        <is>
          <t>2024-06-30</t>
        </is>
      </c>
      <c r="H764" t="inlineStr">
        <is>
          <t>Navneeth Harikumar</t>
        </is>
      </c>
      <c r="I764" t="inlineStr">
        <is>
          <t>Global Investment Professional, MITIMCo</t>
        </is>
      </c>
      <c r="J764" t="inlineStr">
        <is>
          <t>Investment Officer</t>
        </is>
      </c>
      <c r="K764" t="inlineStr">
        <is>
          <t>Sr Investment Professional</t>
        </is>
      </c>
      <c r="L764" s="28" t="n">
        <v>321076</v>
      </c>
      <c r="M764" s="28" t="n">
        <v>1456051</v>
      </c>
      <c r="N764" s="28" t="n">
        <v>0</v>
      </c>
      <c r="O764" s="28" t="n">
        <v>509618</v>
      </c>
      <c r="P764" s="28" t="n">
        <v>11612</v>
      </c>
      <c r="Q764" s="28" t="n">
        <v>2298357</v>
      </c>
      <c r="R764" s="28" t="n">
        <v>0</v>
      </c>
      <c r="S764" s="28">
        <f>Q764-R764</f>
        <v/>
      </c>
      <c r="T764" s="28">
        <f>IF(S764="","",S764*(1+in_GrowthRate)^(YEARFRAC(DATE(2024,6,30),in_AgeToDate)*IF(in_AgeToDate&lt;DATE(2024,6,30),-1,1)+1))</f>
        <v/>
      </c>
      <c r="U764" s="50">
        <f>IF(AND(AND(OR(in_Mode="All Funds",AND(C764&gt;=in_BandFloor,C764&lt;=in_BandCeiling,OR(in_Geography="National",COUNTIFS(lst_GeoPreset,in_Geography,lst_GeoState,B764)&gt;0,AND(in_Geography="Custom",ISNUMBER(SEARCH(B764,SUBSTITUTE(in_CustomStates," ",""))))),OR(AND(D764="Endowment",Inputs!$B$14="Y"),AND(D764="Foundation",Inputs!$B$15="Y"),AND(D764="Healthcare",Inputs!$B$16="Y"),AND(D764="Pension",Inputs!$B$17="Y"),AND(D764="OCIO",Inputs!$B$18="Y"),AND(D764="Other",Inputs!$B$19="Y")))),A764&lt;&gt;in_ClientOrg,NOT(AND(in_ExclHarvard="Y",ISNUMBER(SEARCH("Harvard",A764))))),$AD764="Y",K764&lt;&gt;"",S764&gt;0),"Y","")</f>
        <v/>
      </c>
      <c r="V764" s="30" t="n">
        <v>0.6782198932485995</v>
      </c>
      <c r="W764" t="inlineStr"/>
      <c r="X764" s="28">
        <f>IF(L764+M764=0,"",L764+M764)</f>
        <v/>
      </c>
      <c r="Y764" s="38">
        <f>IF(L764=0,"",M764/L764)</f>
        <v/>
      </c>
      <c r="Z764" t="inlineStr">
        <is>
          <t>Managing Director</t>
        </is>
      </c>
      <c r="AA764" t="inlineStr">
        <is>
          <t>Investments</t>
        </is>
      </c>
      <c r="AB764" s="50" t="inlineStr"/>
      <c r="AC764" s="43">
        <f>HYPERLINK("https://projects.propublica.org/nonprofits/organizations/42103594/202501359349301830/full","view filing")</f>
        <v/>
      </c>
      <c r="AD764" s="50" t="inlineStr"/>
    </row>
    <row r="765">
      <c r="A765" t="inlineStr">
        <is>
          <t>Massachusetts Institute Of Technology</t>
        </is>
      </c>
      <c r="B765" s="50" t="inlineStr">
        <is>
          <t>MA</t>
        </is>
      </c>
      <c r="C765" s="52" t="n">
        <v>27.37</v>
      </c>
      <c r="D765" t="inlineStr">
        <is>
          <t>Endowment</t>
        </is>
      </c>
      <c r="E765" s="50" t="n">
        <v>2024</v>
      </c>
      <c r="F765" s="50" t="inlineStr">
        <is>
          <t>2025-05-15</t>
        </is>
      </c>
      <c r="G765" s="50" t="inlineStr">
        <is>
          <t>2024-06-30</t>
        </is>
      </c>
      <c r="H765" t="inlineStr">
        <is>
          <t>Ryan Akkina</t>
        </is>
      </c>
      <c r="I765" t="inlineStr">
        <is>
          <t>Global Investment Professional, MITIMCo</t>
        </is>
      </c>
      <c r="J765" t="inlineStr">
        <is>
          <t>Investment Officer</t>
        </is>
      </c>
      <c r="K765" t="inlineStr">
        <is>
          <t>Sr Investment Professional</t>
        </is>
      </c>
      <c r="L765" s="28" t="n">
        <v>464691</v>
      </c>
      <c r="M765" s="28" t="n">
        <v>1340506</v>
      </c>
      <c r="N765" s="28" t="n">
        <v>15716</v>
      </c>
      <c r="O765" s="28" t="n">
        <v>504700</v>
      </c>
      <c r="P765" s="28" t="n">
        <v>38113</v>
      </c>
      <c r="Q765" s="28" t="n">
        <v>2363726</v>
      </c>
      <c r="R765" s="28" t="n">
        <v>339117</v>
      </c>
      <c r="S765" s="28">
        <f>Q765-R765</f>
        <v/>
      </c>
      <c r="T765" s="28">
        <f>IF(S765="","",S765*(1+in_GrowthRate)^(YEARFRAC(DATE(2024,6,30),in_AgeToDate)*IF(in_AgeToDate&lt;DATE(2024,6,30),-1,1)+1))</f>
        <v/>
      </c>
      <c r="U765" s="50">
        <f>IF(AND(AND(OR(in_Mode="All Funds",AND(C765&gt;=in_BandFloor,C765&lt;=in_BandCeiling,OR(in_Geography="National",COUNTIFS(lst_GeoPreset,in_Geography,lst_GeoState,B765)&gt;0,AND(in_Geography="Custom",ISNUMBER(SEARCH(B765,SUBSTITUTE(in_CustomStates," ",""))))),OR(AND(D765="Endowment",Inputs!$B$14="Y"),AND(D765="Foundation",Inputs!$B$15="Y"),AND(D765="Healthcare",Inputs!$B$16="Y"),AND(D765="Pension",Inputs!$B$17="Y"),AND(D765="OCIO",Inputs!$B$18="Y"),AND(D765="Other",Inputs!$B$19="Y")))),A765&lt;&gt;in_ClientOrg,NOT(AND(in_ExclHarvard="Y",ISNUMBER(SEARCH("Harvard",A765))))),$AD765="Y",K765&lt;&gt;"",S765&gt;0),"Y","")</f>
        <v/>
      </c>
      <c r="V765" s="30" t="n">
        <v>0.5974398667614099</v>
      </c>
      <c r="W765" t="inlineStr"/>
      <c r="X765" s="28">
        <f>IF(L765+M765=0,"",L765+M765)</f>
        <v/>
      </c>
      <c r="Y765" s="38">
        <f>IF(L765=0,"",M765/L765)</f>
        <v/>
      </c>
      <c r="Z765" t="inlineStr">
        <is>
          <t>Managing Director</t>
        </is>
      </c>
      <c r="AA765" t="inlineStr">
        <is>
          <t>Investments</t>
        </is>
      </c>
      <c r="AB765" s="50" t="inlineStr"/>
      <c r="AC765" s="43">
        <f>HYPERLINK("https://projects.propublica.org/nonprofits/organizations/42103594/202501359349301830/full","view filing")</f>
        <v/>
      </c>
      <c r="AD765" s="50" t="inlineStr"/>
    </row>
    <row r="766">
      <c r="A766" t="inlineStr">
        <is>
          <t>Massachusetts Institute Of Technology</t>
        </is>
      </c>
      <c r="B766" s="50" t="inlineStr">
        <is>
          <t>MA</t>
        </is>
      </c>
      <c r="C766" s="52" t="n">
        <v>27.37</v>
      </c>
      <c r="D766" t="inlineStr">
        <is>
          <t>Endowment</t>
        </is>
      </c>
      <c r="E766" s="50" t="n">
        <v>2024</v>
      </c>
      <c r="F766" s="50" t="inlineStr">
        <is>
          <t>2025-05-15</t>
        </is>
      </c>
      <c r="G766" s="50" t="inlineStr">
        <is>
          <t>2024-06-30</t>
        </is>
      </c>
      <c r="H766" t="inlineStr">
        <is>
          <t>Seth Alexander</t>
        </is>
      </c>
      <c r="I766" t="inlineStr">
        <is>
          <t>President of MITIMCo</t>
        </is>
      </c>
      <c r="J766" t="inlineStr">
        <is>
          <t>CEO (Inv Entity)</t>
        </is>
      </c>
      <c r="K766" t="inlineStr">
        <is>
          <t>CIO - Top Investment Executive</t>
        </is>
      </c>
      <c r="L766" s="28" t="n">
        <v>941458</v>
      </c>
      <c r="M766" s="28" t="n">
        <v>2131720</v>
      </c>
      <c r="N766" s="28" t="n">
        <v>61688</v>
      </c>
      <c r="O766" s="28" t="n">
        <v>579596</v>
      </c>
      <c r="P766" s="28" t="n">
        <v>33852</v>
      </c>
      <c r="Q766" s="28" t="n">
        <v>3748314</v>
      </c>
      <c r="R766" s="28" t="n">
        <v>359506</v>
      </c>
      <c r="S766" s="28">
        <f>Q766-R766</f>
        <v/>
      </c>
      <c r="T766" s="28">
        <f>IF(S766="","",S766*(1+in_GrowthRate)^(YEARFRAC(DATE(2024,6,30),in_AgeToDate)*IF(in_AgeToDate&lt;DATE(2024,6,30),-1,1)+1))</f>
        <v/>
      </c>
      <c r="U766" s="50">
        <f>IF(AND(AND(OR(in_Mode="All Funds",AND(C766&gt;=in_BandFloor,C766&lt;=in_BandCeiling,OR(in_Geography="National",COUNTIFS(lst_GeoPreset,in_Geography,lst_GeoState,B766)&gt;0,AND(in_Geography="Custom",ISNUMBER(SEARCH(B766,SUBSTITUTE(in_CustomStates," ",""))))),OR(AND(D766="Endowment",Inputs!$B$14="Y"),AND(D766="Foundation",Inputs!$B$15="Y"),AND(D766="Healthcare",Inputs!$B$16="Y"),AND(D766="Pension",Inputs!$B$17="Y"),AND(D766="OCIO",Inputs!$B$18="Y"),AND(D766="Other",Inputs!$B$19="Y")))),A766&lt;&gt;in_ClientOrg,NOT(AND(in_ExclHarvard="Y",ISNUMBER(SEARCH("Harvard",A766))))),$AD766="Y",K766&lt;&gt;"",S766&gt;0),"Y","")</f>
        <v/>
      </c>
      <c r="V766" s="30" t="n">
        <v>1</v>
      </c>
      <c r="W766" t="inlineStr"/>
      <c r="X766" s="28">
        <f>IF(L766+M766=0,"",L766+M766)</f>
        <v/>
      </c>
      <c r="Y766" s="38">
        <f>IF(L766=0,"",M766/L766)</f>
        <v/>
      </c>
      <c r="Z766" t="inlineStr">
        <is>
          <t>CIO - Top Investment Executive</t>
        </is>
      </c>
      <c r="AA766" t="inlineStr">
        <is>
          <t>Leadership</t>
        </is>
      </c>
      <c r="AB766" s="50" t="inlineStr">
        <is>
          <t>Y</t>
        </is>
      </c>
      <c r="AC766" s="43">
        <f>HYPERLINK("https://projects.propublica.org/nonprofits/organizations/42103594/202501359349301830/full","view filing")</f>
        <v/>
      </c>
      <c r="AD766" s="50" t="inlineStr"/>
    </row>
    <row r="767">
      <c r="A767" t="inlineStr">
        <is>
          <t>Massachusetts Institute Of Technology</t>
        </is>
      </c>
      <c r="B767" s="50" t="inlineStr">
        <is>
          <t>MA</t>
        </is>
      </c>
      <c r="C767" s="52" t="n">
        <v>27.37</v>
      </c>
      <c r="D767" t="inlineStr">
        <is>
          <t>Endowment</t>
        </is>
      </c>
      <c r="E767" s="50" t="n">
        <v>2024</v>
      </c>
      <c r="F767" s="50" t="inlineStr">
        <is>
          <t>2025-05-15</t>
        </is>
      </c>
      <c r="G767" s="50" t="inlineStr">
        <is>
          <t>2024-06-30</t>
        </is>
      </c>
      <c r="H767" t="inlineStr">
        <is>
          <t>Steven Marsh</t>
        </is>
      </c>
      <c r="I767" t="inlineStr">
        <is>
          <t>Senior VP, MITIMCo</t>
        </is>
      </c>
      <c r="J767" t="inlineStr">
        <is>
          <t>Director of Investments</t>
        </is>
      </c>
      <c r="K767" t="inlineStr">
        <is>
          <t>Sr Investment Professional</t>
        </is>
      </c>
      <c r="L767" s="28" t="n">
        <v>316381</v>
      </c>
      <c r="M767" s="28" t="n">
        <v>2781253</v>
      </c>
      <c r="N767" s="28" t="n">
        <v>33932</v>
      </c>
      <c r="O767" s="28" t="n">
        <v>16108</v>
      </c>
      <c r="P767" s="28" t="n">
        <v>15841</v>
      </c>
      <c r="Q767" s="28" t="n">
        <v>3163515</v>
      </c>
      <c r="R767" s="28" t="n">
        <v>412726</v>
      </c>
      <c r="S767" s="28">
        <f>Q767-R767</f>
        <v/>
      </c>
      <c r="T767" s="28">
        <f>IF(S767="","",S767*(1+in_GrowthRate)^(YEARFRAC(DATE(2024,6,30),in_AgeToDate)*IF(in_AgeToDate&lt;DATE(2024,6,30),-1,1)+1))</f>
        <v/>
      </c>
      <c r="U767" s="50">
        <f>IF(AND(AND(OR(in_Mode="All Funds",AND(C767&gt;=in_BandFloor,C767&lt;=in_BandCeiling,OR(in_Geography="National",COUNTIFS(lst_GeoPreset,in_Geography,lst_GeoState,B767)&gt;0,AND(in_Geography="Custom",ISNUMBER(SEARCH(B767,SUBSTITUTE(in_CustomStates," ",""))))),OR(AND(D767="Endowment",Inputs!$B$14="Y"),AND(D767="Foundation",Inputs!$B$15="Y"),AND(D767="Healthcare",Inputs!$B$16="Y"),AND(D767="Pension",Inputs!$B$17="Y"),AND(D767="OCIO",Inputs!$B$18="Y"),AND(D767="Other",Inputs!$B$19="Y")))),A767&lt;&gt;in_ClientOrg,NOT(AND(in_ExclHarvard="Y",ISNUMBER(SEARCH("Harvard",A767))))),$AD767="Y",K767&lt;&gt;"",S767&gt;0),"Y","")</f>
        <v/>
      </c>
      <c r="V767" s="30" t="n">
        <v>0.8117276045146258</v>
      </c>
      <c r="W767" t="inlineStr"/>
      <c r="X767" s="28">
        <f>IF(L767+M767=0,"",L767+M767)</f>
        <v/>
      </c>
      <c r="Y767" s="38">
        <f>IF(L767=0,"",M767/L767)</f>
        <v/>
      </c>
      <c r="Z767" t="inlineStr">
        <is>
          <t>Director &amp; Investment Officer</t>
        </is>
      </c>
      <c r="AA767" t="inlineStr">
        <is>
          <t>Investments</t>
        </is>
      </c>
      <c r="AB767" s="50" t="inlineStr"/>
      <c r="AC767" s="43">
        <f>HYPERLINK("https://projects.propublica.org/nonprofits/organizations/42103594/202501359349301830/full","view filing")</f>
        <v/>
      </c>
      <c r="AD767" s="50" t="inlineStr"/>
    </row>
    <row r="768">
      <c r="A768" t="inlineStr">
        <is>
          <t>Massachusetts Institute Of Technology</t>
        </is>
      </c>
      <c r="B768" s="50" t="inlineStr">
        <is>
          <t>MA</t>
        </is>
      </c>
      <c r="C768" s="52" t="n">
        <v>27.37</v>
      </c>
      <c r="D768" t="inlineStr">
        <is>
          <t>Endowment</t>
        </is>
      </c>
      <c r="E768" s="50" t="n">
        <v>2024</v>
      </c>
      <c r="F768" s="50" t="inlineStr">
        <is>
          <t>2025-05-15</t>
        </is>
      </c>
      <c r="G768" s="50" t="inlineStr">
        <is>
          <t>2024-06-30</t>
        </is>
      </c>
      <c r="H768" t="inlineStr">
        <is>
          <t>Thomas Wieand</t>
        </is>
      </c>
      <c r="I768" t="inlineStr">
        <is>
          <t>Global Investment Professional, MITIMCo</t>
        </is>
      </c>
      <c r="J768" t="inlineStr">
        <is>
          <t>Investment Officer</t>
        </is>
      </c>
      <c r="K768" t="inlineStr">
        <is>
          <t>Sr Investment Professional</t>
        </is>
      </c>
      <c r="L768" s="28" t="n">
        <v>490857</v>
      </c>
      <c r="M768" s="28" t="n">
        <v>1326908</v>
      </c>
      <c r="N768" s="28" t="n">
        <v>18483</v>
      </c>
      <c r="O768" s="28" t="n">
        <v>523800</v>
      </c>
      <c r="P768" s="28" t="n">
        <v>31869</v>
      </c>
      <c r="Q768" s="28" t="n">
        <v>2391917</v>
      </c>
      <c r="R768" s="28" t="n">
        <v>339117</v>
      </c>
      <c r="S768" s="28">
        <f>Q768-R768</f>
        <v/>
      </c>
      <c r="T768" s="28">
        <f>IF(S768="","",S768*(1+in_GrowthRate)^(YEARFRAC(DATE(2024,6,30),in_AgeToDate)*IF(in_AgeToDate&lt;DATE(2024,6,30),-1,1)+1))</f>
        <v/>
      </c>
      <c r="U768" s="50">
        <f>IF(AND(AND(OR(in_Mode="All Funds",AND(C768&gt;=in_BandFloor,C768&lt;=in_BandCeiling,OR(in_Geography="National",COUNTIFS(lst_GeoPreset,in_Geography,lst_GeoState,B768)&gt;0,AND(in_Geography="Custom",ISNUMBER(SEARCH(B768,SUBSTITUTE(in_CustomStates," ",""))))),OR(AND(D768="Endowment",Inputs!$B$14="Y"),AND(D768="Foundation",Inputs!$B$15="Y"),AND(D768="Healthcare",Inputs!$B$16="Y"),AND(D768="Pension",Inputs!$B$17="Y"),AND(D768="OCIO",Inputs!$B$18="Y"),AND(D768="Other",Inputs!$B$19="Y")))),A768&lt;&gt;in_ClientOrg,NOT(AND(in_ExclHarvard="Y",ISNUMBER(SEARCH("Harvard",A768))))),$AD768="Y",K768&lt;&gt;"",S768&gt;0),"Y","")</f>
        <v/>
      </c>
      <c r="V768" s="30" t="n">
        <v>0.6057587210606207</v>
      </c>
      <c r="W768" t="inlineStr"/>
      <c r="X768" s="28">
        <f>IF(L768+M768=0,"",L768+M768)</f>
        <v/>
      </c>
      <c r="Y768" s="38">
        <f>IF(L768=0,"",M768/L768)</f>
        <v/>
      </c>
      <c r="Z768" t="inlineStr">
        <is>
          <t>Managing Director</t>
        </is>
      </c>
      <c r="AA768" t="inlineStr">
        <is>
          <t>Investments</t>
        </is>
      </c>
      <c r="AB768" s="50" t="inlineStr"/>
      <c r="AC768" s="43">
        <f>HYPERLINK("https://projects.propublica.org/nonprofits/organizations/42103594/202501359349301830/full","view filing")</f>
        <v/>
      </c>
      <c r="AD768" s="50" t="inlineStr"/>
    </row>
    <row r="769">
      <c r="A769" t="inlineStr">
        <is>
          <t>Massachusetts Institute Of Technology</t>
        </is>
      </c>
      <c r="B769" s="50" t="inlineStr">
        <is>
          <t>MA</t>
        </is>
      </c>
      <c r="C769" s="52" t="n">
        <v>27.37</v>
      </c>
      <c r="D769" t="inlineStr">
        <is>
          <t>Endowment</t>
        </is>
      </c>
      <c r="E769" s="50" t="n">
        <v>2023</v>
      </c>
      <c r="F769" s="50" t="inlineStr">
        <is>
          <t>2024-05-15</t>
        </is>
      </c>
      <c r="G769" s="50" t="inlineStr">
        <is>
          <t>2023-06-30</t>
        </is>
      </c>
      <c r="H769" t="inlineStr">
        <is>
          <t>Emma Somers-Roy</t>
        </is>
      </c>
      <c r="I769" t="inlineStr">
        <is>
          <t>Global Investment Professional - MITIMCo</t>
        </is>
      </c>
      <c r="J769" t="inlineStr">
        <is>
          <t>Investment Officer</t>
        </is>
      </c>
      <c r="K769" t="inlineStr">
        <is>
          <t>Sr Investment Professional</t>
        </is>
      </c>
      <c r="L769" s="28" t="n">
        <v>425267</v>
      </c>
      <c r="M769" s="28" t="n">
        <v>1403065</v>
      </c>
      <c r="N769" s="28" t="n">
        <v>7090</v>
      </c>
      <c r="O769" s="28" t="n">
        <v>370363</v>
      </c>
      <c r="P769" s="28" t="n">
        <v>34551</v>
      </c>
      <c r="Q769" s="28" t="n">
        <v>2240336</v>
      </c>
      <c r="R769" s="28" t="n">
        <v>368750</v>
      </c>
      <c r="S769" s="28">
        <f>Q769-R769</f>
        <v/>
      </c>
      <c r="T769" s="28">
        <f>IF(S769="","",S769*(1+in_GrowthRate)^(YEARFRAC(DATE(2023,6,30),in_AgeToDate)*IF(in_AgeToDate&lt;DATE(2023,6,30),-1,1)+1))</f>
        <v/>
      </c>
      <c r="U769" s="50">
        <f>IF(AND(AND(OR(in_Mode="All Funds",AND(C769&gt;=in_BandFloor,C769&lt;=in_BandCeiling,OR(in_Geography="National",COUNTIFS(lst_GeoPreset,in_Geography,lst_GeoState,B769)&gt;0,AND(in_Geography="Custom",ISNUMBER(SEARCH(B769,SUBSTITUTE(in_CustomStates," ",""))))),OR(AND(D769="Endowment",Inputs!$B$14="Y"),AND(D769="Foundation",Inputs!$B$15="Y"),AND(D769="Healthcare",Inputs!$B$16="Y"),AND(D769="Pension",Inputs!$B$17="Y"),AND(D769="OCIO",Inputs!$B$18="Y"),AND(D769="Other",Inputs!$B$19="Y")))),A769&lt;&gt;in_ClientOrg,NOT(AND(in_ExclHarvard="Y",ISNUMBER(SEARCH("Harvard",A769))))),$AD769="Y",K769&lt;&gt;"",S769&gt;0),"Y","")</f>
        <v/>
      </c>
      <c r="V769" s="30" t="n">
        <v>0.6817545512265007</v>
      </c>
      <c r="W769" t="inlineStr"/>
      <c r="X769" s="28">
        <f>IF(L769+M769=0,"",L769+M769)</f>
        <v/>
      </c>
      <c r="Y769" s="38">
        <f>IF(L769=0,"",M769/L769)</f>
        <v/>
      </c>
      <c r="Z769" t="inlineStr">
        <is>
          <t>Managing Director</t>
        </is>
      </c>
      <c r="AA769" t="inlineStr">
        <is>
          <t>Investments</t>
        </is>
      </c>
      <c r="AB769" s="50" t="inlineStr"/>
      <c r="AC769" s="43">
        <f>HYPERLINK("https://projects.propublica.org/nonprofits/organizations/42103594/202441369349318094/full","view filing")</f>
        <v/>
      </c>
      <c r="AD769" s="50" t="inlineStr"/>
    </row>
    <row r="770">
      <c r="A770" t="inlineStr">
        <is>
          <t>Massachusetts Institute Of Technology</t>
        </is>
      </c>
      <c r="B770" s="50" t="inlineStr">
        <is>
          <t>MA</t>
        </is>
      </c>
      <c r="C770" s="52" t="n">
        <v>27.37</v>
      </c>
      <c r="D770" t="inlineStr">
        <is>
          <t>Endowment</t>
        </is>
      </c>
      <c r="E770" s="50" t="n">
        <v>2023</v>
      </c>
      <c r="F770" s="50" t="inlineStr">
        <is>
          <t>2024-05-15</t>
        </is>
      </c>
      <c r="G770" s="50" t="inlineStr">
        <is>
          <t>2023-06-30</t>
        </is>
      </c>
      <c r="H770" t="inlineStr">
        <is>
          <t>Joel Cohen</t>
        </is>
      </c>
      <c r="I770" t="inlineStr">
        <is>
          <t>Global Investment Professional, MITIMCo</t>
        </is>
      </c>
      <c r="J770" t="inlineStr">
        <is>
          <t>Investment Officer</t>
        </is>
      </c>
      <c r="K770" t="inlineStr">
        <is>
          <t>Sr Investment Professional</t>
        </is>
      </c>
      <c r="L770" s="28" t="n">
        <v>428018</v>
      </c>
      <c r="M770" s="28" t="n">
        <v>1375080</v>
      </c>
      <c r="N770" s="28" t="n">
        <v>11601</v>
      </c>
      <c r="O770" s="28" t="n">
        <v>364950</v>
      </c>
      <c r="P770" s="28" t="n">
        <v>31788</v>
      </c>
      <c r="Q770" s="28" t="n">
        <v>2211437</v>
      </c>
      <c r="R770" s="28" t="n">
        <v>0</v>
      </c>
      <c r="S770" s="28">
        <f>Q770-R770</f>
        <v/>
      </c>
      <c r="T770" s="28">
        <f>IF(S770="","",S770*(1+in_GrowthRate)^(YEARFRAC(DATE(2023,6,30),in_AgeToDate)*IF(in_AgeToDate&lt;DATE(2023,6,30),-1,1)+1))</f>
        <v/>
      </c>
      <c r="U770" s="50">
        <f>IF(AND(AND(OR(in_Mode="All Funds",AND(C770&gt;=in_BandFloor,C770&lt;=in_BandCeiling,OR(in_Geography="National",COUNTIFS(lst_GeoPreset,in_Geography,lst_GeoState,B770)&gt;0,AND(in_Geography="Custom",ISNUMBER(SEARCH(B770,SUBSTITUTE(in_CustomStates," ",""))))),OR(AND(D770="Endowment",Inputs!$B$14="Y"),AND(D770="Foundation",Inputs!$B$15="Y"),AND(D770="Healthcare",Inputs!$B$16="Y"),AND(D770="Pension",Inputs!$B$17="Y"),AND(D770="OCIO",Inputs!$B$18="Y"),AND(D770="Other",Inputs!$B$19="Y")))),A770&lt;&gt;in_ClientOrg,NOT(AND(in_ExclHarvard="Y",ISNUMBER(SEARCH("Harvard",A770))))),$AD770="Y",K770&lt;&gt;"",S770&gt;0),"Y","")</f>
        <v/>
      </c>
      <c r="V770" s="30" t="n">
        <v>0.8055506076133713</v>
      </c>
      <c r="W770" t="inlineStr"/>
      <c r="X770" s="28">
        <f>IF(L770+M770=0,"",L770+M770)</f>
        <v/>
      </c>
      <c r="Y770" s="38">
        <f>IF(L770=0,"",M770/L770)</f>
        <v/>
      </c>
      <c r="Z770" t="inlineStr">
        <is>
          <t>Managing Director</t>
        </is>
      </c>
      <c r="AA770" t="inlineStr">
        <is>
          <t>Investments</t>
        </is>
      </c>
      <c r="AB770" s="50" t="inlineStr"/>
      <c r="AC770" s="43">
        <f>HYPERLINK("https://projects.propublica.org/nonprofits/organizations/42103594/202441369349318094/full","view filing")</f>
        <v/>
      </c>
      <c r="AD770" s="50" t="inlineStr"/>
    </row>
    <row r="771">
      <c r="A771" t="inlineStr">
        <is>
          <t>Massachusetts Institute Of Technology</t>
        </is>
      </c>
      <c r="B771" s="50" t="inlineStr">
        <is>
          <t>MA</t>
        </is>
      </c>
      <c r="C771" s="52" t="n">
        <v>27.37</v>
      </c>
      <c r="D771" t="inlineStr">
        <is>
          <t>Endowment</t>
        </is>
      </c>
      <c r="E771" s="50" t="n">
        <v>2023</v>
      </c>
      <c r="F771" s="50" t="inlineStr">
        <is>
          <t>2024-05-15</t>
        </is>
      </c>
      <c r="G771" s="50" t="inlineStr">
        <is>
          <t>2023-06-30</t>
        </is>
      </c>
      <c r="H771" t="inlineStr">
        <is>
          <t>Ryan Akkina</t>
        </is>
      </c>
      <c r="I771" t="inlineStr">
        <is>
          <t>Global Investment Professional - MITIMCo</t>
        </is>
      </c>
      <c r="J771" t="inlineStr">
        <is>
          <t>Investment Officer</t>
        </is>
      </c>
      <c r="K771" t="inlineStr">
        <is>
          <t>Sr Investment Professional</t>
        </is>
      </c>
      <c r="L771" s="28" t="n">
        <v>448657</v>
      </c>
      <c r="M771" s="28" t="n">
        <v>1525730</v>
      </c>
      <c r="N771" s="28" t="n">
        <v>14671</v>
      </c>
      <c r="O771" s="28" t="n">
        <v>366567</v>
      </c>
      <c r="P771" s="28" t="n">
        <v>35939</v>
      </c>
      <c r="Q771" s="28" t="n">
        <v>2391564</v>
      </c>
      <c r="R771" s="28" t="n">
        <v>337750</v>
      </c>
      <c r="S771" s="28">
        <f>Q771-R771</f>
        <v/>
      </c>
      <c r="T771" s="28">
        <f>IF(S771="","",S771*(1+in_GrowthRate)^(YEARFRAC(DATE(2023,6,30),in_AgeToDate)*IF(in_AgeToDate&lt;DATE(2023,6,30),-1,1)+1))</f>
        <v/>
      </c>
      <c r="U771" s="50">
        <f>IF(AND(AND(OR(in_Mode="All Funds",AND(C771&gt;=in_BandFloor,C771&lt;=in_BandCeiling,OR(in_Geography="National",COUNTIFS(lst_GeoPreset,in_Geography,lst_GeoState,B771)&gt;0,AND(in_Geography="Custom",ISNUMBER(SEARCH(B771,SUBSTITUTE(in_CustomStates," ",""))))),OR(AND(D771="Endowment",Inputs!$B$14="Y"),AND(D771="Foundation",Inputs!$B$15="Y"),AND(D771="Healthcare",Inputs!$B$16="Y"),AND(D771="Pension",Inputs!$B$17="Y"),AND(D771="OCIO",Inputs!$B$18="Y"),AND(D771="Other",Inputs!$B$19="Y")))),A771&lt;&gt;in_ClientOrg,NOT(AND(in_ExclHarvard="Y",ISNUMBER(SEARCH("Harvard",A771))))),$AD771="Y",K771&lt;&gt;"",S771&gt;0),"Y","")</f>
        <v/>
      </c>
      <c r="V771" s="30" t="n">
        <v>0.7481339579761253</v>
      </c>
      <c r="W771" t="inlineStr"/>
      <c r="X771" s="28">
        <f>IF(L771+M771=0,"",L771+M771)</f>
        <v/>
      </c>
      <c r="Y771" s="38">
        <f>IF(L771=0,"",M771/L771)</f>
        <v/>
      </c>
      <c r="Z771" t="inlineStr">
        <is>
          <t>Managing Director</t>
        </is>
      </c>
      <c r="AA771" t="inlineStr">
        <is>
          <t>Investments</t>
        </is>
      </c>
      <c r="AB771" s="50" t="inlineStr"/>
      <c r="AC771" s="43">
        <f>HYPERLINK("https://projects.propublica.org/nonprofits/organizations/42103594/202441369349318094/full","view filing")</f>
        <v/>
      </c>
      <c r="AD771" s="50" t="inlineStr"/>
    </row>
    <row r="772">
      <c r="A772" t="inlineStr">
        <is>
          <t>Massachusetts Institute Of Technology</t>
        </is>
      </c>
      <c r="B772" s="50" t="inlineStr">
        <is>
          <t>MA</t>
        </is>
      </c>
      <c r="C772" s="52" t="n">
        <v>27.37</v>
      </c>
      <c r="D772" t="inlineStr">
        <is>
          <t>Endowment</t>
        </is>
      </c>
      <c r="E772" s="50" t="n">
        <v>2023</v>
      </c>
      <c r="F772" s="50" t="inlineStr">
        <is>
          <t>2024-05-15</t>
        </is>
      </c>
      <c r="G772" s="50" t="inlineStr">
        <is>
          <t>2023-06-30</t>
        </is>
      </c>
      <c r="H772" t="inlineStr">
        <is>
          <t>Seth Alexander</t>
        </is>
      </c>
      <c r="I772" t="inlineStr">
        <is>
          <t>President of MITIMCo</t>
        </is>
      </c>
      <c r="J772" t="inlineStr">
        <is>
          <t>CEO (Inv Entity)</t>
        </is>
      </c>
      <c r="K772" t="inlineStr">
        <is>
          <t>CIO - Top Investment Executive</t>
        </is>
      </c>
      <c r="L772" s="28" t="n">
        <v>911111</v>
      </c>
      <c r="M772" s="28" t="n">
        <v>1666438</v>
      </c>
      <c r="N772" s="28" t="n">
        <v>58114</v>
      </c>
      <c r="O772" s="28" t="n">
        <v>425126</v>
      </c>
      <c r="P772" s="28" t="n">
        <v>32317</v>
      </c>
      <c r="Q772" s="28" t="n">
        <v>3093106</v>
      </c>
      <c r="R772" s="28" t="n">
        <v>347857</v>
      </c>
      <c r="S772" s="28">
        <f>Q772-R772</f>
        <v/>
      </c>
      <c r="T772" s="28">
        <f>IF(S772="","",S772*(1+in_GrowthRate)^(YEARFRAC(DATE(2023,6,30),in_AgeToDate)*IF(in_AgeToDate&lt;DATE(2023,6,30),-1,1)+1))</f>
        <v/>
      </c>
      <c r="U772" s="50">
        <f>IF(AND(AND(OR(in_Mode="All Funds",AND(C772&gt;=in_BandFloor,C772&lt;=in_BandCeiling,OR(in_Geography="National",COUNTIFS(lst_GeoPreset,in_Geography,lst_GeoState,B772)&gt;0,AND(in_Geography="Custom",ISNUMBER(SEARCH(B772,SUBSTITUTE(in_CustomStates," ",""))))),OR(AND(D772="Endowment",Inputs!$B$14="Y"),AND(D772="Foundation",Inputs!$B$15="Y"),AND(D772="Healthcare",Inputs!$B$16="Y"),AND(D772="Pension",Inputs!$B$17="Y"),AND(D772="OCIO",Inputs!$B$18="Y"),AND(D772="Other",Inputs!$B$19="Y")))),A772&lt;&gt;in_ClientOrg,NOT(AND(in_ExclHarvard="Y",ISNUMBER(SEARCH("Harvard",A772))))),$AD772="Y",K772&lt;&gt;"",S772&gt;0),"Y","")</f>
        <v/>
      </c>
      <c r="V772" s="30" t="n">
        <v>1</v>
      </c>
      <c r="W772" t="inlineStr"/>
      <c r="X772" s="28">
        <f>IF(L772+M772=0,"",L772+M772)</f>
        <v/>
      </c>
      <c r="Y772" s="38">
        <f>IF(L772=0,"",M772/L772)</f>
        <v/>
      </c>
      <c r="Z772" t="inlineStr">
        <is>
          <t>CIO - Top Investment Executive</t>
        </is>
      </c>
      <c r="AA772" t="inlineStr">
        <is>
          <t>Leadership</t>
        </is>
      </c>
      <c r="AB772" s="50" t="inlineStr">
        <is>
          <t>Y</t>
        </is>
      </c>
      <c r="AC772" s="43">
        <f>HYPERLINK("https://projects.propublica.org/nonprofits/organizations/42103594/202441369349318094/full","view filing")</f>
        <v/>
      </c>
      <c r="AD772" s="50" t="inlineStr"/>
    </row>
    <row r="773">
      <c r="A773" t="inlineStr">
        <is>
          <t>Massachusetts Institute Of Technology</t>
        </is>
      </c>
      <c r="B773" s="50" t="inlineStr">
        <is>
          <t>MA</t>
        </is>
      </c>
      <c r="C773" s="52" t="n">
        <v>27.37</v>
      </c>
      <c r="D773" t="inlineStr">
        <is>
          <t>Endowment</t>
        </is>
      </c>
      <c r="E773" s="50" t="n">
        <v>2023</v>
      </c>
      <c r="F773" s="50" t="inlineStr">
        <is>
          <t>2024-05-15</t>
        </is>
      </c>
      <c r="G773" s="50" t="inlineStr">
        <is>
          <t>2023-06-30</t>
        </is>
      </c>
      <c r="H773" t="inlineStr">
        <is>
          <t>Steven Marsh</t>
        </is>
      </c>
      <c r="I773" t="inlineStr">
        <is>
          <t>Senior VP - MITIMCo</t>
        </is>
      </c>
      <c r="J773" t="inlineStr">
        <is>
          <t>Director of Investments</t>
        </is>
      </c>
      <c r="K773" t="inlineStr">
        <is>
          <t>Sr Investment Professional</t>
        </is>
      </c>
      <c r="L773" s="28" t="n">
        <v>636312</v>
      </c>
      <c r="M773" s="28" t="n">
        <v>1881797</v>
      </c>
      <c r="N773" s="28" t="n">
        <v>31885</v>
      </c>
      <c r="O773" s="28" t="n">
        <v>464042</v>
      </c>
      <c r="P773" s="28" t="n">
        <v>23952</v>
      </c>
      <c r="Q773" s="28" t="n">
        <v>3037988</v>
      </c>
      <c r="R773" s="28" t="n">
        <v>448791</v>
      </c>
      <c r="S773" s="28">
        <f>Q773-R773</f>
        <v/>
      </c>
      <c r="T773" s="28">
        <f>IF(S773="","",S773*(1+in_GrowthRate)^(YEARFRAC(DATE(2023,6,30),in_AgeToDate)*IF(in_AgeToDate&lt;DATE(2023,6,30),-1,1)+1))</f>
        <v/>
      </c>
      <c r="U773" s="50">
        <f>IF(AND(AND(OR(in_Mode="All Funds",AND(C773&gt;=in_BandFloor,C773&lt;=in_BandCeiling,OR(in_Geography="National",COUNTIFS(lst_GeoPreset,in_Geography,lst_GeoState,B773)&gt;0,AND(in_Geography="Custom",ISNUMBER(SEARCH(B773,SUBSTITUTE(in_CustomStates," ",""))))),OR(AND(D773="Endowment",Inputs!$B$14="Y"),AND(D773="Foundation",Inputs!$B$15="Y"),AND(D773="Healthcare",Inputs!$B$16="Y"),AND(D773="Pension",Inputs!$B$17="Y"),AND(D773="OCIO",Inputs!$B$18="Y"),AND(D773="Other",Inputs!$B$19="Y")))),A773&lt;&gt;in_ClientOrg,NOT(AND(in_ExclHarvard="Y",ISNUMBER(SEARCH("Harvard",A773))))),$AD773="Y",K773&lt;&gt;"",S773&gt;0),"Y","")</f>
        <v/>
      </c>
      <c r="V773" s="30" t="n">
        <v>0.9431556117496082</v>
      </c>
      <c r="W773" t="inlineStr"/>
      <c r="X773" s="28">
        <f>IF(L773+M773=0,"",L773+M773)</f>
        <v/>
      </c>
      <c r="Y773" s="38">
        <f>IF(L773=0,"",M773/L773)</f>
        <v/>
      </c>
      <c r="Z773" t="inlineStr">
        <is>
          <t>Director &amp; Investment Officer</t>
        </is>
      </c>
      <c r="AA773" t="inlineStr">
        <is>
          <t>Investments</t>
        </is>
      </c>
      <c r="AB773" s="50" t="inlineStr"/>
      <c r="AC773" s="43">
        <f>HYPERLINK("https://projects.propublica.org/nonprofits/organizations/42103594/202441369349318094/full","view filing")</f>
        <v/>
      </c>
      <c r="AD773" s="50" t="inlineStr"/>
    </row>
    <row r="774">
      <c r="A774" t="inlineStr">
        <is>
          <t>Massachusetts Institute Of Technology</t>
        </is>
      </c>
      <c r="B774" s="50" t="inlineStr">
        <is>
          <t>MA</t>
        </is>
      </c>
      <c r="C774" s="52" t="n">
        <v>27.37</v>
      </c>
      <c r="D774" t="inlineStr">
        <is>
          <t>Endowment</t>
        </is>
      </c>
      <c r="E774" s="50" t="n">
        <v>2023</v>
      </c>
      <c r="F774" s="50" t="inlineStr">
        <is>
          <t>2024-05-15</t>
        </is>
      </c>
      <c r="G774" s="50" t="inlineStr">
        <is>
          <t>2023-06-30</t>
        </is>
      </c>
      <c r="H774" t="inlineStr">
        <is>
          <t>Thomas Wieand</t>
        </is>
      </c>
      <c r="I774" t="inlineStr">
        <is>
          <t>Global Investment Professional - MITIMCo</t>
        </is>
      </c>
      <c r="J774" t="inlineStr">
        <is>
          <t>Investment Officer</t>
        </is>
      </c>
      <c r="K774" t="inlineStr">
        <is>
          <t>Sr Investment Professional</t>
        </is>
      </c>
      <c r="L774" s="28" t="n">
        <v>477921</v>
      </c>
      <c r="M774" s="28" t="n">
        <v>1527939</v>
      </c>
      <c r="N774" s="28" t="n">
        <v>17315</v>
      </c>
      <c r="O774" s="28" t="n">
        <v>402300</v>
      </c>
      <c r="P774" s="28" t="n">
        <v>30580</v>
      </c>
      <c r="Q774" s="28" t="n">
        <v>2456055</v>
      </c>
      <c r="R774" s="28" t="n">
        <v>368750</v>
      </c>
      <c r="S774" s="28">
        <f>Q774-R774</f>
        <v/>
      </c>
      <c r="T774" s="28">
        <f>IF(S774="","",S774*(1+in_GrowthRate)^(YEARFRAC(DATE(2023,6,30),in_AgeToDate)*IF(in_AgeToDate&lt;DATE(2023,6,30),-1,1)+1))</f>
        <v/>
      </c>
      <c r="U774" s="50">
        <f>IF(AND(AND(OR(in_Mode="All Funds",AND(C774&gt;=in_BandFloor,C774&lt;=in_BandCeiling,OR(in_Geography="National",COUNTIFS(lst_GeoPreset,in_Geography,lst_GeoState,B774)&gt;0,AND(in_Geography="Custom",ISNUMBER(SEARCH(B774,SUBSTITUTE(in_CustomStates," ",""))))),OR(AND(D774="Endowment",Inputs!$B$14="Y"),AND(D774="Foundation",Inputs!$B$15="Y"),AND(D774="Healthcare",Inputs!$B$16="Y"),AND(D774="Pension",Inputs!$B$17="Y"),AND(D774="OCIO",Inputs!$B$18="Y"),AND(D774="Other",Inputs!$B$19="Y")))),A774&lt;&gt;in_ClientOrg,NOT(AND(in_ExclHarvard="Y",ISNUMBER(SEARCH("Harvard",A774))))),$AD774="Y",K774&lt;&gt;"",S774&gt;0),"Y","")</f>
        <v/>
      </c>
      <c r="V774" s="30" t="n">
        <v>0.7603335799412002</v>
      </c>
      <c r="W774" t="inlineStr"/>
      <c r="X774" s="28">
        <f>IF(L774+M774=0,"",L774+M774)</f>
        <v/>
      </c>
      <c r="Y774" s="38">
        <f>IF(L774=0,"",M774/L774)</f>
        <v/>
      </c>
      <c r="Z774" t="inlineStr">
        <is>
          <t>Managing Director</t>
        </is>
      </c>
      <c r="AA774" t="inlineStr">
        <is>
          <t>Investments</t>
        </is>
      </c>
      <c r="AB774" s="50" t="inlineStr"/>
      <c r="AC774" s="43">
        <f>HYPERLINK("https://projects.propublica.org/nonprofits/organizations/42103594/202441369349318094/full","view filing")</f>
        <v/>
      </c>
      <c r="AD774" s="50" t="inlineStr"/>
    </row>
    <row r="775">
      <c r="A775" t="inlineStr">
        <is>
          <t>Massachusetts Institute Of Technology</t>
        </is>
      </c>
      <c r="B775" s="50" t="inlineStr">
        <is>
          <t>MA</t>
        </is>
      </c>
      <c r="C775" s="52" t="n">
        <v>27.37</v>
      </c>
      <c r="D775" t="inlineStr">
        <is>
          <t>Endowment</t>
        </is>
      </c>
      <c r="E775" s="50" t="n">
        <v>2022</v>
      </c>
      <c r="F775" s="50" t="inlineStr">
        <is>
          <t>2023-05-12</t>
        </is>
      </c>
      <c r="G775" s="50" t="inlineStr">
        <is>
          <t>2022-06-30</t>
        </is>
      </c>
      <c r="H775" t="inlineStr">
        <is>
          <t>Emma Somers-Roy</t>
        </is>
      </c>
      <c r="I775" t="inlineStr">
        <is>
          <t>Global Investment Professional - MITIMCo</t>
        </is>
      </c>
      <c r="J775" t="inlineStr">
        <is>
          <t>Investment Officer</t>
        </is>
      </c>
      <c r="K775" t="inlineStr">
        <is>
          <t>Sr Investment Professional</t>
        </is>
      </c>
      <c r="L775" s="28" t="n">
        <v>347675</v>
      </c>
      <c r="M775" s="28" t="n">
        <v>1428070</v>
      </c>
      <c r="N775" s="28" t="n">
        <v>7500</v>
      </c>
      <c r="O775" s="28" t="n">
        <v>399645</v>
      </c>
      <c r="P775" s="28" t="n">
        <v>33514</v>
      </c>
      <c r="Q775" s="28" t="n">
        <v>2216404</v>
      </c>
      <c r="R775" s="28" t="n">
        <v>0</v>
      </c>
      <c r="S775" s="28">
        <f>Q775-R775</f>
        <v/>
      </c>
      <c r="T775" s="28">
        <f>IF(S775="","",S775*(1+in_GrowthRate)^(YEARFRAC(DATE(2022,6,30),in_AgeToDate)*IF(in_AgeToDate&lt;DATE(2022,6,30),-1,1)+1))</f>
        <v/>
      </c>
      <c r="U775" s="50">
        <f>IF(AND(AND(OR(in_Mode="All Funds",AND(C775&gt;=in_BandFloor,C775&lt;=in_BandCeiling,OR(in_Geography="National",COUNTIFS(lst_GeoPreset,in_Geography,lst_GeoState,B775)&gt;0,AND(in_Geography="Custom",ISNUMBER(SEARCH(B775,SUBSTITUTE(in_CustomStates," ",""))))),OR(AND(D775="Endowment",Inputs!$B$14="Y"),AND(D775="Foundation",Inputs!$B$15="Y"),AND(D775="Healthcare",Inputs!$B$16="Y"),AND(D775="Pension",Inputs!$B$17="Y"),AND(D775="OCIO",Inputs!$B$18="Y"),AND(D775="Other",Inputs!$B$19="Y")))),A775&lt;&gt;in_ClientOrg,NOT(AND(in_ExclHarvard="Y",ISNUMBER(SEARCH("Harvard",A775))))),$AD775="Y",K775&lt;&gt;"",S775&gt;0),"Y","")</f>
        <v/>
      </c>
      <c r="V775" s="30" t="n">
        <v>0.7954344071056382</v>
      </c>
      <c r="W775" t="inlineStr"/>
      <c r="X775" s="28">
        <f>IF(L775+M775=0,"",L775+M775)</f>
        <v/>
      </c>
      <c r="Y775" s="38">
        <f>IF(L775=0,"",M775/L775)</f>
        <v/>
      </c>
      <c r="Z775" t="inlineStr">
        <is>
          <t>Managing Director</t>
        </is>
      </c>
      <c r="AA775" t="inlineStr">
        <is>
          <t>Investments</t>
        </is>
      </c>
      <c r="AB775" s="50" t="inlineStr"/>
      <c r="AC775" s="43">
        <f>HYPERLINK("https://projects.propublica.org/nonprofits/organizations/42103594/202311329349308061/full","view filing")</f>
        <v/>
      </c>
      <c r="AD775" s="50" t="inlineStr"/>
    </row>
    <row r="776">
      <c r="A776" t="inlineStr">
        <is>
          <t>Massachusetts Institute Of Technology</t>
        </is>
      </c>
      <c r="B776" s="50" t="inlineStr">
        <is>
          <t>MA</t>
        </is>
      </c>
      <c r="C776" s="52" t="n">
        <v>27.37</v>
      </c>
      <c r="D776" t="inlineStr">
        <is>
          <t>Endowment</t>
        </is>
      </c>
      <c r="E776" s="50" t="n">
        <v>2022</v>
      </c>
      <c r="F776" s="50" t="inlineStr">
        <is>
          <t>2023-05-12</t>
        </is>
      </c>
      <c r="G776" s="50" t="inlineStr">
        <is>
          <t>2022-06-30</t>
        </is>
      </c>
      <c r="H776" t="inlineStr">
        <is>
          <t>Ryan Akkina</t>
        </is>
      </c>
      <c r="I776" t="inlineStr">
        <is>
          <t>Global Investment Professional - MITIMCo</t>
        </is>
      </c>
      <c r="J776" t="inlineStr">
        <is>
          <t>Investment Officer</t>
        </is>
      </c>
      <c r="K776" t="inlineStr">
        <is>
          <t>Sr Investment Professional</t>
        </is>
      </c>
      <c r="L776" s="28" t="n">
        <v>422413</v>
      </c>
      <c r="M776" s="28" t="n">
        <v>1543616</v>
      </c>
      <c r="N776" s="28" t="n">
        <v>15063</v>
      </c>
      <c r="O776" s="28" t="n">
        <v>363850</v>
      </c>
      <c r="P776" s="28" t="n">
        <v>35434</v>
      </c>
      <c r="Q776" s="28" t="n">
        <v>2380375</v>
      </c>
      <c r="R776" s="28" t="n">
        <v>287500</v>
      </c>
      <c r="S776" s="28">
        <f>Q776-R776</f>
        <v/>
      </c>
      <c r="T776" s="28">
        <f>IF(S776="","",S776*(1+in_GrowthRate)^(YEARFRAC(DATE(2022,6,30),in_AgeToDate)*IF(in_AgeToDate&lt;DATE(2022,6,30),-1,1)+1))</f>
        <v/>
      </c>
      <c r="U776" s="50">
        <f>IF(AND(AND(OR(in_Mode="All Funds",AND(C776&gt;=in_BandFloor,C776&lt;=in_BandCeiling,OR(in_Geography="National",COUNTIFS(lst_GeoPreset,in_Geography,lst_GeoState,B776)&gt;0,AND(in_Geography="Custom",ISNUMBER(SEARCH(B776,SUBSTITUTE(in_CustomStates," ",""))))),OR(AND(D776="Endowment",Inputs!$B$14="Y"),AND(D776="Foundation",Inputs!$B$15="Y"),AND(D776="Healthcare",Inputs!$B$16="Y"),AND(D776="Pension",Inputs!$B$17="Y"),AND(D776="OCIO",Inputs!$B$18="Y"),AND(D776="Other",Inputs!$B$19="Y")))),A776&lt;&gt;in_ClientOrg,NOT(AND(in_ExclHarvard="Y",ISNUMBER(SEARCH("Harvard",A776))))),$AD776="Y",K776&lt;&gt;"",S776&gt;0),"Y","")</f>
        <v/>
      </c>
      <c r="V776" s="30" t="n">
        <v>0.7511016875854819</v>
      </c>
      <c r="W776" t="inlineStr"/>
      <c r="X776" s="28">
        <f>IF(L776+M776=0,"",L776+M776)</f>
        <v/>
      </c>
      <c r="Y776" s="38">
        <f>IF(L776=0,"",M776/L776)</f>
        <v/>
      </c>
      <c r="Z776" t="inlineStr">
        <is>
          <t>Managing Director</t>
        </is>
      </c>
      <c r="AA776" t="inlineStr">
        <is>
          <t>Investments</t>
        </is>
      </c>
      <c r="AB776" s="50" t="inlineStr"/>
      <c r="AC776" s="43">
        <f>HYPERLINK("https://projects.propublica.org/nonprofits/organizations/42103594/202311329349308061/full","view filing")</f>
        <v/>
      </c>
      <c r="AD776" s="50" t="inlineStr"/>
    </row>
    <row r="777">
      <c r="A777" t="inlineStr">
        <is>
          <t>Massachusetts Institute Of Technology</t>
        </is>
      </c>
      <c r="B777" s="50" t="inlineStr">
        <is>
          <t>MA</t>
        </is>
      </c>
      <c r="C777" s="52" t="n">
        <v>27.37</v>
      </c>
      <c r="D777" t="inlineStr">
        <is>
          <t>Endowment</t>
        </is>
      </c>
      <c r="E777" s="50" t="n">
        <v>2022</v>
      </c>
      <c r="F777" s="50" t="inlineStr">
        <is>
          <t>2023-05-12</t>
        </is>
      </c>
      <c r="G777" s="50" t="inlineStr">
        <is>
          <t>2022-06-30</t>
        </is>
      </c>
      <c r="H777" t="inlineStr">
        <is>
          <t>Seth Alexander</t>
        </is>
      </c>
      <c r="I777" t="inlineStr">
        <is>
          <t>President of MITIMCo</t>
        </is>
      </c>
      <c r="J777" t="inlineStr">
        <is>
          <t>CEO (Inv Entity)</t>
        </is>
      </c>
      <c r="K777" t="inlineStr">
        <is>
          <t>CIO - Top Investment Executive</t>
        </is>
      </c>
      <c r="L777" s="28" t="n">
        <v>860135</v>
      </c>
      <c r="M777" s="28" t="n">
        <v>1778631</v>
      </c>
      <c r="N777" s="28" t="n">
        <v>58396</v>
      </c>
      <c r="O777" s="28" t="n">
        <v>379757</v>
      </c>
      <c r="P777" s="28" t="n">
        <v>31290</v>
      </c>
      <c r="Q777" s="28" t="n">
        <v>3108210</v>
      </c>
      <c r="R777" s="28" t="n">
        <v>321803</v>
      </c>
      <c r="S777" s="28">
        <f>Q777-R777</f>
        <v/>
      </c>
      <c r="T777" s="28">
        <f>IF(S777="","",S777*(1+in_GrowthRate)^(YEARFRAC(DATE(2022,6,30),in_AgeToDate)*IF(in_AgeToDate&lt;DATE(2022,6,30),-1,1)+1))</f>
        <v/>
      </c>
      <c r="U777" s="50">
        <f>IF(AND(AND(OR(in_Mode="All Funds",AND(C777&gt;=in_BandFloor,C777&lt;=in_BandCeiling,OR(in_Geography="National",COUNTIFS(lst_GeoPreset,in_Geography,lst_GeoState,B777)&gt;0,AND(in_Geography="Custom",ISNUMBER(SEARCH(B777,SUBSTITUTE(in_CustomStates," ",""))))),OR(AND(D777="Endowment",Inputs!$B$14="Y"),AND(D777="Foundation",Inputs!$B$15="Y"),AND(D777="Healthcare",Inputs!$B$16="Y"),AND(D777="Pension",Inputs!$B$17="Y"),AND(D777="OCIO",Inputs!$B$18="Y"),AND(D777="Other",Inputs!$B$19="Y")))),A777&lt;&gt;in_ClientOrg,NOT(AND(in_ExclHarvard="Y",ISNUMBER(SEARCH("Harvard",A777))))),$AD777="Y",K777&lt;&gt;"",S777&gt;0),"Y","")</f>
        <v/>
      </c>
      <c r="V777" s="30" t="n">
        <v>1</v>
      </c>
      <c r="W777" t="inlineStr"/>
      <c r="X777" s="28">
        <f>IF(L777+M777=0,"",L777+M777)</f>
        <v/>
      </c>
      <c r="Y777" s="38">
        <f>IF(L777=0,"",M777/L777)</f>
        <v/>
      </c>
      <c r="Z777" t="inlineStr">
        <is>
          <t>CIO - Top Investment Executive</t>
        </is>
      </c>
      <c r="AA777" t="inlineStr">
        <is>
          <t>Leadership</t>
        </is>
      </c>
      <c r="AB777" s="50" t="inlineStr">
        <is>
          <t>Y</t>
        </is>
      </c>
      <c r="AC777" s="43">
        <f>HYPERLINK("https://projects.propublica.org/nonprofits/organizations/42103594/202311329349308061/full","view filing")</f>
        <v/>
      </c>
      <c r="AD777" s="50" t="inlineStr"/>
    </row>
    <row r="778">
      <c r="A778" t="inlineStr">
        <is>
          <t>Massachusetts Institute Of Technology</t>
        </is>
      </c>
      <c r="B778" s="50" t="inlineStr">
        <is>
          <t>MA</t>
        </is>
      </c>
      <c r="C778" s="52" t="n">
        <v>27.37</v>
      </c>
      <c r="D778" t="inlineStr">
        <is>
          <t>Endowment</t>
        </is>
      </c>
      <c r="E778" s="50" t="n">
        <v>2022</v>
      </c>
      <c r="F778" s="50" t="inlineStr">
        <is>
          <t>2023-05-12</t>
        </is>
      </c>
      <c r="G778" s="50" t="inlineStr">
        <is>
          <t>2022-06-30</t>
        </is>
      </c>
      <c r="H778" t="inlineStr">
        <is>
          <t>Steven Marsh</t>
        </is>
      </c>
      <c r="I778" t="inlineStr">
        <is>
          <t>Senior VP - MITIMCo</t>
        </is>
      </c>
      <c r="J778" t="inlineStr">
        <is>
          <t>Director of Investments</t>
        </is>
      </c>
      <c r="K778" t="inlineStr">
        <is>
          <t>Sr Investment Professional</t>
        </is>
      </c>
      <c r="L778" s="28" t="n">
        <v>600382</v>
      </c>
      <c r="M778" s="28" t="n">
        <v>2023130</v>
      </c>
      <c r="N778" s="28" t="n">
        <v>32233</v>
      </c>
      <c r="O778" s="28" t="n">
        <v>463291</v>
      </c>
      <c r="P778" s="28" t="n">
        <v>23107</v>
      </c>
      <c r="Q778" s="28" t="n">
        <v>3142143</v>
      </c>
      <c r="R778" s="28" t="n">
        <v>400000</v>
      </c>
      <c r="S778" s="28">
        <f>Q778-R778</f>
        <v/>
      </c>
      <c r="T778" s="28">
        <f>IF(S778="","",S778*(1+in_GrowthRate)^(YEARFRAC(DATE(2022,6,30),in_AgeToDate)*IF(in_AgeToDate&lt;DATE(2022,6,30),-1,1)+1))</f>
        <v/>
      </c>
      <c r="U778" s="50">
        <f>IF(AND(AND(OR(in_Mode="All Funds",AND(C778&gt;=in_BandFloor,C778&lt;=in_BandCeiling,OR(in_Geography="National",COUNTIFS(lst_GeoPreset,in_Geography,lst_GeoState,B778)&gt;0,AND(in_Geography="Custom",ISNUMBER(SEARCH(B778,SUBSTITUTE(in_CustomStates," ",""))))),OR(AND(D778="Endowment",Inputs!$B$14="Y"),AND(D778="Foundation",Inputs!$B$15="Y"),AND(D778="Healthcare",Inputs!$B$16="Y"),AND(D778="Pension",Inputs!$B$17="Y"),AND(D778="OCIO",Inputs!$B$18="Y"),AND(D778="Other",Inputs!$B$19="Y")))),A778&lt;&gt;in_ClientOrg,NOT(AND(in_ExclHarvard="Y",ISNUMBER(SEARCH("Harvard",A778))))),$AD778="Y",K778&lt;&gt;"",S778&gt;0),"Y","")</f>
        <v/>
      </c>
      <c r="V778" s="30" t="n">
        <v>0.9841143092161339</v>
      </c>
      <c r="W778" t="inlineStr"/>
      <c r="X778" s="28">
        <f>IF(L778+M778=0,"",L778+M778)</f>
        <v/>
      </c>
      <c r="Y778" s="38">
        <f>IF(L778=0,"",M778/L778)</f>
        <v/>
      </c>
      <c r="Z778" t="inlineStr">
        <is>
          <t>Director &amp; Investment Officer</t>
        </is>
      </c>
      <c r="AA778" t="inlineStr">
        <is>
          <t>Investments</t>
        </is>
      </c>
      <c r="AB778" s="50" t="inlineStr"/>
      <c r="AC778" s="43">
        <f>HYPERLINK("https://projects.propublica.org/nonprofits/organizations/42103594/202311329349308061/full","view filing")</f>
        <v/>
      </c>
      <c r="AD778" s="50" t="inlineStr"/>
    </row>
    <row r="779">
      <c r="A779" t="inlineStr">
        <is>
          <t>Massachusetts Institute Of Technology</t>
        </is>
      </c>
      <c r="B779" s="50" t="inlineStr">
        <is>
          <t>MA</t>
        </is>
      </c>
      <c r="C779" s="52" t="n">
        <v>27.37</v>
      </c>
      <c r="D779" t="inlineStr">
        <is>
          <t>Endowment</t>
        </is>
      </c>
      <c r="E779" s="50" t="n">
        <v>2022</v>
      </c>
      <c r="F779" s="50" t="inlineStr">
        <is>
          <t>2023-05-12</t>
        </is>
      </c>
      <c r="G779" s="50" t="inlineStr">
        <is>
          <t>2022-06-30</t>
        </is>
      </c>
      <c r="H779" t="inlineStr">
        <is>
          <t>Thomas Wieand</t>
        </is>
      </c>
      <c r="I779" t="inlineStr">
        <is>
          <t>Global Investment Professional - MITIMCo</t>
        </is>
      </c>
      <c r="J779" t="inlineStr">
        <is>
          <t>Investment Officer</t>
        </is>
      </c>
      <c r="K779" t="inlineStr">
        <is>
          <t>Sr Investment Professional</t>
        </is>
      </c>
      <c r="L779" s="28" t="n">
        <v>450044</v>
      </c>
      <c r="M779" s="28" t="n">
        <v>1548948</v>
      </c>
      <c r="N779" s="28" t="n">
        <v>17400</v>
      </c>
      <c r="O779" s="28" t="n">
        <v>400650</v>
      </c>
      <c r="P779" s="28" t="n">
        <v>30393</v>
      </c>
      <c r="Q779" s="28" t="n">
        <v>2447434</v>
      </c>
      <c r="R779" s="28" t="n">
        <v>287500</v>
      </c>
      <c r="S779" s="28">
        <f>Q779-R779</f>
        <v/>
      </c>
      <c r="T779" s="28">
        <f>IF(S779="","",S779*(1+in_GrowthRate)^(YEARFRAC(DATE(2022,6,30),in_AgeToDate)*IF(in_AgeToDate&lt;DATE(2022,6,30),-1,1)+1))</f>
        <v/>
      </c>
      <c r="U779" s="50">
        <f>IF(AND(AND(OR(in_Mode="All Funds",AND(C779&gt;=in_BandFloor,C779&lt;=in_BandCeiling,OR(in_Geography="National",COUNTIFS(lst_GeoPreset,in_Geography,lst_GeoState,B779)&gt;0,AND(in_Geography="Custom",ISNUMBER(SEARCH(B779,SUBSTITUTE(in_CustomStates," ",""))))),OR(AND(D779="Endowment",Inputs!$B$14="Y"),AND(D779="Foundation",Inputs!$B$15="Y"),AND(D779="Healthcare",Inputs!$B$16="Y"),AND(D779="Pension",Inputs!$B$17="Y"),AND(D779="OCIO",Inputs!$B$18="Y"),AND(D779="Other",Inputs!$B$19="Y")))),A779&lt;&gt;in_ClientOrg,NOT(AND(in_ExclHarvard="Y",ISNUMBER(SEARCH("Harvard",A779))))),$AD779="Y",K779&lt;&gt;"",S779&gt;0),"Y","")</f>
        <v/>
      </c>
      <c r="V779" s="30" t="n">
        <v>0.7751681645933275</v>
      </c>
      <c r="W779" t="inlineStr"/>
      <c r="X779" s="28">
        <f>IF(L779+M779=0,"",L779+M779)</f>
        <v/>
      </c>
      <c r="Y779" s="38">
        <f>IF(L779=0,"",M779/L779)</f>
        <v/>
      </c>
      <c r="Z779" t="inlineStr">
        <is>
          <t>Managing Director</t>
        </is>
      </c>
      <c r="AA779" t="inlineStr">
        <is>
          <t>Investments</t>
        </is>
      </c>
      <c r="AB779" s="50" t="inlineStr"/>
      <c r="AC779" s="43">
        <f>HYPERLINK("https://projects.propublica.org/nonprofits/organizations/42103594/202311329349308061/full","view filing")</f>
        <v/>
      </c>
      <c r="AD779" s="50" t="inlineStr"/>
    </row>
    <row r="780">
      <c r="A780" t="inlineStr">
        <is>
          <t>Massachusetts Institute Of Technology</t>
        </is>
      </c>
      <c r="B780" s="50" t="inlineStr">
        <is>
          <t>MA</t>
        </is>
      </c>
      <c r="C780" s="52" t="n">
        <v>27.37</v>
      </c>
      <c r="D780" t="inlineStr">
        <is>
          <t>Endowment</t>
        </is>
      </c>
      <c r="E780" s="50" t="n">
        <v>2022</v>
      </c>
      <c r="F780" s="50" t="inlineStr">
        <is>
          <t>2023-05-12</t>
        </is>
      </c>
      <c r="G780" s="50" t="inlineStr">
        <is>
          <t>2022-06-30</t>
        </is>
      </c>
      <c r="H780" t="inlineStr">
        <is>
          <t>Vincent Tuohey</t>
        </is>
      </c>
      <c r="I780" t="inlineStr">
        <is>
          <t>Global Investment Professional - MITIMCo</t>
        </is>
      </c>
      <c r="J780" t="inlineStr">
        <is>
          <t>Investment Officer</t>
        </is>
      </c>
      <c r="K780" t="inlineStr">
        <is>
          <t>Sr Investment Professional</t>
        </is>
      </c>
      <c r="L780" s="28" t="n">
        <v>400034</v>
      </c>
      <c r="M780" s="28" t="n">
        <v>1332267</v>
      </c>
      <c r="N780" s="28" t="n">
        <v>12810</v>
      </c>
      <c r="O780" s="28" t="n">
        <v>363600</v>
      </c>
      <c r="P780" s="28" t="n">
        <v>34388</v>
      </c>
      <c r="Q780" s="28" t="n">
        <v>2143099</v>
      </c>
      <c r="R780" s="28" t="n">
        <v>0</v>
      </c>
      <c r="S780" s="28">
        <f>Q780-R780</f>
        <v/>
      </c>
      <c r="T780" s="28">
        <f>IF(S780="","",S780*(1+in_GrowthRate)^(YEARFRAC(DATE(2022,6,30),in_AgeToDate)*IF(in_AgeToDate&lt;DATE(2022,6,30),-1,1)+1))</f>
        <v/>
      </c>
      <c r="U780" s="50">
        <f>IF(AND(AND(OR(in_Mode="All Funds",AND(C780&gt;=in_BandFloor,C780&lt;=in_BandCeiling,OR(in_Geography="National",COUNTIFS(lst_GeoPreset,in_Geography,lst_GeoState,B780)&gt;0,AND(in_Geography="Custom",ISNUMBER(SEARCH(B780,SUBSTITUTE(in_CustomStates," ",""))))),OR(AND(D780="Endowment",Inputs!$B$14="Y"),AND(D780="Foundation",Inputs!$B$15="Y"),AND(D780="Healthcare",Inputs!$B$16="Y"),AND(D780="Pension",Inputs!$B$17="Y"),AND(D780="OCIO",Inputs!$B$18="Y"),AND(D780="Other",Inputs!$B$19="Y")))),A780&lt;&gt;in_ClientOrg,NOT(AND(in_ExclHarvard="Y",ISNUMBER(SEARCH("Harvard",A780))))),$AD780="Y",K780&lt;&gt;"",S780&gt;0),"Y","")</f>
        <v/>
      </c>
      <c r="V780" s="30" t="n">
        <v>0.7691263336619525</v>
      </c>
      <c r="W780" t="inlineStr"/>
      <c r="X780" s="28">
        <f>IF(L780+M780=0,"",L780+M780)</f>
        <v/>
      </c>
      <c r="Y780" s="38">
        <f>IF(L780=0,"",M780/L780)</f>
        <v/>
      </c>
      <c r="Z780" t="inlineStr">
        <is>
          <t>Managing Director</t>
        </is>
      </c>
      <c r="AA780" t="inlineStr">
        <is>
          <t>Investments</t>
        </is>
      </c>
      <c r="AB780" s="50" t="inlineStr"/>
      <c r="AC780" s="43">
        <f>HYPERLINK("https://projects.propublica.org/nonprofits/organizations/42103594/202311329349308061/full","view filing")</f>
        <v/>
      </c>
      <c r="AD780" s="50" t="inlineStr"/>
    </row>
    <row r="781">
      <c r="A781" t="inlineStr">
        <is>
          <t>Mcknight Foundation</t>
        </is>
      </c>
      <c r="B781" s="50" t="inlineStr">
        <is>
          <t>MN</t>
        </is>
      </c>
      <c r="C781" s="52" t="n">
        <v>2.6</v>
      </c>
      <c r="D781" t="inlineStr">
        <is>
          <t>Foundation</t>
        </is>
      </c>
      <c r="E781" s="50" t="n">
        <v>2024</v>
      </c>
      <c r="F781" s="50" t="inlineStr">
        <is>
          <t>2025-11-14</t>
        </is>
      </c>
      <c r="G781" s="50" t="inlineStr">
        <is>
          <t>2024-12-31</t>
        </is>
      </c>
      <c r="H781" t="inlineStr">
        <is>
          <t>Elizabeth Mcgeveran</t>
        </is>
      </c>
      <c r="I781" t="inlineStr">
        <is>
          <t>VP of Investments</t>
        </is>
      </c>
      <c r="J781" t="inlineStr">
        <is>
          <t>Director of Investments</t>
        </is>
      </c>
      <c r="K781" t="inlineStr">
        <is>
          <t>Sr Investment Professional</t>
        </is>
      </c>
      <c r="L781" s="28" t="n">
        <v>0</v>
      </c>
      <c r="M781" s="28" t="n">
        <v>0</v>
      </c>
      <c r="N781" s="28" t="n">
        <v>0</v>
      </c>
      <c r="O781" s="28" t="n">
        <v>0</v>
      </c>
      <c r="P781" s="28" t="n">
        <v>0</v>
      </c>
      <c r="Q781" s="28" t="n">
        <v>432136</v>
      </c>
      <c r="R781" s="28" t="n">
        <v>0</v>
      </c>
      <c r="S781" s="28">
        <f>Q781-R781</f>
        <v/>
      </c>
      <c r="T781" s="28">
        <f>IF(S781="","",S781*(1+in_GrowthRate)^(YEARFRAC(DATE(2024,12,31),in_AgeToDate)*IF(in_AgeToDate&lt;DATE(2024,12,31),-1,1)+1))</f>
        <v/>
      </c>
      <c r="U781" s="50">
        <f>IF(AND(AND(OR(in_Mode="All Funds",AND(C781&gt;=in_BandFloor,C781&lt;=in_BandCeiling,OR(in_Geography="National",COUNTIFS(lst_GeoPreset,in_Geography,lst_GeoState,B781)&gt;0,AND(in_Geography="Custom",ISNUMBER(SEARCH(B781,SUBSTITUTE(in_CustomStates," ",""))))),OR(AND(D781="Endowment",Inputs!$B$14="Y"),AND(D781="Foundation",Inputs!$B$15="Y"),AND(D781="Healthcare",Inputs!$B$16="Y"),AND(D781="Pension",Inputs!$B$17="Y"),AND(D781="OCIO",Inputs!$B$18="Y"),AND(D781="Other",Inputs!$B$19="Y")))),A781&lt;&gt;in_ClientOrg,NOT(AND(in_ExclHarvard="Y",ISNUMBER(SEARCH("Harvard",A781))))),$AD781="Y",K781&lt;&gt;"",S781&gt;0),"Y","")</f>
        <v/>
      </c>
      <c r="V781" s="30" t="n"/>
      <c r="W781" t="inlineStr"/>
      <c r="X781" s="28">
        <f>IF(L781+M781=0,"",L781+M781)</f>
        <v/>
      </c>
      <c r="Y781" s="38">
        <f>IF(L781=0,"",M781/L781)</f>
        <v/>
      </c>
      <c r="Z781" t="inlineStr">
        <is>
          <t>Director &amp; Investment Officer</t>
        </is>
      </c>
      <c r="AA781" t="inlineStr">
        <is>
          <t>Investments</t>
        </is>
      </c>
      <c r="AB781" s="50" t="inlineStr"/>
      <c r="AC781" s="43">
        <f>HYPERLINK("https://projects.propublica.org/nonprofits/organizations/410754835/202513189349104906/full","view filing")</f>
        <v/>
      </c>
      <c r="AD781" s="50" t="inlineStr">
        <is>
          <t>Y</t>
        </is>
      </c>
    </row>
    <row r="782">
      <c r="A782" t="inlineStr">
        <is>
          <t>Mcknight Foundation</t>
        </is>
      </c>
      <c r="B782" s="50" t="inlineStr">
        <is>
          <t>MN</t>
        </is>
      </c>
      <c r="C782" s="52" t="n">
        <v>2.6</v>
      </c>
      <c r="D782" t="inlineStr">
        <is>
          <t>Foundation</t>
        </is>
      </c>
      <c r="E782" s="50" t="n">
        <v>2023</v>
      </c>
      <c r="F782" s="50" t="inlineStr">
        <is>
          <t>2024-11-14</t>
        </is>
      </c>
      <c r="G782" s="50" t="inlineStr">
        <is>
          <t>2023-12-31</t>
        </is>
      </c>
      <c r="H782" t="inlineStr">
        <is>
          <t>Elizabeth Mcgeveran</t>
        </is>
      </c>
      <c r="I782" t="inlineStr">
        <is>
          <t>Dir of Investments</t>
        </is>
      </c>
      <c r="J782" t="inlineStr">
        <is>
          <t>Director of Investments</t>
        </is>
      </c>
      <c r="K782" t="inlineStr">
        <is>
          <t>Sr Investment Professional</t>
        </is>
      </c>
      <c r="L782" s="28" t="n">
        <v>0</v>
      </c>
      <c r="M782" s="28" t="n">
        <v>0</v>
      </c>
      <c r="N782" s="28" t="n">
        <v>0</v>
      </c>
      <c r="O782" s="28" t="n">
        <v>0</v>
      </c>
      <c r="P782" s="28" t="n">
        <v>0</v>
      </c>
      <c r="Q782" s="28" t="n">
        <v>386021</v>
      </c>
      <c r="R782" s="28" t="n">
        <v>0</v>
      </c>
      <c r="S782" s="28">
        <f>Q782-R782</f>
        <v/>
      </c>
      <c r="T782" s="28">
        <f>IF(S782="","",S782*(1+in_GrowthRate)^(YEARFRAC(DATE(2023,12,31),in_AgeToDate)*IF(in_AgeToDate&lt;DATE(2023,12,31),-1,1)+1))</f>
        <v/>
      </c>
      <c r="U782" s="50">
        <f>IF(AND(AND(OR(in_Mode="All Funds",AND(C782&gt;=in_BandFloor,C782&lt;=in_BandCeiling,OR(in_Geography="National",COUNTIFS(lst_GeoPreset,in_Geography,lst_GeoState,B782)&gt;0,AND(in_Geography="Custom",ISNUMBER(SEARCH(B782,SUBSTITUTE(in_CustomStates," ",""))))),OR(AND(D782="Endowment",Inputs!$B$14="Y"),AND(D782="Foundation",Inputs!$B$15="Y"),AND(D782="Healthcare",Inputs!$B$16="Y"),AND(D782="Pension",Inputs!$B$17="Y"),AND(D782="OCIO",Inputs!$B$18="Y"),AND(D782="Other",Inputs!$B$19="Y")))),A782&lt;&gt;in_ClientOrg,NOT(AND(in_ExclHarvard="Y",ISNUMBER(SEARCH("Harvard",A782))))),$AD782="Y",K782&lt;&gt;"",S782&gt;0),"Y","")</f>
        <v/>
      </c>
      <c r="V782" s="30" t="n"/>
      <c r="W782" t="inlineStr"/>
      <c r="X782" s="28">
        <f>IF(L782+M782=0,"",L782+M782)</f>
        <v/>
      </c>
      <c r="Y782" s="38">
        <f>IF(L782=0,"",M782/L782)</f>
        <v/>
      </c>
      <c r="Z782" t="inlineStr">
        <is>
          <t>Director &amp; Investment Officer</t>
        </is>
      </c>
      <c r="AA782" t="inlineStr">
        <is>
          <t>Investments</t>
        </is>
      </c>
      <c r="AB782" s="50" t="inlineStr"/>
      <c r="AC782" s="43">
        <f>HYPERLINK("https://projects.propublica.org/nonprofits/organizations/410754835/202423199349100607/full","view filing")</f>
        <v/>
      </c>
      <c r="AD782" s="50" t="inlineStr"/>
    </row>
    <row r="783">
      <c r="A783" t="inlineStr">
        <is>
          <t>Mcknight Foundation</t>
        </is>
      </c>
      <c r="B783" s="50" t="inlineStr">
        <is>
          <t>MN</t>
        </is>
      </c>
      <c r="C783" s="52" t="n">
        <v>2.6</v>
      </c>
      <c r="D783" t="inlineStr">
        <is>
          <t>Foundation</t>
        </is>
      </c>
      <c r="E783" s="50" t="n">
        <v>2022</v>
      </c>
      <c r="F783" s="50" t="inlineStr">
        <is>
          <t>2023-11-14</t>
        </is>
      </c>
      <c r="G783" s="50" t="inlineStr">
        <is>
          <t>2022-12-31</t>
        </is>
      </c>
      <c r="H783" t="inlineStr">
        <is>
          <t>Elizabeth Mcgeveran</t>
        </is>
      </c>
      <c r="I783" t="inlineStr">
        <is>
          <t>DIR of Investments</t>
        </is>
      </c>
      <c r="J783" t="inlineStr">
        <is>
          <t>Director of Investments</t>
        </is>
      </c>
      <c r="K783" t="inlineStr">
        <is>
          <t>Sr Investment Professional</t>
        </is>
      </c>
      <c r="L783" s="28" t="n">
        <v>0</v>
      </c>
      <c r="M783" s="28" t="n">
        <v>0</v>
      </c>
      <c r="N783" s="28" t="n">
        <v>0</v>
      </c>
      <c r="O783" s="28" t="n">
        <v>0</v>
      </c>
      <c r="P783" s="28" t="n">
        <v>0</v>
      </c>
      <c r="Q783" s="28" t="n">
        <v>340956</v>
      </c>
      <c r="R783" s="28" t="n">
        <v>0</v>
      </c>
      <c r="S783" s="28">
        <f>Q783-R783</f>
        <v/>
      </c>
      <c r="T783" s="28">
        <f>IF(S783="","",S783*(1+in_GrowthRate)^(YEARFRAC(DATE(2022,12,31),in_AgeToDate)*IF(in_AgeToDate&lt;DATE(2022,12,31),-1,1)+1))</f>
        <v/>
      </c>
      <c r="U783" s="50">
        <f>IF(AND(AND(OR(in_Mode="All Funds",AND(C783&gt;=in_BandFloor,C783&lt;=in_BandCeiling,OR(in_Geography="National",COUNTIFS(lst_GeoPreset,in_Geography,lst_GeoState,B783)&gt;0,AND(in_Geography="Custom",ISNUMBER(SEARCH(B783,SUBSTITUTE(in_CustomStates," ",""))))),OR(AND(D783="Endowment",Inputs!$B$14="Y"),AND(D783="Foundation",Inputs!$B$15="Y"),AND(D783="Healthcare",Inputs!$B$16="Y"),AND(D783="Pension",Inputs!$B$17="Y"),AND(D783="OCIO",Inputs!$B$18="Y"),AND(D783="Other",Inputs!$B$19="Y")))),A783&lt;&gt;in_ClientOrg,NOT(AND(in_ExclHarvard="Y",ISNUMBER(SEARCH("Harvard",A783))))),$AD783="Y",K783&lt;&gt;"",S783&gt;0),"Y","")</f>
        <v/>
      </c>
      <c r="V783" s="30" t="n"/>
      <c r="W783" t="inlineStr"/>
      <c r="X783" s="28">
        <f>IF(L783+M783=0,"",L783+M783)</f>
        <v/>
      </c>
      <c r="Y783" s="38">
        <f>IF(L783=0,"",M783/L783)</f>
        <v/>
      </c>
      <c r="Z783" t="inlineStr">
        <is>
          <t>Director &amp; Investment Officer</t>
        </is>
      </c>
      <c r="AA783" t="inlineStr">
        <is>
          <t>Investments</t>
        </is>
      </c>
      <c r="AB783" s="50" t="inlineStr"/>
      <c r="AC783" s="43">
        <f>HYPERLINK("https://projects.propublica.org/nonprofits/organizations/410754835/202343189349103054/full","view filing")</f>
        <v/>
      </c>
      <c r="AD783" s="50" t="inlineStr"/>
    </row>
    <row r="784">
      <c r="A784" t="inlineStr">
        <is>
          <t>Memorial Sloan Kettering Cancer Center</t>
        </is>
      </c>
      <c r="B784" s="50" t="inlineStr">
        <is>
          <t>NY</t>
        </is>
      </c>
      <c r="C784" s="52" t="n">
        <v>6.52</v>
      </c>
      <c r="D784" t="inlineStr">
        <is>
          <t>Healthcare</t>
        </is>
      </c>
      <c r="E784" s="50" t="n">
        <v>2024</v>
      </c>
      <c r="F784" s="50" t="inlineStr">
        <is>
          <t>2025-11-11</t>
        </is>
      </c>
      <c r="G784" s="50" t="inlineStr">
        <is>
          <t>2024-12-31</t>
        </is>
      </c>
      <c r="H784" t="inlineStr">
        <is>
          <t>Eilene De Albuquerque</t>
        </is>
      </c>
      <c r="I784" t="inlineStr">
        <is>
          <t>DIRECTOR INVESTMENTS</t>
        </is>
      </c>
      <c r="J784" t="inlineStr">
        <is>
          <t>Director of Investments</t>
        </is>
      </c>
      <c r="K784" t="inlineStr">
        <is>
          <t>Sr Investment Professional</t>
        </is>
      </c>
      <c r="L784" s="28" t="n">
        <v>432231</v>
      </c>
      <c r="M784" s="28" t="n">
        <v>570000</v>
      </c>
      <c r="N784" s="28" t="n">
        <v>741</v>
      </c>
      <c r="O784" s="28" t="n">
        <v>27600</v>
      </c>
      <c r="P784" s="28" t="n">
        <v>51885</v>
      </c>
      <c r="Q784" s="28" t="n">
        <v>1082457</v>
      </c>
      <c r="R784" s="28" t="n">
        <v>0</v>
      </c>
      <c r="S784" s="28">
        <f>Q784-R784</f>
        <v/>
      </c>
      <c r="T784" s="28">
        <f>IF(S784="","",S784*(1+in_GrowthRate)^(YEARFRAC(DATE(2024,12,31),in_AgeToDate)*IF(in_AgeToDate&lt;DATE(2024,12,31),-1,1)+1))</f>
        <v/>
      </c>
      <c r="U784" s="50">
        <f>IF(AND(AND(OR(in_Mode="All Funds",AND(C784&gt;=in_BandFloor,C784&lt;=in_BandCeiling,OR(in_Geography="National",COUNTIFS(lst_GeoPreset,in_Geography,lst_GeoState,B784)&gt;0,AND(in_Geography="Custom",ISNUMBER(SEARCH(B784,SUBSTITUTE(in_CustomStates," ",""))))),OR(AND(D784="Endowment",Inputs!$B$14="Y"),AND(D784="Foundation",Inputs!$B$15="Y"),AND(D784="Healthcare",Inputs!$B$16="Y"),AND(D784="Pension",Inputs!$B$17="Y"),AND(D784="OCIO",Inputs!$B$18="Y"),AND(D784="Other",Inputs!$B$19="Y")))),A784&lt;&gt;in_ClientOrg,NOT(AND(in_ExclHarvard="Y",ISNUMBER(SEARCH("Harvard",A784))))),$AD784="Y",K784&lt;&gt;"",S784&gt;0),"Y","")</f>
        <v/>
      </c>
      <c r="V784" s="30" t="n">
        <v>0.4583223423340267</v>
      </c>
      <c r="W784" t="inlineStr"/>
      <c r="X784" s="28">
        <f>IF(L784+M784=0,"",L784+M784)</f>
        <v/>
      </c>
      <c r="Y784" s="38">
        <f>IF(L784=0,"",M784/L784)</f>
        <v/>
      </c>
      <c r="Z784" t="inlineStr">
        <is>
          <t>Director &amp; Investment Officer</t>
        </is>
      </c>
      <c r="AA784" t="inlineStr">
        <is>
          <t>Investments</t>
        </is>
      </c>
      <c r="AB784" s="50" t="inlineStr"/>
      <c r="AC784" s="43">
        <f>HYPERLINK("https://projects.propublica.org/nonprofits/organizations/131924236/202533159349305998/full","view filing")</f>
        <v/>
      </c>
      <c r="AD784" s="50" t="inlineStr">
        <is>
          <t>Y</t>
        </is>
      </c>
    </row>
    <row r="785">
      <c r="A785" t="inlineStr">
        <is>
          <t>Memorial Sloan Kettering Cancer Center</t>
        </is>
      </c>
      <c r="B785" s="50" t="inlineStr">
        <is>
          <t>NY</t>
        </is>
      </c>
      <c r="C785" s="52" t="n">
        <v>6.52</v>
      </c>
      <c r="D785" t="inlineStr">
        <is>
          <t>Healthcare</t>
        </is>
      </c>
      <c r="E785" s="50" t="n">
        <v>2024</v>
      </c>
      <c r="F785" s="50" t="inlineStr">
        <is>
          <t>2025-11-11</t>
        </is>
      </c>
      <c r="G785" s="50" t="inlineStr">
        <is>
          <t>2024-12-31</t>
        </is>
      </c>
      <c r="H785" t="inlineStr">
        <is>
          <t>Jason Klein</t>
        </is>
      </c>
      <c r="I785" t="inlineStr">
        <is>
          <t>SVP &amp; CHIEF INVESTMENT OFFICER</t>
        </is>
      </c>
      <c r="J785" t="inlineStr">
        <is>
          <t>CIO</t>
        </is>
      </c>
      <c r="K785" t="inlineStr">
        <is>
          <t>CIO - Top Investment Executive</t>
        </is>
      </c>
      <c r="L785" s="28" t="n">
        <v>1260630</v>
      </c>
      <c r="M785" s="28" t="n">
        <v>1000000</v>
      </c>
      <c r="N785" s="28" t="n">
        <v>11250</v>
      </c>
      <c r="O785" s="28" t="n">
        <v>27600</v>
      </c>
      <c r="P785" s="28" t="n">
        <v>62301</v>
      </c>
      <c r="Q785" s="28" t="n">
        <v>2361781</v>
      </c>
      <c r="R785" s="28" t="n">
        <v>0</v>
      </c>
      <c r="S785" s="28">
        <f>Q785-R785</f>
        <v/>
      </c>
      <c r="T785" s="28">
        <f>IF(S785="","",S785*(1+in_GrowthRate)^(YEARFRAC(DATE(2024,12,31),in_AgeToDate)*IF(in_AgeToDate&lt;DATE(2024,12,31),-1,1)+1))</f>
        <v/>
      </c>
      <c r="U785" s="50">
        <f>IF(AND(AND(OR(in_Mode="All Funds",AND(C785&gt;=in_BandFloor,C785&lt;=in_BandCeiling,OR(in_Geography="National",COUNTIFS(lst_GeoPreset,in_Geography,lst_GeoState,B785)&gt;0,AND(in_Geography="Custom",ISNUMBER(SEARCH(B785,SUBSTITUTE(in_CustomStates," ",""))))),OR(AND(D785="Endowment",Inputs!$B$14="Y"),AND(D785="Foundation",Inputs!$B$15="Y"),AND(D785="Healthcare",Inputs!$B$16="Y"),AND(D785="Pension",Inputs!$B$17="Y"),AND(D785="OCIO",Inputs!$B$18="Y"),AND(D785="Other",Inputs!$B$19="Y")))),A785&lt;&gt;in_ClientOrg,NOT(AND(in_ExclHarvard="Y",ISNUMBER(SEARCH("Harvard",A785))))),$AD785="Y",K785&lt;&gt;"",S785&gt;0),"Y","")</f>
        <v/>
      </c>
      <c r="V785" s="30" t="n">
        <v>1</v>
      </c>
      <c r="W785" t="inlineStr"/>
      <c r="X785" s="28">
        <f>IF(L785+M785=0,"",L785+M785)</f>
        <v/>
      </c>
      <c r="Y785" s="38">
        <f>IF(L785=0,"",M785/L785)</f>
        <v/>
      </c>
      <c r="Z785" t="inlineStr">
        <is>
          <t>CIO - Top Investment Executive</t>
        </is>
      </c>
      <c r="AA785" t="inlineStr">
        <is>
          <t>Leadership</t>
        </is>
      </c>
      <c r="AB785" s="50" t="inlineStr">
        <is>
          <t>Y</t>
        </is>
      </c>
      <c r="AC785" s="43">
        <f>HYPERLINK("https://projects.propublica.org/nonprofits/organizations/131924236/202533159349305998/full","view filing")</f>
        <v/>
      </c>
      <c r="AD785" s="50" t="inlineStr">
        <is>
          <t>Y</t>
        </is>
      </c>
    </row>
    <row r="786">
      <c r="A786" t="inlineStr">
        <is>
          <t>Memorial Sloan Kettering Cancer Center</t>
        </is>
      </c>
      <c r="B786" s="50" t="inlineStr">
        <is>
          <t>NY</t>
        </is>
      </c>
      <c r="C786" s="52" t="n">
        <v>6.52</v>
      </c>
      <c r="D786" t="inlineStr">
        <is>
          <t>Healthcare</t>
        </is>
      </c>
      <c r="E786" s="50" t="n">
        <v>2023</v>
      </c>
      <c r="F786" s="50" t="inlineStr">
        <is>
          <t>2024-11-14</t>
        </is>
      </c>
      <c r="G786" s="50" t="inlineStr">
        <is>
          <t>2023-12-31</t>
        </is>
      </c>
      <c r="H786" t="inlineStr">
        <is>
          <t>Jason Klein</t>
        </is>
      </c>
      <c r="I786" t="inlineStr">
        <is>
          <t>SVP &amp; CHIEF INVESTMENT OFFICER</t>
        </is>
      </c>
      <c r="J786" t="inlineStr">
        <is>
          <t>CIO</t>
        </is>
      </c>
      <c r="K786" t="inlineStr">
        <is>
          <t>CIO - Top Investment Executive</t>
        </is>
      </c>
      <c r="L786" s="28" t="n">
        <v>1133496</v>
      </c>
      <c r="M786" s="28" t="n">
        <v>2225250</v>
      </c>
      <c r="N786" s="28" t="n">
        <v>140223</v>
      </c>
      <c r="O786" s="28" t="n">
        <v>26400</v>
      </c>
      <c r="P786" s="28" t="n">
        <v>56076</v>
      </c>
      <c r="Q786" s="28" t="n">
        <v>3581445</v>
      </c>
      <c r="R786" s="28" t="n">
        <v>0</v>
      </c>
      <c r="S786" s="28">
        <f>Q786-R786</f>
        <v/>
      </c>
      <c r="T786" s="28">
        <f>IF(S786="","",S786*(1+in_GrowthRate)^(YEARFRAC(DATE(2023,12,31),in_AgeToDate)*IF(in_AgeToDate&lt;DATE(2023,12,31),-1,1)+1))</f>
        <v/>
      </c>
      <c r="U786" s="50">
        <f>IF(AND(AND(OR(in_Mode="All Funds",AND(C786&gt;=in_BandFloor,C786&lt;=in_BandCeiling,OR(in_Geography="National",COUNTIFS(lst_GeoPreset,in_Geography,lst_GeoState,B786)&gt;0,AND(in_Geography="Custom",ISNUMBER(SEARCH(B786,SUBSTITUTE(in_CustomStates," ",""))))),OR(AND(D786="Endowment",Inputs!$B$14="Y"),AND(D786="Foundation",Inputs!$B$15="Y"),AND(D786="Healthcare",Inputs!$B$16="Y"),AND(D786="Pension",Inputs!$B$17="Y"),AND(D786="OCIO",Inputs!$B$18="Y"),AND(D786="Other",Inputs!$B$19="Y")))),A786&lt;&gt;in_ClientOrg,NOT(AND(in_ExclHarvard="Y",ISNUMBER(SEARCH("Harvard",A786))))),$AD786="Y",K786&lt;&gt;"",S786&gt;0),"Y","")</f>
        <v/>
      </c>
      <c r="V786" s="30" t="n">
        <v>1</v>
      </c>
      <c r="W786" t="inlineStr"/>
      <c r="X786" s="28">
        <f>IF(L786+M786=0,"",L786+M786)</f>
        <v/>
      </c>
      <c r="Y786" s="38">
        <f>IF(L786=0,"",M786/L786)</f>
        <v/>
      </c>
      <c r="Z786" t="inlineStr">
        <is>
          <t>CIO - Top Investment Executive</t>
        </is>
      </c>
      <c r="AA786" t="inlineStr">
        <is>
          <t>Leadership</t>
        </is>
      </c>
      <c r="AB786" s="50" t="inlineStr">
        <is>
          <t>Y</t>
        </is>
      </c>
      <c r="AC786" s="43">
        <f>HYPERLINK("https://projects.propublica.org/nonprofits/organizations/131924236/202433199349316733/full","view filing")</f>
        <v/>
      </c>
      <c r="AD786" s="50" t="inlineStr"/>
    </row>
    <row r="787">
      <c r="A787" t="inlineStr">
        <is>
          <t>Memorial Sloan Kettering Cancer Center</t>
        </is>
      </c>
      <c r="B787" s="50" t="inlineStr">
        <is>
          <t>NY</t>
        </is>
      </c>
      <c r="C787" s="52" t="n">
        <v>6.52</v>
      </c>
      <c r="D787" t="inlineStr">
        <is>
          <t>Healthcare</t>
        </is>
      </c>
      <c r="E787" s="50" t="n">
        <v>2023</v>
      </c>
      <c r="F787" s="50" t="inlineStr">
        <is>
          <t>2024-11-14</t>
        </is>
      </c>
      <c r="G787" s="50" t="inlineStr">
        <is>
          <t>2023-12-31</t>
        </is>
      </c>
      <c r="H787" t="inlineStr">
        <is>
          <t>Nirschl Novisi</t>
        </is>
      </c>
      <c r="I787" t="inlineStr">
        <is>
          <t>DIRECTOR INVESTMENTS</t>
        </is>
      </c>
      <c r="J787" t="inlineStr">
        <is>
          <t>Director of Investments</t>
        </is>
      </c>
      <c r="K787" t="inlineStr">
        <is>
          <t>Sr Investment Professional</t>
        </is>
      </c>
      <c r="L787" s="28" t="n">
        <v>505417</v>
      </c>
      <c r="M787" s="28" t="n">
        <v>578123</v>
      </c>
      <c r="N787" s="28" t="n">
        <v>0</v>
      </c>
      <c r="O787" s="28" t="n">
        <v>26400</v>
      </c>
      <c r="P787" s="28" t="n">
        <v>54771</v>
      </c>
      <c r="Q787" s="28" t="n">
        <v>1164711</v>
      </c>
      <c r="R787" s="28" t="n">
        <v>0</v>
      </c>
      <c r="S787" s="28">
        <f>Q787-R787</f>
        <v/>
      </c>
      <c r="T787" s="28">
        <f>IF(S787="","",S787*(1+in_GrowthRate)^(YEARFRAC(DATE(2023,12,31),in_AgeToDate)*IF(in_AgeToDate&lt;DATE(2023,12,31),-1,1)+1))</f>
        <v/>
      </c>
      <c r="U787" s="50">
        <f>IF(AND(AND(OR(in_Mode="All Funds",AND(C787&gt;=in_BandFloor,C787&lt;=in_BandCeiling,OR(in_Geography="National",COUNTIFS(lst_GeoPreset,in_Geography,lst_GeoState,B787)&gt;0,AND(in_Geography="Custom",ISNUMBER(SEARCH(B787,SUBSTITUTE(in_CustomStates," ",""))))),OR(AND(D787="Endowment",Inputs!$B$14="Y"),AND(D787="Foundation",Inputs!$B$15="Y"),AND(D787="Healthcare",Inputs!$B$16="Y"),AND(D787="Pension",Inputs!$B$17="Y"),AND(D787="OCIO",Inputs!$B$18="Y"),AND(D787="Other",Inputs!$B$19="Y")))),A787&lt;&gt;in_ClientOrg,NOT(AND(in_ExclHarvard="Y",ISNUMBER(SEARCH("Harvard",A787))))),$AD787="Y",K787&lt;&gt;"",S787&gt;0),"Y","")</f>
        <v/>
      </c>
      <c r="V787" s="30" t="n">
        <v>0.3252070044353606</v>
      </c>
      <c r="W787" t="inlineStr"/>
      <c r="X787" s="28">
        <f>IF(L787+M787=0,"",L787+M787)</f>
        <v/>
      </c>
      <c r="Y787" s="38">
        <f>IF(L787=0,"",M787/L787)</f>
        <v/>
      </c>
      <c r="Z787" t="inlineStr">
        <is>
          <t>Director &amp; Investment Officer</t>
        </is>
      </c>
      <c r="AA787" t="inlineStr">
        <is>
          <t>Investments</t>
        </is>
      </c>
      <c r="AB787" s="50" t="inlineStr"/>
      <c r="AC787" s="43">
        <f>HYPERLINK("https://projects.propublica.org/nonprofits/organizations/131924236/202433199349316733/full","view filing")</f>
        <v/>
      </c>
      <c r="AD787" s="50" t="inlineStr"/>
    </row>
    <row r="788">
      <c r="A788" t="inlineStr">
        <is>
          <t>Memorial Sloan Kettering Cancer Center</t>
        </is>
      </c>
      <c r="B788" s="50" t="inlineStr">
        <is>
          <t>NY</t>
        </is>
      </c>
      <c r="C788" s="52" t="n">
        <v>6.52</v>
      </c>
      <c r="D788" t="inlineStr">
        <is>
          <t>Healthcare</t>
        </is>
      </c>
      <c r="E788" s="50" t="n">
        <v>2023</v>
      </c>
      <c r="F788" s="50" t="inlineStr">
        <is>
          <t>2024-11-14</t>
        </is>
      </c>
      <c r="G788" s="50" t="inlineStr">
        <is>
          <t>2023-12-31</t>
        </is>
      </c>
      <c r="H788" t="inlineStr">
        <is>
          <t>Steven Kael</t>
        </is>
      </c>
      <c r="I788" t="inlineStr">
        <is>
          <t>DIRECTOR INVESTMENTS</t>
        </is>
      </c>
      <c r="J788" t="inlineStr">
        <is>
          <t>Director of Investments</t>
        </is>
      </c>
      <c r="K788" t="inlineStr">
        <is>
          <t>Sr Investment Professional</t>
        </is>
      </c>
      <c r="L788" s="28" t="n">
        <v>969701</v>
      </c>
      <c r="M788" s="28" t="n">
        <v>154500</v>
      </c>
      <c r="N788" s="28" t="n">
        <v>882</v>
      </c>
      <c r="O788" s="28" t="n">
        <v>26400</v>
      </c>
      <c r="P788" s="28" t="n">
        <v>44016</v>
      </c>
      <c r="Q788" s="28" t="n">
        <v>1195499</v>
      </c>
      <c r="R788" s="28" t="n">
        <v>0</v>
      </c>
      <c r="S788" s="28">
        <f>Q788-R788</f>
        <v/>
      </c>
      <c r="T788" s="28">
        <f>IF(S788="","",S788*(1+in_GrowthRate)^(YEARFRAC(DATE(2023,12,31),in_AgeToDate)*IF(in_AgeToDate&lt;DATE(2023,12,31),-1,1)+1))</f>
        <v/>
      </c>
      <c r="U788" s="50">
        <f>IF(AND(AND(OR(in_Mode="All Funds",AND(C788&gt;=in_BandFloor,C788&lt;=in_BandCeiling,OR(in_Geography="National",COUNTIFS(lst_GeoPreset,in_Geography,lst_GeoState,B788)&gt;0,AND(in_Geography="Custom",ISNUMBER(SEARCH(B788,SUBSTITUTE(in_CustomStates," ",""))))),OR(AND(D788="Endowment",Inputs!$B$14="Y"),AND(D788="Foundation",Inputs!$B$15="Y"),AND(D788="Healthcare",Inputs!$B$16="Y"),AND(D788="Pension",Inputs!$B$17="Y"),AND(D788="OCIO",Inputs!$B$18="Y"),AND(D788="Other",Inputs!$B$19="Y")))),A788&lt;&gt;in_ClientOrg,NOT(AND(in_ExclHarvard="Y",ISNUMBER(SEARCH("Harvard",A788))))),$AD788="Y",K788&lt;&gt;"",S788&gt;0),"Y","")</f>
        <v/>
      </c>
      <c r="V788" s="30" t="n">
        <v>0.3338035346068416</v>
      </c>
      <c r="W788" t="inlineStr"/>
      <c r="X788" s="28">
        <f>IF(L788+M788=0,"",L788+M788)</f>
        <v/>
      </c>
      <c r="Y788" s="38">
        <f>IF(L788=0,"",M788/L788)</f>
        <v/>
      </c>
      <c r="Z788" t="inlineStr">
        <is>
          <t>Director &amp; Investment Officer</t>
        </is>
      </c>
      <c r="AA788" t="inlineStr">
        <is>
          <t>Investments</t>
        </is>
      </c>
      <c r="AB788" s="50" t="inlineStr"/>
      <c r="AC788" s="43">
        <f>HYPERLINK("https://projects.propublica.org/nonprofits/organizations/131924236/202433199349316733/full","view filing")</f>
        <v/>
      </c>
      <c r="AD788" s="50" t="inlineStr"/>
    </row>
    <row r="789">
      <c r="A789" t="inlineStr">
        <is>
          <t>Memorial Sloan Kettering Cancer Center</t>
        </is>
      </c>
      <c r="B789" s="50" t="inlineStr">
        <is>
          <t>NY</t>
        </is>
      </c>
      <c r="C789" s="52" t="n">
        <v>6.52</v>
      </c>
      <c r="D789" t="inlineStr">
        <is>
          <t>Healthcare</t>
        </is>
      </c>
      <c r="E789" s="50" t="n">
        <v>2022</v>
      </c>
      <c r="F789" s="50" t="inlineStr">
        <is>
          <t>2023-11-15</t>
        </is>
      </c>
      <c r="G789" s="50" t="inlineStr">
        <is>
          <t>2022-12-31</t>
        </is>
      </c>
      <c r="H789" t="inlineStr">
        <is>
          <t>Jason Klein</t>
        </is>
      </c>
      <c r="I789" t="inlineStr">
        <is>
          <t>SVP &amp; CHIEF INVESTMENT OFFICER</t>
        </is>
      </c>
      <c r="J789" t="inlineStr">
        <is>
          <t>CIO</t>
        </is>
      </c>
      <c r="K789" t="inlineStr">
        <is>
          <t>CIO - Top Investment Executive</t>
        </is>
      </c>
      <c r="L789" s="28" t="n">
        <v>1178244</v>
      </c>
      <c r="M789" s="28" t="n">
        <v>2530000</v>
      </c>
      <c r="N789" s="28" t="n">
        <v>3099681</v>
      </c>
      <c r="O789" s="28" t="n">
        <v>24400</v>
      </c>
      <c r="P789" s="28" t="n">
        <v>51722</v>
      </c>
      <c r="Q789" s="28" t="n">
        <v>6884047</v>
      </c>
      <c r="R789" s="28" t="n">
        <v>16000</v>
      </c>
      <c r="S789" s="28">
        <f>Q789-R789</f>
        <v/>
      </c>
      <c r="T789" s="28">
        <f>IF(S789="","",S789*(1+in_GrowthRate)^(YEARFRAC(DATE(2022,12,31),in_AgeToDate)*IF(in_AgeToDate&lt;DATE(2022,12,31),-1,1)+1))</f>
        <v/>
      </c>
      <c r="U789" s="50">
        <f>IF(AND(AND(OR(in_Mode="All Funds",AND(C789&gt;=in_BandFloor,C789&lt;=in_BandCeiling,OR(in_Geography="National",COUNTIFS(lst_GeoPreset,in_Geography,lst_GeoState,B789)&gt;0,AND(in_Geography="Custom",ISNUMBER(SEARCH(B789,SUBSTITUTE(in_CustomStates," ",""))))),OR(AND(D789="Endowment",Inputs!$B$14="Y"),AND(D789="Foundation",Inputs!$B$15="Y"),AND(D789="Healthcare",Inputs!$B$16="Y"),AND(D789="Pension",Inputs!$B$17="Y"),AND(D789="OCIO",Inputs!$B$18="Y"),AND(D789="Other",Inputs!$B$19="Y")))),A789&lt;&gt;in_ClientOrg,NOT(AND(in_ExclHarvard="Y",ISNUMBER(SEARCH("Harvard",A789))))),$AD789="Y",K789&lt;&gt;"",S789&gt;0),"Y","")</f>
        <v/>
      </c>
      <c r="V789" s="30" t="n">
        <v>1</v>
      </c>
      <c r="W789" t="inlineStr"/>
      <c r="X789" s="28">
        <f>IF(L789+M789=0,"",L789+M789)</f>
        <v/>
      </c>
      <c r="Y789" s="38">
        <f>IF(L789=0,"",M789/L789)</f>
        <v/>
      </c>
      <c r="Z789" t="inlineStr">
        <is>
          <t>CIO - Top Investment Executive</t>
        </is>
      </c>
      <c r="AA789" t="inlineStr">
        <is>
          <t>Leadership</t>
        </is>
      </c>
      <c r="AB789" s="50" t="inlineStr">
        <is>
          <t>Y</t>
        </is>
      </c>
      <c r="AC789" s="43">
        <f>HYPERLINK("https://projects.propublica.org/nonprofits/organizations/131924236/202333199349305773/full","view filing")</f>
        <v/>
      </c>
      <c r="AD789" s="50" t="inlineStr"/>
    </row>
    <row r="790">
      <c r="A790" t="inlineStr">
        <is>
          <t>Mercy Corps</t>
        </is>
      </c>
      <c r="B790" s="50" t="inlineStr">
        <is>
          <t>OR</t>
        </is>
      </c>
      <c r="C790" s="52" t="n">
        <v>0.26</v>
      </c>
      <c r="D790" t="inlineStr">
        <is>
          <t>Other</t>
        </is>
      </c>
      <c r="E790" s="50" t="n">
        <v>2025</v>
      </c>
      <c r="F790" s="50" t="inlineStr">
        <is>
          <t>2026-01-30</t>
        </is>
      </c>
      <c r="G790" s="50" t="inlineStr">
        <is>
          <t>2025-06-30</t>
        </is>
      </c>
      <c r="H790" t="inlineStr">
        <is>
          <t>Jonathan Scott Onder</t>
        </is>
      </c>
      <c r="I790" t="inlineStr">
        <is>
          <t>Chief Investment Officer</t>
        </is>
      </c>
      <c r="J790" t="inlineStr">
        <is>
          <t>CIO</t>
        </is>
      </c>
      <c r="K790" t="inlineStr">
        <is>
          <t>CIO - Top Investment Executive</t>
        </is>
      </c>
      <c r="L790" s="28" t="n">
        <v>231378</v>
      </c>
      <c r="M790" s="28" t="n">
        <v>0</v>
      </c>
      <c r="N790" s="28" t="n">
        <v>1723</v>
      </c>
      <c r="O790" s="28" t="n">
        <v>14297</v>
      </c>
      <c r="P790" s="28" t="n">
        <v>27630</v>
      </c>
      <c r="Q790" s="28" t="n">
        <v>275028</v>
      </c>
      <c r="R790" s="28" t="n">
        <v>0</v>
      </c>
      <c r="S790" s="28">
        <f>Q790-R790</f>
        <v/>
      </c>
      <c r="T790" s="28">
        <f>IF(S790="","",S790*(1+in_GrowthRate)^(YEARFRAC(DATE(2025,6,30),in_AgeToDate)*IF(in_AgeToDate&lt;DATE(2025,6,30),-1,1)+1))</f>
        <v/>
      </c>
      <c r="U790" s="50">
        <f>IF(AND(AND(OR(in_Mode="All Funds",AND(C790&gt;=in_BandFloor,C790&lt;=in_BandCeiling,OR(in_Geography="National",COUNTIFS(lst_GeoPreset,in_Geography,lst_GeoState,B790)&gt;0,AND(in_Geography="Custom",ISNUMBER(SEARCH(B790,SUBSTITUTE(in_CustomStates," ",""))))),OR(AND(D790="Endowment",Inputs!$B$14="Y"),AND(D790="Foundation",Inputs!$B$15="Y"),AND(D790="Healthcare",Inputs!$B$16="Y"),AND(D790="Pension",Inputs!$B$17="Y"),AND(D790="OCIO",Inputs!$B$18="Y"),AND(D790="Other",Inputs!$B$19="Y")))),A790&lt;&gt;in_ClientOrg,NOT(AND(in_ExclHarvard="Y",ISNUMBER(SEARCH("Harvard",A790))))),$AD790="Y",K790&lt;&gt;"",S790&gt;0),"Y","")</f>
        <v/>
      </c>
      <c r="V790" s="30" t="n">
        <v>1</v>
      </c>
      <c r="W790" t="inlineStr"/>
      <c r="X790" s="28">
        <f>IF(L790+M790=0,"",L790+M790)</f>
        <v/>
      </c>
      <c r="Y790" s="38">
        <f>IF(L790=0,"",M790/L790)</f>
        <v/>
      </c>
      <c r="Z790" t="inlineStr">
        <is>
          <t>CIO - Top Investment Executive</t>
        </is>
      </c>
      <c r="AA790" t="inlineStr">
        <is>
          <t>Leadership</t>
        </is>
      </c>
      <c r="AB790" s="50" t="inlineStr">
        <is>
          <t>Y</t>
        </is>
      </c>
      <c r="AC790" s="43">
        <f>HYPERLINK("https://projects.propublica.org/nonprofits/organizations/911148123/202620309349300817/full","view filing")</f>
        <v/>
      </c>
      <c r="AD790" s="50" t="inlineStr">
        <is>
          <t>Y</t>
        </is>
      </c>
    </row>
    <row r="791">
      <c r="A791" t="inlineStr">
        <is>
          <t>Meyer Memorial Trust</t>
        </is>
      </c>
      <c r="B791" s="50" t="inlineStr">
        <is>
          <t>OR</t>
        </is>
      </c>
      <c r="C791" s="52" t="n">
        <v>0.88</v>
      </c>
      <c r="D791" t="inlineStr">
        <is>
          <t>Foundation</t>
        </is>
      </c>
      <c r="E791" s="50" t="n">
        <v>2025</v>
      </c>
      <c r="F791" s="50" t="inlineStr">
        <is>
          <t>2026-02-05</t>
        </is>
      </c>
      <c r="G791" s="50" t="inlineStr">
        <is>
          <t>2025-03-31</t>
        </is>
      </c>
      <c r="H791" t="inlineStr">
        <is>
          <t>Sohel Hussain</t>
        </is>
      </c>
      <c r="I791" t="inlineStr">
        <is>
          <t>VP OF INVESTMENTS AN</t>
        </is>
      </c>
      <c r="J791" t="inlineStr">
        <is>
          <t>Director of Investments</t>
        </is>
      </c>
      <c r="K791" t="inlineStr">
        <is>
          <t>Sr Investment Professional</t>
        </is>
      </c>
      <c r="L791" s="28" t="n">
        <v>0</v>
      </c>
      <c r="M791" s="28" t="n">
        <v>0</v>
      </c>
      <c r="N791" s="28" t="n">
        <v>0</v>
      </c>
      <c r="O791" s="28" t="n">
        <v>0</v>
      </c>
      <c r="P791" s="28" t="n">
        <v>0</v>
      </c>
      <c r="Q791" s="28" t="n">
        <v>317875</v>
      </c>
      <c r="R791" s="28" t="n">
        <v>0</v>
      </c>
      <c r="S791" s="28">
        <f>Q791-R791</f>
        <v/>
      </c>
      <c r="T791" s="28">
        <f>IF(S791="","",S791*(1+in_GrowthRate)^(YEARFRAC(DATE(2025,3,31),in_AgeToDate)*IF(in_AgeToDate&lt;DATE(2025,3,31),-1,1)+1))</f>
        <v/>
      </c>
      <c r="U791" s="50">
        <f>IF(AND(AND(OR(in_Mode="All Funds",AND(C791&gt;=in_BandFloor,C791&lt;=in_BandCeiling,OR(in_Geography="National",COUNTIFS(lst_GeoPreset,in_Geography,lst_GeoState,B791)&gt;0,AND(in_Geography="Custom",ISNUMBER(SEARCH(B791,SUBSTITUTE(in_CustomStates," ",""))))),OR(AND(D791="Endowment",Inputs!$B$14="Y"),AND(D791="Foundation",Inputs!$B$15="Y"),AND(D791="Healthcare",Inputs!$B$16="Y"),AND(D791="Pension",Inputs!$B$17="Y"),AND(D791="OCIO",Inputs!$B$18="Y"),AND(D791="Other",Inputs!$B$19="Y")))),A791&lt;&gt;in_ClientOrg,NOT(AND(in_ExclHarvard="Y",ISNUMBER(SEARCH("Harvard",A791))))),$AD791="Y",K791&lt;&gt;"",S791&gt;0),"Y","")</f>
        <v/>
      </c>
      <c r="V791" s="30" t="n"/>
      <c r="W791" t="inlineStr"/>
      <c r="X791" s="28">
        <f>IF(L791+M791=0,"",L791+M791)</f>
        <v/>
      </c>
      <c r="Y791" s="38">
        <f>IF(L791=0,"",M791/L791)</f>
        <v/>
      </c>
      <c r="Z791" t="inlineStr">
        <is>
          <t>Director &amp; Investment Officer</t>
        </is>
      </c>
      <c r="AA791" t="inlineStr">
        <is>
          <t>Investments</t>
        </is>
      </c>
      <c r="AB791" s="50" t="inlineStr"/>
      <c r="AC791" s="43">
        <f>HYPERLINK("https://projects.propublica.org/nonprofits/organizations/930806316/202600369349100715/full","view filing")</f>
        <v/>
      </c>
      <c r="AD791" s="50" t="inlineStr">
        <is>
          <t>Y</t>
        </is>
      </c>
    </row>
    <row r="792">
      <c r="A792" t="inlineStr">
        <is>
          <t>Meyer Memorial Trust</t>
        </is>
      </c>
      <c r="B792" s="50" t="inlineStr">
        <is>
          <t>OR</t>
        </is>
      </c>
      <c r="C792" s="52" t="n">
        <v>0.88</v>
      </c>
      <c r="D792" t="inlineStr">
        <is>
          <t>Foundation</t>
        </is>
      </c>
      <c r="E792" s="50" t="n">
        <v>2024</v>
      </c>
      <c r="F792" s="50" t="inlineStr">
        <is>
          <t>2025-02-12</t>
        </is>
      </c>
      <c r="G792" s="50" t="inlineStr">
        <is>
          <t>2024-03-31</t>
        </is>
      </c>
      <c r="H792" t="inlineStr">
        <is>
          <t>Sohel Hussain</t>
        </is>
      </c>
      <c r="I792" t="inlineStr">
        <is>
          <t>VP OF INVESTMENTS AN</t>
        </is>
      </c>
      <c r="J792" t="inlineStr">
        <is>
          <t>Director of Investments</t>
        </is>
      </c>
      <c r="K792" t="inlineStr">
        <is>
          <t>Sr Investment Professional</t>
        </is>
      </c>
      <c r="L792" s="28" t="n">
        <v>0</v>
      </c>
      <c r="M792" s="28" t="n">
        <v>0</v>
      </c>
      <c r="N792" s="28" t="n">
        <v>0</v>
      </c>
      <c r="O792" s="28" t="n">
        <v>0</v>
      </c>
      <c r="P792" s="28" t="n">
        <v>0</v>
      </c>
      <c r="Q792" s="28" t="n">
        <v>371625</v>
      </c>
      <c r="R792" s="28" t="n">
        <v>0</v>
      </c>
      <c r="S792" s="28">
        <f>Q792-R792</f>
        <v/>
      </c>
      <c r="T792" s="28">
        <f>IF(S792="","",S792*(1+in_GrowthRate)^(YEARFRAC(DATE(2024,3,31),in_AgeToDate)*IF(in_AgeToDate&lt;DATE(2024,3,31),-1,1)+1))</f>
        <v/>
      </c>
      <c r="U792" s="50">
        <f>IF(AND(AND(OR(in_Mode="All Funds",AND(C792&gt;=in_BandFloor,C792&lt;=in_BandCeiling,OR(in_Geography="National",COUNTIFS(lst_GeoPreset,in_Geography,lst_GeoState,B792)&gt;0,AND(in_Geography="Custom",ISNUMBER(SEARCH(B792,SUBSTITUTE(in_CustomStates," ",""))))),OR(AND(D792="Endowment",Inputs!$B$14="Y"),AND(D792="Foundation",Inputs!$B$15="Y"),AND(D792="Healthcare",Inputs!$B$16="Y"),AND(D792="Pension",Inputs!$B$17="Y"),AND(D792="OCIO",Inputs!$B$18="Y"),AND(D792="Other",Inputs!$B$19="Y")))),A792&lt;&gt;in_ClientOrg,NOT(AND(in_ExclHarvard="Y",ISNUMBER(SEARCH("Harvard",A792))))),$AD792="Y",K792&lt;&gt;"",S792&gt;0),"Y","")</f>
        <v/>
      </c>
      <c r="V792" s="30" t="n"/>
      <c r="W792" t="inlineStr"/>
      <c r="X792" s="28">
        <f>IF(L792+M792=0,"",L792+M792)</f>
        <v/>
      </c>
      <c r="Y792" s="38">
        <f>IF(L792=0,"",M792/L792)</f>
        <v/>
      </c>
      <c r="Z792" t="inlineStr">
        <is>
          <t>Director &amp; Investment Officer</t>
        </is>
      </c>
      <c r="AA792" t="inlineStr">
        <is>
          <t>Investments</t>
        </is>
      </c>
      <c r="AB792" s="50" t="inlineStr"/>
      <c r="AC792" s="43">
        <f>HYPERLINK("https://projects.propublica.org/nonprofits/organizations/930806316/202530439349101018/full","view filing")</f>
        <v/>
      </c>
      <c r="AD792" s="50" t="inlineStr"/>
    </row>
    <row r="793">
      <c r="A793" t="inlineStr">
        <is>
          <t>Meyer Memorial Trust</t>
        </is>
      </c>
      <c r="B793" s="50" t="inlineStr">
        <is>
          <t>OR</t>
        </is>
      </c>
      <c r="C793" s="52" t="n">
        <v>0.88</v>
      </c>
      <c r="D793" t="inlineStr">
        <is>
          <t>Foundation</t>
        </is>
      </c>
      <c r="E793" s="50" t="n">
        <v>2023</v>
      </c>
      <c r="F793" s="50" t="inlineStr">
        <is>
          <t>2024-02-12</t>
        </is>
      </c>
      <c r="G793" s="50" t="inlineStr">
        <is>
          <t>2023-03-31</t>
        </is>
      </c>
      <c r="H793" t="inlineStr">
        <is>
          <t>Rukaiyah Adams</t>
        </is>
      </c>
      <c r="I793" t="inlineStr">
        <is>
          <t>Chief invest officer</t>
        </is>
      </c>
      <c r="J793" t="inlineStr">
        <is>
          <t>CIO</t>
        </is>
      </c>
      <c r="K793" t="inlineStr">
        <is>
          <t>CIO - Top Investment Executive</t>
        </is>
      </c>
      <c r="L793" s="28" t="n">
        <v>0</v>
      </c>
      <c r="M793" s="28" t="n">
        <v>0</v>
      </c>
      <c r="N793" s="28" t="n">
        <v>0</v>
      </c>
      <c r="O793" s="28" t="n">
        <v>0</v>
      </c>
      <c r="P793" s="28" t="n">
        <v>0</v>
      </c>
      <c r="Q793" s="28" t="n">
        <v>360453</v>
      </c>
      <c r="R793" s="28" t="n">
        <v>0</v>
      </c>
      <c r="S793" s="28">
        <f>Q793-R793</f>
        <v/>
      </c>
      <c r="T793" s="28">
        <f>IF(S793="","",S793*(1+in_GrowthRate)^(YEARFRAC(DATE(2023,3,31),in_AgeToDate)*IF(in_AgeToDate&lt;DATE(2023,3,31),-1,1)+1))</f>
        <v/>
      </c>
      <c r="U793" s="50">
        <f>IF(AND(AND(OR(in_Mode="All Funds",AND(C793&gt;=in_BandFloor,C793&lt;=in_BandCeiling,OR(in_Geography="National",COUNTIFS(lst_GeoPreset,in_Geography,lst_GeoState,B793)&gt;0,AND(in_Geography="Custom",ISNUMBER(SEARCH(B793,SUBSTITUTE(in_CustomStates," ",""))))),OR(AND(D793="Endowment",Inputs!$B$14="Y"),AND(D793="Foundation",Inputs!$B$15="Y"),AND(D793="Healthcare",Inputs!$B$16="Y"),AND(D793="Pension",Inputs!$B$17="Y"),AND(D793="OCIO",Inputs!$B$18="Y"),AND(D793="Other",Inputs!$B$19="Y")))),A793&lt;&gt;in_ClientOrg,NOT(AND(in_ExclHarvard="Y",ISNUMBER(SEARCH("Harvard",A793))))),$AD793="Y",K793&lt;&gt;"",S793&gt;0),"Y","")</f>
        <v/>
      </c>
      <c r="V793" s="30" t="n">
        <v>1</v>
      </c>
      <c r="W793" t="inlineStr"/>
      <c r="X793" s="28">
        <f>IF(L793+M793=0,"",L793+M793)</f>
        <v/>
      </c>
      <c r="Y793" s="38">
        <f>IF(L793=0,"",M793/L793)</f>
        <v/>
      </c>
      <c r="Z793" t="inlineStr">
        <is>
          <t>CIO - Top Investment Executive</t>
        </is>
      </c>
      <c r="AA793" t="inlineStr">
        <is>
          <t>Leadership</t>
        </is>
      </c>
      <c r="AB793" s="50" t="inlineStr">
        <is>
          <t>Y</t>
        </is>
      </c>
      <c r="AC793" s="43">
        <f>HYPERLINK("https://projects.propublica.org/nonprofits/organizations/930806316/202420439349101117/full","view filing")</f>
        <v/>
      </c>
      <c r="AD793" s="50" t="inlineStr"/>
    </row>
    <row r="794">
      <c r="A794" t="inlineStr">
        <is>
          <t>Meyer Memorial Trust</t>
        </is>
      </c>
      <c r="B794" s="50" t="inlineStr">
        <is>
          <t>OR</t>
        </is>
      </c>
      <c r="C794" s="52" t="n">
        <v>0.88</v>
      </c>
      <c r="D794" t="inlineStr">
        <is>
          <t>Foundation</t>
        </is>
      </c>
      <c r="E794" s="50" t="n">
        <v>2022</v>
      </c>
      <c r="F794" s="50" t="inlineStr">
        <is>
          <t>2023-02-08</t>
        </is>
      </c>
      <c r="G794" s="50" t="inlineStr">
        <is>
          <t>2022-03-31</t>
        </is>
      </c>
      <c r="H794" t="inlineStr">
        <is>
          <t>Rukaiyah Adams</t>
        </is>
      </c>
      <c r="I794" t="inlineStr">
        <is>
          <t>Chief invest officer</t>
        </is>
      </c>
      <c r="J794" t="inlineStr">
        <is>
          <t>CIO</t>
        </is>
      </c>
      <c r="K794" t="inlineStr">
        <is>
          <t>CIO - Top Investment Executive</t>
        </is>
      </c>
      <c r="L794" s="28" t="n">
        <v>0</v>
      </c>
      <c r="M794" s="28" t="n">
        <v>0</v>
      </c>
      <c r="N794" s="28" t="n">
        <v>0</v>
      </c>
      <c r="O794" s="28" t="n">
        <v>0</v>
      </c>
      <c r="P794" s="28" t="n">
        <v>0</v>
      </c>
      <c r="Q794" s="28" t="n">
        <v>507515</v>
      </c>
      <c r="R794" s="28" t="n">
        <v>0</v>
      </c>
      <c r="S794" s="28">
        <f>Q794-R794</f>
        <v/>
      </c>
      <c r="T794" s="28">
        <f>IF(S794="","",S794*(1+in_GrowthRate)^(YEARFRAC(DATE(2022,3,31),in_AgeToDate)*IF(in_AgeToDate&lt;DATE(2022,3,31),-1,1)+1))</f>
        <v/>
      </c>
      <c r="U794" s="50">
        <f>IF(AND(AND(OR(in_Mode="All Funds",AND(C794&gt;=in_BandFloor,C794&lt;=in_BandCeiling,OR(in_Geography="National",COUNTIFS(lst_GeoPreset,in_Geography,lst_GeoState,B794)&gt;0,AND(in_Geography="Custom",ISNUMBER(SEARCH(B794,SUBSTITUTE(in_CustomStates," ",""))))),OR(AND(D794="Endowment",Inputs!$B$14="Y"),AND(D794="Foundation",Inputs!$B$15="Y"),AND(D794="Healthcare",Inputs!$B$16="Y"),AND(D794="Pension",Inputs!$B$17="Y"),AND(D794="OCIO",Inputs!$B$18="Y"),AND(D794="Other",Inputs!$B$19="Y")))),A794&lt;&gt;in_ClientOrg,NOT(AND(in_ExclHarvard="Y",ISNUMBER(SEARCH("Harvard",A794))))),$AD794="Y",K794&lt;&gt;"",S794&gt;0),"Y","")</f>
        <v/>
      </c>
      <c r="V794" s="30" t="n">
        <v>1</v>
      </c>
      <c r="W794" t="inlineStr"/>
      <c r="X794" s="28">
        <f>IF(L794+M794=0,"",L794+M794)</f>
        <v/>
      </c>
      <c r="Y794" s="38">
        <f>IF(L794=0,"",M794/L794)</f>
        <v/>
      </c>
      <c r="Z794" t="inlineStr">
        <is>
          <t>CIO - Top Investment Executive</t>
        </is>
      </c>
      <c r="AA794" t="inlineStr">
        <is>
          <t>Leadership</t>
        </is>
      </c>
      <c r="AB794" s="50" t="inlineStr">
        <is>
          <t>Y</t>
        </is>
      </c>
      <c r="AC794" s="43">
        <f>HYPERLINK("https://projects.propublica.org/nonprofits/organizations/930806316/202340399349100719/full","view filing")</f>
        <v/>
      </c>
      <c r="AD794" s="50" t="inlineStr"/>
    </row>
    <row r="795">
      <c r="A795" t="inlineStr">
        <is>
          <t>Meyer Memorial Trust</t>
        </is>
      </c>
      <c r="B795" s="50" t="inlineStr">
        <is>
          <t>OR</t>
        </is>
      </c>
      <c r="C795" s="52" t="n">
        <v>0.88</v>
      </c>
      <c r="D795" t="inlineStr">
        <is>
          <t>Foundation</t>
        </is>
      </c>
      <c r="E795" s="50" t="n">
        <v>2022</v>
      </c>
      <c r="F795" s="50" t="inlineStr">
        <is>
          <t>2023-02-08</t>
        </is>
      </c>
      <c r="G795" s="50" t="inlineStr">
        <is>
          <t>2022-03-31</t>
        </is>
      </c>
      <c r="H795" t="inlineStr">
        <is>
          <t>Sohel Hussain</t>
        </is>
      </c>
      <c r="I795" t="inlineStr">
        <is>
          <t>Dir Invt Operations</t>
        </is>
      </c>
      <c r="J795" t="inlineStr">
        <is>
          <t>Head of Inv Ops (Inv Entity)</t>
        </is>
      </c>
      <c r="K795" t="inlineStr">
        <is>
          <t>COO (Investment Office)</t>
        </is>
      </c>
      <c r="L795" s="28" t="n">
        <v>0</v>
      </c>
      <c r="M795" s="28" t="n">
        <v>0</v>
      </c>
      <c r="N795" s="28" t="n">
        <v>0</v>
      </c>
      <c r="O795" s="28" t="n">
        <v>0</v>
      </c>
      <c r="P795" s="28" t="n">
        <v>0</v>
      </c>
      <c r="Q795" s="28" t="n">
        <v>256289</v>
      </c>
      <c r="R795" s="28" t="n">
        <v>0</v>
      </c>
      <c r="S795" s="28">
        <f>Q795-R795</f>
        <v/>
      </c>
      <c r="T795" s="28">
        <f>IF(S795="","",S795*(1+in_GrowthRate)^(YEARFRAC(DATE(2022,3,31),in_AgeToDate)*IF(in_AgeToDate&lt;DATE(2022,3,31),-1,1)+1))</f>
        <v/>
      </c>
      <c r="U795" s="50">
        <f>IF(AND(AND(OR(in_Mode="All Funds",AND(C795&gt;=in_BandFloor,C795&lt;=in_BandCeiling,OR(in_Geography="National",COUNTIFS(lst_GeoPreset,in_Geography,lst_GeoState,B795)&gt;0,AND(in_Geography="Custom",ISNUMBER(SEARCH(B795,SUBSTITUTE(in_CustomStates," ",""))))),OR(AND(D795="Endowment",Inputs!$B$14="Y"),AND(D795="Foundation",Inputs!$B$15="Y"),AND(D795="Healthcare",Inputs!$B$16="Y"),AND(D795="Pension",Inputs!$B$17="Y"),AND(D795="OCIO",Inputs!$B$18="Y"),AND(D795="Other",Inputs!$B$19="Y")))),A795&lt;&gt;in_ClientOrg,NOT(AND(in_ExclHarvard="Y",ISNUMBER(SEARCH("Harvard",A795))))),$AD795="Y",K795&lt;&gt;"",S795&gt;0),"Y","")</f>
        <v/>
      </c>
      <c r="V795" s="30" t="n">
        <v>0.504988029910446</v>
      </c>
      <c r="W795" t="inlineStr"/>
      <c r="X795" s="28">
        <f>IF(L795+M795=0,"",L795+M795)</f>
        <v/>
      </c>
      <c r="Y795" s="38">
        <f>IF(L795=0,"",M795/L795)</f>
        <v/>
      </c>
      <c r="Z795" t="inlineStr">
        <is>
          <t>COO (Investment Office)</t>
        </is>
      </c>
      <c r="AA795" t="inlineStr">
        <is>
          <t>Operations &amp; Control</t>
        </is>
      </c>
      <c r="AB795" s="50" t="inlineStr"/>
      <c r="AC795" s="43">
        <f>HYPERLINK("https://projects.propublica.org/nonprofits/organizations/930806316/202340399349100719/full","view filing")</f>
        <v/>
      </c>
      <c r="AD795" s="50" t="inlineStr"/>
    </row>
    <row r="796">
      <c r="A796" t="inlineStr">
        <is>
          <t>Moses H Cone Memorial Hospital</t>
        </is>
      </c>
      <c r="B796" s="50" t="inlineStr">
        <is>
          <t>NC</t>
        </is>
      </c>
      <c r="C796" s="52" t="n">
        <v>1.07</v>
      </c>
      <c r="D796" t="inlineStr">
        <is>
          <t>Healthcare</t>
        </is>
      </c>
      <c r="E796" s="50" t="n">
        <v>2024</v>
      </c>
      <c r="F796" s="50" t="inlineStr">
        <is>
          <t>2025-11-17</t>
        </is>
      </c>
      <c r="G796" s="50" t="inlineStr">
        <is>
          <t>2024-12-31</t>
        </is>
      </c>
      <c r="H796" t="inlineStr">
        <is>
          <t>Miller John</t>
        </is>
      </c>
      <c r="I796" t="inlineStr">
        <is>
          <t>CIO &amp; TREASURER</t>
        </is>
      </c>
      <c r="J796" t="inlineStr">
        <is>
          <t>CIO</t>
        </is>
      </c>
      <c r="K796" t="inlineStr">
        <is>
          <t>CIO - Top Investment Executive</t>
        </is>
      </c>
      <c r="L796" s="28" t="n">
        <v>401762</v>
      </c>
      <c r="M796" s="28" t="n">
        <v>13497</v>
      </c>
      <c r="N796" s="28" t="n">
        <v>72113</v>
      </c>
      <c r="O796" s="28" t="n">
        <v>94061</v>
      </c>
      <c r="P796" s="28" t="n">
        <v>25253</v>
      </c>
      <c r="Q796" s="28" t="n">
        <v>606686</v>
      </c>
      <c r="R796" s="28" t="n">
        <v>0</v>
      </c>
      <c r="S796" s="28">
        <f>Q796-R796</f>
        <v/>
      </c>
      <c r="T796" s="28">
        <f>IF(S796="","",S796*(1+in_GrowthRate)^(YEARFRAC(DATE(2024,12,31),in_AgeToDate)*IF(in_AgeToDate&lt;DATE(2024,12,31),-1,1)+1))</f>
        <v/>
      </c>
      <c r="U796" s="50">
        <f>IF(AND(AND(OR(in_Mode="All Funds",AND(C796&gt;=in_BandFloor,C796&lt;=in_BandCeiling,OR(in_Geography="National",COUNTIFS(lst_GeoPreset,in_Geography,lst_GeoState,B796)&gt;0,AND(in_Geography="Custom",ISNUMBER(SEARCH(B796,SUBSTITUTE(in_CustomStates," ",""))))),OR(AND(D796="Endowment",Inputs!$B$14="Y"),AND(D796="Foundation",Inputs!$B$15="Y"),AND(D796="Healthcare",Inputs!$B$16="Y"),AND(D796="Pension",Inputs!$B$17="Y"),AND(D796="OCIO",Inputs!$B$18="Y"),AND(D796="Other",Inputs!$B$19="Y")))),A796&lt;&gt;in_ClientOrg,NOT(AND(in_ExclHarvard="Y",ISNUMBER(SEARCH("Harvard",A796))))),$AD796="Y",K796&lt;&gt;"",S796&gt;0),"Y","")</f>
        <v/>
      </c>
      <c r="V796" s="30" t="n">
        <v>1</v>
      </c>
      <c r="W796" t="inlineStr"/>
      <c r="X796" s="28">
        <f>IF(L796+M796=0,"",L796+M796)</f>
        <v/>
      </c>
      <c r="Y796" s="38">
        <f>IF(L796=0,"",M796/L796)</f>
        <v/>
      </c>
      <c r="Z796" t="inlineStr">
        <is>
          <t>CIO - Top Investment Executive</t>
        </is>
      </c>
      <c r="AA796" t="inlineStr">
        <is>
          <t>Leadership</t>
        </is>
      </c>
      <c r="AB796" s="50" t="inlineStr">
        <is>
          <t>Y</t>
        </is>
      </c>
      <c r="AC796" s="43">
        <f>HYPERLINK("https://projects.propublica.org/nonprofits/organizations/560532302/202513219349308376/full","view filing")</f>
        <v/>
      </c>
      <c r="AD796" s="50" t="inlineStr">
        <is>
          <t>Y</t>
        </is>
      </c>
    </row>
    <row r="797">
      <c r="A797" t="inlineStr">
        <is>
          <t>Moses H Cone Memorial Hospital</t>
        </is>
      </c>
      <c r="B797" s="50" t="inlineStr">
        <is>
          <t>NC</t>
        </is>
      </c>
      <c r="C797" s="52" t="n">
        <v>1.07</v>
      </c>
      <c r="D797" t="inlineStr">
        <is>
          <t>Healthcare</t>
        </is>
      </c>
      <c r="E797" s="50" t="n">
        <v>2023</v>
      </c>
      <c r="F797" s="50" t="inlineStr">
        <is>
          <t>2024-08-15</t>
        </is>
      </c>
      <c r="G797" s="50" t="inlineStr">
        <is>
          <t>2023-09-30</t>
        </is>
      </c>
      <c r="H797" t="inlineStr">
        <is>
          <t>Miller John</t>
        </is>
      </c>
      <c r="I797" t="inlineStr">
        <is>
          <t>Chief Investment Officer and T</t>
        </is>
      </c>
      <c r="J797" t="inlineStr">
        <is>
          <t>CIO</t>
        </is>
      </c>
      <c r="K797" t="inlineStr">
        <is>
          <t>CIO - Top Investment Executive</t>
        </is>
      </c>
      <c r="L797" s="28" t="n">
        <v>368070</v>
      </c>
      <c r="M797" s="28" t="n">
        <v>101991</v>
      </c>
      <c r="N797" s="28" t="n">
        <v>71124</v>
      </c>
      <c r="O797" s="28" t="n">
        <v>90275</v>
      </c>
      <c r="P797" s="28" t="n">
        <v>12201</v>
      </c>
      <c r="Q797" s="28" t="n">
        <v>643661</v>
      </c>
      <c r="R797" s="28" t="n">
        <v>0</v>
      </c>
      <c r="S797" s="28">
        <f>Q797-R797</f>
        <v/>
      </c>
      <c r="T797" s="28">
        <f>IF(S797="","",S797*(1+in_GrowthRate)^(YEARFRAC(DATE(2023,9,30),in_AgeToDate)*IF(in_AgeToDate&lt;DATE(2023,9,30),-1,1)+1))</f>
        <v/>
      </c>
      <c r="U797" s="50">
        <f>IF(AND(AND(OR(in_Mode="All Funds",AND(C797&gt;=in_BandFloor,C797&lt;=in_BandCeiling,OR(in_Geography="National",COUNTIFS(lst_GeoPreset,in_Geography,lst_GeoState,B797)&gt;0,AND(in_Geography="Custom",ISNUMBER(SEARCH(B797,SUBSTITUTE(in_CustomStates," ",""))))),OR(AND(D797="Endowment",Inputs!$B$14="Y"),AND(D797="Foundation",Inputs!$B$15="Y"),AND(D797="Healthcare",Inputs!$B$16="Y"),AND(D797="Pension",Inputs!$B$17="Y"),AND(D797="OCIO",Inputs!$B$18="Y"),AND(D797="Other",Inputs!$B$19="Y")))),A797&lt;&gt;in_ClientOrg,NOT(AND(in_ExclHarvard="Y",ISNUMBER(SEARCH("Harvard",A797))))),$AD797="Y",K797&lt;&gt;"",S797&gt;0),"Y","")</f>
        <v/>
      </c>
      <c r="V797" s="30" t="n">
        <v>1</v>
      </c>
      <c r="W797" t="inlineStr"/>
      <c r="X797" s="28">
        <f>IF(L797+M797=0,"",L797+M797)</f>
        <v/>
      </c>
      <c r="Y797" s="38">
        <f>IF(L797=0,"",M797/L797)</f>
        <v/>
      </c>
      <c r="Z797" t="inlineStr">
        <is>
          <t>CIO - Top Investment Executive</t>
        </is>
      </c>
      <c r="AA797" t="inlineStr">
        <is>
          <t>Leadership</t>
        </is>
      </c>
      <c r="AB797" s="50" t="inlineStr">
        <is>
          <t>Y</t>
        </is>
      </c>
      <c r="AC797" s="43">
        <f>HYPERLINK("https://projects.propublica.org/nonprofits/organizations/560532302/202442289349301379/full","view filing")</f>
        <v/>
      </c>
      <c r="AD797" s="50" t="inlineStr"/>
    </row>
    <row r="798">
      <c r="A798" t="inlineStr">
        <is>
          <t>Moses H Cone Memorial Hospital</t>
        </is>
      </c>
      <c r="B798" s="50" t="inlineStr">
        <is>
          <t>NC</t>
        </is>
      </c>
      <c r="C798" s="52" t="n">
        <v>1.07</v>
      </c>
      <c r="D798" t="inlineStr">
        <is>
          <t>Healthcare</t>
        </is>
      </c>
      <c r="E798" s="50" t="n">
        <v>2022</v>
      </c>
      <c r="F798" s="50" t="inlineStr">
        <is>
          <t>2023-08-14</t>
        </is>
      </c>
      <c r="G798" s="50" t="inlineStr">
        <is>
          <t>2022-09-30</t>
        </is>
      </c>
      <c r="H798" t="inlineStr">
        <is>
          <t>Miller John</t>
        </is>
      </c>
      <c r="I798" t="inlineStr">
        <is>
          <t>CIO &amp; Treasurer</t>
        </is>
      </c>
      <c r="J798" t="inlineStr">
        <is>
          <t>CIO</t>
        </is>
      </c>
      <c r="K798" t="inlineStr">
        <is>
          <t>CIO - Top Investment Executive</t>
        </is>
      </c>
      <c r="L798" s="28" t="n">
        <v>379707</v>
      </c>
      <c r="M798" s="28" t="n">
        <v>101053</v>
      </c>
      <c r="N798" s="28" t="n">
        <v>52768</v>
      </c>
      <c r="O798" s="28" t="n">
        <v>70161</v>
      </c>
      <c r="P798" s="28" t="n">
        <v>31755</v>
      </c>
      <c r="Q798" s="28" t="n">
        <v>635444</v>
      </c>
      <c r="R798" s="28" t="n">
        <v>0</v>
      </c>
      <c r="S798" s="28">
        <f>Q798-R798</f>
        <v/>
      </c>
      <c r="T798" s="28">
        <f>IF(S798="","",S798*(1+in_GrowthRate)^(YEARFRAC(DATE(2022,9,30),in_AgeToDate)*IF(in_AgeToDate&lt;DATE(2022,9,30),-1,1)+1))</f>
        <v/>
      </c>
      <c r="U798" s="50">
        <f>IF(AND(AND(OR(in_Mode="All Funds",AND(C798&gt;=in_BandFloor,C798&lt;=in_BandCeiling,OR(in_Geography="National",COUNTIFS(lst_GeoPreset,in_Geography,lst_GeoState,B798)&gt;0,AND(in_Geography="Custom",ISNUMBER(SEARCH(B798,SUBSTITUTE(in_CustomStates," ",""))))),OR(AND(D798="Endowment",Inputs!$B$14="Y"),AND(D798="Foundation",Inputs!$B$15="Y"),AND(D798="Healthcare",Inputs!$B$16="Y"),AND(D798="Pension",Inputs!$B$17="Y"),AND(D798="OCIO",Inputs!$B$18="Y"),AND(D798="Other",Inputs!$B$19="Y")))),A798&lt;&gt;in_ClientOrg,NOT(AND(in_ExclHarvard="Y",ISNUMBER(SEARCH("Harvard",A798))))),$AD798="Y",K798&lt;&gt;"",S798&gt;0),"Y","")</f>
        <v/>
      </c>
      <c r="V798" s="30" t="n">
        <v>1</v>
      </c>
      <c r="W798" t="inlineStr"/>
      <c r="X798" s="28">
        <f>IF(L798+M798=0,"",L798+M798)</f>
        <v/>
      </c>
      <c r="Y798" s="38">
        <f>IF(L798=0,"",M798/L798)</f>
        <v/>
      </c>
      <c r="Z798" t="inlineStr">
        <is>
          <t>CIO - Top Investment Executive</t>
        </is>
      </c>
      <c r="AA798" t="inlineStr">
        <is>
          <t>Leadership</t>
        </is>
      </c>
      <c r="AB798" s="50" t="inlineStr">
        <is>
          <t>Y</t>
        </is>
      </c>
      <c r="AC798" s="43">
        <f>HYPERLINK("https://projects.propublica.org/nonprofits/organizations/560532302/202322269349301852/full","view filing")</f>
        <v/>
      </c>
      <c r="AD798" s="50" t="inlineStr"/>
    </row>
    <row r="799">
      <c r="A799" t="inlineStr">
        <is>
          <t>Mother Cabrini Health Foundation</t>
        </is>
      </c>
      <c r="B799" s="50" t="inlineStr">
        <is>
          <t>NY</t>
        </is>
      </c>
      <c r="C799" s="52" t="n">
        <v>3.2</v>
      </c>
      <c r="D799" t="inlineStr">
        <is>
          <t>Healthcare</t>
        </is>
      </c>
      <c r="E799" s="50" t="n">
        <v>2024</v>
      </c>
      <c r="F799" s="50" t="inlineStr">
        <is>
          <t>2025-11-17</t>
        </is>
      </c>
      <c r="G799" s="50" t="inlineStr">
        <is>
          <t>2024-12-31</t>
        </is>
      </c>
      <c r="H799" t="inlineStr">
        <is>
          <t>Colin Ambrose</t>
        </is>
      </c>
      <c r="I799" t="inlineStr">
        <is>
          <t>CHIEF INVESTMENT OFFICER</t>
        </is>
      </c>
      <c r="J799" t="inlineStr">
        <is>
          <t>CIO</t>
        </is>
      </c>
      <c r="K799" t="inlineStr">
        <is>
          <t>CIO - Top Investment Executive</t>
        </is>
      </c>
      <c r="L799" s="28" t="n">
        <v>0</v>
      </c>
      <c r="M799" s="28" t="n">
        <v>0</v>
      </c>
      <c r="N799" s="28" t="n">
        <v>0</v>
      </c>
      <c r="O799" s="28" t="n">
        <v>0</v>
      </c>
      <c r="P799" s="28" t="n">
        <v>87327</v>
      </c>
      <c r="Q799" s="28" t="n">
        <v>1579340</v>
      </c>
      <c r="R799" s="28" t="n">
        <v>0</v>
      </c>
      <c r="S799" s="28">
        <f>Q799-R799</f>
        <v/>
      </c>
      <c r="T799" s="28">
        <f>IF(S799="","",S799*(1+in_GrowthRate)^(YEARFRAC(DATE(2024,12,31),in_AgeToDate)*IF(in_AgeToDate&lt;DATE(2024,12,31),-1,1)+1))</f>
        <v/>
      </c>
      <c r="U799" s="50">
        <f>IF(AND(AND(OR(in_Mode="All Funds",AND(C799&gt;=in_BandFloor,C799&lt;=in_BandCeiling,OR(in_Geography="National",COUNTIFS(lst_GeoPreset,in_Geography,lst_GeoState,B799)&gt;0,AND(in_Geography="Custom",ISNUMBER(SEARCH(B799,SUBSTITUTE(in_CustomStates," ",""))))),OR(AND(D799="Endowment",Inputs!$B$14="Y"),AND(D799="Foundation",Inputs!$B$15="Y"),AND(D799="Healthcare",Inputs!$B$16="Y"),AND(D799="Pension",Inputs!$B$17="Y"),AND(D799="OCIO",Inputs!$B$18="Y"),AND(D799="Other",Inputs!$B$19="Y")))),A799&lt;&gt;in_ClientOrg,NOT(AND(in_ExclHarvard="Y",ISNUMBER(SEARCH("Harvard",A799))))),$AD799="Y",K799&lt;&gt;"",S799&gt;0),"Y","")</f>
        <v/>
      </c>
      <c r="V799" s="30" t="n">
        <v>1</v>
      </c>
      <c r="W799" t="inlineStr"/>
      <c r="X799" s="28">
        <f>IF(L799+M799=0,"",L799+M799)</f>
        <v/>
      </c>
      <c r="Y799" s="38">
        <f>IF(L799=0,"",M799/L799)</f>
        <v/>
      </c>
      <c r="Z799" t="inlineStr">
        <is>
          <t>CIO - Top Investment Executive</t>
        </is>
      </c>
      <c r="AA799" t="inlineStr">
        <is>
          <t>Leadership</t>
        </is>
      </c>
      <c r="AB799" s="50" t="inlineStr">
        <is>
          <t>Y</t>
        </is>
      </c>
      <c r="AC799" s="43">
        <f>HYPERLINK("https://projects.propublica.org/nonprofits/organizations/830590263/202503219349101675/full","view filing")</f>
        <v/>
      </c>
      <c r="AD799" s="50" t="inlineStr">
        <is>
          <t>Y</t>
        </is>
      </c>
    </row>
    <row r="800">
      <c r="A800" t="inlineStr">
        <is>
          <t>Mother Cabrini Health Foundation</t>
        </is>
      </c>
      <c r="B800" s="50" t="inlineStr">
        <is>
          <t>NY</t>
        </is>
      </c>
      <c r="C800" s="52" t="n">
        <v>3.2</v>
      </c>
      <c r="D800" t="inlineStr">
        <is>
          <t>Healthcare</t>
        </is>
      </c>
      <c r="E800" s="50" t="n">
        <v>2024</v>
      </c>
      <c r="F800" s="50" t="inlineStr">
        <is>
          <t>2025-11-17</t>
        </is>
      </c>
      <c r="G800" s="50" t="inlineStr">
        <is>
          <t>2024-12-31</t>
        </is>
      </c>
      <c r="H800" t="inlineStr">
        <is>
          <t>Joon-Young Choi</t>
        </is>
      </c>
      <c r="I800" t="inlineStr">
        <is>
          <t>MD OF PRIVATE INVEST</t>
        </is>
      </c>
      <c r="J800" t="inlineStr">
        <is>
          <t>Managing Director</t>
        </is>
      </c>
      <c r="K800" t="inlineStr">
        <is>
          <t>Sr Investment Professional</t>
        </is>
      </c>
      <c r="L800" s="28" t="n">
        <v>0</v>
      </c>
      <c r="M800" s="28" t="n">
        <v>0</v>
      </c>
      <c r="N800" s="28" t="n">
        <v>0</v>
      </c>
      <c r="O800" s="28" t="n">
        <v>0</v>
      </c>
      <c r="P800" s="28" t="n">
        <v>0</v>
      </c>
      <c r="Q800" s="28" t="n">
        <v>938070</v>
      </c>
      <c r="R800" s="28" t="n">
        <v>0</v>
      </c>
      <c r="S800" s="28">
        <f>Q800-R800</f>
        <v/>
      </c>
      <c r="T800" s="28">
        <f>IF(S800="","",S800*(1+in_GrowthRate)^(YEARFRAC(DATE(2024,12,31),in_AgeToDate)*IF(in_AgeToDate&lt;DATE(2024,12,31),-1,1)+1))</f>
        <v/>
      </c>
      <c r="U800" s="50">
        <f>IF(AND(AND(OR(in_Mode="All Funds",AND(C800&gt;=in_BandFloor,C800&lt;=in_BandCeiling,OR(in_Geography="National",COUNTIFS(lst_GeoPreset,in_Geography,lst_GeoState,B800)&gt;0,AND(in_Geography="Custom",ISNUMBER(SEARCH(B800,SUBSTITUTE(in_CustomStates," ",""))))),OR(AND(D800="Endowment",Inputs!$B$14="Y"),AND(D800="Foundation",Inputs!$B$15="Y"),AND(D800="Healthcare",Inputs!$B$16="Y"),AND(D800="Pension",Inputs!$B$17="Y"),AND(D800="OCIO",Inputs!$B$18="Y"),AND(D800="Other",Inputs!$B$19="Y")))),A800&lt;&gt;in_ClientOrg,NOT(AND(in_ExclHarvard="Y",ISNUMBER(SEARCH("Harvard",A800))))),$AD800="Y",K800&lt;&gt;"",S800&gt;0),"Y","")</f>
        <v/>
      </c>
      <c r="V800" s="30" t="n">
        <v>0.5939633011257868</v>
      </c>
      <c r="W800" t="inlineStr"/>
      <c r="X800" s="28">
        <f>IF(L800+M800=0,"",L800+M800)</f>
        <v/>
      </c>
      <c r="Y800" s="38">
        <f>IF(L800=0,"",M800/L800)</f>
        <v/>
      </c>
      <c r="Z800" t="inlineStr">
        <is>
          <t>Managing Director</t>
        </is>
      </c>
      <c r="AA800" t="inlineStr">
        <is>
          <t>Investments</t>
        </is>
      </c>
      <c r="AB800" s="50" t="inlineStr"/>
      <c r="AC800" s="43">
        <f>HYPERLINK("https://projects.propublica.org/nonprofits/organizations/830590263/202503219349101675/full","view filing")</f>
        <v/>
      </c>
      <c r="AD800" s="50" t="inlineStr">
        <is>
          <t>Y</t>
        </is>
      </c>
    </row>
    <row r="801">
      <c r="A801" t="inlineStr">
        <is>
          <t>Mother Cabrini Health Foundation</t>
        </is>
      </c>
      <c r="B801" s="50" t="inlineStr">
        <is>
          <t>NY</t>
        </is>
      </c>
      <c r="C801" s="52" t="n">
        <v>3.2</v>
      </c>
      <c r="D801" t="inlineStr">
        <is>
          <t>Healthcare</t>
        </is>
      </c>
      <c r="E801" s="50" t="n">
        <v>2024</v>
      </c>
      <c r="F801" s="50" t="inlineStr">
        <is>
          <t>2025-11-17</t>
        </is>
      </c>
      <c r="G801" s="50" t="inlineStr">
        <is>
          <t>2024-12-31</t>
        </is>
      </c>
      <c r="H801" t="inlineStr">
        <is>
          <t>Juliette Reiss</t>
        </is>
      </c>
      <c r="I801" t="inlineStr">
        <is>
          <t>INVESTMENT MANAGER</t>
        </is>
      </c>
      <c r="J801" t="inlineStr">
        <is>
          <t>Investment Manager</t>
        </is>
      </c>
      <c r="K801" t="inlineStr">
        <is>
          <t>Sr Investment Professional</t>
        </is>
      </c>
      <c r="L801" s="28" t="n">
        <v>0</v>
      </c>
      <c r="M801" s="28" t="n">
        <v>0</v>
      </c>
      <c r="N801" s="28" t="n">
        <v>0</v>
      </c>
      <c r="O801" s="28" t="n">
        <v>0</v>
      </c>
      <c r="P801" s="28" t="n">
        <v>0</v>
      </c>
      <c r="Q801" s="28" t="n">
        <v>371033</v>
      </c>
      <c r="R801" s="28" t="n">
        <v>0</v>
      </c>
      <c r="S801" s="28">
        <f>Q801-R801</f>
        <v/>
      </c>
      <c r="T801" s="28">
        <f>IF(S801="","",S801*(1+in_GrowthRate)^(YEARFRAC(DATE(2024,12,31),in_AgeToDate)*IF(in_AgeToDate&lt;DATE(2024,12,31),-1,1)+1))</f>
        <v/>
      </c>
      <c r="U801" s="50">
        <f>IF(AND(AND(OR(in_Mode="All Funds",AND(C801&gt;=in_BandFloor,C801&lt;=in_BandCeiling,OR(in_Geography="National",COUNTIFS(lst_GeoPreset,in_Geography,lst_GeoState,B801)&gt;0,AND(in_Geography="Custom",ISNUMBER(SEARCH(B801,SUBSTITUTE(in_CustomStates," ",""))))),OR(AND(D801="Endowment",Inputs!$B$14="Y"),AND(D801="Foundation",Inputs!$B$15="Y"),AND(D801="Healthcare",Inputs!$B$16="Y"),AND(D801="Pension",Inputs!$B$17="Y"),AND(D801="OCIO",Inputs!$B$18="Y"),AND(D801="Other",Inputs!$B$19="Y")))),A801&lt;&gt;in_ClientOrg,NOT(AND(in_ExclHarvard="Y",ISNUMBER(SEARCH("Harvard",A801))))),$AD801="Y",K801&lt;&gt;"",S801&gt;0),"Y","")</f>
        <v/>
      </c>
      <c r="V801" s="30" t="n">
        <v>0.2349291476186255</v>
      </c>
      <c r="W801" t="inlineStr"/>
      <c r="X801" s="28">
        <f>IF(L801+M801=0,"",L801+M801)</f>
        <v/>
      </c>
      <c r="Y801" s="38">
        <f>IF(L801=0,"",M801/L801)</f>
        <v/>
      </c>
      <c r="Z801" t="inlineStr">
        <is>
          <t>Director &amp; Investment Officer</t>
        </is>
      </c>
      <c r="AA801" t="inlineStr">
        <is>
          <t>Investments</t>
        </is>
      </c>
      <c r="AB801" s="50" t="inlineStr"/>
      <c r="AC801" s="43">
        <f>HYPERLINK("https://projects.propublica.org/nonprofits/organizations/830590263/202503219349101675/full","view filing")</f>
        <v/>
      </c>
      <c r="AD801" s="50" t="inlineStr">
        <is>
          <t>Y</t>
        </is>
      </c>
    </row>
    <row r="802">
      <c r="A802" t="inlineStr">
        <is>
          <t>Mother Cabrini Health Foundation</t>
        </is>
      </c>
      <c r="B802" s="50" t="inlineStr">
        <is>
          <t>NY</t>
        </is>
      </c>
      <c r="C802" s="52" t="n">
        <v>3.2</v>
      </c>
      <c r="D802" t="inlineStr">
        <is>
          <t>Healthcare</t>
        </is>
      </c>
      <c r="E802" s="50" t="n">
        <v>2024</v>
      </c>
      <c r="F802" s="50" t="inlineStr">
        <is>
          <t>2025-11-17</t>
        </is>
      </c>
      <c r="G802" s="50" t="inlineStr">
        <is>
          <t>2024-12-31</t>
        </is>
      </c>
      <c r="H802" t="inlineStr">
        <is>
          <t>Ryan Yanara</t>
        </is>
      </c>
      <c r="I802" t="inlineStr">
        <is>
          <t>DIRECTOR OF INVESTME</t>
        </is>
      </c>
      <c r="J802" t="inlineStr">
        <is>
          <t>Director of Investments</t>
        </is>
      </c>
      <c r="K802" t="inlineStr">
        <is>
          <t>Sr Investment Professional</t>
        </is>
      </c>
      <c r="L802" s="28" t="n">
        <v>0</v>
      </c>
      <c r="M802" s="28" t="n">
        <v>0</v>
      </c>
      <c r="N802" s="28" t="n">
        <v>0</v>
      </c>
      <c r="O802" s="28" t="n">
        <v>0</v>
      </c>
      <c r="P802" s="28" t="n">
        <v>0</v>
      </c>
      <c r="Q802" s="28" t="n">
        <v>372221</v>
      </c>
      <c r="R802" s="28" t="n">
        <v>0</v>
      </c>
      <c r="S802" s="28">
        <f>Q802-R802</f>
        <v/>
      </c>
      <c r="T802" s="28">
        <f>IF(S802="","",S802*(1+in_GrowthRate)^(YEARFRAC(DATE(2024,12,31),in_AgeToDate)*IF(in_AgeToDate&lt;DATE(2024,12,31),-1,1)+1))</f>
        <v/>
      </c>
      <c r="U802" s="50">
        <f>IF(AND(AND(OR(in_Mode="All Funds",AND(C802&gt;=in_BandFloor,C802&lt;=in_BandCeiling,OR(in_Geography="National",COUNTIFS(lst_GeoPreset,in_Geography,lst_GeoState,B802)&gt;0,AND(in_Geography="Custom",ISNUMBER(SEARCH(B802,SUBSTITUTE(in_CustomStates," ",""))))),OR(AND(D802="Endowment",Inputs!$B$14="Y"),AND(D802="Foundation",Inputs!$B$15="Y"),AND(D802="Healthcare",Inputs!$B$16="Y"),AND(D802="Pension",Inputs!$B$17="Y"),AND(D802="OCIO",Inputs!$B$18="Y"),AND(D802="Other",Inputs!$B$19="Y")))),A802&lt;&gt;in_ClientOrg,NOT(AND(in_ExclHarvard="Y",ISNUMBER(SEARCH("Harvard",A802))))),$AD802="Y",K802&lt;&gt;"",S802&gt;0),"Y","")</f>
        <v/>
      </c>
      <c r="V802" s="30" t="n">
        <v>0.2356813605683387</v>
      </c>
      <c r="W802" t="inlineStr"/>
      <c r="X802" s="28">
        <f>IF(L802+M802=0,"",L802+M802)</f>
        <v/>
      </c>
      <c r="Y802" s="38">
        <f>IF(L802=0,"",M802/L802)</f>
        <v/>
      </c>
      <c r="Z802" t="inlineStr">
        <is>
          <t>Director &amp; Investment Officer</t>
        </is>
      </c>
      <c r="AA802" t="inlineStr">
        <is>
          <t>Investments</t>
        </is>
      </c>
      <c r="AB802" s="50" t="inlineStr"/>
      <c r="AC802" s="43">
        <f>HYPERLINK("https://projects.propublica.org/nonprofits/organizations/830590263/202503219349101675/full","view filing")</f>
        <v/>
      </c>
      <c r="AD802" s="50" t="inlineStr">
        <is>
          <t>Y</t>
        </is>
      </c>
    </row>
    <row r="803">
      <c r="A803" t="inlineStr">
        <is>
          <t>Mother Cabrini Health Foundation</t>
        </is>
      </c>
      <c r="B803" s="50" t="inlineStr">
        <is>
          <t>NY</t>
        </is>
      </c>
      <c r="C803" s="52" t="n">
        <v>3.2</v>
      </c>
      <c r="D803" t="inlineStr">
        <is>
          <t>Healthcare</t>
        </is>
      </c>
      <c r="E803" s="50" t="n">
        <v>2024</v>
      </c>
      <c r="F803" s="50" t="inlineStr">
        <is>
          <t>2025-11-17</t>
        </is>
      </c>
      <c r="G803" s="50" t="inlineStr">
        <is>
          <t>2024-12-31</t>
        </is>
      </c>
      <c r="H803" t="inlineStr">
        <is>
          <t>Todd Corbin</t>
        </is>
      </c>
      <c r="I803" t="inlineStr">
        <is>
          <t>MD OF INVESTMENTS</t>
        </is>
      </c>
      <c r="J803" t="inlineStr">
        <is>
          <t>Managing Director</t>
        </is>
      </c>
      <c r="K803" t="inlineStr">
        <is>
          <t>Sr Investment Professional</t>
        </is>
      </c>
      <c r="L803" s="28" t="n">
        <v>0</v>
      </c>
      <c r="M803" s="28" t="n">
        <v>0</v>
      </c>
      <c r="N803" s="28" t="n">
        <v>0</v>
      </c>
      <c r="O803" s="28" t="n">
        <v>0</v>
      </c>
      <c r="P803" s="28" t="n">
        <v>0</v>
      </c>
      <c r="Q803" s="28" t="n">
        <v>530606</v>
      </c>
      <c r="R803" s="28" t="n">
        <v>0</v>
      </c>
      <c r="S803" s="28">
        <f>Q803-R803</f>
        <v/>
      </c>
      <c r="T803" s="28">
        <f>IF(S803="","",S803*(1+in_GrowthRate)^(YEARFRAC(DATE(2024,12,31),in_AgeToDate)*IF(in_AgeToDate&lt;DATE(2024,12,31),-1,1)+1))</f>
        <v/>
      </c>
      <c r="U803" s="50">
        <f>IF(AND(AND(OR(in_Mode="All Funds",AND(C803&gt;=in_BandFloor,C803&lt;=in_BandCeiling,OR(in_Geography="National",COUNTIFS(lst_GeoPreset,in_Geography,lst_GeoState,B803)&gt;0,AND(in_Geography="Custom",ISNUMBER(SEARCH(B803,SUBSTITUTE(in_CustomStates," ",""))))),OR(AND(D803="Endowment",Inputs!$B$14="Y"),AND(D803="Foundation",Inputs!$B$15="Y"),AND(D803="Healthcare",Inputs!$B$16="Y"),AND(D803="Pension",Inputs!$B$17="Y"),AND(D803="OCIO",Inputs!$B$18="Y"),AND(D803="Other",Inputs!$B$19="Y")))),A803&lt;&gt;in_ClientOrg,NOT(AND(in_ExclHarvard="Y",ISNUMBER(SEARCH("Harvard",A803))))),$AD803="Y",K803&lt;&gt;"",S803&gt;0),"Y","")</f>
        <v/>
      </c>
      <c r="V803" s="30" t="n">
        <v>0.3359669228918409</v>
      </c>
      <c r="W803" t="inlineStr"/>
      <c r="X803" s="28">
        <f>IF(L803+M803=0,"",L803+M803)</f>
        <v/>
      </c>
      <c r="Y803" s="38">
        <f>IF(L803=0,"",M803/L803)</f>
        <v/>
      </c>
      <c r="Z803" t="inlineStr">
        <is>
          <t>Managing Director</t>
        </is>
      </c>
      <c r="AA803" t="inlineStr">
        <is>
          <t>Investments</t>
        </is>
      </c>
      <c r="AB803" s="50" t="inlineStr"/>
      <c r="AC803" s="43">
        <f>HYPERLINK("https://projects.propublica.org/nonprofits/organizations/830590263/202503219349101675/full","view filing")</f>
        <v/>
      </c>
      <c r="AD803" s="50" t="inlineStr">
        <is>
          <t>Y</t>
        </is>
      </c>
    </row>
    <row r="804">
      <c r="A804" t="inlineStr">
        <is>
          <t>Mother Cabrini Health Foundation</t>
        </is>
      </c>
      <c r="B804" s="50" t="inlineStr">
        <is>
          <t>NY</t>
        </is>
      </c>
      <c r="C804" s="52" t="n">
        <v>3.2</v>
      </c>
      <c r="D804" t="inlineStr">
        <is>
          <t>Healthcare</t>
        </is>
      </c>
      <c r="E804" s="50" t="n">
        <v>2023</v>
      </c>
      <c r="F804" s="50" t="inlineStr">
        <is>
          <t>2024-11-15</t>
        </is>
      </c>
      <c r="G804" s="50" t="inlineStr">
        <is>
          <t>2023-12-31</t>
        </is>
      </c>
      <c r="H804" t="inlineStr">
        <is>
          <t>Colin Ambrose</t>
        </is>
      </c>
      <c r="I804" t="inlineStr">
        <is>
          <t>CHIEF INVESTMENT OFFICER</t>
        </is>
      </c>
      <c r="J804" t="inlineStr">
        <is>
          <t>CIO</t>
        </is>
      </c>
      <c r="K804" t="inlineStr">
        <is>
          <t>CIO - Top Investment Executive</t>
        </is>
      </c>
      <c r="L804" s="28" t="n">
        <v>0</v>
      </c>
      <c r="M804" s="28" t="n">
        <v>0</v>
      </c>
      <c r="N804" s="28" t="n">
        <v>0</v>
      </c>
      <c r="O804" s="28" t="n">
        <v>0</v>
      </c>
      <c r="P804" s="28" t="n">
        <v>81917</v>
      </c>
      <c r="Q804" s="28" t="n">
        <v>1537236</v>
      </c>
      <c r="R804" s="28" t="n">
        <v>0</v>
      </c>
      <c r="S804" s="28">
        <f>Q804-R804</f>
        <v/>
      </c>
      <c r="T804" s="28">
        <f>IF(S804="","",S804*(1+in_GrowthRate)^(YEARFRAC(DATE(2023,12,31),in_AgeToDate)*IF(in_AgeToDate&lt;DATE(2023,12,31),-1,1)+1))</f>
        <v/>
      </c>
      <c r="U804" s="50">
        <f>IF(AND(AND(OR(in_Mode="All Funds",AND(C804&gt;=in_BandFloor,C804&lt;=in_BandCeiling,OR(in_Geography="National",COUNTIFS(lst_GeoPreset,in_Geography,lst_GeoState,B804)&gt;0,AND(in_Geography="Custom",ISNUMBER(SEARCH(B804,SUBSTITUTE(in_CustomStates," ",""))))),OR(AND(D804="Endowment",Inputs!$B$14="Y"),AND(D804="Foundation",Inputs!$B$15="Y"),AND(D804="Healthcare",Inputs!$B$16="Y"),AND(D804="Pension",Inputs!$B$17="Y"),AND(D804="OCIO",Inputs!$B$18="Y"),AND(D804="Other",Inputs!$B$19="Y")))),A804&lt;&gt;in_ClientOrg,NOT(AND(in_ExclHarvard="Y",ISNUMBER(SEARCH("Harvard",A804))))),$AD804="Y",K804&lt;&gt;"",S804&gt;0),"Y","")</f>
        <v/>
      </c>
      <c r="V804" s="30" t="n">
        <v>1</v>
      </c>
      <c r="W804" t="inlineStr"/>
      <c r="X804" s="28">
        <f>IF(L804+M804=0,"",L804+M804)</f>
        <v/>
      </c>
      <c r="Y804" s="38">
        <f>IF(L804=0,"",M804/L804)</f>
        <v/>
      </c>
      <c r="Z804" t="inlineStr">
        <is>
          <t>CIO - Top Investment Executive</t>
        </is>
      </c>
      <c r="AA804" t="inlineStr">
        <is>
          <t>Leadership</t>
        </is>
      </c>
      <c r="AB804" s="50" t="inlineStr">
        <is>
          <t>Y</t>
        </is>
      </c>
      <c r="AC804" s="43">
        <f>HYPERLINK("https://projects.propublica.org/nonprofits/organizations/830590263/202433209349104363/full","view filing")</f>
        <v/>
      </c>
      <c r="AD804" s="50" t="inlineStr"/>
    </row>
    <row r="805">
      <c r="A805" t="inlineStr">
        <is>
          <t>Mother Cabrini Health Foundation</t>
        </is>
      </c>
      <c r="B805" s="50" t="inlineStr">
        <is>
          <t>NY</t>
        </is>
      </c>
      <c r="C805" s="52" t="n">
        <v>3.2</v>
      </c>
      <c r="D805" t="inlineStr">
        <is>
          <t>Healthcare</t>
        </is>
      </c>
      <c r="E805" s="50" t="n">
        <v>2023</v>
      </c>
      <c r="F805" s="50" t="inlineStr">
        <is>
          <t>2024-11-15</t>
        </is>
      </c>
      <c r="G805" s="50" t="inlineStr">
        <is>
          <t>2023-12-31</t>
        </is>
      </c>
      <c r="H805" t="inlineStr">
        <is>
          <t>Jeremy Rosenberg</t>
        </is>
      </c>
      <c r="I805" t="inlineStr">
        <is>
          <t>MD OF PUBLIC INVESTM</t>
        </is>
      </c>
      <c r="J805" t="inlineStr">
        <is>
          <t>Managing Director</t>
        </is>
      </c>
      <c r="K805" t="inlineStr">
        <is>
          <t>Sr Investment Professional</t>
        </is>
      </c>
      <c r="L805" s="28" t="n">
        <v>0</v>
      </c>
      <c r="M805" s="28" t="n">
        <v>0</v>
      </c>
      <c r="N805" s="28" t="n">
        <v>0</v>
      </c>
      <c r="O805" s="28" t="n">
        <v>0</v>
      </c>
      <c r="P805" s="28" t="n">
        <v>0</v>
      </c>
      <c r="Q805" s="28" t="n">
        <v>795325</v>
      </c>
      <c r="R805" s="28" t="n">
        <v>0</v>
      </c>
      <c r="S805" s="28">
        <f>Q805-R805</f>
        <v/>
      </c>
      <c r="T805" s="28">
        <f>IF(S805="","",S805*(1+in_GrowthRate)^(YEARFRAC(DATE(2023,12,31),in_AgeToDate)*IF(in_AgeToDate&lt;DATE(2023,12,31),-1,1)+1))</f>
        <v/>
      </c>
      <c r="U805" s="50">
        <f>IF(AND(AND(OR(in_Mode="All Funds",AND(C805&gt;=in_BandFloor,C805&lt;=in_BandCeiling,OR(in_Geography="National",COUNTIFS(lst_GeoPreset,in_Geography,lst_GeoState,B805)&gt;0,AND(in_Geography="Custom",ISNUMBER(SEARCH(B805,SUBSTITUTE(in_CustomStates," ",""))))),OR(AND(D805="Endowment",Inputs!$B$14="Y"),AND(D805="Foundation",Inputs!$B$15="Y"),AND(D805="Healthcare",Inputs!$B$16="Y"),AND(D805="Pension",Inputs!$B$17="Y"),AND(D805="OCIO",Inputs!$B$18="Y"),AND(D805="Other",Inputs!$B$19="Y")))),A805&lt;&gt;in_ClientOrg,NOT(AND(in_ExclHarvard="Y",ISNUMBER(SEARCH("Harvard",A805))))),$AD805="Y",K805&lt;&gt;"",S805&gt;0),"Y","")</f>
        <v/>
      </c>
      <c r="V805" s="30" t="n">
        <v>0.5173733896421889</v>
      </c>
      <c r="W805" t="inlineStr"/>
      <c r="X805" s="28">
        <f>IF(L805+M805=0,"",L805+M805)</f>
        <v/>
      </c>
      <c r="Y805" s="38">
        <f>IF(L805=0,"",M805/L805)</f>
        <v/>
      </c>
      <c r="Z805" t="inlineStr">
        <is>
          <t>Managing Director</t>
        </is>
      </c>
      <c r="AA805" t="inlineStr">
        <is>
          <t>Investments</t>
        </is>
      </c>
      <c r="AB805" s="50" t="inlineStr"/>
      <c r="AC805" s="43">
        <f>HYPERLINK("https://projects.propublica.org/nonprofits/organizations/830590263/202433209349104363/full","view filing")</f>
        <v/>
      </c>
      <c r="AD805" s="50" t="inlineStr"/>
    </row>
    <row r="806">
      <c r="A806" t="inlineStr">
        <is>
          <t>Mother Cabrini Health Foundation</t>
        </is>
      </c>
      <c r="B806" s="50" t="inlineStr">
        <is>
          <t>NY</t>
        </is>
      </c>
      <c r="C806" s="52" t="n">
        <v>3.2</v>
      </c>
      <c r="D806" t="inlineStr">
        <is>
          <t>Healthcare</t>
        </is>
      </c>
      <c r="E806" s="50" t="n">
        <v>2023</v>
      </c>
      <c r="F806" s="50" t="inlineStr">
        <is>
          <t>2024-11-15</t>
        </is>
      </c>
      <c r="G806" s="50" t="inlineStr">
        <is>
          <t>2023-12-31</t>
        </is>
      </c>
      <c r="H806" t="inlineStr">
        <is>
          <t>Joon-Young Choi</t>
        </is>
      </c>
      <c r="I806" t="inlineStr">
        <is>
          <t>MD OF PRIVATE INVEST</t>
        </is>
      </c>
      <c r="J806" t="inlineStr">
        <is>
          <t>Managing Director</t>
        </is>
      </c>
      <c r="K806" t="inlineStr">
        <is>
          <t>Sr Investment Professional</t>
        </is>
      </c>
      <c r="L806" s="28" t="n">
        <v>0</v>
      </c>
      <c r="M806" s="28" t="n">
        <v>0</v>
      </c>
      <c r="N806" s="28" t="n">
        <v>0</v>
      </c>
      <c r="O806" s="28" t="n">
        <v>0</v>
      </c>
      <c r="P806" s="28" t="n">
        <v>0</v>
      </c>
      <c r="Q806" s="28" t="n">
        <v>963708</v>
      </c>
      <c r="R806" s="28" t="n">
        <v>0</v>
      </c>
      <c r="S806" s="28">
        <f>Q806-R806</f>
        <v/>
      </c>
      <c r="T806" s="28">
        <f>IF(S806="","",S806*(1+in_GrowthRate)^(YEARFRAC(DATE(2023,12,31),in_AgeToDate)*IF(in_AgeToDate&lt;DATE(2023,12,31),-1,1)+1))</f>
        <v/>
      </c>
      <c r="U806" s="50">
        <f>IF(AND(AND(OR(in_Mode="All Funds",AND(C806&gt;=in_BandFloor,C806&lt;=in_BandCeiling,OR(in_Geography="National",COUNTIFS(lst_GeoPreset,in_Geography,lst_GeoState,B806)&gt;0,AND(in_Geography="Custom",ISNUMBER(SEARCH(B806,SUBSTITUTE(in_CustomStates," ",""))))),OR(AND(D806="Endowment",Inputs!$B$14="Y"),AND(D806="Foundation",Inputs!$B$15="Y"),AND(D806="Healthcare",Inputs!$B$16="Y"),AND(D806="Pension",Inputs!$B$17="Y"),AND(D806="OCIO",Inputs!$B$18="Y"),AND(D806="Other",Inputs!$B$19="Y")))),A806&lt;&gt;in_ClientOrg,NOT(AND(in_ExclHarvard="Y",ISNUMBER(SEARCH("Harvard",A806))))),$AD806="Y",K806&lt;&gt;"",S806&gt;0),"Y","")</f>
        <v/>
      </c>
      <c r="V806" s="30" t="n">
        <v>0.6269095961843204</v>
      </c>
      <c r="W806" t="inlineStr"/>
      <c r="X806" s="28">
        <f>IF(L806+M806=0,"",L806+M806)</f>
        <v/>
      </c>
      <c r="Y806" s="38">
        <f>IF(L806=0,"",M806/L806)</f>
        <v/>
      </c>
      <c r="Z806" t="inlineStr">
        <is>
          <t>Managing Director</t>
        </is>
      </c>
      <c r="AA806" t="inlineStr">
        <is>
          <t>Investments</t>
        </is>
      </c>
      <c r="AB806" s="50" t="inlineStr"/>
      <c r="AC806" s="43">
        <f>HYPERLINK("https://projects.propublica.org/nonprofits/organizations/830590263/202433209349104363/full","view filing")</f>
        <v/>
      </c>
      <c r="AD806" s="50" t="inlineStr"/>
    </row>
    <row r="807">
      <c r="A807" t="inlineStr">
        <is>
          <t>Mother Cabrini Health Foundation</t>
        </is>
      </c>
      <c r="B807" s="50" t="inlineStr">
        <is>
          <t>NY</t>
        </is>
      </c>
      <c r="C807" s="52" t="n">
        <v>3.2</v>
      </c>
      <c r="D807" t="inlineStr">
        <is>
          <t>Healthcare</t>
        </is>
      </c>
      <c r="E807" s="50" t="n">
        <v>2023</v>
      </c>
      <c r="F807" s="50" t="inlineStr">
        <is>
          <t>2024-11-15</t>
        </is>
      </c>
      <c r="G807" s="50" t="inlineStr">
        <is>
          <t>2023-12-31</t>
        </is>
      </c>
      <c r="H807" t="inlineStr">
        <is>
          <t>Juliette Reiss</t>
        </is>
      </c>
      <c r="I807" t="inlineStr">
        <is>
          <t>INVESTMENT MANAGER</t>
        </is>
      </c>
      <c r="J807" t="inlineStr">
        <is>
          <t>Investment Manager</t>
        </is>
      </c>
      <c r="K807" t="inlineStr">
        <is>
          <t>Sr Investment Professional</t>
        </is>
      </c>
      <c r="L807" s="28" t="n">
        <v>0</v>
      </c>
      <c r="M807" s="28" t="n">
        <v>0</v>
      </c>
      <c r="N807" s="28" t="n">
        <v>0</v>
      </c>
      <c r="O807" s="28" t="n">
        <v>0</v>
      </c>
      <c r="P807" s="28" t="n">
        <v>0</v>
      </c>
      <c r="Q807" s="28" t="n">
        <v>364408</v>
      </c>
      <c r="R807" s="28" t="n">
        <v>0</v>
      </c>
      <c r="S807" s="28">
        <f>Q807-R807</f>
        <v/>
      </c>
      <c r="T807" s="28">
        <f>IF(S807="","",S807*(1+in_GrowthRate)^(YEARFRAC(DATE(2023,12,31),in_AgeToDate)*IF(in_AgeToDate&lt;DATE(2023,12,31),-1,1)+1))</f>
        <v/>
      </c>
      <c r="U807" s="50">
        <f>IF(AND(AND(OR(in_Mode="All Funds",AND(C807&gt;=in_BandFloor,C807&lt;=in_BandCeiling,OR(in_Geography="National",COUNTIFS(lst_GeoPreset,in_Geography,lst_GeoState,B807)&gt;0,AND(in_Geography="Custom",ISNUMBER(SEARCH(B807,SUBSTITUTE(in_CustomStates," ",""))))),OR(AND(D807="Endowment",Inputs!$B$14="Y"),AND(D807="Foundation",Inputs!$B$15="Y"),AND(D807="Healthcare",Inputs!$B$16="Y"),AND(D807="Pension",Inputs!$B$17="Y"),AND(D807="OCIO",Inputs!$B$18="Y"),AND(D807="Other",Inputs!$B$19="Y")))),A807&lt;&gt;in_ClientOrg,NOT(AND(in_ExclHarvard="Y",ISNUMBER(SEARCH("Harvard",A807))))),$AD807="Y",K807&lt;&gt;"",S807&gt;0),"Y","")</f>
        <v/>
      </c>
      <c r="V807" s="30" t="n">
        <v>0.2370540372460702</v>
      </c>
      <c r="W807" t="inlineStr"/>
      <c r="X807" s="28">
        <f>IF(L807+M807=0,"",L807+M807)</f>
        <v/>
      </c>
      <c r="Y807" s="38">
        <f>IF(L807=0,"",M807/L807)</f>
        <v/>
      </c>
      <c r="Z807" t="inlineStr">
        <is>
          <t>Director &amp; Investment Officer</t>
        </is>
      </c>
      <c r="AA807" t="inlineStr">
        <is>
          <t>Investments</t>
        </is>
      </c>
      <c r="AB807" s="50" t="inlineStr"/>
      <c r="AC807" s="43">
        <f>HYPERLINK("https://projects.propublica.org/nonprofits/organizations/830590263/202433209349104363/full","view filing")</f>
        <v/>
      </c>
      <c r="AD807" s="50" t="inlineStr"/>
    </row>
    <row r="808">
      <c r="A808" t="inlineStr">
        <is>
          <t>Mother Cabrini Health Foundation</t>
        </is>
      </c>
      <c r="B808" s="50" t="inlineStr">
        <is>
          <t>NY</t>
        </is>
      </c>
      <c r="C808" s="52" t="n">
        <v>3.2</v>
      </c>
      <c r="D808" t="inlineStr">
        <is>
          <t>Healthcare</t>
        </is>
      </c>
      <c r="E808" s="50" t="n">
        <v>2023</v>
      </c>
      <c r="F808" s="50" t="inlineStr">
        <is>
          <t>2024-11-15</t>
        </is>
      </c>
      <c r="G808" s="50" t="inlineStr">
        <is>
          <t>2023-12-31</t>
        </is>
      </c>
      <c r="H808" t="inlineStr">
        <is>
          <t>Wenwen Mcelhoe</t>
        </is>
      </c>
      <c r="I808" t="inlineStr">
        <is>
          <t>MD OF INVESTMENTS</t>
        </is>
      </c>
      <c r="J808" t="inlineStr">
        <is>
          <t>Managing Director</t>
        </is>
      </c>
      <c r="K808" t="inlineStr">
        <is>
          <t>Sr Investment Professional</t>
        </is>
      </c>
      <c r="L808" s="28" t="n">
        <v>0</v>
      </c>
      <c r="M808" s="28" t="n">
        <v>0</v>
      </c>
      <c r="N808" s="28" t="n">
        <v>0</v>
      </c>
      <c r="O808" s="28" t="n">
        <v>0</v>
      </c>
      <c r="P808" s="28" t="n">
        <v>0</v>
      </c>
      <c r="Q808" s="28" t="n">
        <v>639385</v>
      </c>
      <c r="R808" s="28" t="n">
        <v>0</v>
      </c>
      <c r="S808" s="28">
        <f>Q808-R808</f>
        <v/>
      </c>
      <c r="T808" s="28">
        <f>IF(S808="","",S808*(1+in_GrowthRate)^(YEARFRAC(DATE(2023,12,31),in_AgeToDate)*IF(in_AgeToDate&lt;DATE(2023,12,31),-1,1)+1))</f>
        <v/>
      </c>
      <c r="U808" s="50">
        <f>IF(AND(AND(OR(in_Mode="All Funds",AND(C808&gt;=in_BandFloor,C808&lt;=in_BandCeiling,OR(in_Geography="National",COUNTIFS(lst_GeoPreset,in_Geography,lst_GeoState,B808)&gt;0,AND(in_Geography="Custom",ISNUMBER(SEARCH(B808,SUBSTITUTE(in_CustomStates," ",""))))),OR(AND(D808="Endowment",Inputs!$B$14="Y"),AND(D808="Foundation",Inputs!$B$15="Y"),AND(D808="Healthcare",Inputs!$B$16="Y"),AND(D808="Pension",Inputs!$B$17="Y"),AND(D808="OCIO",Inputs!$B$18="Y"),AND(D808="Other",Inputs!$B$19="Y")))),A808&lt;&gt;in_ClientOrg,NOT(AND(in_ExclHarvard="Y",ISNUMBER(SEARCH("Harvard",A808))))),$AD808="Y",K808&lt;&gt;"",S808&gt;0),"Y","")</f>
        <v/>
      </c>
      <c r="V808" s="30" t="n">
        <v>0.4159315810975023</v>
      </c>
      <c r="W808" t="inlineStr"/>
      <c r="X808" s="28">
        <f>IF(L808+M808=0,"",L808+M808)</f>
        <v/>
      </c>
      <c r="Y808" s="38">
        <f>IF(L808=0,"",M808/L808)</f>
        <v/>
      </c>
      <c r="Z808" t="inlineStr">
        <is>
          <t>Managing Director</t>
        </is>
      </c>
      <c r="AA808" t="inlineStr">
        <is>
          <t>Investments</t>
        </is>
      </c>
      <c r="AB808" s="50" t="inlineStr"/>
      <c r="AC808" s="43">
        <f>HYPERLINK("https://projects.propublica.org/nonprofits/organizations/830590263/202433209349104363/full","view filing")</f>
        <v/>
      </c>
      <c r="AD808" s="50" t="inlineStr"/>
    </row>
    <row r="809">
      <c r="A809" t="inlineStr">
        <is>
          <t>Mother Cabrini Health Foundation</t>
        </is>
      </c>
      <c r="B809" s="50" t="inlineStr">
        <is>
          <t>NY</t>
        </is>
      </c>
      <c r="C809" s="52" t="n">
        <v>3.2</v>
      </c>
      <c r="D809" t="inlineStr">
        <is>
          <t>Healthcare</t>
        </is>
      </c>
      <c r="E809" s="50" t="n">
        <v>2022</v>
      </c>
      <c r="F809" s="50" t="inlineStr">
        <is>
          <t>2023-11-13</t>
        </is>
      </c>
      <c r="G809" s="50" t="inlineStr">
        <is>
          <t>2022-12-31</t>
        </is>
      </c>
      <c r="H809" t="inlineStr">
        <is>
          <t>Colin Ambrose</t>
        </is>
      </c>
      <c r="I809" t="inlineStr">
        <is>
          <t>CHIEF INVESTMENT OFFICER</t>
        </is>
      </c>
      <c r="J809" t="inlineStr">
        <is>
          <t>CIO</t>
        </is>
      </c>
      <c r="K809" t="inlineStr">
        <is>
          <t>CIO - Top Investment Executive</t>
        </is>
      </c>
      <c r="L809" s="28" t="n">
        <v>0</v>
      </c>
      <c r="M809" s="28" t="n">
        <v>0</v>
      </c>
      <c r="N809" s="28" t="n">
        <v>0</v>
      </c>
      <c r="O809" s="28" t="n">
        <v>0</v>
      </c>
      <c r="P809" s="28" t="n">
        <v>86470</v>
      </c>
      <c r="Q809" s="28" t="n">
        <v>1716691</v>
      </c>
      <c r="R809" s="28" t="n">
        <v>0</v>
      </c>
      <c r="S809" s="28">
        <f>Q809-R809</f>
        <v/>
      </c>
      <c r="T809" s="28">
        <f>IF(S809="","",S809*(1+in_GrowthRate)^(YEARFRAC(DATE(2022,12,31),in_AgeToDate)*IF(in_AgeToDate&lt;DATE(2022,12,31),-1,1)+1))</f>
        <v/>
      </c>
      <c r="U809" s="50">
        <f>IF(AND(AND(OR(in_Mode="All Funds",AND(C809&gt;=in_BandFloor,C809&lt;=in_BandCeiling,OR(in_Geography="National",COUNTIFS(lst_GeoPreset,in_Geography,lst_GeoState,B809)&gt;0,AND(in_Geography="Custom",ISNUMBER(SEARCH(B809,SUBSTITUTE(in_CustomStates," ",""))))),OR(AND(D809="Endowment",Inputs!$B$14="Y"),AND(D809="Foundation",Inputs!$B$15="Y"),AND(D809="Healthcare",Inputs!$B$16="Y"),AND(D809="Pension",Inputs!$B$17="Y"),AND(D809="OCIO",Inputs!$B$18="Y"),AND(D809="Other",Inputs!$B$19="Y")))),A809&lt;&gt;in_ClientOrg,NOT(AND(in_ExclHarvard="Y",ISNUMBER(SEARCH("Harvard",A809))))),$AD809="Y",K809&lt;&gt;"",S809&gt;0),"Y","")</f>
        <v/>
      </c>
      <c r="V809" s="30" t="n">
        <v>1</v>
      </c>
      <c r="W809" t="inlineStr"/>
      <c r="X809" s="28">
        <f>IF(L809+M809=0,"",L809+M809)</f>
        <v/>
      </c>
      <c r="Y809" s="38">
        <f>IF(L809=0,"",M809/L809)</f>
        <v/>
      </c>
      <c r="Z809" t="inlineStr">
        <is>
          <t>CIO - Top Investment Executive</t>
        </is>
      </c>
      <c r="AA809" t="inlineStr">
        <is>
          <t>Leadership</t>
        </is>
      </c>
      <c r="AB809" s="50" t="inlineStr">
        <is>
          <t>Y</t>
        </is>
      </c>
      <c r="AC809" s="43">
        <f>HYPERLINK("https://projects.propublica.org/nonprofits/organizations/830590263/202343179349104034/full","view filing")</f>
        <v/>
      </c>
      <c r="AD809" s="50" t="inlineStr"/>
    </row>
    <row r="810">
      <c r="A810" t="inlineStr">
        <is>
          <t>Mother Cabrini Health Foundation</t>
        </is>
      </c>
      <c r="B810" s="50" t="inlineStr">
        <is>
          <t>NY</t>
        </is>
      </c>
      <c r="C810" s="52" t="n">
        <v>3.2</v>
      </c>
      <c r="D810" t="inlineStr">
        <is>
          <t>Healthcare</t>
        </is>
      </c>
      <c r="E810" s="50" t="n">
        <v>2022</v>
      </c>
      <c r="F810" s="50" t="inlineStr">
        <is>
          <t>2023-11-13</t>
        </is>
      </c>
      <c r="G810" s="50" t="inlineStr">
        <is>
          <t>2022-12-31</t>
        </is>
      </c>
      <c r="H810" t="inlineStr">
        <is>
          <t>Jeremy Rosenberg</t>
        </is>
      </c>
      <c r="I810" t="inlineStr">
        <is>
          <t>MD OF PUBLIC INVESTM</t>
        </is>
      </c>
      <c r="J810" t="inlineStr">
        <is>
          <t>Managing Director</t>
        </is>
      </c>
      <c r="K810" t="inlineStr">
        <is>
          <t>Sr Investment Professional</t>
        </is>
      </c>
      <c r="L810" s="28" t="n">
        <v>0</v>
      </c>
      <c r="M810" s="28" t="n">
        <v>0</v>
      </c>
      <c r="N810" s="28" t="n">
        <v>0</v>
      </c>
      <c r="O810" s="28" t="n">
        <v>0</v>
      </c>
      <c r="P810" s="28" t="n">
        <v>0</v>
      </c>
      <c r="Q810" s="28" t="n">
        <v>713730</v>
      </c>
      <c r="R810" s="28" t="n">
        <v>0</v>
      </c>
      <c r="S810" s="28">
        <f>Q810-R810</f>
        <v/>
      </c>
      <c r="T810" s="28">
        <f>IF(S810="","",S810*(1+in_GrowthRate)^(YEARFRAC(DATE(2022,12,31),in_AgeToDate)*IF(in_AgeToDate&lt;DATE(2022,12,31),-1,1)+1))</f>
        <v/>
      </c>
      <c r="U810" s="50">
        <f>IF(AND(AND(OR(in_Mode="All Funds",AND(C810&gt;=in_BandFloor,C810&lt;=in_BandCeiling,OR(in_Geography="National",COUNTIFS(lst_GeoPreset,in_Geography,lst_GeoState,B810)&gt;0,AND(in_Geography="Custom",ISNUMBER(SEARCH(B810,SUBSTITUTE(in_CustomStates," ",""))))),OR(AND(D810="Endowment",Inputs!$B$14="Y"),AND(D810="Foundation",Inputs!$B$15="Y"),AND(D810="Healthcare",Inputs!$B$16="Y"),AND(D810="Pension",Inputs!$B$17="Y"),AND(D810="OCIO",Inputs!$B$18="Y"),AND(D810="Other",Inputs!$B$19="Y")))),A810&lt;&gt;in_ClientOrg,NOT(AND(in_ExclHarvard="Y",ISNUMBER(SEARCH("Harvard",A810))))),$AD810="Y",K810&lt;&gt;"",S810&gt;0),"Y","")</f>
        <v/>
      </c>
      <c r="V810" s="30" t="n">
        <v>0.4157591552585759</v>
      </c>
      <c r="W810" t="inlineStr"/>
      <c r="X810" s="28">
        <f>IF(L810+M810=0,"",L810+M810)</f>
        <v/>
      </c>
      <c r="Y810" s="38">
        <f>IF(L810=0,"",M810/L810)</f>
        <v/>
      </c>
      <c r="Z810" t="inlineStr">
        <is>
          <t>Managing Director</t>
        </is>
      </c>
      <c r="AA810" t="inlineStr">
        <is>
          <t>Investments</t>
        </is>
      </c>
      <c r="AB810" s="50" t="inlineStr"/>
      <c r="AC810" s="43">
        <f>HYPERLINK("https://projects.propublica.org/nonprofits/organizations/830590263/202343179349104034/full","view filing")</f>
        <v/>
      </c>
      <c r="AD810" s="50" t="inlineStr"/>
    </row>
    <row r="811">
      <c r="A811" t="inlineStr">
        <is>
          <t>Mother Cabrini Health Foundation</t>
        </is>
      </c>
      <c r="B811" s="50" t="inlineStr">
        <is>
          <t>NY</t>
        </is>
      </c>
      <c r="C811" s="52" t="n">
        <v>3.2</v>
      </c>
      <c r="D811" t="inlineStr">
        <is>
          <t>Healthcare</t>
        </is>
      </c>
      <c r="E811" s="50" t="n">
        <v>2022</v>
      </c>
      <c r="F811" s="50" t="inlineStr">
        <is>
          <t>2023-11-13</t>
        </is>
      </c>
      <c r="G811" s="50" t="inlineStr">
        <is>
          <t>2022-12-31</t>
        </is>
      </c>
      <c r="H811" t="inlineStr">
        <is>
          <t>Joon-Young Choi</t>
        </is>
      </c>
      <c r="I811" t="inlineStr">
        <is>
          <t>MD OF PRIVATE INVEST</t>
        </is>
      </c>
      <c r="J811" t="inlineStr">
        <is>
          <t>Managing Director</t>
        </is>
      </c>
      <c r="K811" t="inlineStr">
        <is>
          <t>Sr Investment Professional</t>
        </is>
      </c>
      <c r="L811" s="28" t="n">
        <v>0</v>
      </c>
      <c r="M811" s="28" t="n">
        <v>0</v>
      </c>
      <c r="N811" s="28" t="n">
        <v>0</v>
      </c>
      <c r="O811" s="28" t="n">
        <v>0</v>
      </c>
      <c r="P811" s="28" t="n">
        <v>0</v>
      </c>
      <c r="Q811" s="28" t="n">
        <v>856098</v>
      </c>
      <c r="R811" s="28" t="n">
        <v>0</v>
      </c>
      <c r="S811" s="28">
        <f>Q811-R811</f>
        <v/>
      </c>
      <c r="T811" s="28">
        <f>IF(S811="","",S811*(1+in_GrowthRate)^(YEARFRAC(DATE(2022,12,31),in_AgeToDate)*IF(in_AgeToDate&lt;DATE(2022,12,31),-1,1)+1))</f>
        <v/>
      </c>
      <c r="U811" s="50">
        <f>IF(AND(AND(OR(in_Mode="All Funds",AND(C811&gt;=in_BandFloor,C811&lt;=in_BandCeiling,OR(in_Geography="National",COUNTIFS(lst_GeoPreset,in_Geography,lst_GeoState,B811)&gt;0,AND(in_Geography="Custom",ISNUMBER(SEARCH(B811,SUBSTITUTE(in_CustomStates," ",""))))),OR(AND(D811="Endowment",Inputs!$B$14="Y"),AND(D811="Foundation",Inputs!$B$15="Y"),AND(D811="Healthcare",Inputs!$B$16="Y"),AND(D811="Pension",Inputs!$B$17="Y"),AND(D811="OCIO",Inputs!$B$18="Y"),AND(D811="Other",Inputs!$B$19="Y")))),A811&lt;&gt;in_ClientOrg,NOT(AND(in_ExclHarvard="Y",ISNUMBER(SEARCH("Harvard",A811))))),$AD811="Y",K811&lt;&gt;"",S811&gt;0),"Y","")</f>
        <v/>
      </c>
      <c r="V811" s="30" t="n">
        <v>0.4986907952566886</v>
      </c>
      <c r="W811" t="inlineStr"/>
      <c r="X811" s="28">
        <f>IF(L811+M811=0,"",L811+M811)</f>
        <v/>
      </c>
      <c r="Y811" s="38">
        <f>IF(L811=0,"",M811/L811)</f>
        <v/>
      </c>
      <c r="Z811" t="inlineStr">
        <is>
          <t>Managing Director</t>
        </is>
      </c>
      <c r="AA811" t="inlineStr">
        <is>
          <t>Investments</t>
        </is>
      </c>
      <c r="AB811" s="50" t="inlineStr"/>
      <c r="AC811" s="43">
        <f>HYPERLINK("https://projects.propublica.org/nonprofits/organizations/830590263/202343179349104034/full","view filing")</f>
        <v/>
      </c>
      <c r="AD811" s="50" t="inlineStr"/>
    </row>
    <row r="812">
      <c r="A812" t="inlineStr">
        <is>
          <t>Mother Cabrini Health Foundation</t>
        </is>
      </c>
      <c r="B812" s="50" t="inlineStr">
        <is>
          <t>NY</t>
        </is>
      </c>
      <c r="C812" s="52" t="n">
        <v>3.2</v>
      </c>
      <c r="D812" t="inlineStr">
        <is>
          <t>Healthcare</t>
        </is>
      </c>
      <c r="E812" s="50" t="n">
        <v>2022</v>
      </c>
      <c r="F812" s="50" t="inlineStr">
        <is>
          <t>2023-11-13</t>
        </is>
      </c>
      <c r="G812" s="50" t="inlineStr">
        <is>
          <t>2022-12-31</t>
        </is>
      </c>
      <c r="H812" t="inlineStr">
        <is>
          <t>Ryan Yanaro</t>
        </is>
      </c>
      <c r="I812" t="inlineStr">
        <is>
          <t>DIR. OF INVESTMENT O</t>
        </is>
      </c>
      <c r="J812" t="inlineStr">
        <is>
          <t>Director of Investments</t>
        </is>
      </c>
      <c r="K812" t="inlineStr">
        <is>
          <t>Sr Investment Professional</t>
        </is>
      </c>
      <c r="L812" s="28" t="n">
        <v>0</v>
      </c>
      <c r="M812" s="28" t="n">
        <v>0</v>
      </c>
      <c r="N812" s="28" t="n">
        <v>0</v>
      </c>
      <c r="O812" s="28" t="n">
        <v>0</v>
      </c>
      <c r="P812" s="28" t="n">
        <v>0</v>
      </c>
      <c r="Q812" s="28" t="n">
        <v>317433</v>
      </c>
      <c r="R812" s="28" t="n">
        <v>0</v>
      </c>
      <c r="S812" s="28">
        <f>Q812-R812</f>
        <v/>
      </c>
      <c r="T812" s="28">
        <f>IF(S812="","",S812*(1+in_GrowthRate)^(YEARFRAC(DATE(2022,12,31),in_AgeToDate)*IF(in_AgeToDate&lt;DATE(2022,12,31),-1,1)+1))</f>
        <v/>
      </c>
      <c r="U812" s="50">
        <f>IF(AND(AND(OR(in_Mode="All Funds",AND(C812&gt;=in_BandFloor,C812&lt;=in_BandCeiling,OR(in_Geography="National",COUNTIFS(lst_GeoPreset,in_Geography,lst_GeoState,B812)&gt;0,AND(in_Geography="Custom",ISNUMBER(SEARCH(B812,SUBSTITUTE(in_CustomStates," ",""))))),OR(AND(D812="Endowment",Inputs!$B$14="Y"),AND(D812="Foundation",Inputs!$B$15="Y"),AND(D812="Healthcare",Inputs!$B$16="Y"),AND(D812="Pension",Inputs!$B$17="Y"),AND(D812="OCIO",Inputs!$B$18="Y"),AND(D812="Other",Inputs!$B$19="Y")))),A812&lt;&gt;in_ClientOrg,NOT(AND(in_ExclHarvard="Y",ISNUMBER(SEARCH("Harvard",A812))))),$AD812="Y",K812&lt;&gt;"",S812&gt;0),"Y","")</f>
        <v/>
      </c>
      <c r="V812" s="30" t="n">
        <v>0.1849098061328451</v>
      </c>
      <c r="W812" t="inlineStr"/>
      <c r="X812" s="28">
        <f>IF(L812+M812=0,"",L812+M812)</f>
        <v/>
      </c>
      <c r="Y812" s="38">
        <f>IF(L812=0,"",M812/L812)</f>
        <v/>
      </c>
      <c r="Z812" t="inlineStr">
        <is>
          <t>Director &amp; Investment Officer</t>
        </is>
      </c>
      <c r="AA812" t="inlineStr">
        <is>
          <t>Investments</t>
        </is>
      </c>
      <c r="AB812" s="50" t="inlineStr"/>
      <c r="AC812" s="43">
        <f>HYPERLINK("https://projects.propublica.org/nonprofits/organizations/830590263/202343179349104034/full","view filing")</f>
        <v/>
      </c>
      <c r="AD812" s="50" t="inlineStr"/>
    </row>
    <row r="813">
      <c r="A813" t="inlineStr">
        <is>
          <t>Mother Cabrini Health Foundation</t>
        </is>
      </c>
      <c r="B813" s="50" t="inlineStr">
        <is>
          <t>NY</t>
        </is>
      </c>
      <c r="C813" s="52" t="n">
        <v>3.2</v>
      </c>
      <c r="D813" t="inlineStr">
        <is>
          <t>Healthcare</t>
        </is>
      </c>
      <c r="E813" s="50" t="n">
        <v>2022</v>
      </c>
      <c r="F813" s="50" t="inlineStr">
        <is>
          <t>2023-11-13</t>
        </is>
      </c>
      <c r="G813" s="50" t="inlineStr">
        <is>
          <t>2022-12-31</t>
        </is>
      </c>
      <c r="H813" t="inlineStr">
        <is>
          <t>Wenwen Mcelhoe</t>
        </is>
      </c>
      <c r="I813" t="inlineStr">
        <is>
          <t>MD OF INVESTMENTS</t>
        </is>
      </c>
      <c r="J813" t="inlineStr">
        <is>
          <t>Managing Director</t>
        </is>
      </c>
      <c r="K813" t="inlineStr">
        <is>
          <t>Sr Investment Professional</t>
        </is>
      </c>
      <c r="L813" s="28" t="n">
        <v>0</v>
      </c>
      <c r="M813" s="28" t="n">
        <v>0</v>
      </c>
      <c r="N813" s="28" t="n">
        <v>0</v>
      </c>
      <c r="O813" s="28" t="n">
        <v>0</v>
      </c>
      <c r="P813" s="28" t="n">
        <v>0</v>
      </c>
      <c r="Q813" s="28" t="n">
        <v>761081</v>
      </c>
      <c r="R813" s="28" t="n">
        <v>0</v>
      </c>
      <c r="S813" s="28">
        <f>Q813-R813</f>
        <v/>
      </c>
      <c r="T813" s="28">
        <f>IF(S813="","",S813*(1+in_GrowthRate)^(YEARFRAC(DATE(2022,12,31),in_AgeToDate)*IF(in_AgeToDate&lt;DATE(2022,12,31),-1,1)+1))</f>
        <v/>
      </c>
      <c r="U813" s="50">
        <f>IF(AND(AND(OR(in_Mode="All Funds",AND(C813&gt;=in_BandFloor,C813&lt;=in_BandCeiling,OR(in_Geography="National",COUNTIFS(lst_GeoPreset,in_Geography,lst_GeoState,B813)&gt;0,AND(in_Geography="Custom",ISNUMBER(SEARCH(B813,SUBSTITUTE(in_CustomStates," ",""))))),OR(AND(D813="Endowment",Inputs!$B$14="Y"),AND(D813="Foundation",Inputs!$B$15="Y"),AND(D813="Healthcare",Inputs!$B$16="Y"),AND(D813="Pension",Inputs!$B$17="Y"),AND(D813="OCIO",Inputs!$B$18="Y"),AND(D813="Other",Inputs!$B$19="Y")))),A813&lt;&gt;in_ClientOrg,NOT(AND(in_ExclHarvard="Y",ISNUMBER(SEARCH("Harvard",A813))))),$AD813="Y",K813&lt;&gt;"",S813&gt;0),"Y","")</f>
        <v/>
      </c>
      <c r="V813" s="30" t="n">
        <v>0.4433418710763906</v>
      </c>
      <c r="W813" t="inlineStr"/>
      <c r="X813" s="28">
        <f>IF(L813+M813=0,"",L813+M813)</f>
        <v/>
      </c>
      <c r="Y813" s="38">
        <f>IF(L813=0,"",M813/L813)</f>
        <v/>
      </c>
      <c r="Z813" t="inlineStr">
        <is>
          <t>Managing Director</t>
        </is>
      </c>
      <c r="AA813" t="inlineStr">
        <is>
          <t>Investments</t>
        </is>
      </c>
      <c r="AB813" s="50" t="inlineStr"/>
      <c r="AC813" s="43">
        <f>HYPERLINK("https://projects.propublica.org/nonprofits/organizations/830590263/202343179349104034/full","view filing")</f>
        <v/>
      </c>
      <c r="AD813" s="50" t="inlineStr"/>
    </row>
    <row r="814">
      <c r="A814" t="inlineStr">
        <is>
          <t>Mount Sinai Hospital</t>
        </is>
      </c>
      <c r="B814" s="50" t="inlineStr">
        <is>
          <t>NY</t>
        </is>
      </c>
      <c r="C814" s="52" t="n">
        <v>1.96</v>
      </c>
      <c r="D814" t="inlineStr">
        <is>
          <t>Healthcare</t>
        </is>
      </c>
      <c r="E814" s="50" t="n">
        <v>2024</v>
      </c>
      <c r="F814" s="50" t="inlineStr">
        <is>
          <t>2026-03-26</t>
        </is>
      </c>
      <c r="G814" s="50" t="inlineStr">
        <is>
          <t>2024-12-31</t>
        </is>
      </c>
      <c r="H814" t="inlineStr">
        <is>
          <t>Scott Pittman</t>
        </is>
      </c>
      <c r="I814" t="inlineStr">
        <is>
          <t>SR VP SYS CHIEF INVESTMENT OFF</t>
        </is>
      </c>
      <c r="J814" t="inlineStr">
        <is>
          <t>CIO</t>
        </is>
      </c>
      <c r="K814" t="inlineStr">
        <is>
          <t>CIO - Top Investment Executive</t>
        </is>
      </c>
      <c r="L814" s="28" t="n">
        <v>627720</v>
      </c>
      <c r="M814" s="28" t="n">
        <v>512757</v>
      </c>
      <c r="N814" s="28" t="n">
        <v>35668</v>
      </c>
      <c r="O814" s="28" t="n">
        <v>18047</v>
      </c>
      <c r="P814" s="28" t="n">
        <v>18901</v>
      </c>
      <c r="Q814" s="28" t="n">
        <v>1213093</v>
      </c>
      <c r="R814" s="28" t="n">
        <v>0</v>
      </c>
      <c r="S814" s="28">
        <f>Q814-R814</f>
        <v/>
      </c>
      <c r="T814" s="28">
        <f>IF(S814="","",S814*(1+in_GrowthRate)^(YEARFRAC(DATE(2024,12,31),in_AgeToDate)*IF(in_AgeToDate&lt;DATE(2024,12,31),-1,1)+1))</f>
        <v/>
      </c>
      <c r="U814" s="50">
        <f>IF(AND(AND(OR(in_Mode="All Funds",AND(C814&gt;=in_BandFloor,C814&lt;=in_BandCeiling,OR(in_Geography="National",COUNTIFS(lst_GeoPreset,in_Geography,lst_GeoState,B814)&gt;0,AND(in_Geography="Custom",ISNUMBER(SEARCH(B814,SUBSTITUTE(in_CustomStates," ",""))))),OR(AND(D814="Endowment",Inputs!$B$14="Y"),AND(D814="Foundation",Inputs!$B$15="Y"),AND(D814="Healthcare",Inputs!$B$16="Y"),AND(D814="Pension",Inputs!$B$17="Y"),AND(D814="OCIO",Inputs!$B$18="Y"),AND(D814="Other",Inputs!$B$19="Y")))),A814&lt;&gt;in_ClientOrg,NOT(AND(in_ExclHarvard="Y",ISNUMBER(SEARCH("Harvard",A814))))),$AD814="Y",K814&lt;&gt;"",S814&gt;0),"Y","")</f>
        <v/>
      </c>
      <c r="V814" s="30" t="n">
        <v>1</v>
      </c>
      <c r="W814" t="inlineStr"/>
      <c r="X814" s="28">
        <f>IF(L814+M814=0,"",L814+M814)</f>
        <v/>
      </c>
      <c r="Y814" s="38">
        <f>IF(L814=0,"",M814/L814)</f>
        <v/>
      </c>
      <c r="Z814" t="inlineStr">
        <is>
          <t>CIO - Top Investment Executive</t>
        </is>
      </c>
      <c r="AA814" t="inlineStr">
        <is>
          <t>Leadership</t>
        </is>
      </c>
      <c r="AB814" s="50" t="inlineStr">
        <is>
          <t>Y</t>
        </is>
      </c>
      <c r="AC814" s="43">
        <f>HYPERLINK("https://projects.propublica.org/nonprofits/organizations/131624096/202600859349301025/full","view filing")</f>
        <v/>
      </c>
      <c r="AD814" s="50" t="inlineStr">
        <is>
          <t>Y</t>
        </is>
      </c>
    </row>
    <row r="815">
      <c r="A815" t="inlineStr">
        <is>
          <t>Mount Sinai Hospital</t>
        </is>
      </c>
      <c r="B815" s="50" t="inlineStr">
        <is>
          <t>NY</t>
        </is>
      </c>
      <c r="C815" s="52" t="n">
        <v>1.96</v>
      </c>
      <c r="D815" t="inlineStr">
        <is>
          <t>Healthcare</t>
        </is>
      </c>
      <c r="E815" s="50" t="n">
        <v>2023</v>
      </c>
      <c r="F815" s="50" t="inlineStr">
        <is>
          <t>2024-11-13</t>
        </is>
      </c>
      <c r="G815" s="50" t="inlineStr">
        <is>
          <t>2023-12-31</t>
        </is>
      </c>
      <c r="H815" t="inlineStr">
        <is>
          <t>Scott Pittman</t>
        </is>
      </c>
      <c r="I815" t="inlineStr">
        <is>
          <t>SR VP SYS CHIEF INVESTMENT OFF</t>
        </is>
      </c>
      <c r="J815" t="inlineStr">
        <is>
          <t>CIO</t>
        </is>
      </c>
      <c r="K815" t="inlineStr">
        <is>
          <t>CIO - Top Investment Executive</t>
        </is>
      </c>
      <c r="L815" s="28" t="n">
        <v>674400</v>
      </c>
      <c r="M815" s="28" t="n">
        <v>505823</v>
      </c>
      <c r="N815" s="28" t="n">
        <v>40218</v>
      </c>
      <c r="O815" s="28" t="n">
        <v>17906</v>
      </c>
      <c r="P815" s="28" t="n">
        <v>18693</v>
      </c>
      <c r="Q815" s="28" t="n">
        <v>1257040</v>
      </c>
      <c r="R815" s="28" t="n">
        <v>0</v>
      </c>
      <c r="S815" s="28">
        <f>Q815-R815</f>
        <v/>
      </c>
      <c r="T815" s="28">
        <f>IF(S815="","",S815*(1+in_GrowthRate)^(YEARFRAC(DATE(2023,12,31),in_AgeToDate)*IF(in_AgeToDate&lt;DATE(2023,12,31),-1,1)+1))</f>
        <v/>
      </c>
      <c r="U815" s="50">
        <f>IF(AND(AND(OR(in_Mode="All Funds",AND(C815&gt;=in_BandFloor,C815&lt;=in_BandCeiling,OR(in_Geography="National",COUNTIFS(lst_GeoPreset,in_Geography,lst_GeoState,B815)&gt;0,AND(in_Geography="Custom",ISNUMBER(SEARCH(B815,SUBSTITUTE(in_CustomStates," ",""))))),OR(AND(D815="Endowment",Inputs!$B$14="Y"),AND(D815="Foundation",Inputs!$B$15="Y"),AND(D815="Healthcare",Inputs!$B$16="Y"),AND(D815="Pension",Inputs!$B$17="Y"),AND(D815="OCIO",Inputs!$B$18="Y"),AND(D815="Other",Inputs!$B$19="Y")))),A815&lt;&gt;in_ClientOrg,NOT(AND(in_ExclHarvard="Y",ISNUMBER(SEARCH("Harvard",A815))))),$AD815="Y",K815&lt;&gt;"",S815&gt;0),"Y","")</f>
        <v/>
      </c>
      <c r="V815" s="30" t="n">
        <v>1</v>
      </c>
      <c r="W815" t="inlineStr"/>
      <c r="X815" s="28">
        <f>IF(L815+M815=0,"",L815+M815)</f>
        <v/>
      </c>
      <c r="Y815" s="38">
        <f>IF(L815=0,"",M815/L815)</f>
        <v/>
      </c>
      <c r="Z815" t="inlineStr">
        <is>
          <t>CIO - Top Investment Executive</t>
        </is>
      </c>
      <c r="AA815" t="inlineStr">
        <is>
          <t>Leadership</t>
        </is>
      </c>
      <c r="AB815" s="50" t="inlineStr">
        <is>
          <t>Y</t>
        </is>
      </c>
      <c r="AC815" s="43">
        <f>HYPERLINK("https://projects.propublica.org/nonprofits/organizations/131624096/202403189349301575/full","view filing")</f>
        <v/>
      </c>
      <c r="AD815" s="50" t="inlineStr"/>
    </row>
    <row r="816">
      <c r="A816" t="inlineStr">
        <is>
          <t>Mount Sinai Hospital</t>
        </is>
      </c>
      <c r="B816" s="50" t="inlineStr">
        <is>
          <t>NY</t>
        </is>
      </c>
      <c r="C816" s="52" t="n">
        <v>1.96</v>
      </c>
      <c r="D816" t="inlineStr">
        <is>
          <t>Healthcare</t>
        </is>
      </c>
      <c r="E816" s="50" t="n">
        <v>2022</v>
      </c>
      <c r="F816" s="50" t="inlineStr">
        <is>
          <t>2023-11-09</t>
        </is>
      </c>
      <c r="G816" s="50" t="inlineStr">
        <is>
          <t>2022-12-31</t>
        </is>
      </c>
      <c r="H816" t="inlineStr">
        <is>
          <t>Scott Pittman</t>
        </is>
      </c>
      <c r="I816" t="inlineStr">
        <is>
          <t>SR VP SYS CHIEF INVESTMENT OFF</t>
        </is>
      </c>
      <c r="J816" t="inlineStr">
        <is>
          <t>CIO</t>
        </is>
      </c>
      <c r="K816" t="inlineStr">
        <is>
          <t>CIO - Top Investment Executive</t>
        </is>
      </c>
      <c r="L816" s="28" t="n">
        <v>651480</v>
      </c>
      <c r="M816" s="28" t="n">
        <v>514204</v>
      </c>
      <c r="N816" s="28" t="n">
        <v>39426</v>
      </c>
      <c r="O816" s="28" t="n">
        <v>16549</v>
      </c>
      <c r="P816" s="28" t="n">
        <v>17591</v>
      </c>
      <c r="Q816" s="28" t="n">
        <v>1239250</v>
      </c>
      <c r="R816" s="28" t="n">
        <v>0</v>
      </c>
      <c r="S816" s="28">
        <f>Q816-R816</f>
        <v/>
      </c>
      <c r="T816" s="28">
        <f>IF(S816="","",S816*(1+in_GrowthRate)^(YEARFRAC(DATE(2022,12,31),in_AgeToDate)*IF(in_AgeToDate&lt;DATE(2022,12,31),-1,1)+1))</f>
        <v/>
      </c>
      <c r="U816" s="50">
        <f>IF(AND(AND(OR(in_Mode="All Funds",AND(C816&gt;=in_BandFloor,C816&lt;=in_BandCeiling,OR(in_Geography="National",COUNTIFS(lst_GeoPreset,in_Geography,lst_GeoState,B816)&gt;0,AND(in_Geography="Custom",ISNUMBER(SEARCH(B816,SUBSTITUTE(in_CustomStates," ",""))))),OR(AND(D816="Endowment",Inputs!$B$14="Y"),AND(D816="Foundation",Inputs!$B$15="Y"),AND(D816="Healthcare",Inputs!$B$16="Y"),AND(D816="Pension",Inputs!$B$17="Y"),AND(D816="OCIO",Inputs!$B$18="Y"),AND(D816="Other",Inputs!$B$19="Y")))),A816&lt;&gt;in_ClientOrg,NOT(AND(in_ExclHarvard="Y",ISNUMBER(SEARCH("Harvard",A816))))),$AD816="Y",K816&lt;&gt;"",S816&gt;0),"Y","")</f>
        <v/>
      </c>
      <c r="V816" s="30" t="n">
        <v>1</v>
      </c>
      <c r="W816" t="inlineStr"/>
      <c r="X816" s="28">
        <f>IF(L816+M816=0,"",L816+M816)</f>
        <v/>
      </c>
      <c r="Y816" s="38">
        <f>IF(L816=0,"",M816/L816)</f>
        <v/>
      </c>
      <c r="Z816" t="inlineStr">
        <is>
          <t>CIO - Top Investment Executive</t>
        </is>
      </c>
      <c r="AA816" t="inlineStr">
        <is>
          <t>Leadership</t>
        </is>
      </c>
      <c r="AB816" s="50" t="inlineStr">
        <is>
          <t>Y</t>
        </is>
      </c>
      <c r="AC816" s="43">
        <f>HYPERLINK("https://projects.propublica.org/nonprofits/organizations/131624096/202333139349305728/full","view filing")</f>
        <v/>
      </c>
      <c r="AD816" s="50" t="inlineStr"/>
    </row>
    <row r="817">
      <c r="A817" t="inlineStr">
        <is>
          <t>Museum Of Fine Arts Houston</t>
        </is>
      </c>
      <c r="B817" s="50" t="inlineStr">
        <is>
          <t>TX</t>
        </is>
      </c>
      <c r="C817" s="52" t="n">
        <v>1.87</v>
      </c>
      <c r="D817" t="inlineStr">
        <is>
          <t>Other</t>
        </is>
      </c>
      <c r="E817" s="50" t="n">
        <v>2025</v>
      </c>
      <c r="F817" s="50" t="inlineStr">
        <is>
          <t>2026-05-15</t>
        </is>
      </c>
      <c r="G817" s="50" t="inlineStr">
        <is>
          <t>2025-06-30</t>
        </is>
      </c>
      <c r="H817" t="inlineStr">
        <is>
          <t>Bradford Smith</t>
        </is>
      </c>
      <c r="I817" t="inlineStr">
        <is>
          <t>INVESTMENT DIRECTOR</t>
        </is>
      </c>
      <c r="J817" t="inlineStr">
        <is>
          <t>Director of Investments</t>
        </is>
      </c>
      <c r="K817" t="inlineStr">
        <is>
          <t>Sr Investment Professional</t>
        </is>
      </c>
      <c r="L817" s="28" t="n">
        <v>227660</v>
      </c>
      <c r="M817" s="28" t="n">
        <v>25500</v>
      </c>
      <c r="N817" s="28" t="n">
        <v>470</v>
      </c>
      <c r="O817" s="28" t="n">
        <v>12123</v>
      </c>
      <c r="P817" s="28" t="n">
        <v>27987</v>
      </c>
      <c r="Q817" s="28" t="n">
        <v>293740</v>
      </c>
      <c r="R817" s="28" t="n">
        <v>0</v>
      </c>
      <c r="S817" s="28">
        <f>Q817-R817</f>
        <v/>
      </c>
      <c r="T817" s="28">
        <f>IF(S817="","",S817*(1+in_GrowthRate)^(YEARFRAC(DATE(2025,6,30),in_AgeToDate)*IF(in_AgeToDate&lt;DATE(2025,6,30),-1,1)+1))</f>
        <v/>
      </c>
      <c r="U817" s="50">
        <f>IF(AND(AND(OR(in_Mode="All Funds",AND(C817&gt;=in_BandFloor,C817&lt;=in_BandCeiling,OR(in_Geography="National",COUNTIFS(lst_GeoPreset,in_Geography,lst_GeoState,B817)&gt;0,AND(in_Geography="Custom",ISNUMBER(SEARCH(B817,SUBSTITUTE(in_CustomStates," ",""))))),OR(AND(D817="Endowment",Inputs!$B$14="Y"),AND(D817="Foundation",Inputs!$B$15="Y"),AND(D817="Healthcare",Inputs!$B$16="Y"),AND(D817="Pension",Inputs!$B$17="Y"),AND(D817="OCIO",Inputs!$B$18="Y"),AND(D817="Other",Inputs!$B$19="Y")))),A817&lt;&gt;in_ClientOrg,NOT(AND(in_ExclHarvard="Y",ISNUMBER(SEARCH("Harvard",A817))))),$AD817="Y",K817&lt;&gt;"",S817&gt;0),"Y","")</f>
        <v/>
      </c>
      <c r="V817" s="30" t="n"/>
      <c r="W817" t="inlineStr"/>
      <c r="X817" s="28">
        <f>IF(L817+M817=0,"",L817+M817)</f>
        <v/>
      </c>
      <c r="Y817" s="38">
        <f>IF(L817=0,"",M817/L817)</f>
        <v/>
      </c>
      <c r="Z817" t="inlineStr">
        <is>
          <t>Director &amp; Investment Officer</t>
        </is>
      </c>
      <c r="AA817" t="inlineStr">
        <is>
          <t>Investments</t>
        </is>
      </c>
      <c r="AB817" s="50" t="inlineStr"/>
      <c r="AC817" s="43">
        <f>HYPERLINK("https://projects.propublica.org/nonprofits/organizations/741109655/202601359349303765/full","view filing")</f>
        <v/>
      </c>
      <c r="AD817" s="50" t="inlineStr">
        <is>
          <t>Y</t>
        </is>
      </c>
    </row>
    <row r="818">
      <c r="A818" t="inlineStr">
        <is>
          <t>Museum Of Fine Arts Houston</t>
        </is>
      </c>
      <c r="B818" s="50" t="inlineStr">
        <is>
          <t>TX</t>
        </is>
      </c>
      <c r="C818" s="52" t="n">
        <v>1.87</v>
      </c>
      <c r="D818" t="inlineStr">
        <is>
          <t>Other</t>
        </is>
      </c>
      <c r="E818" s="50" t="n">
        <v>2025</v>
      </c>
      <c r="F818" s="50" t="inlineStr">
        <is>
          <t>2026-05-15</t>
        </is>
      </c>
      <c r="G818" s="50" t="inlineStr">
        <is>
          <t>2025-06-30</t>
        </is>
      </c>
      <c r="H818" t="inlineStr">
        <is>
          <t>Darren A Bartsch</t>
        </is>
      </c>
      <c r="I818" t="inlineStr">
        <is>
          <t>MANAGING INVESTMENT DIRECTOR</t>
        </is>
      </c>
      <c r="J818" t="inlineStr">
        <is>
          <t>Director of Investments</t>
        </is>
      </c>
      <c r="K818" t="inlineStr">
        <is>
          <t>Sr Investment Professional</t>
        </is>
      </c>
      <c r="L818" s="28" t="n">
        <v>414790</v>
      </c>
      <c r="M818" s="28" t="n">
        <v>45000</v>
      </c>
      <c r="N818" s="28" t="n">
        <v>2049</v>
      </c>
      <c r="O818" s="28" t="n">
        <v>17250</v>
      </c>
      <c r="P818" s="28" t="n">
        <v>9669</v>
      </c>
      <c r="Q818" s="28" t="n">
        <v>488758</v>
      </c>
      <c r="R818" s="28" t="n">
        <v>0</v>
      </c>
      <c r="S818" s="28">
        <f>Q818-R818</f>
        <v/>
      </c>
      <c r="T818" s="28">
        <f>IF(S818="","",S818*(1+in_GrowthRate)^(YEARFRAC(DATE(2025,6,30),in_AgeToDate)*IF(in_AgeToDate&lt;DATE(2025,6,30),-1,1)+1))</f>
        <v/>
      </c>
      <c r="U818" s="50">
        <f>IF(AND(AND(OR(in_Mode="All Funds",AND(C818&gt;=in_BandFloor,C818&lt;=in_BandCeiling,OR(in_Geography="National",COUNTIFS(lst_GeoPreset,in_Geography,lst_GeoState,B818)&gt;0,AND(in_Geography="Custom",ISNUMBER(SEARCH(B818,SUBSTITUTE(in_CustomStates," ",""))))),OR(AND(D818="Endowment",Inputs!$B$14="Y"),AND(D818="Foundation",Inputs!$B$15="Y"),AND(D818="Healthcare",Inputs!$B$16="Y"),AND(D818="Pension",Inputs!$B$17="Y"),AND(D818="OCIO",Inputs!$B$18="Y"),AND(D818="Other",Inputs!$B$19="Y")))),A818&lt;&gt;in_ClientOrg,NOT(AND(in_ExclHarvard="Y",ISNUMBER(SEARCH("Harvard",A818))))),$AD818="Y",K818&lt;&gt;"",S818&gt;0),"Y","")</f>
        <v/>
      </c>
      <c r="V818" s="30" t="n"/>
      <c r="W818" t="inlineStr"/>
      <c r="X818" s="28">
        <f>IF(L818+M818=0,"",L818+M818)</f>
        <v/>
      </c>
      <c r="Y818" s="38">
        <f>IF(L818=0,"",M818/L818)</f>
        <v/>
      </c>
      <c r="Z818" t="inlineStr">
        <is>
          <t>Director &amp; Investment Officer</t>
        </is>
      </c>
      <c r="AA818" t="inlineStr">
        <is>
          <t>Investments</t>
        </is>
      </c>
      <c r="AB818" s="50" t="inlineStr"/>
      <c r="AC818" s="43">
        <f>HYPERLINK("https://projects.propublica.org/nonprofits/organizations/741109655/202601359349303765/full","view filing")</f>
        <v/>
      </c>
      <c r="AD818" s="50" t="inlineStr">
        <is>
          <t>Y</t>
        </is>
      </c>
    </row>
    <row r="819">
      <c r="A819" t="inlineStr">
        <is>
          <t>Museum Of Fine Arts Houston</t>
        </is>
      </c>
      <c r="B819" s="50" t="inlineStr">
        <is>
          <t>TX</t>
        </is>
      </c>
      <c r="C819" s="52" t="n">
        <v>1.87</v>
      </c>
      <c r="D819" t="inlineStr">
        <is>
          <t>Other</t>
        </is>
      </c>
      <c r="E819" s="50" t="n">
        <v>2024</v>
      </c>
      <c r="F819" s="50" t="inlineStr">
        <is>
          <t>2025-05-12</t>
        </is>
      </c>
      <c r="G819" s="50" t="inlineStr">
        <is>
          <t>2024-06-30</t>
        </is>
      </c>
      <c r="H819" t="inlineStr">
        <is>
          <t>Bradford Smith</t>
        </is>
      </c>
      <c r="I819" t="inlineStr">
        <is>
          <t>INVESTMENT DIRECTOR</t>
        </is>
      </c>
      <c r="J819" t="inlineStr">
        <is>
          <t>Director of Investments</t>
        </is>
      </c>
      <c r="K819" t="inlineStr">
        <is>
          <t>Sr Investment Professional</t>
        </is>
      </c>
      <c r="L819" s="28" t="n">
        <v>204506</v>
      </c>
      <c r="M819" s="28" t="n">
        <v>20000</v>
      </c>
      <c r="N819" s="28" t="n">
        <v>420</v>
      </c>
      <c r="O819" s="28" t="n">
        <v>10965</v>
      </c>
      <c r="P819" s="28" t="n">
        <v>27809</v>
      </c>
      <c r="Q819" s="28" t="n">
        <v>263700</v>
      </c>
      <c r="R819" s="28" t="n">
        <v>0</v>
      </c>
      <c r="S819" s="28">
        <f>Q819-R819</f>
        <v/>
      </c>
      <c r="T819" s="28">
        <f>IF(S819="","",S819*(1+in_GrowthRate)^(YEARFRAC(DATE(2024,6,30),in_AgeToDate)*IF(in_AgeToDate&lt;DATE(2024,6,30),-1,1)+1))</f>
        <v/>
      </c>
      <c r="U819" s="50">
        <f>IF(AND(AND(OR(in_Mode="All Funds",AND(C819&gt;=in_BandFloor,C819&lt;=in_BandCeiling,OR(in_Geography="National",COUNTIFS(lst_GeoPreset,in_Geography,lst_GeoState,B819)&gt;0,AND(in_Geography="Custom",ISNUMBER(SEARCH(B819,SUBSTITUTE(in_CustomStates," ",""))))),OR(AND(D819="Endowment",Inputs!$B$14="Y"),AND(D819="Foundation",Inputs!$B$15="Y"),AND(D819="Healthcare",Inputs!$B$16="Y"),AND(D819="Pension",Inputs!$B$17="Y"),AND(D819="OCIO",Inputs!$B$18="Y"),AND(D819="Other",Inputs!$B$19="Y")))),A819&lt;&gt;in_ClientOrg,NOT(AND(in_ExclHarvard="Y",ISNUMBER(SEARCH("Harvard",A819))))),$AD819="Y",K819&lt;&gt;"",S819&gt;0),"Y","")</f>
        <v/>
      </c>
      <c r="V819" s="30" t="n"/>
      <c r="W819" t="inlineStr"/>
      <c r="X819" s="28">
        <f>IF(L819+M819=0,"",L819+M819)</f>
        <v/>
      </c>
      <c r="Y819" s="38">
        <f>IF(L819=0,"",M819/L819)</f>
        <v/>
      </c>
      <c r="Z819" t="inlineStr">
        <is>
          <t>Director &amp; Investment Officer</t>
        </is>
      </c>
      <c r="AA819" t="inlineStr">
        <is>
          <t>Investments</t>
        </is>
      </c>
      <c r="AB819" s="50" t="inlineStr"/>
      <c r="AC819" s="43">
        <f>HYPERLINK("https://projects.propublica.org/nonprofits/organizations/741109655/202531329349303233/full","view filing")</f>
        <v/>
      </c>
      <c r="AD819" s="50" t="inlineStr"/>
    </row>
    <row r="820">
      <c r="A820" t="inlineStr">
        <is>
          <t>Museum Of Fine Arts Houston</t>
        </is>
      </c>
      <c r="B820" s="50" t="inlineStr">
        <is>
          <t>TX</t>
        </is>
      </c>
      <c r="C820" s="52" t="n">
        <v>1.87</v>
      </c>
      <c r="D820" t="inlineStr">
        <is>
          <t>Other</t>
        </is>
      </c>
      <c r="E820" s="50" t="n">
        <v>2024</v>
      </c>
      <c r="F820" s="50" t="inlineStr">
        <is>
          <t>2025-05-12</t>
        </is>
      </c>
      <c r="G820" s="50" t="inlineStr">
        <is>
          <t>2024-06-30</t>
        </is>
      </c>
      <c r="H820" t="inlineStr">
        <is>
          <t>Darren A Bartsch</t>
        </is>
      </c>
      <c r="I820" t="inlineStr">
        <is>
          <t>MANAGING INVESTMENT DIRECTOR</t>
        </is>
      </c>
      <c r="J820" t="inlineStr">
        <is>
          <t>Director of Investments</t>
        </is>
      </c>
      <c r="K820" t="inlineStr">
        <is>
          <t>Sr Investment Professional</t>
        </is>
      </c>
      <c r="L820" s="28" t="n">
        <v>392089</v>
      </c>
      <c r="M820" s="28" t="n">
        <v>40000</v>
      </c>
      <c r="N820" s="28" t="n">
        <v>1316</v>
      </c>
      <c r="O820" s="28" t="n">
        <v>16500</v>
      </c>
      <c r="P820" s="28" t="n">
        <v>9103</v>
      </c>
      <c r="Q820" s="28" t="n">
        <v>459008</v>
      </c>
      <c r="R820" s="28" t="n">
        <v>0</v>
      </c>
      <c r="S820" s="28">
        <f>Q820-R820</f>
        <v/>
      </c>
      <c r="T820" s="28">
        <f>IF(S820="","",S820*(1+in_GrowthRate)^(YEARFRAC(DATE(2024,6,30),in_AgeToDate)*IF(in_AgeToDate&lt;DATE(2024,6,30),-1,1)+1))</f>
        <v/>
      </c>
      <c r="U820" s="50">
        <f>IF(AND(AND(OR(in_Mode="All Funds",AND(C820&gt;=in_BandFloor,C820&lt;=in_BandCeiling,OR(in_Geography="National",COUNTIFS(lst_GeoPreset,in_Geography,lst_GeoState,B820)&gt;0,AND(in_Geography="Custom",ISNUMBER(SEARCH(B820,SUBSTITUTE(in_CustomStates," ",""))))),OR(AND(D820="Endowment",Inputs!$B$14="Y"),AND(D820="Foundation",Inputs!$B$15="Y"),AND(D820="Healthcare",Inputs!$B$16="Y"),AND(D820="Pension",Inputs!$B$17="Y"),AND(D820="OCIO",Inputs!$B$18="Y"),AND(D820="Other",Inputs!$B$19="Y")))),A820&lt;&gt;in_ClientOrg,NOT(AND(in_ExclHarvard="Y",ISNUMBER(SEARCH("Harvard",A820))))),$AD820="Y",K820&lt;&gt;"",S820&gt;0),"Y","")</f>
        <v/>
      </c>
      <c r="V820" s="30" t="n"/>
      <c r="W820" t="inlineStr"/>
      <c r="X820" s="28">
        <f>IF(L820+M820=0,"",L820+M820)</f>
        <v/>
      </c>
      <c r="Y820" s="38">
        <f>IF(L820=0,"",M820/L820)</f>
        <v/>
      </c>
      <c r="Z820" t="inlineStr">
        <is>
          <t>Director &amp; Investment Officer</t>
        </is>
      </c>
      <c r="AA820" t="inlineStr">
        <is>
          <t>Investments</t>
        </is>
      </c>
      <c r="AB820" s="50" t="inlineStr"/>
      <c r="AC820" s="43">
        <f>HYPERLINK("https://projects.propublica.org/nonprofits/organizations/741109655/202531329349303233/full","view filing")</f>
        <v/>
      </c>
      <c r="AD820" s="50" t="inlineStr"/>
    </row>
    <row r="821">
      <c r="A821" t="inlineStr">
        <is>
          <t>Museum Of Fine Arts Houston</t>
        </is>
      </c>
      <c r="B821" s="50" t="inlineStr">
        <is>
          <t>TX</t>
        </is>
      </c>
      <c r="C821" s="52" t="n">
        <v>1.87</v>
      </c>
      <c r="D821" t="inlineStr">
        <is>
          <t>Other</t>
        </is>
      </c>
      <c r="E821" s="50" t="n">
        <v>2023</v>
      </c>
      <c r="F821" s="50" t="inlineStr">
        <is>
          <t>2024-05-13</t>
        </is>
      </c>
      <c r="G821" s="50" t="inlineStr">
        <is>
          <t>2023-06-30</t>
        </is>
      </c>
      <c r="H821" t="inlineStr">
        <is>
          <t>Darren A Bartsch</t>
        </is>
      </c>
      <c r="I821" t="inlineStr">
        <is>
          <t>INVESTMENT OFFICER</t>
        </is>
      </c>
      <c r="J821" t="inlineStr">
        <is>
          <t>Investment Officer</t>
        </is>
      </c>
      <c r="K821" t="inlineStr">
        <is>
          <t>Sr Investment Professional</t>
        </is>
      </c>
      <c r="L821" s="28" t="n">
        <v>364685</v>
      </c>
      <c r="M821" s="28" t="n">
        <v>36175</v>
      </c>
      <c r="N821" s="28" t="n">
        <v>1228</v>
      </c>
      <c r="O821" s="28" t="n">
        <v>15250</v>
      </c>
      <c r="P821" s="28" t="n">
        <v>8382</v>
      </c>
      <c r="Q821" s="28" t="n">
        <v>425720</v>
      </c>
      <c r="R821" s="28" t="n">
        <v>0</v>
      </c>
      <c r="S821" s="28">
        <f>Q821-R821</f>
        <v/>
      </c>
      <c r="T821" s="28">
        <f>IF(S821="","",S821*(1+in_GrowthRate)^(YEARFRAC(DATE(2023,6,30),in_AgeToDate)*IF(in_AgeToDate&lt;DATE(2023,6,30),-1,1)+1))</f>
        <v/>
      </c>
      <c r="U821" s="50">
        <f>IF(AND(AND(OR(in_Mode="All Funds",AND(C821&gt;=in_BandFloor,C821&lt;=in_BandCeiling,OR(in_Geography="National",COUNTIFS(lst_GeoPreset,in_Geography,lst_GeoState,B821)&gt;0,AND(in_Geography="Custom",ISNUMBER(SEARCH(B821,SUBSTITUTE(in_CustomStates," ",""))))),OR(AND(D821="Endowment",Inputs!$B$14="Y"),AND(D821="Foundation",Inputs!$B$15="Y"),AND(D821="Healthcare",Inputs!$B$16="Y"),AND(D821="Pension",Inputs!$B$17="Y"),AND(D821="OCIO",Inputs!$B$18="Y"),AND(D821="Other",Inputs!$B$19="Y")))),A821&lt;&gt;in_ClientOrg,NOT(AND(in_ExclHarvard="Y",ISNUMBER(SEARCH("Harvard",A821))))),$AD821="Y",K821&lt;&gt;"",S821&gt;0),"Y","")</f>
        <v/>
      </c>
      <c r="V821" s="30" t="n"/>
      <c r="W821" t="inlineStr"/>
      <c r="X821" s="28">
        <f>IF(L821+M821=0,"",L821+M821)</f>
        <v/>
      </c>
      <c r="Y821" s="38">
        <f>IF(L821=0,"",M821/L821)</f>
        <v/>
      </c>
      <c r="Z821" t="inlineStr">
        <is>
          <t>Director &amp; Investment Officer</t>
        </is>
      </c>
      <c r="AA821" t="inlineStr">
        <is>
          <t>Investments</t>
        </is>
      </c>
      <c r="AB821" s="50" t="inlineStr"/>
      <c r="AC821" s="43">
        <f>HYPERLINK("https://projects.propublica.org/nonprofits/organizations/741109655/202421349349309527/full","view filing")</f>
        <v/>
      </c>
      <c r="AD821" s="50" t="inlineStr"/>
    </row>
    <row r="822">
      <c r="A822" t="inlineStr">
        <is>
          <t>Museum Of Fine Arts Houston</t>
        </is>
      </c>
      <c r="B822" s="50" t="inlineStr">
        <is>
          <t>TX</t>
        </is>
      </c>
      <c r="C822" s="52" t="n">
        <v>1.87</v>
      </c>
      <c r="D822" t="inlineStr">
        <is>
          <t>Other</t>
        </is>
      </c>
      <c r="E822" s="50" t="n">
        <v>2022</v>
      </c>
      <c r="F822" s="50" t="inlineStr">
        <is>
          <t>2023-05-10</t>
        </is>
      </c>
      <c r="G822" s="50" t="inlineStr">
        <is>
          <t>2022-06-30</t>
        </is>
      </c>
      <c r="H822" t="inlineStr">
        <is>
          <t>Darren A Bartsch</t>
        </is>
      </c>
      <c r="I822" t="inlineStr">
        <is>
          <t>INVESTMENT OFFICER</t>
        </is>
      </c>
      <c r="J822" t="inlineStr">
        <is>
          <t>Investment Officer</t>
        </is>
      </c>
      <c r="K822" t="inlineStr">
        <is>
          <t>Sr Investment Professional</t>
        </is>
      </c>
      <c r="L822" s="28" t="n">
        <v>341555</v>
      </c>
      <c r="M822" s="28" t="n">
        <v>34500</v>
      </c>
      <c r="N822" s="28" t="n">
        <v>1144</v>
      </c>
      <c r="O822" s="28" t="n">
        <v>14500</v>
      </c>
      <c r="P822" s="28" t="n">
        <v>7843</v>
      </c>
      <c r="Q822" s="28" t="n">
        <v>399542</v>
      </c>
      <c r="R822" s="28" t="n">
        <v>0</v>
      </c>
      <c r="S822" s="28">
        <f>Q822-R822</f>
        <v/>
      </c>
      <c r="T822" s="28">
        <f>IF(S822="","",S822*(1+in_GrowthRate)^(YEARFRAC(DATE(2022,6,30),in_AgeToDate)*IF(in_AgeToDate&lt;DATE(2022,6,30),-1,1)+1))</f>
        <v/>
      </c>
      <c r="U822" s="50">
        <f>IF(AND(AND(OR(in_Mode="All Funds",AND(C822&gt;=in_BandFloor,C822&lt;=in_BandCeiling,OR(in_Geography="National",COUNTIFS(lst_GeoPreset,in_Geography,lst_GeoState,B822)&gt;0,AND(in_Geography="Custom",ISNUMBER(SEARCH(B822,SUBSTITUTE(in_CustomStates," ",""))))),OR(AND(D822="Endowment",Inputs!$B$14="Y"),AND(D822="Foundation",Inputs!$B$15="Y"),AND(D822="Healthcare",Inputs!$B$16="Y"),AND(D822="Pension",Inputs!$B$17="Y"),AND(D822="OCIO",Inputs!$B$18="Y"),AND(D822="Other",Inputs!$B$19="Y")))),A822&lt;&gt;in_ClientOrg,NOT(AND(in_ExclHarvard="Y",ISNUMBER(SEARCH("Harvard",A822))))),$AD822="Y",K822&lt;&gt;"",S822&gt;0),"Y","")</f>
        <v/>
      </c>
      <c r="V822" s="30" t="n"/>
      <c r="W822" t="inlineStr"/>
      <c r="X822" s="28">
        <f>IF(L822+M822=0,"",L822+M822)</f>
        <v/>
      </c>
      <c r="Y822" s="38">
        <f>IF(L822=0,"",M822/L822)</f>
        <v/>
      </c>
      <c r="Z822" t="inlineStr">
        <is>
          <t>Director &amp; Investment Officer</t>
        </is>
      </c>
      <c r="AA822" t="inlineStr">
        <is>
          <t>Investments</t>
        </is>
      </c>
      <c r="AB822" s="50" t="inlineStr"/>
      <c r="AC822" s="43">
        <f>HYPERLINK("https://projects.propublica.org/nonprofits/organizations/741109655/202341309349304589/full","view filing")</f>
        <v/>
      </c>
      <c r="AD822" s="50" t="inlineStr"/>
    </row>
    <row r="823">
      <c r="A823" t="inlineStr">
        <is>
          <t>Museum Of Modern Art</t>
        </is>
      </c>
      <c r="B823" s="50" t="inlineStr">
        <is>
          <t>NY</t>
        </is>
      </c>
      <c r="C823" s="52" t="n">
        <v>1.95</v>
      </c>
      <c r="D823" t="inlineStr">
        <is>
          <t>Other</t>
        </is>
      </c>
      <c r="E823" s="50" t="n">
        <v>2025</v>
      </c>
      <c r="F823" s="50" t="inlineStr">
        <is>
          <t>2026-05-13</t>
        </is>
      </c>
      <c r="G823" s="50" t="inlineStr">
        <is>
          <t>2025-06-30</t>
        </is>
      </c>
      <c r="H823" t="inlineStr">
        <is>
          <t>Gabriel Morrow</t>
        </is>
      </c>
      <c r="I823" t="inlineStr">
        <is>
          <t>Managing Director, Investments</t>
        </is>
      </c>
      <c r="J823" t="inlineStr">
        <is>
          <t>Managing Director</t>
        </is>
      </c>
      <c r="K823" t="inlineStr">
        <is>
          <t>Sr Investment Professional</t>
        </is>
      </c>
      <c r="L823" s="28" t="n">
        <v>457151</v>
      </c>
      <c r="M823" s="28" t="n">
        <v>548545</v>
      </c>
      <c r="N823" s="28" t="n">
        <v>23630</v>
      </c>
      <c r="O823" s="28" t="n">
        <v>20700</v>
      </c>
      <c r="P823" s="28" t="n">
        <v>31875</v>
      </c>
      <c r="Q823" s="28" t="n">
        <v>1081901</v>
      </c>
      <c r="R823" s="28" t="n">
        <v>50000</v>
      </c>
      <c r="S823" s="28">
        <f>Q823-R823</f>
        <v/>
      </c>
      <c r="T823" s="28">
        <f>IF(S823="","",S823*(1+in_GrowthRate)^(YEARFRAC(DATE(2025,6,30),in_AgeToDate)*IF(in_AgeToDate&lt;DATE(2025,6,30),-1,1)+1))</f>
        <v/>
      </c>
      <c r="U823" s="50">
        <f>IF(AND(AND(OR(in_Mode="All Funds",AND(C823&gt;=in_BandFloor,C823&lt;=in_BandCeiling,OR(in_Geography="National",COUNTIFS(lst_GeoPreset,in_Geography,lst_GeoState,B823)&gt;0,AND(in_Geography="Custom",ISNUMBER(SEARCH(B823,SUBSTITUTE(in_CustomStates," ",""))))),OR(AND(D823="Endowment",Inputs!$B$14="Y"),AND(D823="Foundation",Inputs!$B$15="Y"),AND(D823="Healthcare",Inputs!$B$16="Y"),AND(D823="Pension",Inputs!$B$17="Y"),AND(D823="OCIO",Inputs!$B$18="Y"),AND(D823="Other",Inputs!$B$19="Y")))),A823&lt;&gt;in_ClientOrg,NOT(AND(in_ExclHarvard="Y",ISNUMBER(SEARCH("Harvard",A823))))),$AD823="Y",K823&lt;&gt;"",S823&gt;0),"Y","")</f>
        <v/>
      </c>
      <c r="V823" s="30" t="n">
        <v>0.6088791595245331</v>
      </c>
      <c r="W823" t="inlineStr"/>
      <c r="X823" s="28">
        <f>IF(L823+M823=0,"",L823+M823)</f>
        <v/>
      </c>
      <c r="Y823" s="38">
        <f>IF(L823=0,"",M823/L823)</f>
        <v/>
      </c>
      <c r="Z823" t="inlineStr">
        <is>
          <t>Managing Director</t>
        </is>
      </c>
      <c r="AA823" t="inlineStr">
        <is>
          <t>Investments</t>
        </is>
      </c>
      <c r="AB823" s="50" t="inlineStr"/>
      <c r="AC823" s="43">
        <f>HYPERLINK("https://projects.propublica.org/nonprofits/organizations/131624100/202631339349300538/full","view filing")</f>
        <v/>
      </c>
      <c r="AD823" s="50" t="inlineStr">
        <is>
          <t>Y</t>
        </is>
      </c>
    </row>
    <row r="824">
      <c r="A824" t="inlineStr">
        <is>
          <t>Museum Of Modern Art</t>
        </is>
      </c>
      <c r="B824" s="50" t="inlineStr">
        <is>
          <t>NY</t>
        </is>
      </c>
      <c r="C824" s="52" t="n">
        <v>1.95</v>
      </c>
      <c r="D824" t="inlineStr">
        <is>
          <t>Other</t>
        </is>
      </c>
      <c r="E824" s="50" t="n">
        <v>2025</v>
      </c>
      <c r="F824" s="50" t="inlineStr">
        <is>
          <t>2026-05-13</t>
        </is>
      </c>
      <c r="G824" s="50" t="inlineStr">
        <is>
          <t>2025-06-30</t>
        </is>
      </c>
      <c r="H824" t="inlineStr">
        <is>
          <t>Lou-Alan Fernandes</t>
        </is>
      </c>
      <c r="I824" t="inlineStr">
        <is>
          <t>Chief Investment Officer</t>
        </is>
      </c>
      <c r="J824" t="inlineStr">
        <is>
          <t>CIO</t>
        </is>
      </c>
      <c r="K824" t="inlineStr">
        <is>
          <t>CIO - Top Investment Executive</t>
        </is>
      </c>
      <c r="L824" s="28" t="n">
        <v>1021719</v>
      </c>
      <c r="M824" s="28" t="n">
        <v>600000</v>
      </c>
      <c r="N824" s="28" t="n">
        <v>630</v>
      </c>
      <c r="O824" s="28" t="n">
        <v>20700</v>
      </c>
      <c r="P824" s="28" t="n">
        <v>51706</v>
      </c>
      <c r="Q824" s="28" t="n">
        <v>1694755</v>
      </c>
      <c r="R824" s="28" t="n">
        <v>0</v>
      </c>
      <c r="S824" s="28">
        <f>Q824-R824</f>
        <v/>
      </c>
      <c r="T824" s="28">
        <f>IF(S824="","",S824*(1+in_GrowthRate)^(YEARFRAC(DATE(2025,6,30),in_AgeToDate)*IF(in_AgeToDate&lt;DATE(2025,6,30),-1,1)+1))</f>
        <v/>
      </c>
      <c r="U824" s="50">
        <f>IF(AND(AND(OR(in_Mode="All Funds",AND(C824&gt;=in_BandFloor,C824&lt;=in_BandCeiling,OR(in_Geography="National",COUNTIFS(lst_GeoPreset,in_Geography,lst_GeoState,B824)&gt;0,AND(in_Geography="Custom",ISNUMBER(SEARCH(B824,SUBSTITUTE(in_CustomStates," ",""))))),OR(AND(D824="Endowment",Inputs!$B$14="Y"),AND(D824="Foundation",Inputs!$B$15="Y"),AND(D824="Healthcare",Inputs!$B$16="Y"),AND(D824="Pension",Inputs!$B$17="Y"),AND(D824="OCIO",Inputs!$B$18="Y"),AND(D824="Other",Inputs!$B$19="Y")))),A824&lt;&gt;in_ClientOrg,NOT(AND(in_ExclHarvard="Y",ISNUMBER(SEARCH("Harvard",A824))))),$AD824="Y",K824&lt;&gt;"",S824&gt;0),"Y","")</f>
        <v/>
      </c>
      <c r="V824" s="30" t="n">
        <v>1</v>
      </c>
      <c r="W824" t="inlineStr"/>
      <c r="X824" s="28">
        <f>IF(L824+M824=0,"",L824+M824)</f>
        <v/>
      </c>
      <c r="Y824" s="38">
        <f>IF(L824=0,"",M824/L824)</f>
        <v/>
      </c>
      <c r="Z824" t="inlineStr">
        <is>
          <t>CIO - Top Investment Executive</t>
        </is>
      </c>
      <c r="AA824" t="inlineStr">
        <is>
          <t>Leadership</t>
        </is>
      </c>
      <c r="AB824" s="50" t="inlineStr">
        <is>
          <t>Y</t>
        </is>
      </c>
      <c r="AC824" s="43">
        <f>HYPERLINK("https://projects.propublica.org/nonprofits/organizations/131624100/202631339349300538/full","view filing")</f>
        <v/>
      </c>
      <c r="AD824" s="50" t="inlineStr">
        <is>
          <t>Y</t>
        </is>
      </c>
    </row>
    <row r="825">
      <c r="A825" t="inlineStr">
        <is>
          <t>Museum Of Modern Art</t>
        </is>
      </c>
      <c r="B825" s="50" t="inlineStr">
        <is>
          <t>NY</t>
        </is>
      </c>
      <c r="C825" s="52" t="n">
        <v>1.95</v>
      </c>
      <c r="D825" t="inlineStr">
        <is>
          <t>Other</t>
        </is>
      </c>
      <c r="E825" s="50" t="n">
        <v>2024</v>
      </c>
      <c r="F825" s="50" t="inlineStr">
        <is>
          <t>2025-05-14</t>
        </is>
      </c>
      <c r="G825" s="50" t="inlineStr">
        <is>
          <t>2024-06-30</t>
        </is>
      </c>
      <c r="H825" t="inlineStr">
        <is>
          <t>Gabriel Morrow</t>
        </is>
      </c>
      <c r="I825" t="inlineStr">
        <is>
          <t>Managing Director, Investments</t>
        </is>
      </c>
      <c r="J825" t="inlineStr">
        <is>
          <t>Managing Director</t>
        </is>
      </c>
      <c r="K825" t="inlineStr">
        <is>
          <t>Sr Investment Professional</t>
        </is>
      </c>
      <c r="L825" s="28" t="n">
        <v>436007</v>
      </c>
      <c r="M825" s="28" t="n">
        <v>175000</v>
      </c>
      <c r="N825" s="28" t="n">
        <v>23130</v>
      </c>
      <c r="O825" s="28" t="n">
        <v>69800</v>
      </c>
      <c r="P825" s="28" t="n">
        <v>28987</v>
      </c>
      <c r="Q825" s="28" t="n">
        <v>732924</v>
      </c>
      <c r="R825" s="28" t="n">
        <v>50000</v>
      </c>
      <c r="S825" s="28">
        <f>Q825-R825</f>
        <v/>
      </c>
      <c r="T825" s="28">
        <f>IF(S825="","",S825*(1+in_GrowthRate)^(YEARFRAC(DATE(2024,6,30),in_AgeToDate)*IF(in_AgeToDate&lt;DATE(2024,6,30),-1,1)+1))</f>
        <v/>
      </c>
      <c r="U825" s="50">
        <f>IF(AND(AND(OR(in_Mode="All Funds",AND(C825&gt;=in_BandFloor,C825&lt;=in_BandCeiling,OR(in_Geography="National",COUNTIFS(lst_GeoPreset,in_Geography,lst_GeoState,B825)&gt;0,AND(in_Geography="Custom",ISNUMBER(SEARCH(B825,SUBSTITUTE(in_CustomStates," ",""))))),OR(AND(D825="Endowment",Inputs!$B$14="Y"),AND(D825="Foundation",Inputs!$B$15="Y"),AND(D825="Healthcare",Inputs!$B$16="Y"),AND(D825="Pension",Inputs!$B$17="Y"),AND(D825="OCIO",Inputs!$B$18="Y"),AND(D825="Other",Inputs!$B$19="Y")))),A825&lt;&gt;in_ClientOrg,NOT(AND(in_ExclHarvard="Y",ISNUMBER(SEARCH("Harvard",A825))))),$AD825="Y",K825&lt;&gt;"",S825&gt;0),"Y","")</f>
        <v/>
      </c>
      <c r="V825" s="30" t="n">
        <v>0.4446678521454844</v>
      </c>
      <c r="W825" t="inlineStr"/>
      <c r="X825" s="28">
        <f>IF(L825+M825=0,"",L825+M825)</f>
        <v/>
      </c>
      <c r="Y825" s="38">
        <f>IF(L825=0,"",M825/L825)</f>
        <v/>
      </c>
      <c r="Z825" t="inlineStr">
        <is>
          <t>Managing Director</t>
        </is>
      </c>
      <c r="AA825" t="inlineStr">
        <is>
          <t>Investments</t>
        </is>
      </c>
      <c r="AB825" s="50" t="inlineStr"/>
      <c r="AC825" s="43">
        <f>HYPERLINK("https://projects.propublica.org/nonprofits/organizations/131624100/202521349349310217/full","view filing")</f>
        <v/>
      </c>
      <c r="AD825" s="50" t="inlineStr"/>
    </row>
    <row r="826">
      <c r="A826" t="inlineStr">
        <is>
          <t>Museum Of Modern Art</t>
        </is>
      </c>
      <c r="B826" s="50" t="inlineStr">
        <is>
          <t>NY</t>
        </is>
      </c>
      <c r="C826" s="52" t="n">
        <v>1.95</v>
      </c>
      <c r="D826" t="inlineStr">
        <is>
          <t>Other</t>
        </is>
      </c>
      <c r="E826" s="50" t="n">
        <v>2024</v>
      </c>
      <c r="F826" s="50" t="inlineStr">
        <is>
          <t>2025-05-14</t>
        </is>
      </c>
      <c r="G826" s="50" t="inlineStr">
        <is>
          <t>2024-06-30</t>
        </is>
      </c>
      <c r="H826" t="inlineStr">
        <is>
          <t>Lou-Alan Fernandes</t>
        </is>
      </c>
      <c r="I826" t="inlineStr">
        <is>
          <t>Chief Investment Officer (Beg 01/23)</t>
        </is>
      </c>
      <c r="J826" t="inlineStr">
        <is>
          <t>CIO</t>
        </is>
      </c>
      <c r="K826" t="inlineStr">
        <is>
          <t>CIO - Top Investment Executive</t>
        </is>
      </c>
      <c r="L826" s="28" t="n">
        <v>990326</v>
      </c>
      <c r="M826" s="28" t="n">
        <v>500000</v>
      </c>
      <c r="N826" s="28" t="n">
        <v>581</v>
      </c>
      <c r="O826" s="28" t="n">
        <v>0</v>
      </c>
      <c r="P826" s="28" t="n">
        <v>44900</v>
      </c>
      <c r="Q826" s="28" t="n">
        <v>1535807</v>
      </c>
      <c r="R826" s="28" t="n">
        <v>0</v>
      </c>
      <c r="S826" s="28">
        <f>Q826-R826</f>
        <v/>
      </c>
      <c r="T826" s="28">
        <f>IF(S826="","",S826*(1+in_GrowthRate)^(YEARFRAC(DATE(2024,6,30),in_AgeToDate)*IF(in_AgeToDate&lt;DATE(2024,6,30),-1,1)+1))</f>
        <v/>
      </c>
      <c r="U826" s="50">
        <f>IF(AND(AND(OR(in_Mode="All Funds",AND(C826&gt;=in_BandFloor,C826&lt;=in_BandCeiling,OR(in_Geography="National",COUNTIFS(lst_GeoPreset,in_Geography,lst_GeoState,B826)&gt;0,AND(in_Geography="Custom",ISNUMBER(SEARCH(B826,SUBSTITUTE(in_CustomStates," ",""))))),OR(AND(D826="Endowment",Inputs!$B$14="Y"),AND(D826="Foundation",Inputs!$B$15="Y"),AND(D826="Healthcare",Inputs!$B$16="Y"),AND(D826="Pension",Inputs!$B$17="Y"),AND(D826="OCIO",Inputs!$B$18="Y"),AND(D826="Other",Inputs!$B$19="Y")))),A826&lt;&gt;in_ClientOrg,NOT(AND(in_ExclHarvard="Y",ISNUMBER(SEARCH("Harvard",A826))))),$AD826="Y",K826&lt;&gt;"",S826&gt;0),"Y","")</f>
        <v/>
      </c>
      <c r="V826" s="30" t="n">
        <v>1</v>
      </c>
      <c r="W826" t="inlineStr"/>
      <c r="X826" s="28">
        <f>IF(L826+M826=0,"",L826+M826)</f>
        <v/>
      </c>
      <c r="Y826" s="38">
        <f>IF(L826=0,"",M826/L826)</f>
        <v/>
      </c>
      <c r="Z826" t="inlineStr">
        <is>
          <t>CIO - Top Investment Executive</t>
        </is>
      </c>
      <c r="AA826" t="inlineStr">
        <is>
          <t>Leadership</t>
        </is>
      </c>
      <c r="AB826" s="50" t="inlineStr">
        <is>
          <t>Y</t>
        </is>
      </c>
      <c r="AC826" s="43">
        <f>HYPERLINK("https://projects.propublica.org/nonprofits/organizations/131624100/202521349349310217/full","view filing")</f>
        <v/>
      </c>
      <c r="AD826" s="50" t="inlineStr"/>
    </row>
    <row r="827">
      <c r="A827" t="inlineStr">
        <is>
          <t>Museum Of Modern Art</t>
        </is>
      </c>
      <c r="B827" s="50" t="inlineStr">
        <is>
          <t>NY</t>
        </is>
      </c>
      <c r="C827" s="52" t="n">
        <v>1.95</v>
      </c>
      <c r="D827" t="inlineStr">
        <is>
          <t>Other</t>
        </is>
      </c>
      <c r="E827" s="50" t="n">
        <v>2023</v>
      </c>
      <c r="F827" s="50" t="inlineStr">
        <is>
          <t>2024-05-14</t>
        </is>
      </c>
      <c r="G827" s="50" t="inlineStr">
        <is>
          <t>2023-06-30</t>
        </is>
      </c>
      <c r="H827" t="inlineStr">
        <is>
          <t>Gabriel Morrow</t>
        </is>
      </c>
      <c r="I827" t="inlineStr">
        <is>
          <t>Director, Investments</t>
        </is>
      </c>
      <c r="J827" t="inlineStr">
        <is>
          <t>Director of Investments</t>
        </is>
      </c>
      <c r="K827" t="inlineStr">
        <is>
          <t>Sr Investment Professional</t>
        </is>
      </c>
      <c r="L827" s="28" t="n">
        <v>425905</v>
      </c>
      <c r="M827" s="28" t="n">
        <v>112250</v>
      </c>
      <c r="N827" s="28" t="n">
        <v>21088</v>
      </c>
      <c r="O827" s="28" t="n">
        <v>68300</v>
      </c>
      <c r="P827" s="28" t="n">
        <v>27266</v>
      </c>
      <c r="Q827" s="28" t="n">
        <v>654809</v>
      </c>
      <c r="R827" s="28" t="n">
        <v>0</v>
      </c>
      <c r="S827" s="28">
        <f>Q827-R827</f>
        <v/>
      </c>
      <c r="T827" s="28">
        <f>IF(S827="","",S827*(1+in_GrowthRate)^(YEARFRAC(DATE(2023,6,30),in_AgeToDate)*IF(in_AgeToDate&lt;DATE(2023,6,30),-1,1)+1))</f>
        <v/>
      </c>
      <c r="U827" s="50">
        <f>IF(AND(AND(OR(in_Mode="All Funds",AND(C827&gt;=in_BandFloor,C827&lt;=in_BandCeiling,OR(in_Geography="National",COUNTIFS(lst_GeoPreset,in_Geography,lst_GeoState,B827)&gt;0,AND(in_Geography="Custom",ISNUMBER(SEARCH(B827,SUBSTITUTE(in_CustomStates," ",""))))),OR(AND(D827="Endowment",Inputs!$B$14="Y"),AND(D827="Foundation",Inputs!$B$15="Y"),AND(D827="Healthcare",Inputs!$B$16="Y"),AND(D827="Pension",Inputs!$B$17="Y"),AND(D827="OCIO",Inputs!$B$18="Y"),AND(D827="Other",Inputs!$B$19="Y")))),A827&lt;&gt;in_ClientOrg,NOT(AND(in_ExclHarvard="Y",ISNUMBER(SEARCH("Harvard",A827))))),$AD827="Y",K827&lt;&gt;"",S827&gt;0),"Y","")</f>
        <v/>
      </c>
      <c r="V827" s="30" t="n"/>
      <c r="W827" t="inlineStr"/>
      <c r="X827" s="28">
        <f>IF(L827+M827=0,"",L827+M827)</f>
        <v/>
      </c>
      <c r="Y827" s="38">
        <f>IF(L827=0,"",M827/L827)</f>
        <v/>
      </c>
      <c r="Z827" t="inlineStr">
        <is>
          <t>Director &amp; Investment Officer</t>
        </is>
      </c>
      <c r="AA827" t="inlineStr">
        <is>
          <t>Investments</t>
        </is>
      </c>
      <c r="AB827" s="50" t="inlineStr"/>
      <c r="AC827" s="43">
        <f>HYPERLINK("https://projects.propublica.org/nonprofits/organizations/131624100/202411359349308746/full","view filing")</f>
        <v/>
      </c>
      <c r="AD827" s="50" t="inlineStr"/>
    </row>
    <row r="828">
      <c r="A828" t="inlineStr">
        <is>
          <t>Museum Of Modern Art</t>
        </is>
      </c>
      <c r="B828" s="50" t="inlineStr">
        <is>
          <t>NY</t>
        </is>
      </c>
      <c r="C828" s="52" t="n">
        <v>1.95</v>
      </c>
      <c r="D828" t="inlineStr">
        <is>
          <t>Other</t>
        </is>
      </c>
      <c r="E828" s="50" t="n">
        <v>2022</v>
      </c>
      <c r="F828" s="50" t="inlineStr">
        <is>
          <t>2023-05-15</t>
        </is>
      </c>
      <c r="G828" s="50" t="inlineStr">
        <is>
          <t>2022-06-30</t>
        </is>
      </c>
      <c r="H828" t="inlineStr">
        <is>
          <t>Anthony Wai</t>
        </is>
      </c>
      <c r="I828" t="inlineStr">
        <is>
          <t>Chief Investment Officer</t>
        </is>
      </c>
      <c r="J828" t="inlineStr">
        <is>
          <t>CIO</t>
        </is>
      </c>
      <c r="K828" t="inlineStr">
        <is>
          <t>CIO - Top Investment Executive</t>
        </is>
      </c>
      <c r="L828" s="28" t="n">
        <v>600446</v>
      </c>
      <c r="M828" s="28" t="n">
        <v>297925</v>
      </c>
      <c r="N828" s="28" t="n">
        <v>7130</v>
      </c>
      <c r="O828" s="28" t="n">
        <v>82000</v>
      </c>
      <c r="P828" s="28" t="n">
        <v>38237</v>
      </c>
      <c r="Q828" s="28" t="n">
        <v>1025738</v>
      </c>
      <c r="R828" s="28" t="n">
        <v>0</v>
      </c>
      <c r="S828" s="28">
        <f>Q828-R828</f>
        <v/>
      </c>
      <c r="T828" s="28">
        <f>IF(S828="","",S828*(1+in_GrowthRate)^(YEARFRAC(DATE(2022,6,30),in_AgeToDate)*IF(in_AgeToDate&lt;DATE(2022,6,30),-1,1)+1))</f>
        <v/>
      </c>
      <c r="U828" s="50">
        <f>IF(AND(AND(OR(in_Mode="All Funds",AND(C828&gt;=in_BandFloor,C828&lt;=in_BandCeiling,OR(in_Geography="National",COUNTIFS(lst_GeoPreset,in_Geography,lst_GeoState,B828)&gt;0,AND(in_Geography="Custom",ISNUMBER(SEARCH(B828,SUBSTITUTE(in_CustomStates," ",""))))),OR(AND(D828="Endowment",Inputs!$B$14="Y"),AND(D828="Foundation",Inputs!$B$15="Y"),AND(D828="Healthcare",Inputs!$B$16="Y"),AND(D828="Pension",Inputs!$B$17="Y"),AND(D828="OCIO",Inputs!$B$18="Y"),AND(D828="Other",Inputs!$B$19="Y")))),A828&lt;&gt;in_ClientOrg,NOT(AND(in_ExclHarvard="Y",ISNUMBER(SEARCH("Harvard",A828))))),$AD828="Y",K828&lt;&gt;"",S828&gt;0),"Y","")</f>
        <v/>
      </c>
      <c r="V828" s="30" t="n">
        <v>1</v>
      </c>
      <c r="W828" t="inlineStr"/>
      <c r="X828" s="28">
        <f>IF(L828+M828=0,"",L828+M828)</f>
        <v/>
      </c>
      <c r="Y828" s="38">
        <f>IF(L828=0,"",M828/L828)</f>
        <v/>
      </c>
      <c r="Z828" t="inlineStr">
        <is>
          <t>CIO - Top Investment Executive</t>
        </is>
      </c>
      <c r="AA828" t="inlineStr">
        <is>
          <t>Leadership</t>
        </is>
      </c>
      <c r="AB828" s="50" t="inlineStr">
        <is>
          <t>Y</t>
        </is>
      </c>
      <c r="AC828" s="43">
        <f>HYPERLINK("https://projects.propublica.org/nonprofits/organizations/131624100/202341359349302904/full","view filing")</f>
        <v/>
      </c>
      <c r="AD828" s="50" t="inlineStr"/>
    </row>
    <row r="829">
      <c r="A829" t="inlineStr">
        <is>
          <t>Museum Of Modern Art</t>
        </is>
      </c>
      <c r="B829" s="50" t="inlineStr">
        <is>
          <t>NY</t>
        </is>
      </c>
      <c r="C829" s="52" t="n">
        <v>1.95</v>
      </c>
      <c r="D829" t="inlineStr">
        <is>
          <t>Other</t>
        </is>
      </c>
      <c r="E829" s="50" t="n">
        <v>2022</v>
      </c>
      <c r="F829" s="50" t="inlineStr">
        <is>
          <t>2023-05-15</t>
        </is>
      </c>
      <c r="G829" s="50" t="inlineStr">
        <is>
          <t>2022-06-30</t>
        </is>
      </c>
      <c r="H829" t="inlineStr">
        <is>
          <t>Gabriel Morrow</t>
        </is>
      </c>
      <c r="I829" t="inlineStr">
        <is>
          <t>Director, Investments</t>
        </is>
      </c>
      <c r="J829" t="inlineStr">
        <is>
          <t>Director of Investments</t>
        </is>
      </c>
      <c r="K829" t="inlineStr">
        <is>
          <t>Sr Investment Professional</t>
        </is>
      </c>
      <c r="L829" s="28" t="n">
        <v>295902</v>
      </c>
      <c r="M829" s="28" t="n">
        <v>309504</v>
      </c>
      <c r="N829" s="28" t="n">
        <v>19819</v>
      </c>
      <c r="O829" s="28" t="n">
        <v>17400</v>
      </c>
      <c r="P829" s="28" t="n">
        <v>27793</v>
      </c>
      <c r="Q829" s="28" t="n">
        <v>670418</v>
      </c>
      <c r="R829" s="28" t="n">
        <v>0</v>
      </c>
      <c r="S829" s="28">
        <f>Q829-R829</f>
        <v/>
      </c>
      <c r="T829" s="28">
        <f>IF(S829="","",S829*(1+in_GrowthRate)^(YEARFRAC(DATE(2022,6,30),in_AgeToDate)*IF(in_AgeToDate&lt;DATE(2022,6,30),-1,1)+1))</f>
        <v/>
      </c>
      <c r="U829" s="50">
        <f>IF(AND(AND(OR(in_Mode="All Funds",AND(C829&gt;=in_BandFloor,C829&lt;=in_BandCeiling,OR(in_Geography="National",COUNTIFS(lst_GeoPreset,in_Geography,lst_GeoState,B829)&gt;0,AND(in_Geography="Custom",ISNUMBER(SEARCH(B829,SUBSTITUTE(in_CustomStates," ",""))))),OR(AND(D829="Endowment",Inputs!$B$14="Y"),AND(D829="Foundation",Inputs!$B$15="Y"),AND(D829="Healthcare",Inputs!$B$16="Y"),AND(D829="Pension",Inputs!$B$17="Y"),AND(D829="OCIO",Inputs!$B$18="Y"),AND(D829="Other",Inputs!$B$19="Y")))),A829&lt;&gt;in_ClientOrg,NOT(AND(in_ExclHarvard="Y",ISNUMBER(SEARCH("Harvard",A829))))),$AD829="Y",K829&lt;&gt;"",S829&gt;0),"Y","")</f>
        <v/>
      </c>
      <c r="V829" s="30" t="n">
        <v>0.6535957525215991</v>
      </c>
      <c r="W829" t="inlineStr"/>
      <c r="X829" s="28">
        <f>IF(L829+M829=0,"",L829+M829)</f>
        <v/>
      </c>
      <c r="Y829" s="38">
        <f>IF(L829=0,"",M829/L829)</f>
        <v/>
      </c>
      <c r="Z829" t="inlineStr">
        <is>
          <t>Director &amp; Investment Officer</t>
        </is>
      </c>
      <c r="AA829" t="inlineStr">
        <is>
          <t>Investments</t>
        </is>
      </c>
      <c r="AB829" s="50" t="inlineStr"/>
      <c r="AC829" s="43">
        <f>HYPERLINK("https://projects.propublica.org/nonprofits/organizations/131624100/202341359349302904/full","view filing")</f>
        <v/>
      </c>
      <c r="AD829" s="50" t="inlineStr"/>
    </row>
    <row r="830">
      <c r="A830" t="inlineStr">
        <is>
          <t>National Christian Charitable Foundation</t>
        </is>
      </c>
      <c r="B830" s="50" t="inlineStr">
        <is>
          <t>GA</t>
        </is>
      </c>
      <c r="C830" s="52" t="n">
        <v>5.9</v>
      </c>
      <c r="D830" t="inlineStr">
        <is>
          <t>Foundation</t>
        </is>
      </c>
      <c r="E830" s="50" t="n">
        <v>2024</v>
      </c>
      <c r="F830" s="50" t="inlineStr">
        <is>
          <t>2025-11-07</t>
        </is>
      </c>
      <c r="G830" s="50" t="inlineStr">
        <is>
          <t>2024-12-31</t>
        </is>
      </c>
      <c r="H830" t="inlineStr">
        <is>
          <t>Lisa Mcvey</t>
        </is>
      </c>
      <c r="I830" t="inlineStr">
        <is>
          <t>CIO</t>
        </is>
      </c>
      <c r="J830" t="inlineStr">
        <is>
          <t>CIO</t>
        </is>
      </c>
      <c r="K830" t="inlineStr">
        <is>
          <t>CIO - Top Investment Executive</t>
        </is>
      </c>
      <c r="L830" s="28" t="n">
        <v>243951</v>
      </c>
      <c r="M830" s="28" t="n">
        <v>20000</v>
      </c>
      <c r="N830" s="28" t="n">
        <v>0</v>
      </c>
      <c r="O830" s="28" t="n">
        <v>0</v>
      </c>
      <c r="P830" s="28" t="n">
        <v>24842</v>
      </c>
      <c r="Q830" s="28" t="n">
        <v>288793</v>
      </c>
      <c r="R830" s="28" t="n">
        <v>0</v>
      </c>
      <c r="S830" s="28">
        <f>Q830-R830</f>
        <v/>
      </c>
      <c r="T830" s="28">
        <f>IF(S830="","",S830*(1+in_GrowthRate)^(YEARFRAC(DATE(2024,12,31),in_AgeToDate)*IF(in_AgeToDate&lt;DATE(2024,12,31),-1,1)+1))</f>
        <v/>
      </c>
      <c r="U830" s="50">
        <f>IF(AND(AND(OR(in_Mode="All Funds",AND(C830&gt;=in_BandFloor,C830&lt;=in_BandCeiling,OR(in_Geography="National",COUNTIFS(lst_GeoPreset,in_Geography,lst_GeoState,B830)&gt;0,AND(in_Geography="Custom",ISNUMBER(SEARCH(B830,SUBSTITUTE(in_CustomStates," ",""))))),OR(AND(D830="Endowment",Inputs!$B$14="Y"),AND(D830="Foundation",Inputs!$B$15="Y"),AND(D830="Healthcare",Inputs!$B$16="Y"),AND(D830="Pension",Inputs!$B$17="Y"),AND(D830="OCIO",Inputs!$B$18="Y"),AND(D830="Other",Inputs!$B$19="Y")))),A830&lt;&gt;in_ClientOrg,NOT(AND(in_ExclHarvard="Y",ISNUMBER(SEARCH("Harvard",A830))))),$AD830="Y",K830&lt;&gt;"",S830&gt;0),"Y","")</f>
        <v/>
      </c>
      <c r="V830" s="30" t="n">
        <v>1</v>
      </c>
      <c r="W830" t="inlineStr"/>
      <c r="X830" s="28">
        <f>IF(L830+M830=0,"",L830+M830)</f>
        <v/>
      </c>
      <c r="Y830" s="38">
        <f>IF(L830=0,"",M830/L830)</f>
        <v/>
      </c>
      <c r="Z830" t="inlineStr">
        <is>
          <t>CIO - Top Investment Executive</t>
        </is>
      </c>
      <c r="AA830" t="inlineStr">
        <is>
          <t>Leadership</t>
        </is>
      </c>
      <c r="AB830" s="50" t="inlineStr">
        <is>
          <t>Y</t>
        </is>
      </c>
      <c r="AC830" s="43">
        <f>HYPERLINK("https://projects.propublica.org/nonprofits/organizations/581493949/202513109349303201/full","view filing")</f>
        <v/>
      </c>
      <c r="AD830" s="50" t="inlineStr">
        <is>
          <t>Y</t>
        </is>
      </c>
    </row>
    <row r="831">
      <c r="A831" t="inlineStr">
        <is>
          <t>National Christian Charitable Foundation</t>
        </is>
      </c>
      <c r="B831" s="50" t="inlineStr">
        <is>
          <t>GA</t>
        </is>
      </c>
      <c r="C831" s="52" t="n">
        <v>5.9</v>
      </c>
      <c r="D831" t="inlineStr">
        <is>
          <t>Foundation</t>
        </is>
      </c>
      <c r="E831" s="50" t="n">
        <v>2023</v>
      </c>
      <c r="F831" s="50" t="inlineStr">
        <is>
          <t>2024-11-11</t>
        </is>
      </c>
      <c r="G831" s="50" t="inlineStr">
        <is>
          <t>2023-12-31</t>
        </is>
      </c>
      <c r="H831" t="inlineStr">
        <is>
          <t>Lisa Mcvey</t>
        </is>
      </c>
      <c r="I831" t="inlineStr">
        <is>
          <t>CIO</t>
        </is>
      </c>
      <c r="J831" t="inlineStr">
        <is>
          <t>CIO</t>
        </is>
      </c>
      <c r="K831" t="inlineStr">
        <is>
          <t>CIO - Top Investment Executive</t>
        </is>
      </c>
      <c r="L831" s="28" t="n">
        <v>232724</v>
      </c>
      <c r="M831" s="28" t="n">
        <v>20300</v>
      </c>
      <c r="N831" s="28" t="n">
        <v>0</v>
      </c>
      <c r="O831" s="28" t="n">
        <v>0</v>
      </c>
      <c r="P831" s="28" t="n">
        <v>23920</v>
      </c>
      <c r="Q831" s="28" t="n">
        <v>276944</v>
      </c>
      <c r="R831" s="28" t="n">
        <v>0</v>
      </c>
      <c r="S831" s="28">
        <f>Q831-R831</f>
        <v/>
      </c>
      <c r="T831" s="28">
        <f>IF(S831="","",S831*(1+in_GrowthRate)^(YEARFRAC(DATE(2023,12,31),in_AgeToDate)*IF(in_AgeToDate&lt;DATE(2023,12,31),-1,1)+1))</f>
        <v/>
      </c>
      <c r="U831" s="50">
        <f>IF(AND(AND(OR(in_Mode="All Funds",AND(C831&gt;=in_BandFloor,C831&lt;=in_BandCeiling,OR(in_Geography="National",COUNTIFS(lst_GeoPreset,in_Geography,lst_GeoState,B831)&gt;0,AND(in_Geography="Custom",ISNUMBER(SEARCH(B831,SUBSTITUTE(in_CustomStates," ",""))))),OR(AND(D831="Endowment",Inputs!$B$14="Y"),AND(D831="Foundation",Inputs!$B$15="Y"),AND(D831="Healthcare",Inputs!$B$16="Y"),AND(D831="Pension",Inputs!$B$17="Y"),AND(D831="OCIO",Inputs!$B$18="Y"),AND(D831="Other",Inputs!$B$19="Y")))),A831&lt;&gt;in_ClientOrg,NOT(AND(in_ExclHarvard="Y",ISNUMBER(SEARCH("Harvard",A831))))),$AD831="Y",K831&lt;&gt;"",S831&gt;0),"Y","")</f>
        <v/>
      </c>
      <c r="V831" s="30" t="n">
        <v>1</v>
      </c>
      <c r="W831" t="inlineStr"/>
      <c r="X831" s="28">
        <f>IF(L831+M831=0,"",L831+M831)</f>
        <v/>
      </c>
      <c r="Y831" s="38">
        <f>IF(L831=0,"",M831/L831)</f>
        <v/>
      </c>
      <c r="Z831" t="inlineStr">
        <is>
          <t>CIO - Top Investment Executive</t>
        </is>
      </c>
      <c r="AA831" t="inlineStr">
        <is>
          <t>Leadership</t>
        </is>
      </c>
      <c r="AB831" s="50" t="inlineStr">
        <is>
          <t>Y</t>
        </is>
      </c>
      <c r="AC831" s="43">
        <f>HYPERLINK("https://projects.propublica.org/nonprofits/organizations/581493949/202443169349306424/full","view filing")</f>
        <v/>
      </c>
      <c r="AD831" s="50" t="inlineStr"/>
    </row>
    <row r="832">
      <c r="A832" t="inlineStr">
        <is>
          <t>National Christian Charitable Foundation</t>
        </is>
      </c>
      <c r="B832" s="50" t="inlineStr">
        <is>
          <t>GA</t>
        </is>
      </c>
      <c r="C832" s="52" t="n">
        <v>5.9</v>
      </c>
      <c r="D832" t="inlineStr">
        <is>
          <t>Foundation</t>
        </is>
      </c>
      <c r="E832" s="50" t="n">
        <v>2022</v>
      </c>
      <c r="F832" s="50" t="inlineStr">
        <is>
          <t>2023-11-13</t>
        </is>
      </c>
      <c r="G832" s="50" t="inlineStr">
        <is>
          <t>2022-12-31</t>
        </is>
      </c>
      <c r="H832" t="inlineStr">
        <is>
          <t>Lisa Mcvey</t>
        </is>
      </c>
      <c r="I832" t="inlineStr">
        <is>
          <t>CIO</t>
        </is>
      </c>
      <c r="J832" t="inlineStr">
        <is>
          <t>CIO</t>
        </is>
      </c>
      <c r="K832" t="inlineStr">
        <is>
          <t>CIO - Top Investment Executive</t>
        </is>
      </c>
      <c r="L832" s="28" t="n">
        <v>221866</v>
      </c>
      <c r="M832" s="28" t="n">
        <v>15000</v>
      </c>
      <c r="N832" s="28" t="n">
        <v>0</v>
      </c>
      <c r="O832" s="28" t="n">
        <v>0</v>
      </c>
      <c r="P832" s="28" t="n">
        <v>22845</v>
      </c>
      <c r="Q832" s="28" t="n">
        <v>259711</v>
      </c>
      <c r="R832" s="28" t="n">
        <v>0</v>
      </c>
      <c r="S832" s="28">
        <f>Q832-R832</f>
        <v/>
      </c>
      <c r="T832" s="28">
        <f>IF(S832="","",S832*(1+in_GrowthRate)^(YEARFRAC(DATE(2022,12,31),in_AgeToDate)*IF(in_AgeToDate&lt;DATE(2022,12,31),-1,1)+1))</f>
        <v/>
      </c>
      <c r="U832" s="50">
        <f>IF(AND(AND(OR(in_Mode="All Funds",AND(C832&gt;=in_BandFloor,C832&lt;=in_BandCeiling,OR(in_Geography="National",COUNTIFS(lst_GeoPreset,in_Geography,lst_GeoState,B832)&gt;0,AND(in_Geography="Custom",ISNUMBER(SEARCH(B832,SUBSTITUTE(in_CustomStates," ",""))))),OR(AND(D832="Endowment",Inputs!$B$14="Y"),AND(D832="Foundation",Inputs!$B$15="Y"),AND(D832="Healthcare",Inputs!$B$16="Y"),AND(D832="Pension",Inputs!$B$17="Y"),AND(D832="OCIO",Inputs!$B$18="Y"),AND(D832="Other",Inputs!$B$19="Y")))),A832&lt;&gt;in_ClientOrg,NOT(AND(in_ExclHarvard="Y",ISNUMBER(SEARCH("Harvard",A832))))),$AD832="Y",K832&lt;&gt;"",S832&gt;0),"Y","")</f>
        <v/>
      </c>
      <c r="V832" s="30" t="n">
        <v>1</v>
      </c>
      <c r="W832" t="inlineStr"/>
      <c r="X832" s="28">
        <f>IF(L832+M832=0,"",L832+M832)</f>
        <v/>
      </c>
      <c r="Y832" s="38">
        <f>IF(L832=0,"",M832/L832)</f>
        <v/>
      </c>
      <c r="Z832" t="inlineStr">
        <is>
          <t>CIO - Top Investment Executive</t>
        </is>
      </c>
      <c r="AA832" t="inlineStr">
        <is>
          <t>Leadership</t>
        </is>
      </c>
      <c r="AB832" s="50" t="inlineStr">
        <is>
          <t>Y</t>
        </is>
      </c>
      <c r="AC832" s="43">
        <f>HYPERLINK("https://projects.propublica.org/nonprofits/organizations/581493949/202333179349303063/full","view filing")</f>
        <v/>
      </c>
      <c r="AD832" s="50" t="inlineStr"/>
    </row>
    <row r="833">
      <c r="A833" t="inlineStr">
        <is>
          <t>National Fish And Wildlife Foundation</t>
        </is>
      </c>
      <c r="B833" s="50" t="inlineStr">
        <is>
          <t>DC</t>
        </is>
      </c>
      <c r="C833" s="52" t="n">
        <v>1.36</v>
      </c>
      <c r="D833" t="inlineStr">
        <is>
          <t>Foundation</t>
        </is>
      </c>
      <c r="E833" s="50" t="n">
        <v>2025</v>
      </c>
      <c r="F833" s="50" t="inlineStr">
        <is>
          <t>2026-07-16</t>
        </is>
      </c>
      <c r="G833" s="50" t="inlineStr">
        <is>
          <t>2025-09-30</t>
        </is>
      </c>
      <c r="H833" t="inlineStr">
        <is>
          <t>Addison Dana</t>
        </is>
      </c>
      <c r="I833" t="inlineStr">
        <is>
          <t>CHIEF INVESTMENT OFFICER</t>
        </is>
      </c>
      <c r="J833" t="inlineStr">
        <is>
          <t>CIO</t>
        </is>
      </c>
      <c r="K833" t="inlineStr">
        <is>
          <t>CIO - Top Investment Executive</t>
        </is>
      </c>
      <c r="L833" s="28" t="n">
        <v>338624</v>
      </c>
      <c r="M833" s="28" t="n">
        <v>260352</v>
      </c>
      <c r="N833" s="28" t="n">
        <v>28940</v>
      </c>
      <c r="O833" s="28" t="n">
        <v>34500</v>
      </c>
      <c r="P833" s="28" t="n">
        <v>37389</v>
      </c>
      <c r="Q833" s="28" t="n">
        <v>699805</v>
      </c>
      <c r="R833" s="28" t="n">
        <v>130560</v>
      </c>
      <c r="S833" s="28">
        <f>Q833-R833</f>
        <v/>
      </c>
      <c r="T833" s="28">
        <f>IF(S833="","",S833*(1+in_GrowthRate)^(YEARFRAC(DATE(2025,9,30),in_AgeToDate)*IF(in_AgeToDate&lt;DATE(2025,9,30),-1,1)+1))</f>
        <v/>
      </c>
      <c r="U833" s="50">
        <f>IF(AND(AND(OR(in_Mode="All Funds",AND(C833&gt;=in_BandFloor,C833&lt;=in_BandCeiling,OR(in_Geography="National",COUNTIFS(lst_GeoPreset,in_Geography,lst_GeoState,B833)&gt;0,AND(in_Geography="Custom",ISNUMBER(SEARCH(B833,SUBSTITUTE(in_CustomStates," ",""))))),OR(AND(D833="Endowment",Inputs!$B$14="Y"),AND(D833="Foundation",Inputs!$B$15="Y"),AND(D833="Healthcare",Inputs!$B$16="Y"),AND(D833="Pension",Inputs!$B$17="Y"),AND(D833="OCIO",Inputs!$B$18="Y"),AND(D833="Other",Inputs!$B$19="Y")))),A833&lt;&gt;in_ClientOrg,NOT(AND(in_ExclHarvard="Y",ISNUMBER(SEARCH("Harvard",A833))))),$AD833="Y",K833&lt;&gt;"",S833&gt;0),"Y","")</f>
        <v/>
      </c>
      <c r="V833" s="30" t="n">
        <v>1</v>
      </c>
      <c r="W833" t="inlineStr"/>
      <c r="X833" s="28">
        <f>IF(L833+M833=0,"",L833+M833)</f>
        <v/>
      </c>
      <c r="Y833" s="38">
        <f>IF(L833=0,"",M833/L833)</f>
        <v/>
      </c>
      <c r="Z833" t="inlineStr">
        <is>
          <t>CIO - Top Investment Executive</t>
        </is>
      </c>
      <c r="AA833" t="inlineStr">
        <is>
          <t>Leadership</t>
        </is>
      </c>
      <c r="AB833" s="50" t="inlineStr">
        <is>
          <t>Y</t>
        </is>
      </c>
      <c r="AC833" s="43">
        <f>HYPERLINK("https://projects.propublica.org/nonprofits/organizations/521384139/202641979349300629/full","view filing")</f>
        <v/>
      </c>
      <c r="AD833" s="50" t="inlineStr">
        <is>
          <t>Y</t>
        </is>
      </c>
    </row>
    <row r="834">
      <c r="A834" t="inlineStr">
        <is>
          <t>National Fish And Wildlife Foundation</t>
        </is>
      </c>
      <c r="B834" s="50" t="inlineStr">
        <is>
          <t>DC</t>
        </is>
      </c>
      <c r="C834" s="52" t="n">
        <v>1.36</v>
      </c>
      <c r="D834" t="inlineStr">
        <is>
          <t>Foundation</t>
        </is>
      </c>
      <c r="E834" s="50" t="n">
        <v>2024</v>
      </c>
      <c r="F834" s="50" t="inlineStr">
        <is>
          <t>2025-07-18</t>
        </is>
      </c>
      <c r="G834" s="50" t="inlineStr">
        <is>
          <t>2024-09-30</t>
        </is>
      </c>
      <c r="H834" t="inlineStr">
        <is>
          <t>Addison Dana</t>
        </is>
      </c>
      <c r="I834" t="inlineStr">
        <is>
          <t>VP. INVESTMENT OFFICER</t>
        </is>
      </c>
      <c r="J834" t="inlineStr">
        <is>
          <t>Investment Officer</t>
        </is>
      </c>
      <c r="K834" t="inlineStr">
        <is>
          <t>Sr Investment Professional</t>
        </is>
      </c>
      <c r="L834" s="28" t="n">
        <v>324115</v>
      </c>
      <c r="M834" s="28" t="n">
        <v>62899</v>
      </c>
      <c r="N834" s="28" t="n">
        <v>8310</v>
      </c>
      <c r="O834" s="28" t="n">
        <v>99560</v>
      </c>
      <c r="P834" s="28" t="n">
        <v>35380</v>
      </c>
      <c r="Q834" s="28" t="n">
        <v>530264</v>
      </c>
      <c r="R834" s="28" t="n">
        <v>0</v>
      </c>
      <c r="S834" s="28">
        <f>Q834-R834</f>
        <v/>
      </c>
      <c r="T834" s="28">
        <f>IF(S834="","",S834*(1+in_GrowthRate)^(YEARFRAC(DATE(2024,9,30),in_AgeToDate)*IF(in_AgeToDate&lt;DATE(2024,9,30),-1,1)+1))</f>
        <v/>
      </c>
      <c r="U834" s="50">
        <f>IF(AND(AND(OR(in_Mode="All Funds",AND(C834&gt;=in_BandFloor,C834&lt;=in_BandCeiling,OR(in_Geography="National",COUNTIFS(lst_GeoPreset,in_Geography,lst_GeoState,B834)&gt;0,AND(in_Geography="Custom",ISNUMBER(SEARCH(B834,SUBSTITUTE(in_CustomStates," ",""))))),OR(AND(D834="Endowment",Inputs!$B$14="Y"),AND(D834="Foundation",Inputs!$B$15="Y"),AND(D834="Healthcare",Inputs!$B$16="Y"),AND(D834="Pension",Inputs!$B$17="Y"),AND(D834="OCIO",Inputs!$B$18="Y"),AND(D834="Other",Inputs!$B$19="Y")))),A834&lt;&gt;in_ClientOrg,NOT(AND(in_ExclHarvard="Y",ISNUMBER(SEARCH("Harvard",A834))))),$AD834="Y",K834&lt;&gt;"",S834&gt;0),"Y","")</f>
        <v/>
      </c>
      <c r="V834" s="30" t="n"/>
      <c r="W834" t="inlineStr"/>
      <c r="X834" s="28">
        <f>IF(L834+M834=0,"",L834+M834)</f>
        <v/>
      </c>
      <c r="Y834" s="38">
        <f>IF(L834=0,"",M834/L834)</f>
        <v/>
      </c>
      <c r="Z834" t="inlineStr">
        <is>
          <t>Director &amp; Investment Officer</t>
        </is>
      </c>
      <c r="AA834" t="inlineStr">
        <is>
          <t>Investments</t>
        </is>
      </c>
      <c r="AB834" s="50" t="inlineStr"/>
      <c r="AC834" s="43">
        <f>HYPERLINK("https://projects.propublica.org/nonprofits/organizations/521384139/202501999349300110/full","view filing")</f>
        <v/>
      </c>
      <c r="AD834" s="50" t="inlineStr"/>
    </row>
    <row r="835">
      <c r="A835" t="inlineStr">
        <is>
          <t>National Fish And Wildlife Foundation</t>
        </is>
      </c>
      <c r="B835" s="50" t="inlineStr">
        <is>
          <t>DC</t>
        </is>
      </c>
      <c r="C835" s="52" t="n">
        <v>1.36</v>
      </c>
      <c r="D835" t="inlineStr">
        <is>
          <t>Foundation</t>
        </is>
      </c>
      <c r="E835" s="50" t="n">
        <v>2023</v>
      </c>
      <c r="F835" s="50" t="inlineStr">
        <is>
          <t>2024-08-13</t>
        </is>
      </c>
      <c r="G835" s="50" t="inlineStr">
        <is>
          <t>2023-09-30</t>
        </is>
      </c>
      <c r="H835" t="inlineStr">
        <is>
          <t>Addison Dana</t>
        </is>
      </c>
      <c r="I835" t="inlineStr">
        <is>
          <t>CHIEF INVESTMENT OFFICER</t>
        </is>
      </c>
      <c r="J835" t="inlineStr">
        <is>
          <t>CIO</t>
        </is>
      </c>
      <c r="K835" t="inlineStr">
        <is>
          <t>CIO - Top Investment Executive</t>
        </is>
      </c>
      <c r="L835" s="28" t="n">
        <v>311727</v>
      </c>
      <c r="M835" s="28" t="n">
        <v>43840</v>
      </c>
      <c r="N835" s="28" t="n">
        <v>7624</v>
      </c>
      <c r="O835" s="28" t="n">
        <v>94500</v>
      </c>
      <c r="P835" s="28" t="n">
        <v>31463</v>
      </c>
      <c r="Q835" s="28" t="n">
        <v>489154</v>
      </c>
      <c r="R835" s="28" t="n">
        <v>0</v>
      </c>
      <c r="S835" s="28">
        <f>Q835-R835</f>
        <v/>
      </c>
      <c r="T835" s="28">
        <f>IF(S835="","",S835*(1+in_GrowthRate)^(YEARFRAC(DATE(2023,9,30),in_AgeToDate)*IF(in_AgeToDate&lt;DATE(2023,9,30),-1,1)+1))</f>
        <v/>
      </c>
      <c r="U835" s="50">
        <f>IF(AND(AND(OR(in_Mode="All Funds",AND(C835&gt;=in_BandFloor,C835&lt;=in_BandCeiling,OR(in_Geography="National",COUNTIFS(lst_GeoPreset,in_Geography,lst_GeoState,B835)&gt;0,AND(in_Geography="Custom",ISNUMBER(SEARCH(B835,SUBSTITUTE(in_CustomStates," ",""))))),OR(AND(D835="Endowment",Inputs!$B$14="Y"),AND(D835="Foundation",Inputs!$B$15="Y"),AND(D835="Healthcare",Inputs!$B$16="Y"),AND(D835="Pension",Inputs!$B$17="Y"),AND(D835="OCIO",Inputs!$B$18="Y"),AND(D835="Other",Inputs!$B$19="Y")))),A835&lt;&gt;in_ClientOrg,NOT(AND(in_ExclHarvard="Y",ISNUMBER(SEARCH("Harvard",A835))))),$AD835="Y",K835&lt;&gt;"",S835&gt;0),"Y","")</f>
        <v/>
      </c>
      <c r="V835" s="30" t="n">
        <v>1</v>
      </c>
      <c r="W835" t="inlineStr"/>
      <c r="X835" s="28">
        <f>IF(L835+M835=0,"",L835+M835)</f>
        <v/>
      </c>
      <c r="Y835" s="38">
        <f>IF(L835=0,"",M835/L835)</f>
        <v/>
      </c>
      <c r="Z835" t="inlineStr">
        <is>
          <t>CIO - Top Investment Executive</t>
        </is>
      </c>
      <c r="AA835" t="inlineStr">
        <is>
          <t>Leadership</t>
        </is>
      </c>
      <c r="AB835" s="50" t="inlineStr">
        <is>
          <t>Y</t>
        </is>
      </c>
      <c r="AC835" s="43">
        <f>HYPERLINK("https://projects.propublica.org/nonprofits/organizations/521384139/202402269349300850/full","view filing")</f>
        <v/>
      </c>
      <c r="AD835" s="50" t="inlineStr"/>
    </row>
    <row r="836">
      <c r="A836" t="inlineStr">
        <is>
          <t>National Fish And Wildlife Foundation</t>
        </is>
      </c>
      <c r="B836" s="50" t="inlineStr">
        <is>
          <t>DC</t>
        </is>
      </c>
      <c r="C836" s="52" t="n">
        <v>1.36</v>
      </c>
      <c r="D836" t="inlineStr">
        <is>
          <t>Foundation</t>
        </is>
      </c>
      <c r="E836" s="50" t="n">
        <v>2022</v>
      </c>
      <c r="F836" s="50" t="inlineStr">
        <is>
          <t>2023-07-05</t>
        </is>
      </c>
      <c r="G836" s="50" t="inlineStr">
        <is>
          <t>2022-09-30</t>
        </is>
      </c>
      <c r="H836" t="inlineStr">
        <is>
          <t>Addison Dana</t>
        </is>
      </c>
      <c r="I836" t="inlineStr">
        <is>
          <t>VP, INVESTMENTS</t>
        </is>
      </c>
      <c r="J836" t="inlineStr">
        <is>
          <t>Director of Investments</t>
        </is>
      </c>
      <c r="K836" t="inlineStr">
        <is>
          <t>Sr Investment Professional</t>
        </is>
      </c>
      <c r="L836" s="28" t="n">
        <v>276821</v>
      </c>
      <c r="M836" s="28" t="n">
        <v>41192</v>
      </c>
      <c r="N836" s="28" t="n">
        <v>5313</v>
      </c>
      <c r="O836" s="28" t="n">
        <v>29000</v>
      </c>
      <c r="P836" s="28" t="n">
        <v>29792</v>
      </c>
      <c r="Q836" s="28" t="n">
        <v>382118</v>
      </c>
      <c r="R836" s="28" t="n">
        <v>0</v>
      </c>
      <c r="S836" s="28">
        <f>Q836-R836</f>
        <v/>
      </c>
      <c r="T836" s="28">
        <f>IF(S836="","",S836*(1+in_GrowthRate)^(YEARFRAC(DATE(2022,9,30),in_AgeToDate)*IF(in_AgeToDate&lt;DATE(2022,9,30),-1,1)+1))</f>
        <v/>
      </c>
      <c r="U836" s="50">
        <f>IF(AND(AND(OR(in_Mode="All Funds",AND(C836&gt;=in_BandFloor,C836&lt;=in_BandCeiling,OR(in_Geography="National",COUNTIFS(lst_GeoPreset,in_Geography,lst_GeoState,B836)&gt;0,AND(in_Geography="Custom",ISNUMBER(SEARCH(B836,SUBSTITUTE(in_CustomStates," ",""))))),OR(AND(D836="Endowment",Inputs!$B$14="Y"),AND(D836="Foundation",Inputs!$B$15="Y"),AND(D836="Healthcare",Inputs!$B$16="Y"),AND(D836="Pension",Inputs!$B$17="Y"),AND(D836="OCIO",Inputs!$B$18="Y"),AND(D836="Other",Inputs!$B$19="Y")))),A836&lt;&gt;in_ClientOrg,NOT(AND(in_ExclHarvard="Y",ISNUMBER(SEARCH("Harvard",A836))))),$AD836="Y",K836&lt;&gt;"",S836&gt;0),"Y","")</f>
        <v/>
      </c>
      <c r="V836" s="30" t="n"/>
      <c r="W836" t="inlineStr"/>
      <c r="X836" s="28">
        <f>IF(L836+M836=0,"",L836+M836)</f>
        <v/>
      </c>
      <c r="Y836" s="38">
        <f>IF(L836=0,"",M836/L836)</f>
        <v/>
      </c>
      <c r="Z836" t="inlineStr">
        <is>
          <t>Director &amp; Investment Officer</t>
        </is>
      </c>
      <c r="AA836" t="inlineStr">
        <is>
          <t>Investments</t>
        </is>
      </c>
      <c r="AB836" s="50" t="inlineStr"/>
      <c r="AC836" s="43">
        <f>HYPERLINK("https://projects.propublica.org/nonprofits/organizations/521384139/202311869349301051/full","view filing")</f>
        <v/>
      </c>
      <c r="AD836" s="50" t="inlineStr"/>
    </row>
    <row r="837">
      <c r="A837" t="inlineStr">
        <is>
          <t>National Geographic Society</t>
        </is>
      </c>
      <c r="B837" s="50" t="inlineStr">
        <is>
          <t>DC</t>
        </is>
      </c>
      <c r="C837" s="52" t="n">
        <v>1.71</v>
      </c>
      <c r="D837" t="inlineStr">
        <is>
          <t>Other</t>
        </is>
      </c>
      <c r="E837" s="50" t="n">
        <v>2025</v>
      </c>
      <c r="F837" s="50" t="inlineStr">
        <is>
          <t>2026-07-22</t>
        </is>
      </c>
      <c r="G837" s="50" t="inlineStr">
        <is>
          <t>2025-12-31</t>
        </is>
      </c>
      <c r="H837" t="inlineStr">
        <is>
          <t>John Coombe</t>
        </is>
      </c>
      <c r="I837" t="inlineStr">
        <is>
          <t>DIRECTOR, INVESTMENTS</t>
        </is>
      </c>
      <c r="J837" t="inlineStr">
        <is>
          <t>Director of Investments</t>
        </is>
      </c>
      <c r="K837" t="inlineStr">
        <is>
          <t>Sr Investment Professional</t>
        </is>
      </c>
      <c r="L837" s="28" t="n">
        <v>368358</v>
      </c>
      <c r="M837" s="28" t="n">
        <v>268125</v>
      </c>
      <c r="N837" s="28" t="n">
        <v>825</v>
      </c>
      <c r="O837" s="28" t="n">
        <v>11750</v>
      </c>
      <c r="P837" s="28" t="n">
        <v>1764</v>
      </c>
      <c r="Q837" s="28" t="n">
        <v>650822</v>
      </c>
      <c r="R837" s="28" t="n">
        <v>0</v>
      </c>
      <c r="S837" s="28">
        <f>Q837-R837</f>
        <v/>
      </c>
      <c r="T837" s="28">
        <f>IF(S837="","",S837*(1+in_GrowthRate)^(YEARFRAC(DATE(2025,12,31),in_AgeToDate)*IF(in_AgeToDate&lt;DATE(2025,12,31),-1,1)+1))</f>
        <v/>
      </c>
      <c r="U837" s="50">
        <f>IF(AND(AND(OR(in_Mode="All Funds",AND(C837&gt;=in_BandFloor,C837&lt;=in_BandCeiling,OR(in_Geography="National",COUNTIFS(lst_GeoPreset,in_Geography,lst_GeoState,B837)&gt;0,AND(in_Geography="Custom",ISNUMBER(SEARCH(B837,SUBSTITUTE(in_CustomStates," ",""))))),OR(AND(D837="Endowment",Inputs!$B$14="Y"),AND(D837="Foundation",Inputs!$B$15="Y"),AND(D837="Healthcare",Inputs!$B$16="Y"),AND(D837="Pension",Inputs!$B$17="Y"),AND(D837="OCIO",Inputs!$B$18="Y"),AND(D837="Other",Inputs!$B$19="Y")))),A837&lt;&gt;in_ClientOrg,NOT(AND(in_ExclHarvard="Y",ISNUMBER(SEARCH("Harvard",A837))))),$AD837="Y",K837&lt;&gt;"",S837&gt;0),"Y","")</f>
        <v/>
      </c>
      <c r="V837" s="30" t="n">
        <v>0.4832638064871592</v>
      </c>
      <c r="W837" t="inlineStr"/>
      <c r="X837" s="28">
        <f>IF(L837+M837=0,"",L837+M837)</f>
        <v/>
      </c>
      <c r="Y837" s="38">
        <f>IF(L837=0,"",M837/L837)</f>
        <v/>
      </c>
      <c r="Z837" t="inlineStr">
        <is>
          <t>Director &amp; Investment Officer</t>
        </is>
      </c>
      <c r="AA837" t="inlineStr">
        <is>
          <t>Investments</t>
        </is>
      </c>
      <c r="AB837" s="50" t="inlineStr"/>
      <c r="AC837" s="43">
        <f>HYPERLINK("https://projects.propublica.org/nonprofits/organizations/530193519/202622039349300962/full","view filing")</f>
        <v/>
      </c>
      <c r="AD837" s="50" t="inlineStr">
        <is>
          <t>Y</t>
        </is>
      </c>
    </row>
    <row r="838">
      <c r="A838" t="inlineStr">
        <is>
          <t>National Geographic Society</t>
        </is>
      </c>
      <c r="B838" s="50" t="inlineStr">
        <is>
          <t>DC</t>
        </is>
      </c>
      <c r="C838" s="52" t="n">
        <v>1.71</v>
      </c>
      <c r="D838" t="inlineStr">
        <is>
          <t>Other</t>
        </is>
      </c>
      <c r="E838" s="50" t="n">
        <v>2025</v>
      </c>
      <c r="F838" s="50" t="inlineStr">
        <is>
          <t>2026-07-22</t>
        </is>
      </c>
      <c r="G838" s="50" t="inlineStr">
        <is>
          <t>2025-12-31</t>
        </is>
      </c>
      <c r="H838" t="inlineStr">
        <is>
          <t>Kristi Craig</t>
        </is>
      </c>
      <c r="I838" t="inlineStr">
        <is>
          <t>CHIEF INVESTMENT OFFICER</t>
        </is>
      </c>
      <c r="J838" t="inlineStr">
        <is>
          <t>CIO</t>
        </is>
      </c>
      <c r="K838" t="inlineStr">
        <is>
          <t>CIO - Top Investment Executive</t>
        </is>
      </c>
      <c r="L838" s="28" t="n">
        <v>655243</v>
      </c>
      <c r="M838" s="28" t="n">
        <v>646000</v>
      </c>
      <c r="N838" s="28" t="n">
        <v>6617</v>
      </c>
      <c r="O838" s="28" t="n">
        <v>11750</v>
      </c>
      <c r="P838" s="28" t="n">
        <v>27112</v>
      </c>
      <c r="Q838" s="28" t="n">
        <v>1346722</v>
      </c>
      <c r="R838" s="28" t="n">
        <v>0</v>
      </c>
      <c r="S838" s="28">
        <f>Q838-R838</f>
        <v/>
      </c>
      <c r="T838" s="28">
        <f>IF(S838="","",S838*(1+in_GrowthRate)^(YEARFRAC(DATE(2025,12,31),in_AgeToDate)*IF(in_AgeToDate&lt;DATE(2025,12,31),-1,1)+1))</f>
        <v/>
      </c>
      <c r="U838" s="50">
        <f>IF(AND(AND(OR(in_Mode="All Funds",AND(C838&gt;=in_BandFloor,C838&lt;=in_BandCeiling,OR(in_Geography="National",COUNTIFS(lst_GeoPreset,in_Geography,lst_GeoState,B838)&gt;0,AND(in_Geography="Custom",ISNUMBER(SEARCH(B838,SUBSTITUTE(in_CustomStates," ",""))))),OR(AND(D838="Endowment",Inputs!$B$14="Y"),AND(D838="Foundation",Inputs!$B$15="Y"),AND(D838="Healthcare",Inputs!$B$16="Y"),AND(D838="Pension",Inputs!$B$17="Y"),AND(D838="OCIO",Inputs!$B$18="Y"),AND(D838="Other",Inputs!$B$19="Y")))),A838&lt;&gt;in_ClientOrg,NOT(AND(in_ExclHarvard="Y",ISNUMBER(SEARCH("Harvard",A838))))),$AD838="Y",K838&lt;&gt;"",S838&gt;0),"Y","")</f>
        <v/>
      </c>
      <c r="V838" s="30" t="n">
        <v>1</v>
      </c>
      <c r="W838" t="inlineStr"/>
      <c r="X838" s="28">
        <f>IF(L838+M838=0,"",L838+M838)</f>
        <v/>
      </c>
      <c r="Y838" s="38">
        <f>IF(L838=0,"",M838/L838)</f>
        <v/>
      </c>
      <c r="Z838" t="inlineStr">
        <is>
          <t>CIO - Top Investment Executive</t>
        </is>
      </c>
      <c r="AA838" t="inlineStr">
        <is>
          <t>Leadership</t>
        </is>
      </c>
      <c r="AB838" s="50" t="inlineStr">
        <is>
          <t>Y</t>
        </is>
      </c>
      <c r="AC838" s="43">
        <f>HYPERLINK("https://projects.propublica.org/nonprofits/organizations/530193519/202622039349300962/full","view filing")</f>
        <v/>
      </c>
      <c r="AD838" s="50" t="inlineStr">
        <is>
          <t>Y</t>
        </is>
      </c>
    </row>
    <row r="839">
      <c r="A839" t="inlineStr">
        <is>
          <t>National Geographic Society</t>
        </is>
      </c>
      <c r="B839" s="50" t="inlineStr">
        <is>
          <t>DC</t>
        </is>
      </c>
      <c r="C839" s="52" t="n">
        <v>1.71</v>
      </c>
      <c r="D839" t="inlineStr">
        <is>
          <t>Other</t>
        </is>
      </c>
      <c r="E839" s="50" t="n">
        <v>2024</v>
      </c>
      <c r="F839" s="50" t="inlineStr">
        <is>
          <t>2025-09-30</t>
        </is>
      </c>
      <c r="G839" s="50" t="inlineStr">
        <is>
          <t>2024-12-31</t>
        </is>
      </c>
      <c r="H839" t="inlineStr">
        <is>
          <t>John Coombe</t>
        </is>
      </c>
      <c r="I839" t="inlineStr">
        <is>
          <t>Director, Investments</t>
        </is>
      </c>
      <c r="J839" t="inlineStr">
        <is>
          <t>Director of Investments</t>
        </is>
      </c>
      <c r="K839" t="inlineStr">
        <is>
          <t>Sr Investment Professional</t>
        </is>
      </c>
      <c r="L839" s="28" t="n">
        <v>358386</v>
      </c>
      <c r="M839" s="28" t="n">
        <v>162500</v>
      </c>
      <c r="N839" s="28" t="n">
        <v>0</v>
      </c>
      <c r="O839" s="28" t="n">
        <v>0</v>
      </c>
      <c r="P839" s="28" t="n">
        <v>2259</v>
      </c>
      <c r="Q839" s="28" t="n">
        <v>523145</v>
      </c>
      <c r="R839" s="28" t="n">
        <v>0</v>
      </c>
      <c r="S839" s="28">
        <f>Q839-R839</f>
        <v/>
      </c>
      <c r="T839" s="28">
        <f>IF(S839="","",S839*(1+in_GrowthRate)^(YEARFRAC(DATE(2024,12,31),in_AgeToDate)*IF(in_AgeToDate&lt;DATE(2024,12,31),-1,1)+1))</f>
        <v/>
      </c>
      <c r="U839" s="50">
        <f>IF(AND(AND(OR(in_Mode="All Funds",AND(C839&gt;=in_BandFloor,C839&lt;=in_BandCeiling,OR(in_Geography="National",COUNTIFS(lst_GeoPreset,in_Geography,lst_GeoState,B839)&gt;0,AND(in_Geography="Custom",ISNUMBER(SEARCH(B839,SUBSTITUTE(in_CustomStates," ",""))))),OR(AND(D839="Endowment",Inputs!$B$14="Y"),AND(D839="Foundation",Inputs!$B$15="Y"),AND(D839="Healthcare",Inputs!$B$16="Y"),AND(D839="Pension",Inputs!$B$17="Y"),AND(D839="OCIO",Inputs!$B$18="Y"),AND(D839="Other",Inputs!$B$19="Y")))),A839&lt;&gt;in_ClientOrg,NOT(AND(in_ExclHarvard="Y",ISNUMBER(SEARCH("Harvard",A839))))),$AD839="Y",K839&lt;&gt;"",S839&gt;0),"Y","")</f>
        <v/>
      </c>
      <c r="V839" s="30" t="n">
        <v>0.4409516183412003</v>
      </c>
      <c r="W839" t="inlineStr"/>
      <c r="X839" s="28">
        <f>IF(L839+M839=0,"",L839+M839)</f>
        <v/>
      </c>
      <c r="Y839" s="38">
        <f>IF(L839=0,"",M839/L839)</f>
        <v/>
      </c>
      <c r="Z839" t="inlineStr">
        <is>
          <t>Director &amp; Investment Officer</t>
        </is>
      </c>
      <c r="AA839" t="inlineStr">
        <is>
          <t>Investments</t>
        </is>
      </c>
      <c r="AB839" s="50" t="inlineStr"/>
      <c r="AC839" s="43">
        <f>HYPERLINK("https://projects.propublica.org/nonprofits/organizations/530193519/202512739349301916/full","view filing")</f>
        <v/>
      </c>
      <c r="AD839" s="50" t="inlineStr"/>
    </row>
    <row r="840">
      <c r="A840" t="inlineStr">
        <is>
          <t>National Geographic Society</t>
        </is>
      </c>
      <c r="B840" s="50" t="inlineStr">
        <is>
          <t>DC</t>
        </is>
      </c>
      <c r="C840" s="52" t="n">
        <v>1.71</v>
      </c>
      <c r="D840" t="inlineStr">
        <is>
          <t>Other</t>
        </is>
      </c>
      <c r="E840" s="50" t="n">
        <v>2024</v>
      </c>
      <c r="F840" s="50" t="inlineStr">
        <is>
          <t>2025-09-30</t>
        </is>
      </c>
      <c r="G840" s="50" t="inlineStr">
        <is>
          <t>2024-12-31</t>
        </is>
      </c>
      <c r="H840" t="inlineStr">
        <is>
          <t>Kristi Craig</t>
        </is>
      </c>
      <c r="I840" t="inlineStr">
        <is>
          <t>Chief Investment Officer</t>
        </is>
      </c>
      <c r="J840" t="inlineStr">
        <is>
          <t>CIO</t>
        </is>
      </c>
      <c r="K840" t="inlineStr">
        <is>
          <t>CIO - Top Investment Executive</t>
        </is>
      </c>
      <c r="L840" s="28" t="n">
        <v>639875</v>
      </c>
      <c r="M840" s="28" t="n">
        <v>520000</v>
      </c>
      <c r="N840" s="28" t="n">
        <v>0</v>
      </c>
      <c r="O840" s="28" t="n">
        <v>0</v>
      </c>
      <c r="P840" s="28" t="n">
        <v>26525</v>
      </c>
      <c r="Q840" s="28" t="n">
        <v>1186400</v>
      </c>
      <c r="R840" s="28" t="n">
        <v>0</v>
      </c>
      <c r="S840" s="28">
        <f>Q840-R840</f>
        <v/>
      </c>
      <c r="T840" s="28">
        <f>IF(S840="","",S840*(1+in_GrowthRate)^(YEARFRAC(DATE(2024,12,31),in_AgeToDate)*IF(in_AgeToDate&lt;DATE(2024,12,31),-1,1)+1))</f>
        <v/>
      </c>
      <c r="U840" s="50">
        <f>IF(AND(AND(OR(in_Mode="All Funds",AND(C840&gt;=in_BandFloor,C840&lt;=in_BandCeiling,OR(in_Geography="National",COUNTIFS(lst_GeoPreset,in_Geography,lst_GeoState,B840)&gt;0,AND(in_Geography="Custom",ISNUMBER(SEARCH(B840,SUBSTITUTE(in_CustomStates," ",""))))),OR(AND(D840="Endowment",Inputs!$B$14="Y"),AND(D840="Foundation",Inputs!$B$15="Y"),AND(D840="Healthcare",Inputs!$B$16="Y"),AND(D840="Pension",Inputs!$B$17="Y"),AND(D840="OCIO",Inputs!$B$18="Y"),AND(D840="Other",Inputs!$B$19="Y")))),A840&lt;&gt;in_ClientOrg,NOT(AND(in_ExclHarvard="Y",ISNUMBER(SEARCH("Harvard",A840))))),$AD840="Y",K840&lt;&gt;"",S840&gt;0),"Y","")</f>
        <v/>
      </c>
      <c r="V840" s="30" t="n">
        <v>1</v>
      </c>
      <c r="W840" t="inlineStr"/>
      <c r="X840" s="28">
        <f>IF(L840+M840=0,"",L840+M840)</f>
        <v/>
      </c>
      <c r="Y840" s="38">
        <f>IF(L840=0,"",M840/L840)</f>
        <v/>
      </c>
      <c r="Z840" t="inlineStr">
        <is>
          <t>CIO - Top Investment Executive</t>
        </is>
      </c>
      <c r="AA840" t="inlineStr">
        <is>
          <t>Leadership</t>
        </is>
      </c>
      <c r="AB840" s="50" t="inlineStr">
        <is>
          <t>Y</t>
        </is>
      </c>
      <c r="AC840" s="43">
        <f>HYPERLINK("https://projects.propublica.org/nonprofits/organizations/530193519/202512739349301916/full","view filing")</f>
        <v/>
      </c>
      <c r="AD840" s="50" t="inlineStr"/>
    </row>
    <row r="841">
      <c r="A841" t="inlineStr">
        <is>
          <t>National Geographic Society</t>
        </is>
      </c>
      <c r="B841" s="50" t="inlineStr">
        <is>
          <t>DC</t>
        </is>
      </c>
      <c r="C841" s="52" t="n">
        <v>1.71</v>
      </c>
      <c r="D841" t="inlineStr">
        <is>
          <t>Other</t>
        </is>
      </c>
      <c r="E841" s="50" t="n">
        <v>2023</v>
      </c>
      <c r="F841" s="50" t="inlineStr">
        <is>
          <t>2024-05-10</t>
        </is>
      </c>
      <c r="G841" s="50" t="inlineStr">
        <is>
          <t>2023-12-31</t>
        </is>
      </c>
      <c r="H841" t="inlineStr">
        <is>
          <t>John Coombe</t>
        </is>
      </c>
      <c r="I841" t="inlineStr">
        <is>
          <t>Director, Investments</t>
        </is>
      </c>
      <c r="J841" t="inlineStr">
        <is>
          <t>Director of Investments</t>
        </is>
      </c>
      <c r="K841" t="inlineStr">
        <is>
          <t>Sr Investment Professional</t>
        </is>
      </c>
      <c r="L841" s="28" t="n">
        <v>324914</v>
      </c>
      <c r="M841" s="28" t="n">
        <v>27083</v>
      </c>
      <c r="N841" s="28" t="n">
        <v>651</v>
      </c>
      <c r="O841" s="28" t="n">
        <v>0</v>
      </c>
      <c r="P841" s="28" t="n">
        <v>2255</v>
      </c>
      <c r="Q841" s="28" t="n">
        <v>354903</v>
      </c>
      <c r="R841" s="28" t="n">
        <v>0</v>
      </c>
      <c r="S841" s="28">
        <f>Q841-R841</f>
        <v/>
      </c>
      <c r="T841" s="28">
        <f>IF(S841="","",S841*(1+in_GrowthRate)^(YEARFRAC(DATE(2023,12,31),in_AgeToDate)*IF(in_AgeToDate&lt;DATE(2023,12,31),-1,1)+1))</f>
        <v/>
      </c>
      <c r="U841" s="50">
        <f>IF(AND(AND(OR(in_Mode="All Funds",AND(C841&gt;=in_BandFloor,C841&lt;=in_BandCeiling,OR(in_Geography="National",COUNTIFS(lst_GeoPreset,in_Geography,lst_GeoState,B841)&gt;0,AND(in_Geography="Custom",ISNUMBER(SEARCH(B841,SUBSTITUTE(in_CustomStates," ",""))))),OR(AND(D841="Endowment",Inputs!$B$14="Y"),AND(D841="Foundation",Inputs!$B$15="Y"),AND(D841="Healthcare",Inputs!$B$16="Y"),AND(D841="Pension",Inputs!$B$17="Y"),AND(D841="OCIO",Inputs!$B$18="Y"),AND(D841="Other",Inputs!$B$19="Y")))),A841&lt;&gt;in_ClientOrg,NOT(AND(in_ExclHarvard="Y",ISNUMBER(SEARCH("Harvard",A841))))),$AD841="Y",K841&lt;&gt;"",S841&gt;0),"Y","")</f>
        <v/>
      </c>
      <c r="V841" s="30" t="n">
        <v>0.3616657885806699</v>
      </c>
      <c r="W841" t="inlineStr"/>
      <c r="X841" s="28">
        <f>IF(L841+M841=0,"",L841+M841)</f>
        <v/>
      </c>
      <c r="Y841" s="38">
        <f>IF(L841=0,"",M841/L841)</f>
        <v/>
      </c>
      <c r="Z841" t="inlineStr">
        <is>
          <t>Director &amp; Investment Officer</t>
        </is>
      </c>
      <c r="AA841" t="inlineStr">
        <is>
          <t>Investments</t>
        </is>
      </c>
      <c r="AB841" s="50" t="inlineStr"/>
      <c r="AC841" s="43">
        <f>HYPERLINK("https://projects.propublica.org/nonprofits/organizations/530193519/202431319349302053/full","view filing")</f>
        <v/>
      </c>
      <c r="AD841" s="50" t="inlineStr"/>
    </row>
    <row r="842">
      <c r="A842" t="inlineStr">
        <is>
          <t>National Geographic Society</t>
        </is>
      </c>
      <c r="B842" s="50" t="inlineStr">
        <is>
          <t>DC</t>
        </is>
      </c>
      <c r="C842" s="52" t="n">
        <v>1.71</v>
      </c>
      <c r="D842" t="inlineStr">
        <is>
          <t>Other</t>
        </is>
      </c>
      <c r="E842" s="50" t="n">
        <v>2023</v>
      </c>
      <c r="F842" s="50" t="inlineStr">
        <is>
          <t>2024-05-10</t>
        </is>
      </c>
      <c r="G842" s="50" t="inlineStr">
        <is>
          <t>2023-12-31</t>
        </is>
      </c>
      <c r="H842" t="inlineStr">
        <is>
          <t>Kristi Craig</t>
        </is>
      </c>
      <c r="I842" t="inlineStr">
        <is>
          <t>Chief Investment Officer</t>
        </is>
      </c>
      <c r="J842" t="inlineStr">
        <is>
          <t>CIO</t>
        </is>
      </c>
      <c r="K842" t="inlineStr">
        <is>
          <t>CIO - Top Investment Executive</t>
        </is>
      </c>
      <c r="L842" s="28" t="n">
        <v>513914</v>
      </c>
      <c r="M842" s="28" t="n">
        <v>439726</v>
      </c>
      <c r="N842" s="28" t="n">
        <v>2743</v>
      </c>
      <c r="O842" s="28" t="n">
        <v>0</v>
      </c>
      <c r="P842" s="28" t="n">
        <v>24918</v>
      </c>
      <c r="Q842" s="28" t="n">
        <v>981301</v>
      </c>
      <c r="R842" s="28" t="n">
        <v>0</v>
      </c>
      <c r="S842" s="28">
        <f>Q842-R842</f>
        <v/>
      </c>
      <c r="T842" s="28">
        <f>IF(S842="","",S842*(1+in_GrowthRate)^(YEARFRAC(DATE(2023,12,31),in_AgeToDate)*IF(in_AgeToDate&lt;DATE(2023,12,31),-1,1)+1))</f>
        <v/>
      </c>
      <c r="U842" s="50">
        <f>IF(AND(AND(OR(in_Mode="All Funds",AND(C842&gt;=in_BandFloor,C842&lt;=in_BandCeiling,OR(in_Geography="National",COUNTIFS(lst_GeoPreset,in_Geography,lst_GeoState,B842)&gt;0,AND(in_Geography="Custom",ISNUMBER(SEARCH(B842,SUBSTITUTE(in_CustomStates," ",""))))),OR(AND(D842="Endowment",Inputs!$B$14="Y"),AND(D842="Foundation",Inputs!$B$15="Y"),AND(D842="Healthcare",Inputs!$B$16="Y"),AND(D842="Pension",Inputs!$B$17="Y"),AND(D842="OCIO",Inputs!$B$18="Y"),AND(D842="Other",Inputs!$B$19="Y")))),A842&lt;&gt;in_ClientOrg,NOT(AND(in_ExclHarvard="Y",ISNUMBER(SEARCH("Harvard",A842))))),$AD842="Y",K842&lt;&gt;"",S842&gt;0),"Y","")</f>
        <v/>
      </c>
      <c r="V842" s="30" t="n">
        <v>1</v>
      </c>
      <c r="W842" t="inlineStr"/>
      <c r="X842" s="28">
        <f>IF(L842+M842=0,"",L842+M842)</f>
        <v/>
      </c>
      <c r="Y842" s="38">
        <f>IF(L842=0,"",M842/L842)</f>
        <v/>
      </c>
      <c r="Z842" t="inlineStr">
        <is>
          <t>CIO - Top Investment Executive</t>
        </is>
      </c>
      <c r="AA842" t="inlineStr">
        <is>
          <t>Leadership</t>
        </is>
      </c>
      <c r="AB842" s="50" t="inlineStr">
        <is>
          <t>Y</t>
        </is>
      </c>
      <c r="AC842" s="43">
        <f>HYPERLINK("https://projects.propublica.org/nonprofits/organizations/530193519/202431319349302053/full","view filing")</f>
        <v/>
      </c>
      <c r="AD842" s="50" t="inlineStr"/>
    </row>
    <row r="843">
      <c r="A843" t="inlineStr">
        <is>
          <t>National Geographic Society</t>
        </is>
      </c>
      <c r="B843" s="50" t="inlineStr">
        <is>
          <t>DC</t>
        </is>
      </c>
      <c r="C843" s="52" t="n">
        <v>1.71</v>
      </c>
      <c r="D843" t="inlineStr">
        <is>
          <t>Other</t>
        </is>
      </c>
      <c r="E843" s="50" t="n">
        <v>2022</v>
      </c>
      <c r="F843" s="50" t="inlineStr">
        <is>
          <t>2023-05-15</t>
        </is>
      </c>
      <c r="G843" s="50" t="inlineStr">
        <is>
          <t>2022-12-31</t>
        </is>
      </c>
      <c r="H843" t="inlineStr">
        <is>
          <t>Kristi Craig</t>
        </is>
      </c>
      <c r="I843" t="inlineStr">
        <is>
          <t>Chief Investment Officer</t>
        </is>
      </c>
      <c r="J843" t="inlineStr">
        <is>
          <t>CIO</t>
        </is>
      </c>
      <c r="K843" t="inlineStr">
        <is>
          <t>CIO - Top Investment Executive</t>
        </is>
      </c>
      <c r="L843" s="28" t="n">
        <v>382911</v>
      </c>
      <c r="M843" s="28" t="n">
        <v>200000</v>
      </c>
      <c r="N843" s="28" t="n">
        <v>0</v>
      </c>
      <c r="O843" s="28" t="n">
        <v>1547</v>
      </c>
      <c r="P843" s="28" t="n">
        <v>19213</v>
      </c>
      <c r="Q843" s="28" t="n">
        <v>603671</v>
      </c>
      <c r="R843" s="28" t="n">
        <v>0</v>
      </c>
      <c r="S843" s="28">
        <f>Q843-R843</f>
        <v/>
      </c>
      <c r="T843" s="28">
        <f>IF(S843="","",S843*(1+in_GrowthRate)^(YEARFRAC(DATE(2022,12,31),in_AgeToDate)*IF(in_AgeToDate&lt;DATE(2022,12,31),-1,1)+1))</f>
        <v/>
      </c>
      <c r="U843" s="50">
        <f>IF(AND(AND(OR(in_Mode="All Funds",AND(C843&gt;=in_BandFloor,C843&lt;=in_BandCeiling,OR(in_Geography="National",COUNTIFS(lst_GeoPreset,in_Geography,lst_GeoState,B843)&gt;0,AND(in_Geography="Custom",ISNUMBER(SEARCH(B843,SUBSTITUTE(in_CustomStates," ",""))))),OR(AND(D843="Endowment",Inputs!$B$14="Y"),AND(D843="Foundation",Inputs!$B$15="Y"),AND(D843="Healthcare",Inputs!$B$16="Y"),AND(D843="Pension",Inputs!$B$17="Y"),AND(D843="OCIO",Inputs!$B$18="Y"),AND(D843="Other",Inputs!$B$19="Y")))),A843&lt;&gt;in_ClientOrg,NOT(AND(in_ExclHarvard="Y",ISNUMBER(SEARCH("Harvard",A843))))),$AD843="Y",K843&lt;&gt;"",S843&gt;0),"Y","")</f>
        <v/>
      </c>
      <c r="V843" s="30" t="n">
        <v>1</v>
      </c>
      <c r="W843" t="inlineStr"/>
      <c r="X843" s="28">
        <f>IF(L843+M843=0,"",L843+M843)</f>
        <v/>
      </c>
      <c r="Y843" s="38">
        <f>IF(L843=0,"",M843/L843)</f>
        <v/>
      </c>
      <c r="Z843" t="inlineStr">
        <is>
          <t>CIO - Top Investment Executive</t>
        </is>
      </c>
      <c r="AA843" t="inlineStr">
        <is>
          <t>Leadership</t>
        </is>
      </c>
      <c r="AB843" s="50" t="inlineStr">
        <is>
          <t>Y</t>
        </is>
      </c>
      <c r="AC843" s="43">
        <f>HYPERLINK("https://projects.propublica.org/nonprofits/organizations/530193519/202331359349311078/full","view filing")</f>
        <v/>
      </c>
      <c r="AD843" s="50" t="inlineStr"/>
    </row>
    <row r="844">
      <c r="A844" t="inlineStr">
        <is>
          <t>Nature Conservancy</t>
        </is>
      </c>
      <c r="B844" s="50" t="inlineStr">
        <is>
          <t>VA</t>
        </is>
      </c>
      <c r="C844" s="52" t="n">
        <v>3.86</v>
      </c>
      <c r="D844" t="inlineStr">
        <is>
          <t>Other</t>
        </is>
      </c>
      <c r="E844" s="50" t="n">
        <v>2025</v>
      </c>
      <c r="F844" s="50" t="inlineStr">
        <is>
          <t>2026-05-14</t>
        </is>
      </c>
      <c r="G844" s="50" t="inlineStr">
        <is>
          <t>2025-06-30</t>
        </is>
      </c>
      <c r="H844" t="inlineStr">
        <is>
          <t>Bola Olusanya</t>
        </is>
      </c>
      <c r="I844" t="inlineStr">
        <is>
          <t>CHIEF INVESTMENT OFFICER</t>
        </is>
      </c>
      <c r="J844" t="inlineStr">
        <is>
          <t>CIO</t>
        </is>
      </c>
      <c r="K844" t="inlineStr">
        <is>
          <t>CIO - Top Investment Executive</t>
        </is>
      </c>
      <c r="L844" s="28" t="n">
        <v>706385</v>
      </c>
      <c r="M844" s="28" t="n">
        <v>70000</v>
      </c>
      <c r="N844" s="28" t="n">
        <v>1518</v>
      </c>
      <c r="O844" s="28" t="n">
        <v>34753</v>
      </c>
      <c r="P844" s="28" t="n">
        <v>19357</v>
      </c>
      <c r="Q844" s="28" t="n">
        <v>832013</v>
      </c>
      <c r="R844" s="28" t="n">
        <v>0</v>
      </c>
      <c r="S844" s="28">
        <f>Q844-R844</f>
        <v/>
      </c>
      <c r="T844" s="28">
        <f>IF(S844="","",S844*(1+in_GrowthRate)^(YEARFRAC(DATE(2025,6,30),in_AgeToDate)*IF(in_AgeToDate&lt;DATE(2025,6,30),-1,1)+1))</f>
        <v/>
      </c>
      <c r="U844" s="50">
        <f>IF(AND(AND(OR(in_Mode="All Funds",AND(C844&gt;=in_BandFloor,C844&lt;=in_BandCeiling,OR(in_Geography="National",COUNTIFS(lst_GeoPreset,in_Geography,lst_GeoState,B844)&gt;0,AND(in_Geography="Custom",ISNUMBER(SEARCH(B844,SUBSTITUTE(in_CustomStates," ",""))))),OR(AND(D844="Endowment",Inputs!$B$14="Y"),AND(D844="Foundation",Inputs!$B$15="Y"),AND(D844="Healthcare",Inputs!$B$16="Y"),AND(D844="Pension",Inputs!$B$17="Y"),AND(D844="OCIO",Inputs!$B$18="Y"),AND(D844="Other",Inputs!$B$19="Y")))),A844&lt;&gt;in_ClientOrg,NOT(AND(in_ExclHarvard="Y",ISNUMBER(SEARCH("Harvard",A844))))),$AD844="Y",K844&lt;&gt;"",S844&gt;0),"Y","")</f>
        <v/>
      </c>
      <c r="V844" s="30" t="n">
        <v>1</v>
      </c>
      <c r="W844" t="inlineStr"/>
      <c r="X844" s="28">
        <f>IF(L844+M844=0,"",L844+M844)</f>
        <v/>
      </c>
      <c r="Y844" s="38">
        <f>IF(L844=0,"",M844/L844)</f>
        <v/>
      </c>
      <c r="Z844" t="inlineStr">
        <is>
          <t>CIO - Top Investment Executive</t>
        </is>
      </c>
      <c r="AA844" t="inlineStr">
        <is>
          <t>Leadership</t>
        </is>
      </c>
      <c r="AB844" s="50" t="inlineStr">
        <is>
          <t>Y</t>
        </is>
      </c>
      <c r="AC844" s="43">
        <f>HYPERLINK("https://projects.propublica.org/nonprofits/organizations/530242652/202611349349310061/full","view filing")</f>
        <v/>
      </c>
      <c r="AD844" s="50" t="inlineStr">
        <is>
          <t>Y</t>
        </is>
      </c>
    </row>
    <row r="845">
      <c r="A845" t="inlineStr">
        <is>
          <t>Nature Conservancy</t>
        </is>
      </c>
      <c r="B845" s="50" t="inlineStr">
        <is>
          <t>VA</t>
        </is>
      </c>
      <c r="C845" s="52" t="n">
        <v>3.86</v>
      </c>
      <c r="D845" t="inlineStr">
        <is>
          <t>Other</t>
        </is>
      </c>
      <c r="E845" s="50" t="n">
        <v>2024</v>
      </c>
      <c r="F845" s="50" t="inlineStr">
        <is>
          <t>2025-05-08</t>
        </is>
      </c>
      <c r="G845" s="50" t="inlineStr">
        <is>
          <t>2024-06-30</t>
        </is>
      </c>
      <c r="H845" t="inlineStr">
        <is>
          <t>Bola Olusanya</t>
        </is>
      </c>
      <c r="I845" t="inlineStr">
        <is>
          <t>CHIEF INVESTMENT OFFICER</t>
        </is>
      </c>
      <c r="J845" t="inlineStr">
        <is>
          <t>CIO</t>
        </is>
      </c>
      <c r="K845" t="inlineStr">
        <is>
          <t>CIO - Top Investment Executive</t>
        </is>
      </c>
      <c r="L845" s="28" t="n">
        <v>555293</v>
      </c>
      <c r="M845" s="28" t="n">
        <v>300000</v>
      </c>
      <c r="N845" s="28" t="n">
        <v>990</v>
      </c>
      <c r="O845" s="28" t="n">
        <v>31421</v>
      </c>
      <c r="P845" s="28" t="n">
        <v>18098</v>
      </c>
      <c r="Q845" s="28" t="n">
        <v>905802</v>
      </c>
      <c r="R845" s="28" t="n">
        <v>0</v>
      </c>
      <c r="S845" s="28">
        <f>Q845-R845</f>
        <v/>
      </c>
      <c r="T845" s="28">
        <f>IF(S845="","",S845*(1+in_GrowthRate)^(YEARFRAC(DATE(2024,6,30),in_AgeToDate)*IF(in_AgeToDate&lt;DATE(2024,6,30),-1,1)+1))</f>
        <v/>
      </c>
      <c r="U845" s="50">
        <f>IF(AND(AND(OR(in_Mode="All Funds",AND(C845&gt;=in_BandFloor,C845&lt;=in_BandCeiling,OR(in_Geography="National",COUNTIFS(lst_GeoPreset,in_Geography,lst_GeoState,B845)&gt;0,AND(in_Geography="Custom",ISNUMBER(SEARCH(B845,SUBSTITUTE(in_CustomStates," ",""))))),OR(AND(D845="Endowment",Inputs!$B$14="Y"),AND(D845="Foundation",Inputs!$B$15="Y"),AND(D845="Healthcare",Inputs!$B$16="Y"),AND(D845="Pension",Inputs!$B$17="Y"),AND(D845="OCIO",Inputs!$B$18="Y"),AND(D845="Other",Inputs!$B$19="Y")))),A845&lt;&gt;in_ClientOrg,NOT(AND(in_ExclHarvard="Y",ISNUMBER(SEARCH("Harvard",A845))))),$AD845="Y",K845&lt;&gt;"",S845&gt;0),"Y","")</f>
        <v/>
      </c>
      <c r="V845" s="30" t="n">
        <v>1</v>
      </c>
      <c r="W845" t="inlineStr"/>
      <c r="X845" s="28">
        <f>IF(L845+M845=0,"",L845+M845)</f>
        <v/>
      </c>
      <c r="Y845" s="38">
        <f>IF(L845=0,"",M845/L845)</f>
        <v/>
      </c>
      <c r="Z845" t="inlineStr">
        <is>
          <t>CIO - Top Investment Executive</t>
        </is>
      </c>
      <c r="AA845" t="inlineStr">
        <is>
          <t>Leadership</t>
        </is>
      </c>
      <c r="AB845" s="50" t="inlineStr">
        <is>
          <t>Y</t>
        </is>
      </c>
      <c r="AC845" s="43">
        <f>HYPERLINK("https://projects.propublica.org/nonprofits/organizations/530242652/202511289349301711/full","view filing")</f>
        <v/>
      </c>
      <c r="AD845" s="50" t="inlineStr"/>
    </row>
    <row r="846">
      <c r="A846" t="inlineStr">
        <is>
          <t>Nature Conservancy</t>
        </is>
      </c>
      <c r="B846" s="50" t="inlineStr">
        <is>
          <t>VA</t>
        </is>
      </c>
      <c r="C846" s="52" t="n">
        <v>3.86</v>
      </c>
      <c r="D846" t="inlineStr">
        <is>
          <t>Other</t>
        </is>
      </c>
      <c r="E846" s="50" t="n">
        <v>2023</v>
      </c>
      <c r="F846" s="50" t="inlineStr">
        <is>
          <t>2024-05-06</t>
        </is>
      </c>
      <c r="G846" s="50" t="inlineStr">
        <is>
          <t>2023-06-30</t>
        </is>
      </c>
      <c r="H846" t="inlineStr">
        <is>
          <t>Bola Olusanya</t>
        </is>
      </c>
      <c r="I846" t="inlineStr">
        <is>
          <t>CHIEF INVESTMENT OFFICER</t>
        </is>
      </c>
      <c r="J846" t="inlineStr">
        <is>
          <t>CIO</t>
        </is>
      </c>
      <c r="K846" t="inlineStr">
        <is>
          <t>CIO - Top Investment Executive</t>
        </is>
      </c>
      <c r="L846" s="28" t="n">
        <v>486023</v>
      </c>
      <c r="M846" s="28" t="n">
        <v>368333</v>
      </c>
      <c r="N846" s="28" t="n">
        <v>990</v>
      </c>
      <c r="O846" s="28" t="n">
        <v>29157</v>
      </c>
      <c r="P846" s="28" t="n">
        <v>18668</v>
      </c>
      <c r="Q846" s="28" t="n">
        <v>903171</v>
      </c>
      <c r="R846" s="28" t="n">
        <v>0</v>
      </c>
      <c r="S846" s="28">
        <f>Q846-R846</f>
        <v/>
      </c>
      <c r="T846" s="28">
        <f>IF(S846="","",S846*(1+in_GrowthRate)^(YEARFRAC(DATE(2023,6,30),in_AgeToDate)*IF(in_AgeToDate&lt;DATE(2023,6,30),-1,1)+1))</f>
        <v/>
      </c>
      <c r="U846" s="50">
        <f>IF(AND(AND(OR(in_Mode="All Funds",AND(C846&gt;=in_BandFloor,C846&lt;=in_BandCeiling,OR(in_Geography="National",COUNTIFS(lst_GeoPreset,in_Geography,lst_GeoState,B846)&gt;0,AND(in_Geography="Custom",ISNUMBER(SEARCH(B846,SUBSTITUTE(in_CustomStates," ",""))))),OR(AND(D846="Endowment",Inputs!$B$14="Y"),AND(D846="Foundation",Inputs!$B$15="Y"),AND(D846="Healthcare",Inputs!$B$16="Y"),AND(D846="Pension",Inputs!$B$17="Y"),AND(D846="OCIO",Inputs!$B$18="Y"),AND(D846="Other",Inputs!$B$19="Y")))),A846&lt;&gt;in_ClientOrg,NOT(AND(in_ExclHarvard="Y",ISNUMBER(SEARCH("Harvard",A846))))),$AD846="Y",K846&lt;&gt;"",S846&gt;0),"Y","")</f>
        <v/>
      </c>
      <c r="V846" s="30" t="n">
        <v>1</v>
      </c>
      <c r="W846" t="inlineStr"/>
      <c r="X846" s="28">
        <f>IF(L846+M846=0,"",L846+M846)</f>
        <v/>
      </c>
      <c r="Y846" s="38">
        <f>IF(L846=0,"",M846/L846)</f>
        <v/>
      </c>
      <c r="Z846" t="inlineStr">
        <is>
          <t>CIO - Top Investment Executive</t>
        </is>
      </c>
      <c r="AA846" t="inlineStr">
        <is>
          <t>Leadership</t>
        </is>
      </c>
      <c r="AB846" s="50" t="inlineStr">
        <is>
          <t>Y</t>
        </is>
      </c>
      <c r="AC846" s="43">
        <f>HYPERLINK("https://projects.propublica.org/nonprofits/organizations/530242652/202431279349301813/full","view filing")</f>
        <v/>
      </c>
      <c r="AD846" s="50" t="inlineStr"/>
    </row>
    <row r="847">
      <c r="A847" t="inlineStr">
        <is>
          <t>Nature Conservancy</t>
        </is>
      </c>
      <c r="B847" s="50" t="inlineStr">
        <is>
          <t>VA</t>
        </is>
      </c>
      <c r="C847" s="52" t="n">
        <v>3.86</v>
      </c>
      <c r="D847" t="inlineStr">
        <is>
          <t>Other</t>
        </is>
      </c>
      <c r="E847" s="50" t="n">
        <v>2022</v>
      </c>
      <c r="F847" s="50" t="inlineStr">
        <is>
          <t>2023-05-12</t>
        </is>
      </c>
      <c r="G847" s="50" t="inlineStr">
        <is>
          <t>2022-06-30</t>
        </is>
      </c>
      <c r="H847" t="inlineStr">
        <is>
          <t>Bola Olusanya</t>
        </is>
      </c>
      <c r="I847" t="inlineStr">
        <is>
          <t>CHIEF INVESTMENT OFFICER</t>
        </is>
      </c>
      <c r="J847" t="inlineStr">
        <is>
          <t>CIO</t>
        </is>
      </c>
      <c r="K847" t="inlineStr">
        <is>
          <t>CIO - Top Investment Executive</t>
        </is>
      </c>
      <c r="L847" s="28" t="n">
        <v>419539</v>
      </c>
      <c r="M847" s="28" t="n">
        <v>0</v>
      </c>
      <c r="N847" s="28" t="n">
        <v>1990</v>
      </c>
      <c r="O847" s="28" t="n">
        <v>23355</v>
      </c>
      <c r="P847" s="28" t="n">
        <v>101</v>
      </c>
      <c r="Q847" s="28" t="n">
        <v>444985</v>
      </c>
      <c r="R847" s="28" t="n">
        <v>0</v>
      </c>
      <c r="S847" s="28">
        <f>Q847-R847</f>
        <v/>
      </c>
      <c r="T847" s="28">
        <f>IF(S847="","",S847*(1+in_GrowthRate)^(YEARFRAC(DATE(2022,6,30),in_AgeToDate)*IF(in_AgeToDate&lt;DATE(2022,6,30),-1,1)+1))</f>
        <v/>
      </c>
      <c r="U847" s="50">
        <f>IF(AND(AND(OR(in_Mode="All Funds",AND(C847&gt;=in_BandFloor,C847&lt;=in_BandCeiling,OR(in_Geography="National",COUNTIFS(lst_GeoPreset,in_Geography,lst_GeoState,B847)&gt;0,AND(in_Geography="Custom",ISNUMBER(SEARCH(B847,SUBSTITUTE(in_CustomStates," ",""))))),OR(AND(D847="Endowment",Inputs!$B$14="Y"),AND(D847="Foundation",Inputs!$B$15="Y"),AND(D847="Healthcare",Inputs!$B$16="Y"),AND(D847="Pension",Inputs!$B$17="Y"),AND(D847="OCIO",Inputs!$B$18="Y"),AND(D847="Other",Inputs!$B$19="Y")))),A847&lt;&gt;in_ClientOrg,NOT(AND(in_ExclHarvard="Y",ISNUMBER(SEARCH("Harvard",A847))))),$AD847="Y",K847&lt;&gt;"",S847&gt;0),"Y","")</f>
        <v/>
      </c>
      <c r="V847" s="30" t="n">
        <v>1</v>
      </c>
      <c r="W847" t="inlineStr"/>
      <c r="X847" s="28">
        <f>IF(L847+M847=0,"",L847+M847)</f>
        <v/>
      </c>
      <c r="Y847" s="38">
        <f>IF(L847=0,"",M847/L847)</f>
        <v/>
      </c>
      <c r="Z847" t="inlineStr">
        <is>
          <t>CIO - Top Investment Executive</t>
        </is>
      </c>
      <c r="AA847" t="inlineStr">
        <is>
          <t>Leadership</t>
        </is>
      </c>
      <c r="AB847" s="50" t="inlineStr">
        <is>
          <t>Y</t>
        </is>
      </c>
      <c r="AC847" s="43">
        <f>HYPERLINK("https://projects.propublica.org/nonprofits/organizations/530242652/202321329349304902/full","view filing")</f>
        <v/>
      </c>
      <c r="AD847" s="50" t="inlineStr"/>
    </row>
    <row r="848">
      <c r="A848" t="inlineStr">
        <is>
          <t>New York University</t>
        </is>
      </c>
      <c r="B848" s="50" t="inlineStr">
        <is>
          <t>NY</t>
        </is>
      </c>
      <c r="C848" s="52" t="n">
        <v>7.28</v>
      </c>
      <c r="D848" t="inlineStr">
        <is>
          <t>Endowment</t>
        </is>
      </c>
      <c r="E848" s="50" t="n">
        <v>2025</v>
      </c>
      <c r="F848" s="50" t="inlineStr">
        <is>
          <t>2026-07-13</t>
        </is>
      </c>
      <c r="G848" s="50" t="inlineStr">
        <is>
          <t>2025-08-31</t>
        </is>
      </c>
      <c r="H848" t="inlineStr">
        <is>
          <t>Michelle Knudsen</t>
        </is>
      </c>
      <c r="I848" t="inlineStr">
        <is>
          <t>CHIEF INVESTMENT OFFICER (Start Date: 06/24/2024)</t>
        </is>
      </c>
      <c r="J848" t="inlineStr">
        <is>
          <t>CIO</t>
        </is>
      </c>
      <c r="K848" t="inlineStr">
        <is>
          <t>CIO - Top Investment Executive</t>
        </is>
      </c>
      <c r="L848" s="28" t="n">
        <v>523950</v>
      </c>
      <c r="M848" s="28" t="n">
        <v>0</v>
      </c>
      <c r="N848" s="28" t="n">
        <v>0</v>
      </c>
      <c r="O848" s="28" t="n">
        <v>0</v>
      </c>
      <c r="P848" s="28" t="n">
        <v>73</v>
      </c>
      <c r="Q848" s="28" t="n">
        <v>524023</v>
      </c>
      <c r="R848" s="28" t="n">
        <v>0</v>
      </c>
      <c r="S848" s="28">
        <f>Q848-R848</f>
        <v/>
      </c>
      <c r="T848" s="28">
        <f>IF(S848="","",S848*(1+in_GrowthRate)^(YEARFRAC(DATE(2025,8,31),in_AgeToDate)*IF(in_AgeToDate&lt;DATE(2025,8,31),-1,1)+1))</f>
        <v/>
      </c>
      <c r="U848" s="50">
        <f>IF(AND(AND(OR(in_Mode="All Funds",AND(C848&gt;=in_BandFloor,C848&lt;=in_BandCeiling,OR(in_Geography="National",COUNTIFS(lst_GeoPreset,in_Geography,lst_GeoState,B848)&gt;0,AND(in_Geography="Custom",ISNUMBER(SEARCH(B848,SUBSTITUTE(in_CustomStates," ",""))))),OR(AND(D848="Endowment",Inputs!$B$14="Y"),AND(D848="Foundation",Inputs!$B$15="Y"),AND(D848="Healthcare",Inputs!$B$16="Y"),AND(D848="Pension",Inputs!$B$17="Y"),AND(D848="OCIO",Inputs!$B$18="Y"),AND(D848="Other",Inputs!$B$19="Y")))),A848&lt;&gt;in_ClientOrg,NOT(AND(in_ExclHarvard="Y",ISNUMBER(SEARCH("Harvard",A848))))),$AD848="Y",K848&lt;&gt;"",S848&gt;0),"Y","")</f>
        <v/>
      </c>
      <c r="V848" s="30" t="n">
        <v>1</v>
      </c>
      <c r="W848" t="inlineStr"/>
      <c r="X848" s="28">
        <f>IF(L848+M848=0,"",L848+M848)</f>
        <v/>
      </c>
      <c r="Y848" s="38">
        <f>IF(L848=0,"",M848/L848)</f>
        <v/>
      </c>
      <c r="Z848" t="inlineStr">
        <is>
          <t>CIO - Top Investment Executive</t>
        </is>
      </c>
      <c r="AA848" t="inlineStr">
        <is>
          <t>Leadership</t>
        </is>
      </c>
      <c r="AB848" s="50" t="inlineStr">
        <is>
          <t>Y</t>
        </is>
      </c>
      <c r="AC848" s="43">
        <f>HYPERLINK("https://projects.propublica.org/nonprofits/organizations/135562308/202641949349300684/full","view filing")</f>
        <v/>
      </c>
      <c r="AD848" s="50" t="inlineStr">
        <is>
          <t>Y</t>
        </is>
      </c>
    </row>
    <row r="849">
      <c r="A849" t="inlineStr">
        <is>
          <t>New York University</t>
        </is>
      </c>
      <c r="B849" s="50" t="inlineStr">
        <is>
          <t>NY</t>
        </is>
      </c>
      <c r="C849" s="52" t="n">
        <v>7.28</v>
      </c>
      <c r="D849" t="inlineStr">
        <is>
          <t>Endowment</t>
        </is>
      </c>
      <c r="E849" s="50" t="n">
        <v>2024</v>
      </c>
      <c r="F849" s="50" t="inlineStr">
        <is>
          <t>2025-07-15</t>
        </is>
      </c>
      <c r="G849" s="50" t="inlineStr">
        <is>
          <t>2024-08-31</t>
        </is>
      </c>
      <c r="H849" t="inlineStr">
        <is>
          <t>Kathleen Jacobs</t>
        </is>
      </c>
      <c r="I849" t="inlineStr">
        <is>
          <t>CHIEF INVESTMENT OFFICER (End date: 09/30/2023)</t>
        </is>
      </c>
      <c r="J849" t="inlineStr">
        <is>
          <t>CIO</t>
        </is>
      </c>
      <c r="K849" t="inlineStr">
        <is>
          <t>CIO - Top Investment Executive</t>
        </is>
      </c>
      <c r="L849" s="28" t="n">
        <v>922625</v>
      </c>
      <c r="M849" s="28" t="n">
        <v>4000</v>
      </c>
      <c r="N849" s="28" t="n">
        <v>3100000</v>
      </c>
      <c r="O849" s="28" t="n">
        <v>33000</v>
      </c>
      <c r="P849" s="28" t="n">
        <v>15302</v>
      </c>
      <c r="Q849" s="28" t="n">
        <v>4074927</v>
      </c>
      <c r="R849" s="28" t="n">
        <v>0</v>
      </c>
      <c r="S849" s="28">
        <f>Q849-R849</f>
        <v/>
      </c>
      <c r="T849" s="28">
        <f>IF(S849="","",S849*(1+in_GrowthRate)^(YEARFRAC(DATE(2024,8,31),in_AgeToDate)*IF(in_AgeToDate&lt;DATE(2024,8,31),-1,1)+1))</f>
        <v/>
      </c>
      <c r="U849" s="50">
        <f>IF(AND(AND(OR(in_Mode="All Funds",AND(C849&gt;=in_BandFloor,C849&lt;=in_BandCeiling,OR(in_Geography="National",COUNTIFS(lst_GeoPreset,in_Geography,lst_GeoState,B849)&gt;0,AND(in_Geography="Custom",ISNUMBER(SEARCH(B849,SUBSTITUTE(in_CustomStates," ",""))))),OR(AND(D849="Endowment",Inputs!$B$14="Y"),AND(D849="Foundation",Inputs!$B$15="Y"),AND(D849="Healthcare",Inputs!$B$16="Y"),AND(D849="Pension",Inputs!$B$17="Y"),AND(D849="OCIO",Inputs!$B$18="Y"),AND(D849="Other",Inputs!$B$19="Y")))),A849&lt;&gt;in_ClientOrg,NOT(AND(in_ExclHarvard="Y",ISNUMBER(SEARCH("Harvard",A849))))),$AD849="Y",K849&lt;&gt;"",S849&gt;0),"Y","")</f>
        <v/>
      </c>
      <c r="V849" s="30" t="n">
        <v>1</v>
      </c>
      <c r="W849" t="inlineStr"/>
      <c r="X849" s="28">
        <f>IF(L849+M849=0,"",L849+M849)</f>
        <v/>
      </c>
      <c r="Y849" s="38">
        <f>IF(L849=0,"",M849/L849)</f>
        <v/>
      </c>
      <c r="Z849" t="inlineStr">
        <is>
          <t>CIO - Top Investment Executive</t>
        </is>
      </c>
      <c r="AA849" t="inlineStr">
        <is>
          <t>Leadership</t>
        </is>
      </c>
      <c r="AB849" s="50" t="inlineStr">
        <is>
          <t>Y</t>
        </is>
      </c>
      <c r="AC849" s="43">
        <f>HYPERLINK("https://projects.propublica.org/nonprofits/organizations/135562308/202521959349301227/full","view filing")</f>
        <v/>
      </c>
      <c r="AD849" s="50" t="inlineStr"/>
    </row>
    <row r="850">
      <c r="A850" t="inlineStr">
        <is>
          <t>New York University</t>
        </is>
      </c>
      <c r="B850" s="50" t="inlineStr">
        <is>
          <t>NY</t>
        </is>
      </c>
      <c r="C850" s="52" t="n">
        <v>7.28</v>
      </c>
      <c r="D850" t="inlineStr">
        <is>
          <t>Endowment</t>
        </is>
      </c>
      <c r="E850" s="50" t="n">
        <v>2023</v>
      </c>
      <c r="F850" s="50" t="inlineStr">
        <is>
          <t>2024-07-11</t>
        </is>
      </c>
      <c r="G850" s="50" t="inlineStr">
        <is>
          <t>2023-08-31</t>
        </is>
      </c>
      <c r="H850" t="inlineStr">
        <is>
          <t>Kathleen Jacobs</t>
        </is>
      </c>
      <c r="I850" t="inlineStr">
        <is>
          <t>CHIEF INVESTMENT OFFICER</t>
        </is>
      </c>
      <c r="J850" t="inlineStr">
        <is>
          <t>CIO</t>
        </is>
      </c>
      <c r="K850" t="inlineStr">
        <is>
          <t>CIO - Top Investment Executive</t>
        </is>
      </c>
      <c r="L850" s="28" t="n">
        <v>788831</v>
      </c>
      <c r="M850" s="28" t="n">
        <v>758423</v>
      </c>
      <c r="N850" s="28" t="n">
        <v>0</v>
      </c>
      <c r="O850" s="28" t="n">
        <v>30500</v>
      </c>
      <c r="P850" s="28" t="n">
        <v>19121</v>
      </c>
      <c r="Q850" s="28" t="n">
        <v>1596875</v>
      </c>
      <c r="R850" s="28" t="n">
        <v>0</v>
      </c>
      <c r="S850" s="28">
        <f>Q850-R850</f>
        <v/>
      </c>
      <c r="T850" s="28">
        <f>IF(S850="","",S850*(1+in_GrowthRate)^(YEARFRAC(DATE(2023,8,31),in_AgeToDate)*IF(in_AgeToDate&lt;DATE(2023,8,31),-1,1)+1))</f>
        <v/>
      </c>
      <c r="U850" s="50">
        <f>IF(AND(AND(OR(in_Mode="All Funds",AND(C850&gt;=in_BandFloor,C850&lt;=in_BandCeiling,OR(in_Geography="National",COUNTIFS(lst_GeoPreset,in_Geography,lst_GeoState,B850)&gt;0,AND(in_Geography="Custom",ISNUMBER(SEARCH(B850,SUBSTITUTE(in_CustomStates," ",""))))),OR(AND(D850="Endowment",Inputs!$B$14="Y"),AND(D850="Foundation",Inputs!$B$15="Y"),AND(D850="Healthcare",Inputs!$B$16="Y"),AND(D850="Pension",Inputs!$B$17="Y"),AND(D850="OCIO",Inputs!$B$18="Y"),AND(D850="Other",Inputs!$B$19="Y")))),A850&lt;&gt;in_ClientOrg,NOT(AND(in_ExclHarvard="Y",ISNUMBER(SEARCH("Harvard",A850))))),$AD850="Y",K850&lt;&gt;"",S850&gt;0),"Y","")</f>
        <v/>
      </c>
      <c r="V850" s="30" t="n">
        <v>1</v>
      </c>
      <c r="W850" t="inlineStr"/>
      <c r="X850" s="28">
        <f>IF(L850+M850=0,"",L850+M850)</f>
        <v/>
      </c>
      <c r="Y850" s="38">
        <f>IF(L850=0,"",M850/L850)</f>
        <v/>
      </c>
      <c r="Z850" t="inlineStr">
        <is>
          <t>CIO - Top Investment Executive</t>
        </is>
      </c>
      <c r="AA850" t="inlineStr">
        <is>
          <t>Leadership</t>
        </is>
      </c>
      <c r="AB850" s="50" t="inlineStr">
        <is>
          <t>Y</t>
        </is>
      </c>
      <c r="AC850" s="43">
        <f>HYPERLINK("https://projects.propublica.org/nonprofits/organizations/135562308/202401939349301015/full","view filing")</f>
        <v/>
      </c>
      <c r="AD850" s="50" t="inlineStr"/>
    </row>
    <row r="851">
      <c r="A851" t="inlineStr">
        <is>
          <t>New York University</t>
        </is>
      </c>
      <c r="B851" s="50" t="inlineStr">
        <is>
          <t>NY</t>
        </is>
      </c>
      <c r="C851" s="52" t="n">
        <v>7.28</v>
      </c>
      <c r="D851" t="inlineStr">
        <is>
          <t>Endowment</t>
        </is>
      </c>
      <c r="E851" s="50" t="n">
        <v>2022</v>
      </c>
      <c r="F851" s="50" t="inlineStr">
        <is>
          <t>2023-07-11</t>
        </is>
      </c>
      <c r="G851" s="50" t="inlineStr">
        <is>
          <t>2022-08-31</t>
        </is>
      </c>
      <c r="H851" t="inlineStr">
        <is>
          <t>Kathleen Jacobs</t>
        </is>
      </c>
      <c r="I851" t="inlineStr">
        <is>
          <t>CHIEF INVESTMENT OFFICER</t>
        </is>
      </c>
      <c r="J851" t="inlineStr">
        <is>
          <t>CIO</t>
        </is>
      </c>
      <c r="K851" t="inlineStr">
        <is>
          <t>CIO - Top Investment Executive</t>
        </is>
      </c>
      <c r="L851" s="28" t="n">
        <v>764827</v>
      </c>
      <c r="M851" s="28" t="n">
        <v>1308961</v>
      </c>
      <c r="N851" s="28" t="n">
        <v>0</v>
      </c>
      <c r="O851" s="28" t="n">
        <v>29000</v>
      </c>
      <c r="P851" s="28" t="n">
        <v>18846</v>
      </c>
      <c r="Q851" s="28" t="n">
        <v>2121634</v>
      </c>
      <c r="R851" s="28" t="n">
        <v>0</v>
      </c>
      <c r="S851" s="28">
        <f>Q851-R851</f>
        <v/>
      </c>
      <c r="T851" s="28">
        <f>IF(S851="","",S851*(1+in_GrowthRate)^(YEARFRAC(DATE(2022,8,31),in_AgeToDate)*IF(in_AgeToDate&lt;DATE(2022,8,31),-1,1)+1))</f>
        <v/>
      </c>
      <c r="U851" s="50">
        <f>IF(AND(AND(OR(in_Mode="All Funds",AND(C851&gt;=in_BandFloor,C851&lt;=in_BandCeiling,OR(in_Geography="National",COUNTIFS(lst_GeoPreset,in_Geography,lst_GeoState,B851)&gt;0,AND(in_Geography="Custom",ISNUMBER(SEARCH(B851,SUBSTITUTE(in_CustomStates," ",""))))),OR(AND(D851="Endowment",Inputs!$B$14="Y"),AND(D851="Foundation",Inputs!$B$15="Y"),AND(D851="Healthcare",Inputs!$B$16="Y"),AND(D851="Pension",Inputs!$B$17="Y"),AND(D851="OCIO",Inputs!$B$18="Y"),AND(D851="Other",Inputs!$B$19="Y")))),A851&lt;&gt;in_ClientOrg,NOT(AND(in_ExclHarvard="Y",ISNUMBER(SEARCH("Harvard",A851))))),$AD851="Y",K851&lt;&gt;"",S851&gt;0),"Y","")</f>
        <v/>
      </c>
      <c r="V851" s="30" t="n">
        <v>1</v>
      </c>
      <c r="W851" t="inlineStr"/>
      <c r="X851" s="28">
        <f>IF(L851+M851=0,"",L851+M851)</f>
        <v/>
      </c>
      <c r="Y851" s="38">
        <f>IF(L851=0,"",M851/L851)</f>
        <v/>
      </c>
      <c r="Z851" t="inlineStr">
        <is>
          <t>CIO - Top Investment Executive</t>
        </is>
      </c>
      <c r="AA851" t="inlineStr">
        <is>
          <t>Leadership</t>
        </is>
      </c>
      <c r="AB851" s="50" t="inlineStr">
        <is>
          <t>Y</t>
        </is>
      </c>
      <c r="AC851" s="43">
        <f>HYPERLINK("https://projects.propublica.org/nonprofits/organizations/135562308/202341929349301584/full","view filing")</f>
        <v/>
      </c>
      <c r="AD851" s="50" t="inlineStr"/>
    </row>
    <row r="852">
      <c r="A852" t="inlineStr">
        <is>
          <t>Northwestern University</t>
        </is>
      </c>
      <c r="B852" s="50" t="inlineStr">
        <is>
          <t>IL</t>
        </is>
      </c>
      <c r="C852" s="52" t="n">
        <v>15.17</v>
      </c>
      <c r="D852" t="inlineStr">
        <is>
          <t>Endowment</t>
        </is>
      </c>
      <c r="E852" s="50" t="n">
        <v>2025</v>
      </c>
      <c r="F852" s="50" t="inlineStr">
        <is>
          <t>2026-07-14</t>
        </is>
      </c>
      <c r="G852" s="50" t="inlineStr">
        <is>
          <t>2025-08-31</t>
        </is>
      </c>
      <c r="H852" t="inlineStr">
        <is>
          <t>Amy Falls</t>
        </is>
      </c>
      <c r="I852" t="inlineStr">
        <is>
          <t>VP &amp; Chief Investment Officer</t>
        </is>
      </c>
      <c r="J852" t="inlineStr">
        <is>
          <t>CIO</t>
        </is>
      </c>
      <c r="K852" t="inlineStr">
        <is>
          <t>CIO - Top Investment Executive</t>
        </is>
      </c>
      <c r="L852" s="28" t="n">
        <v>1010449</v>
      </c>
      <c r="M852" s="28" t="n">
        <v>0</v>
      </c>
      <c r="N852" s="28" t="n">
        <v>1372462</v>
      </c>
      <c r="O852" s="28" t="n">
        <v>1230891</v>
      </c>
      <c r="P852" s="28" t="n">
        <v>48255</v>
      </c>
      <c r="Q852" s="28" t="n">
        <v>3662057</v>
      </c>
      <c r="R852" s="28" t="n">
        <v>472878</v>
      </c>
      <c r="S852" s="28">
        <f>Q852-R852</f>
        <v/>
      </c>
      <c r="T852" s="28">
        <f>IF(S852="","",S852*(1+in_GrowthRate)^(YEARFRAC(DATE(2025,8,31),in_AgeToDate)*IF(in_AgeToDate&lt;DATE(2025,8,31),-1,1)+1))</f>
        <v/>
      </c>
      <c r="U852" s="50">
        <f>IF(AND(AND(OR(in_Mode="All Funds",AND(C852&gt;=in_BandFloor,C852&lt;=in_BandCeiling,OR(in_Geography="National",COUNTIFS(lst_GeoPreset,in_Geography,lst_GeoState,B852)&gt;0,AND(in_Geography="Custom",ISNUMBER(SEARCH(B852,SUBSTITUTE(in_CustomStates," ",""))))),OR(AND(D852="Endowment",Inputs!$B$14="Y"),AND(D852="Foundation",Inputs!$B$15="Y"),AND(D852="Healthcare",Inputs!$B$16="Y"),AND(D852="Pension",Inputs!$B$17="Y"),AND(D852="OCIO",Inputs!$B$18="Y"),AND(D852="Other",Inputs!$B$19="Y")))),A852&lt;&gt;in_ClientOrg,NOT(AND(in_ExclHarvard="Y",ISNUMBER(SEARCH("Harvard",A852))))),$AD852="Y",K852&lt;&gt;"",S852&gt;0),"Y","")</f>
        <v/>
      </c>
      <c r="V852" s="30" t="n">
        <v>1</v>
      </c>
      <c r="W852" t="inlineStr"/>
      <c r="X852" s="28">
        <f>IF(L852+M852=0,"",L852+M852)</f>
        <v/>
      </c>
      <c r="Y852" s="38">
        <f>IF(L852=0,"",M852/L852)</f>
        <v/>
      </c>
      <c r="Z852" t="inlineStr">
        <is>
          <t>CIO - Top Investment Executive</t>
        </is>
      </c>
      <c r="AA852" t="inlineStr">
        <is>
          <t>Leadership</t>
        </is>
      </c>
      <c r="AB852" s="50" t="inlineStr">
        <is>
          <t>Y</t>
        </is>
      </c>
      <c r="AC852" s="43">
        <f>HYPERLINK("https://projects.propublica.org/nonprofits/organizations/362167817/202611959349301976/full","view filing")</f>
        <v/>
      </c>
      <c r="AD852" s="50" t="inlineStr">
        <is>
          <t>Y</t>
        </is>
      </c>
    </row>
    <row r="853">
      <c r="A853" t="inlineStr">
        <is>
          <t>Northwestern University</t>
        </is>
      </c>
      <c r="B853" s="50" t="inlineStr">
        <is>
          <t>IL</t>
        </is>
      </c>
      <c r="C853" s="52" t="n">
        <v>15.17</v>
      </c>
      <c r="D853" t="inlineStr">
        <is>
          <t>Endowment</t>
        </is>
      </c>
      <c r="E853" s="50" t="n">
        <v>2025</v>
      </c>
      <c r="F853" s="50" t="inlineStr">
        <is>
          <t>2026-07-14</t>
        </is>
      </c>
      <c r="G853" s="50" t="inlineStr">
        <is>
          <t>2025-08-31</t>
        </is>
      </c>
      <c r="H853" t="inlineStr">
        <is>
          <t>Peter A Belytschko</t>
        </is>
      </c>
      <c r="I853" t="inlineStr">
        <is>
          <t>Managing Dir Absolute Return</t>
        </is>
      </c>
      <c r="J853" t="inlineStr">
        <is>
          <t>Managing Director</t>
        </is>
      </c>
      <c r="K853" t="inlineStr">
        <is>
          <t>Sr Investment Professional</t>
        </is>
      </c>
      <c r="L853" s="28" t="n">
        <v>513827</v>
      </c>
      <c r="M853" s="28" t="n">
        <v>0</v>
      </c>
      <c r="N853" s="28" t="n">
        <v>891808</v>
      </c>
      <c r="O853" s="28" t="n">
        <v>603302</v>
      </c>
      <c r="P853" s="28" t="n">
        <v>15003</v>
      </c>
      <c r="Q853" s="28" t="n">
        <v>2023940</v>
      </c>
      <c r="R853" s="28" t="n">
        <v>478256</v>
      </c>
      <c r="S853" s="28">
        <f>Q853-R853</f>
        <v/>
      </c>
      <c r="T853" s="28">
        <f>IF(S853="","",S853*(1+in_GrowthRate)^(YEARFRAC(DATE(2025,8,31),in_AgeToDate)*IF(in_AgeToDate&lt;DATE(2025,8,31),-1,1)+1))</f>
        <v/>
      </c>
      <c r="U853" s="50">
        <f>IF(AND(AND(OR(in_Mode="All Funds",AND(C853&gt;=in_BandFloor,C853&lt;=in_BandCeiling,OR(in_Geography="National",COUNTIFS(lst_GeoPreset,in_Geography,lst_GeoState,B853)&gt;0,AND(in_Geography="Custom",ISNUMBER(SEARCH(B853,SUBSTITUTE(in_CustomStates," ",""))))),OR(AND(D853="Endowment",Inputs!$B$14="Y"),AND(D853="Foundation",Inputs!$B$15="Y"),AND(D853="Healthcare",Inputs!$B$16="Y"),AND(D853="Pension",Inputs!$B$17="Y"),AND(D853="OCIO",Inputs!$B$18="Y"),AND(D853="Other",Inputs!$B$19="Y")))),A853&lt;&gt;in_ClientOrg,NOT(AND(in_ExclHarvard="Y",ISNUMBER(SEARCH("Harvard",A853))))),$AD853="Y",K853&lt;&gt;"",S853&gt;0),"Y","")</f>
        <v/>
      </c>
      <c r="V853" s="30" t="n">
        <v>0.4846651755828068</v>
      </c>
      <c r="W853" t="inlineStr"/>
      <c r="X853" s="28">
        <f>IF(L853+M853=0,"",L853+M853)</f>
        <v/>
      </c>
      <c r="Y853" s="38">
        <f>IF(L853=0,"",M853/L853)</f>
        <v/>
      </c>
      <c r="Z853" t="inlineStr">
        <is>
          <t>Managing Director</t>
        </is>
      </c>
      <c r="AA853" t="inlineStr">
        <is>
          <t>Investments</t>
        </is>
      </c>
      <c r="AB853" s="50" t="inlineStr"/>
      <c r="AC853" s="43">
        <f>HYPERLINK("https://projects.propublica.org/nonprofits/organizations/362167817/202611959349301976/full","view filing")</f>
        <v/>
      </c>
      <c r="AD853" s="50" t="inlineStr">
        <is>
          <t>Y</t>
        </is>
      </c>
    </row>
    <row r="854">
      <c r="A854" t="inlineStr">
        <is>
          <t>Northwestern University</t>
        </is>
      </c>
      <c r="B854" s="50" t="inlineStr">
        <is>
          <t>IL</t>
        </is>
      </c>
      <c r="C854" s="52" t="n">
        <v>15.17</v>
      </c>
      <c r="D854" t="inlineStr">
        <is>
          <t>Endowment</t>
        </is>
      </c>
      <c r="E854" s="50" t="n">
        <v>2024</v>
      </c>
      <c r="F854" s="50" t="inlineStr">
        <is>
          <t>2025-07-11</t>
        </is>
      </c>
      <c r="G854" s="50" t="inlineStr">
        <is>
          <t>2024-08-31</t>
        </is>
      </c>
      <c r="H854" t="inlineStr">
        <is>
          <t>Amy Falls</t>
        </is>
      </c>
      <c r="I854" t="inlineStr">
        <is>
          <t>VP &amp; Chief Investment Officer</t>
        </is>
      </c>
      <c r="J854" t="inlineStr">
        <is>
          <t>CIO</t>
        </is>
      </c>
      <c r="K854" t="inlineStr">
        <is>
          <t>CIO - Top Investment Executive</t>
        </is>
      </c>
      <c r="L854" s="28" t="n">
        <v>943486</v>
      </c>
      <c r="M854" s="28" t="n">
        <v>1250000</v>
      </c>
      <c r="N854" s="28" t="n">
        <v>20832</v>
      </c>
      <c r="O854" s="28" t="n">
        <v>641500</v>
      </c>
      <c r="P854" s="28" t="n">
        <v>41847</v>
      </c>
      <c r="Q854" s="28" t="n">
        <v>2897665</v>
      </c>
      <c r="R854" s="28" t="n">
        <v>374438</v>
      </c>
      <c r="S854" s="28">
        <f>Q854-R854</f>
        <v/>
      </c>
      <c r="T854" s="28">
        <f>IF(S854="","",S854*(1+in_GrowthRate)^(YEARFRAC(DATE(2024,8,31),in_AgeToDate)*IF(in_AgeToDate&lt;DATE(2024,8,31),-1,1)+1))</f>
        <v/>
      </c>
      <c r="U854" s="50">
        <f>IF(AND(AND(OR(in_Mode="All Funds",AND(C854&gt;=in_BandFloor,C854&lt;=in_BandCeiling,OR(in_Geography="National",COUNTIFS(lst_GeoPreset,in_Geography,lst_GeoState,B854)&gt;0,AND(in_Geography="Custom",ISNUMBER(SEARCH(B854,SUBSTITUTE(in_CustomStates," ",""))))),OR(AND(D854="Endowment",Inputs!$B$14="Y"),AND(D854="Foundation",Inputs!$B$15="Y"),AND(D854="Healthcare",Inputs!$B$16="Y"),AND(D854="Pension",Inputs!$B$17="Y"),AND(D854="OCIO",Inputs!$B$18="Y"),AND(D854="Other",Inputs!$B$19="Y")))),A854&lt;&gt;in_ClientOrg,NOT(AND(in_ExclHarvard="Y",ISNUMBER(SEARCH("Harvard",A854))))),$AD854="Y",K854&lt;&gt;"",S854&gt;0),"Y","")</f>
        <v/>
      </c>
      <c r="V854" s="30" t="n">
        <v>1</v>
      </c>
      <c r="W854" t="inlineStr"/>
      <c r="X854" s="28">
        <f>IF(L854+M854=0,"",L854+M854)</f>
        <v/>
      </c>
      <c r="Y854" s="38">
        <f>IF(L854=0,"",M854/L854)</f>
        <v/>
      </c>
      <c r="Z854" t="inlineStr">
        <is>
          <t>CIO - Top Investment Executive</t>
        </is>
      </c>
      <c r="AA854" t="inlineStr">
        <is>
          <t>Leadership</t>
        </is>
      </c>
      <c r="AB854" s="50" t="inlineStr">
        <is>
          <t>Y</t>
        </is>
      </c>
      <c r="AC854" s="43">
        <f>HYPERLINK("https://projects.propublica.org/nonprofits/organizations/362167817/202531959349301243/full","view filing")</f>
        <v/>
      </c>
      <c r="AD854" s="50" t="inlineStr"/>
    </row>
    <row r="855">
      <c r="A855" t="inlineStr">
        <is>
          <t>Northwestern University</t>
        </is>
      </c>
      <c r="B855" s="50" t="inlineStr">
        <is>
          <t>IL</t>
        </is>
      </c>
      <c r="C855" s="52" t="n">
        <v>15.17</v>
      </c>
      <c r="D855" t="inlineStr">
        <is>
          <t>Endowment</t>
        </is>
      </c>
      <c r="E855" s="50" t="n">
        <v>2024</v>
      </c>
      <c r="F855" s="50" t="inlineStr">
        <is>
          <t>2025-07-11</t>
        </is>
      </c>
      <c r="G855" s="50" t="inlineStr">
        <is>
          <t>2024-08-31</t>
        </is>
      </c>
      <c r="H855" t="inlineStr">
        <is>
          <t>Harisha Koneru Haigh</t>
        </is>
      </c>
      <c r="I855" t="inlineStr">
        <is>
          <t>Mng Dir Priv Inv &amp; Real Assets</t>
        </is>
      </c>
      <c r="J855" t="inlineStr">
        <is>
          <t>Managing Director</t>
        </is>
      </c>
      <c r="K855" t="inlineStr">
        <is>
          <t>Sr Investment Professional</t>
        </is>
      </c>
      <c r="L855" s="28" t="n">
        <v>471560</v>
      </c>
      <c r="M855" s="28" t="n">
        <v>757497</v>
      </c>
      <c r="N855" s="28" t="n">
        <v>18552</v>
      </c>
      <c r="O855" s="28" t="n">
        <v>363000</v>
      </c>
      <c r="P855" s="28" t="n">
        <v>34507</v>
      </c>
      <c r="Q855" s="28" t="n">
        <v>1645116</v>
      </c>
      <c r="R855" s="28" t="n">
        <v>427497</v>
      </c>
      <c r="S855" s="28">
        <f>Q855-R855</f>
        <v/>
      </c>
      <c r="T855" s="28">
        <f>IF(S855="","",S855*(1+in_GrowthRate)^(YEARFRAC(DATE(2024,8,31),in_AgeToDate)*IF(in_AgeToDate&lt;DATE(2024,8,31),-1,1)+1))</f>
        <v/>
      </c>
      <c r="U855" s="50">
        <f>IF(AND(AND(OR(in_Mode="All Funds",AND(C855&gt;=in_BandFloor,C855&lt;=in_BandCeiling,OR(in_Geography="National",COUNTIFS(lst_GeoPreset,in_Geography,lst_GeoState,B855)&gt;0,AND(in_Geography="Custom",ISNUMBER(SEARCH(B855,SUBSTITUTE(in_CustomStates," ",""))))),OR(AND(D855="Endowment",Inputs!$B$14="Y"),AND(D855="Foundation",Inputs!$B$15="Y"),AND(D855="Healthcare",Inputs!$B$16="Y"),AND(D855="Pension",Inputs!$B$17="Y"),AND(D855="OCIO",Inputs!$B$18="Y"),AND(D855="Other",Inputs!$B$19="Y")))),A855&lt;&gt;in_ClientOrg,NOT(AND(in_ExclHarvard="Y",ISNUMBER(SEARCH("Harvard",A855))))),$AD855="Y",K855&lt;&gt;"",S855&gt;0),"Y","")</f>
        <v/>
      </c>
      <c r="V855" s="30" t="n">
        <v>0.4825641925993975</v>
      </c>
      <c r="W855" t="inlineStr"/>
      <c r="X855" s="28">
        <f>IF(L855+M855=0,"",L855+M855)</f>
        <v/>
      </c>
      <c r="Y855" s="38">
        <f>IF(L855=0,"",M855/L855)</f>
        <v/>
      </c>
      <c r="Z855" t="inlineStr">
        <is>
          <t>Managing Director</t>
        </is>
      </c>
      <c r="AA855" t="inlineStr">
        <is>
          <t>Investments</t>
        </is>
      </c>
      <c r="AB855" s="50" t="inlineStr"/>
      <c r="AC855" s="43">
        <f>HYPERLINK("https://projects.propublica.org/nonprofits/organizations/362167817/202531959349301243/full","view filing")</f>
        <v/>
      </c>
      <c r="AD855" s="50" t="inlineStr"/>
    </row>
    <row r="856">
      <c r="A856" t="inlineStr">
        <is>
          <t>Northwestern University</t>
        </is>
      </c>
      <c r="B856" s="50" t="inlineStr">
        <is>
          <t>IL</t>
        </is>
      </c>
      <c r="C856" s="52" t="n">
        <v>15.17</v>
      </c>
      <c r="D856" t="inlineStr">
        <is>
          <t>Endowment</t>
        </is>
      </c>
      <c r="E856" s="50" t="n">
        <v>2024</v>
      </c>
      <c r="F856" s="50" t="inlineStr">
        <is>
          <t>2025-07-11</t>
        </is>
      </c>
      <c r="G856" s="50" t="inlineStr">
        <is>
          <t>2024-08-31</t>
        </is>
      </c>
      <c r="H856" t="inlineStr">
        <is>
          <t>Peter A Belytschko</t>
        </is>
      </c>
      <c r="I856" t="inlineStr">
        <is>
          <t>Managing Dir Absolute Return</t>
        </is>
      </c>
      <c r="J856" t="inlineStr">
        <is>
          <t>Managing Director</t>
        </is>
      </c>
      <c r="K856" t="inlineStr">
        <is>
          <t>Sr Investment Professional</t>
        </is>
      </c>
      <c r="L856" s="28" t="n">
        <v>494147</v>
      </c>
      <c r="M856" s="28" t="n">
        <v>808984</v>
      </c>
      <c r="N856" s="28" t="n">
        <v>23052</v>
      </c>
      <c r="O856" s="28" t="n">
        <v>363000</v>
      </c>
      <c r="P856" s="28" t="n">
        <v>13035</v>
      </c>
      <c r="Q856" s="28" t="n">
        <v>1702218</v>
      </c>
      <c r="R856" s="28" t="n">
        <v>478984</v>
      </c>
      <c r="S856" s="28">
        <f>Q856-R856</f>
        <v/>
      </c>
      <c r="T856" s="28">
        <f>IF(S856="","",S856*(1+in_GrowthRate)^(YEARFRAC(DATE(2024,8,31),in_AgeToDate)*IF(in_AgeToDate&lt;DATE(2024,8,31),-1,1)+1))</f>
        <v/>
      </c>
      <c r="U856" s="50">
        <f>IF(AND(AND(OR(in_Mode="All Funds",AND(C856&gt;=in_BandFloor,C856&lt;=in_BandCeiling,OR(in_Geography="National",COUNTIFS(lst_GeoPreset,in_Geography,lst_GeoState,B856)&gt;0,AND(in_Geography="Custom",ISNUMBER(SEARCH(B856,SUBSTITUTE(in_CustomStates," ",""))))),OR(AND(D856="Endowment",Inputs!$B$14="Y"),AND(D856="Foundation",Inputs!$B$15="Y"),AND(D856="Healthcare",Inputs!$B$16="Y"),AND(D856="Pension",Inputs!$B$17="Y"),AND(D856="OCIO",Inputs!$B$18="Y"),AND(D856="Other",Inputs!$B$19="Y")))),A856&lt;&gt;in_ClientOrg,NOT(AND(in_ExclHarvard="Y",ISNUMBER(SEARCH("Harvard",A856))))),$AD856="Y",K856&lt;&gt;"",S856&gt;0),"Y","")</f>
        <v/>
      </c>
      <c r="V856" s="30" t="n">
        <v>0.4847895175503433</v>
      </c>
      <c r="W856" t="inlineStr"/>
      <c r="X856" s="28">
        <f>IF(L856+M856=0,"",L856+M856)</f>
        <v/>
      </c>
      <c r="Y856" s="38">
        <f>IF(L856=0,"",M856/L856)</f>
        <v/>
      </c>
      <c r="Z856" t="inlineStr">
        <is>
          <t>Managing Director</t>
        </is>
      </c>
      <c r="AA856" t="inlineStr">
        <is>
          <t>Investments</t>
        </is>
      </c>
      <c r="AB856" s="50" t="inlineStr"/>
      <c r="AC856" s="43">
        <f>HYPERLINK("https://projects.propublica.org/nonprofits/organizations/362167817/202531959349301243/full","view filing")</f>
        <v/>
      </c>
      <c r="AD856" s="50" t="inlineStr"/>
    </row>
    <row r="857">
      <c r="A857" t="inlineStr">
        <is>
          <t>Northwestern University</t>
        </is>
      </c>
      <c r="B857" s="50" t="inlineStr">
        <is>
          <t>IL</t>
        </is>
      </c>
      <c r="C857" s="52" t="n">
        <v>15.17</v>
      </c>
      <c r="D857" t="inlineStr">
        <is>
          <t>Endowment</t>
        </is>
      </c>
      <c r="E857" s="50" t="n">
        <v>2023</v>
      </c>
      <c r="F857" s="50" t="inlineStr">
        <is>
          <t>2024-07-12</t>
        </is>
      </c>
      <c r="G857" s="50" t="inlineStr">
        <is>
          <t>2023-08-31</t>
        </is>
      </c>
      <c r="H857" t="inlineStr">
        <is>
          <t>Amy Falls</t>
        </is>
      </c>
      <c r="I857" t="inlineStr">
        <is>
          <t>VP &amp; Chief Investment Officer</t>
        </is>
      </c>
      <c r="J857" t="inlineStr">
        <is>
          <t>CIO</t>
        </is>
      </c>
      <c r="K857" t="inlineStr">
        <is>
          <t>CIO - Top Investment Executive</t>
        </is>
      </c>
      <c r="L857" s="28" t="n">
        <v>918219</v>
      </c>
      <c r="M857" s="28" t="n">
        <v>750000</v>
      </c>
      <c r="N857" s="28" t="n">
        <v>1032</v>
      </c>
      <c r="O857" s="28" t="n">
        <v>772975</v>
      </c>
      <c r="P857" s="28" t="n">
        <v>38731</v>
      </c>
      <c r="Q857" s="28" t="n">
        <v>2480957</v>
      </c>
      <c r="R857" s="28" t="n">
        <v>0</v>
      </c>
      <c r="S857" s="28">
        <f>Q857-R857</f>
        <v/>
      </c>
      <c r="T857" s="28">
        <f>IF(S857="","",S857*(1+in_GrowthRate)^(YEARFRAC(DATE(2023,8,31),in_AgeToDate)*IF(in_AgeToDate&lt;DATE(2023,8,31),-1,1)+1))</f>
        <v/>
      </c>
      <c r="U857" s="50">
        <f>IF(AND(AND(OR(in_Mode="All Funds",AND(C857&gt;=in_BandFloor,C857&lt;=in_BandCeiling,OR(in_Geography="National",COUNTIFS(lst_GeoPreset,in_Geography,lst_GeoState,B857)&gt;0,AND(in_Geography="Custom",ISNUMBER(SEARCH(B857,SUBSTITUTE(in_CustomStates," ",""))))),OR(AND(D857="Endowment",Inputs!$B$14="Y"),AND(D857="Foundation",Inputs!$B$15="Y"),AND(D857="Healthcare",Inputs!$B$16="Y"),AND(D857="Pension",Inputs!$B$17="Y"),AND(D857="OCIO",Inputs!$B$18="Y"),AND(D857="Other",Inputs!$B$19="Y")))),A857&lt;&gt;in_ClientOrg,NOT(AND(in_ExclHarvard="Y",ISNUMBER(SEARCH("Harvard",A857))))),$AD857="Y",K857&lt;&gt;"",S857&gt;0),"Y","")</f>
        <v/>
      </c>
      <c r="V857" s="30" t="n">
        <v>1</v>
      </c>
      <c r="W857" t="inlineStr"/>
      <c r="X857" s="28">
        <f>IF(L857+M857=0,"",L857+M857)</f>
        <v/>
      </c>
      <c r="Y857" s="38">
        <f>IF(L857=0,"",M857/L857)</f>
        <v/>
      </c>
      <c r="Z857" t="inlineStr">
        <is>
          <t>CIO - Top Investment Executive</t>
        </is>
      </c>
      <c r="AA857" t="inlineStr">
        <is>
          <t>Leadership</t>
        </is>
      </c>
      <c r="AB857" s="50" t="inlineStr">
        <is>
          <t>Y</t>
        </is>
      </c>
      <c r="AC857" s="43">
        <f>HYPERLINK("https://projects.propublica.org/nonprofits/organizations/362167817/202421949349301317/full","view filing")</f>
        <v/>
      </c>
      <c r="AD857" s="50" t="inlineStr"/>
    </row>
    <row r="858">
      <c r="A858" t="inlineStr">
        <is>
          <t>Northwestern University</t>
        </is>
      </c>
      <c r="B858" s="50" t="inlineStr">
        <is>
          <t>IL</t>
        </is>
      </c>
      <c r="C858" s="52" t="n">
        <v>15.17</v>
      </c>
      <c r="D858" t="inlineStr">
        <is>
          <t>Endowment</t>
        </is>
      </c>
      <c r="E858" s="50" t="n">
        <v>2023</v>
      </c>
      <c r="F858" s="50" t="inlineStr">
        <is>
          <t>2024-07-12</t>
        </is>
      </c>
      <c r="G858" s="50" t="inlineStr">
        <is>
          <t>2023-08-31</t>
        </is>
      </c>
      <c r="H858" t="inlineStr">
        <is>
          <t>Harisha Koneru Haigh</t>
        </is>
      </c>
      <c r="I858" t="inlineStr">
        <is>
          <t>Mng Dir Priv Inv &amp; Real Assets</t>
        </is>
      </c>
      <c r="J858" t="inlineStr">
        <is>
          <t>Managing Director</t>
        </is>
      </c>
      <c r="K858" t="inlineStr">
        <is>
          <t>Sr Investment Professional</t>
        </is>
      </c>
      <c r="L858" s="28" t="n">
        <v>446615</v>
      </c>
      <c r="M858" s="28" t="n">
        <v>840948</v>
      </c>
      <c r="N858" s="28" t="n">
        <v>18360</v>
      </c>
      <c r="O858" s="28" t="n">
        <v>467401</v>
      </c>
      <c r="P858" s="28" t="n">
        <v>30367</v>
      </c>
      <c r="Q858" s="28" t="n">
        <v>1803691</v>
      </c>
      <c r="R858" s="28" t="n">
        <v>404047</v>
      </c>
      <c r="S858" s="28">
        <f>Q858-R858</f>
        <v/>
      </c>
      <c r="T858" s="28">
        <f>IF(S858="","",S858*(1+in_GrowthRate)^(YEARFRAC(DATE(2023,8,31),in_AgeToDate)*IF(in_AgeToDate&lt;DATE(2023,8,31),-1,1)+1))</f>
        <v/>
      </c>
      <c r="U858" s="50">
        <f>IF(AND(AND(OR(in_Mode="All Funds",AND(C858&gt;=in_BandFloor,C858&lt;=in_BandCeiling,OR(in_Geography="National",COUNTIFS(lst_GeoPreset,in_Geography,lst_GeoState,B858)&gt;0,AND(in_Geography="Custom",ISNUMBER(SEARCH(B858,SUBSTITUTE(in_CustomStates," ",""))))),OR(AND(D858="Endowment",Inputs!$B$14="Y"),AND(D858="Foundation",Inputs!$B$15="Y"),AND(D858="Healthcare",Inputs!$B$16="Y"),AND(D858="Pension",Inputs!$B$17="Y"),AND(D858="OCIO",Inputs!$B$18="Y"),AND(D858="Other",Inputs!$B$19="Y")))),A858&lt;&gt;in_ClientOrg,NOT(AND(in_ExclHarvard="Y",ISNUMBER(SEARCH("Harvard",A858))))),$AD858="Y",K858&lt;&gt;"",S858&gt;0),"Y","")</f>
        <v/>
      </c>
      <c r="V858" s="30" t="n">
        <v>0.5641548805561725</v>
      </c>
      <c r="W858" t="inlineStr"/>
      <c r="X858" s="28">
        <f>IF(L858+M858=0,"",L858+M858)</f>
        <v/>
      </c>
      <c r="Y858" s="38">
        <f>IF(L858=0,"",M858/L858)</f>
        <v/>
      </c>
      <c r="Z858" t="inlineStr">
        <is>
          <t>Managing Director</t>
        </is>
      </c>
      <c r="AA858" t="inlineStr">
        <is>
          <t>Investments</t>
        </is>
      </c>
      <c r="AB858" s="50" t="inlineStr"/>
      <c r="AC858" s="43">
        <f>HYPERLINK("https://projects.propublica.org/nonprofits/organizations/362167817/202421949349301317/full","view filing")</f>
        <v/>
      </c>
      <c r="AD858" s="50" t="inlineStr"/>
    </row>
    <row r="859">
      <c r="A859" t="inlineStr">
        <is>
          <t>Northwestern University</t>
        </is>
      </c>
      <c r="B859" s="50" t="inlineStr">
        <is>
          <t>IL</t>
        </is>
      </c>
      <c r="C859" s="52" t="n">
        <v>15.17</v>
      </c>
      <c r="D859" t="inlineStr">
        <is>
          <t>Endowment</t>
        </is>
      </c>
      <c r="E859" s="50" t="n">
        <v>2023</v>
      </c>
      <c r="F859" s="50" t="inlineStr">
        <is>
          <t>2024-07-12</t>
        </is>
      </c>
      <c r="G859" s="50" t="inlineStr">
        <is>
          <t>2023-08-31</t>
        </is>
      </c>
      <c r="H859" t="inlineStr">
        <is>
          <t>Peter A Belytschko</t>
        </is>
      </c>
      <c r="I859" t="inlineStr">
        <is>
          <t>Managing Dir Absolute Return</t>
        </is>
      </c>
      <c r="J859" t="inlineStr">
        <is>
          <t>Managing Director</t>
        </is>
      </c>
      <c r="K859" t="inlineStr">
        <is>
          <t>Sr Investment Professional</t>
        </is>
      </c>
      <c r="L859" s="28" t="n">
        <v>475712</v>
      </c>
      <c r="M859" s="28" t="n">
        <v>923278</v>
      </c>
      <c r="N859" s="28" t="n">
        <v>21052</v>
      </c>
      <c r="O859" s="28" t="n">
        <v>584006</v>
      </c>
      <c r="P859" s="28" t="n">
        <v>11343</v>
      </c>
      <c r="Q859" s="28" t="n">
        <v>2015391</v>
      </c>
      <c r="R859" s="28" t="n">
        <v>369772</v>
      </c>
      <c r="S859" s="28">
        <f>Q859-R859</f>
        <v/>
      </c>
      <c r="T859" s="28">
        <f>IF(S859="","",S859*(1+in_GrowthRate)^(YEARFRAC(DATE(2023,8,31),in_AgeToDate)*IF(in_AgeToDate&lt;DATE(2023,8,31),-1,1)+1))</f>
        <v/>
      </c>
      <c r="U859" s="50">
        <f>IF(AND(AND(OR(in_Mode="All Funds",AND(C859&gt;=in_BandFloor,C859&lt;=in_BandCeiling,OR(in_Geography="National",COUNTIFS(lst_GeoPreset,in_Geography,lst_GeoState,B859)&gt;0,AND(in_Geography="Custom",ISNUMBER(SEARCH(B859,SUBSTITUTE(in_CustomStates," ",""))))),OR(AND(D859="Endowment",Inputs!$B$14="Y"),AND(D859="Foundation",Inputs!$B$15="Y"),AND(D859="Healthcare",Inputs!$B$16="Y"),AND(D859="Pension",Inputs!$B$17="Y"),AND(D859="OCIO",Inputs!$B$18="Y"),AND(D859="Other",Inputs!$B$19="Y")))),A859&lt;&gt;in_ClientOrg,NOT(AND(in_ExclHarvard="Y",ISNUMBER(SEARCH("Harvard",A859))))),$AD859="Y",K859&lt;&gt;"",S859&gt;0),"Y","")</f>
        <v/>
      </c>
      <c r="V859" s="30" t="n">
        <v>0.6633000894412923</v>
      </c>
      <c r="W859" t="inlineStr"/>
      <c r="X859" s="28">
        <f>IF(L859+M859=0,"",L859+M859)</f>
        <v/>
      </c>
      <c r="Y859" s="38">
        <f>IF(L859=0,"",M859/L859)</f>
        <v/>
      </c>
      <c r="Z859" t="inlineStr">
        <is>
          <t>Managing Director</t>
        </is>
      </c>
      <c r="AA859" t="inlineStr">
        <is>
          <t>Investments</t>
        </is>
      </c>
      <c r="AB859" s="50" t="inlineStr"/>
      <c r="AC859" s="43">
        <f>HYPERLINK("https://projects.propublica.org/nonprofits/organizations/362167817/202421949349301317/full","view filing")</f>
        <v/>
      </c>
      <c r="AD859" s="50" t="inlineStr"/>
    </row>
    <row r="860">
      <c r="A860" t="inlineStr">
        <is>
          <t>Northwestern University</t>
        </is>
      </c>
      <c r="B860" s="50" t="inlineStr">
        <is>
          <t>IL</t>
        </is>
      </c>
      <c r="C860" s="52" t="n">
        <v>15.17</v>
      </c>
      <c r="D860" t="inlineStr">
        <is>
          <t>Endowment</t>
        </is>
      </c>
      <c r="E860" s="50" t="n">
        <v>2022</v>
      </c>
      <c r="F860" s="50" t="inlineStr">
        <is>
          <t>2023-07-17</t>
        </is>
      </c>
      <c r="G860" s="50" t="inlineStr">
        <is>
          <t>2022-08-31</t>
        </is>
      </c>
      <c r="H860" t="inlineStr">
        <is>
          <t>Amy Falls</t>
        </is>
      </c>
      <c r="I860" t="inlineStr">
        <is>
          <t>VP &amp; Chief Investment Officer</t>
        </is>
      </c>
      <c r="J860" t="inlineStr">
        <is>
          <t>CIO</t>
        </is>
      </c>
      <c r="K860" t="inlineStr">
        <is>
          <t>CIO - Top Investment Executive</t>
        </is>
      </c>
      <c r="L860" s="28" t="n">
        <v>591884</v>
      </c>
      <c r="M860" s="28" t="n">
        <v>880000</v>
      </c>
      <c r="N860" s="28" t="n">
        <v>60688</v>
      </c>
      <c r="O860" s="28" t="n">
        <v>29000</v>
      </c>
      <c r="P860" s="28" t="n">
        <v>26158</v>
      </c>
      <c r="Q860" s="28" t="n">
        <v>1587730</v>
      </c>
      <c r="R860" s="28" t="n">
        <v>0</v>
      </c>
      <c r="S860" s="28">
        <f>Q860-R860</f>
        <v/>
      </c>
      <c r="T860" s="28">
        <f>IF(S860="","",S860*(1+in_GrowthRate)^(YEARFRAC(DATE(2022,8,31),in_AgeToDate)*IF(in_AgeToDate&lt;DATE(2022,8,31),-1,1)+1))</f>
        <v/>
      </c>
      <c r="U860" s="50">
        <f>IF(AND(AND(OR(in_Mode="All Funds",AND(C860&gt;=in_BandFloor,C860&lt;=in_BandCeiling,OR(in_Geography="National",COUNTIFS(lst_GeoPreset,in_Geography,lst_GeoState,B860)&gt;0,AND(in_Geography="Custom",ISNUMBER(SEARCH(B860,SUBSTITUTE(in_CustomStates," ",""))))),OR(AND(D860="Endowment",Inputs!$B$14="Y"),AND(D860="Foundation",Inputs!$B$15="Y"),AND(D860="Healthcare",Inputs!$B$16="Y"),AND(D860="Pension",Inputs!$B$17="Y"),AND(D860="OCIO",Inputs!$B$18="Y"),AND(D860="Other",Inputs!$B$19="Y")))),A860&lt;&gt;in_ClientOrg,NOT(AND(in_ExclHarvard="Y",ISNUMBER(SEARCH("Harvard",A860))))),$AD860="Y",K860&lt;&gt;"",S860&gt;0),"Y","")</f>
        <v/>
      </c>
      <c r="V860" s="30" t="n">
        <v>1</v>
      </c>
      <c r="W860" t="inlineStr"/>
      <c r="X860" s="28">
        <f>IF(L860+M860=0,"",L860+M860)</f>
        <v/>
      </c>
      <c r="Y860" s="38">
        <f>IF(L860=0,"",M860/L860)</f>
        <v/>
      </c>
      <c r="Z860" t="inlineStr">
        <is>
          <t>CIO - Top Investment Executive</t>
        </is>
      </c>
      <c r="AA860" t="inlineStr">
        <is>
          <t>Leadership</t>
        </is>
      </c>
      <c r="AB860" s="50" t="inlineStr">
        <is>
          <t>Y</t>
        </is>
      </c>
      <c r="AC860" s="43">
        <f>HYPERLINK("https://projects.propublica.org/nonprofits/organizations/362167817/202301989349301715/full","view filing")</f>
        <v/>
      </c>
      <c r="AD860" s="50" t="inlineStr"/>
    </row>
    <row r="861">
      <c r="A861" t="inlineStr">
        <is>
          <t>Northwestern University</t>
        </is>
      </c>
      <c r="B861" s="50" t="inlineStr">
        <is>
          <t>IL</t>
        </is>
      </c>
      <c r="C861" s="52" t="n">
        <v>15.17</v>
      </c>
      <c r="D861" t="inlineStr">
        <is>
          <t>Endowment</t>
        </is>
      </c>
      <c r="E861" s="50" t="n">
        <v>2022</v>
      </c>
      <c r="F861" s="50" t="inlineStr">
        <is>
          <t>2023-07-17</t>
        </is>
      </c>
      <c r="G861" s="50" t="inlineStr">
        <is>
          <t>2022-08-31</t>
        </is>
      </c>
      <c r="H861" t="inlineStr">
        <is>
          <t>Harisha Koneru Haigh</t>
        </is>
      </c>
      <c r="I861" t="inlineStr">
        <is>
          <t>Mng Dir Priv Inv &amp; Real Assets</t>
        </is>
      </c>
      <c r="J861" t="inlineStr">
        <is>
          <t>Managing Director</t>
        </is>
      </c>
      <c r="K861" t="inlineStr">
        <is>
          <t>Sr Investment Professional</t>
        </is>
      </c>
      <c r="L861" s="28" t="n">
        <v>429646</v>
      </c>
      <c r="M861" s="28" t="n">
        <v>859718</v>
      </c>
      <c r="N861" s="28" t="n">
        <v>18360</v>
      </c>
      <c r="O861" s="28" t="n">
        <v>520265</v>
      </c>
      <c r="P861" s="28" t="n">
        <v>29462</v>
      </c>
      <c r="Q861" s="28" t="n">
        <v>1857451</v>
      </c>
      <c r="R861" s="28" t="n">
        <v>395362</v>
      </c>
      <c r="S861" s="28">
        <f>Q861-R861</f>
        <v/>
      </c>
      <c r="T861" s="28">
        <f>IF(S861="","",S861*(1+in_GrowthRate)^(YEARFRAC(DATE(2022,8,31),in_AgeToDate)*IF(in_AgeToDate&lt;DATE(2022,8,31),-1,1)+1))</f>
        <v/>
      </c>
      <c r="U861" s="50">
        <f>IF(AND(AND(OR(in_Mode="All Funds",AND(C861&gt;=in_BandFloor,C861&lt;=in_BandCeiling,OR(in_Geography="National",COUNTIFS(lst_GeoPreset,in_Geography,lst_GeoState,B861)&gt;0,AND(in_Geography="Custom",ISNUMBER(SEARCH(B861,SUBSTITUTE(in_CustomStates," ",""))))),OR(AND(D861="Endowment",Inputs!$B$14="Y"),AND(D861="Foundation",Inputs!$B$15="Y"),AND(D861="Healthcare",Inputs!$B$16="Y"),AND(D861="Pension",Inputs!$B$17="Y"),AND(D861="OCIO",Inputs!$B$18="Y"),AND(D861="Other",Inputs!$B$19="Y")))),A861&lt;&gt;in_ClientOrg,NOT(AND(in_ExclHarvard="Y",ISNUMBER(SEARCH("Harvard",A861))))),$AD861="Y",K861&lt;&gt;"",S861&gt;0),"Y","")</f>
        <v/>
      </c>
      <c r="V861" s="30" t="n">
        <v>0.9208675278542321</v>
      </c>
      <c r="W861" t="inlineStr"/>
      <c r="X861" s="28">
        <f>IF(L861+M861=0,"",L861+M861)</f>
        <v/>
      </c>
      <c r="Y861" s="38">
        <f>IF(L861=0,"",M861/L861)</f>
        <v/>
      </c>
      <c r="Z861" t="inlineStr">
        <is>
          <t>Managing Director</t>
        </is>
      </c>
      <c r="AA861" t="inlineStr">
        <is>
          <t>Investments</t>
        </is>
      </c>
      <c r="AB861" s="50" t="inlineStr"/>
      <c r="AC861" s="43">
        <f>HYPERLINK("https://projects.propublica.org/nonprofits/organizations/362167817/202301989349301715/full","view filing")</f>
        <v/>
      </c>
      <c r="AD861" s="50" t="inlineStr"/>
    </row>
    <row r="862">
      <c r="A862" t="inlineStr">
        <is>
          <t>Northwestern University</t>
        </is>
      </c>
      <c r="B862" s="50" t="inlineStr">
        <is>
          <t>IL</t>
        </is>
      </c>
      <c r="C862" s="52" t="n">
        <v>15.17</v>
      </c>
      <c r="D862" t="inlineStr">
        <is>
          <t>Endowment</t>
        </is>
      </c>
      <c r="E862" s="50" t="n">
        <v>2022</v>
      </c>
      <c r="F862" s="50" t="inlineStr">
        <is>
          <t>2023-07-17</t>
        </is>
      </c>
      <c r="G862" s="50" t="inlineStr">
        <is>
          <t>2022-08-31</t>
        </is>
      </c>
      <c r="H862" t="inlineStr">
        <is>
          <t>Peter A Belytschko</t>
        </is>
      </c>
      <c r="I862" t="inlineStr">
        <is>
          <t>Managing Dir Absolute Return</t>
        </is>
      </c>
      <c r="J862" t="inlineStr">
        <is>
          <t>Managing Director</t>
        </is>
      </c>
      <c r="K862" t="inlineStr">
        <is>
          <t>Sr Investment Professional</t>
        </is>
      </c>
      <c r="L862" s="28" t="n">
        <v>460751</v>
      </c>
      <c r="M862" s="28" t="n">
        <v>827639</v>
      </c>
      <c r="N862" s="28" t="n">
        <v>20052</v>
      </c>
      <c r="O862" s="28" t="n">
        <v>498005</v>
      </c>
      <c r="P862" s="28" t="n">
        <v>11126</v>
      </c>
      <c r="Q862" s="28" t="n">
        <v>1817573</v>
      </c>
      <c r="R862" s="28" t="n">
        <v>376680</v>
      </c>
      <c r="S862" s="28">
        <f>Q862-R862</f>
        <v/>
      </c>
      <c r="T862" s="28">
        <f>IF(S862="","",S862*(1+in_GrowthRate)^(YEARFRAC(DATE(2022,8,31),in_AgeToDate)*IF(in_AgeToDate&lt;DATE(2022,8,31),-1,1)+1))</f>
        <v/>
      </c>
      <c r="U862" s="50">
        <f>IF(AND(AND(OR(in_Mode="All Funds",AND(C862&gt;=in_BandFloor,C862&lt;=in_BandCeiling,OR(in_Geography="National",COUNTIFS(lst_GeoPreset,in_Geography,lst_GeoState,B862)&gt;0,AND(in_Geography="Custom",ISNUMBER(SEARCH(B862,SUBSTITUTE(in_CustomStates," ",""))))),OR(AND(D862="Endowment",Inputs!$B$14="Y"),AND(D862="Foundation",Inputs!$B$15="Y"),AND(D862="Healthcare",Inputs!$B$16="Y"),AND(D862="Pension",Inputs!$B$17="Y"),AND(D862="OCIO",Inputs!$B$18="Y"),AND(D862="Other",Inputs!$B$19="Y")))),A862&lt;&gt;in_ClientOrg,NOT(AND(in_ExclHarvard="Y",ISNUMBER(SEARCH("Harvard",A862))))),$AD862="Y",K862&lt;&gt;"",S862&gt;0),"Y","")</f>
        <v/>
      </c>
      <c r="V862" s="30" t="n">
        <v>0.9075176509859989</v>
      </c>
      <c r="W862" t="inlineStr"/>
      <c r="X862" s="28">
        <f>IF(L862+M862=0,"",L862+M862)</f>
        <v/>
      </c>
      <c r="Y862" s="38">
        <f>IF(L862=0,"",M862/L862)</f>
        <v/>
      </c>
      <c r="Z862" t="inlineStr">
        <is>
          <t>Managing Director</t>
        </is>
      </c>
      <c r="AA862" t="inlineStr">
        <is>
          <t>Investments</t>
        </is>
      </c>
      <c r="AB862" s="50" t="inlineStr"/>
      <c r="AC862" s="43">
        <f>HYPERLINK("https://projects.propublica.org/nonprofits/organizations/362167817/202301989349301715/full","view filing")</f>
        <v/>
      </c>
      <c r="AD862" s="50" t="inlineStr"/>
    </row>
    <row r="863">
      <c r="A863" t="inlineStr">
        <is>
          <t>Oberlin College</t>
        </is>
      </c>
      <c r="B863" s="50" t="inlineStr">
        <is>
          <t>OH</t>
        </is>
      </c>
      <c r="C863" s="52" t="n">
        <v>1.48</v>
      </c>
      <c r="D863" t="inlineStr">
        <is>
          <t>Endowment</t>
        </is>
      </c>
      <c r="E863" s="50" t="n">
        <v>2025</v>
      </c>
      <c r="F863" s="50" t="inlineStr">
        <is>
          <t>2026-03-20</t>
        </is>
      </c>
      <c r="G863" s="50" t="inlineStr">
        <is>
          <t>2025-06-30</t>
        </is>
      </c>
      <c r="H863" t="inlineStr">
        <is>
          <t>Jun Yang</t>
        </is>
      </c>
      <c r="I863" t="inlineStr">
        <is>
          <t>CHIEF INVESTMENT OFFICER</t>
        </is>
      </c>
      <c r="J863" t="inlineStr">
        <is>
          <t>CIO</t>
        </is>
      </c>
      <c r="K863" t="inlineStr">
        <is>
          <t>CIO - Top Investment Executive</t>
        </is>
      </c>
      <c r="L863" s="28" t="n">
        <v>465820</v>
      </c>
      <c r="M863" s="28" t="n">
        <v>288449</v>
      </c>
      <c r="N863" s="28" t="n">
        <v>774</v>
      </c>
      <c r="O863" s="28" t="n">
        <v>31600</v>
      </c>
      <c r="P863" s="28" t="n">
        <v>56025</v>
      </c>
      <c r="Q863" s="28" t="n">
        <v>842668</v>
      </c>
      <c r="R863" s="28" t="n">
        <v>0</v>
      </c>
      <c r="S863" s="28">
        <f>Q863-R863</f>
        <v/>
      </c>
      <c r="T863" s="28">
        <f>IF(S863="","",S863*(1+in_GrowthRate)^(YEARFRAC(DATE(2025,6,30),in_AgeToDate)*IF(in_AgeToDate&lt;DATE(2025,6,30),-1,1)+1))</f>
        <v/>
      </c>
      <c r="U863" s="50">
        <f>IF(AND(AND(OR(in_Mode="All Funds",AND(C863&gt;=in_BandFloor,C863&lt;=in_BandCeiling,OR(in_Geography="National",COUNTIFS(lst_GeoPreset,in_Geography,lst_GeoState,B863)&gt;0,AND(in_Geography="Custom",ISNUMBER(SEARCH(B863,SUBSTITUTE(in_CustomStates," ",""))))),OR(AND(D863="Endowment",Inputs!$B$14="Y"),AND(D863="Foundation",Inputs!$B$15="Y"),AND(D863="Healthcare",Inputs!$B$16="Y"),AND(D863="Pension",Inputs!$B$17="Y"),AND(D863="OCIO",Inputs!$B$18="Y"),AND(D863="Other",Inputs!$B$19="Y")))),A863&lt;&gt;in_ClientOrg,NOT(AND(in_ExclHarvard="Y",ISNUMBER(SEARCH("Harvard",A863))))),$AD863="Y",K863&lt;&gt;"",S863&gt;0),"Y","")</f>
        <v/>
      </c>
      <c r="V863" s="30" t="n">
        <v>1</v>
      </c>
      <c r="W863" t="inlineStr"/>
      <c r="X863" s="28">
        <f>IF(L863+M863=0,"",L863+M863)</f>
        <v/>
      </c>
      <c r="Y863" s="38">
        <f>IF(L863=0,"",M863/L863)</f>
        <v/>
      </c>
      <c r="Z863" t="inlineStr">
        <is>
          <t>CIO - Top Investment Executive</t>
        </is>
      </c>
      <c r="AA863" t="inlineStr">
        <is>
          <t>Leadership</t>
        </is>
      </c>
      <c r="AB863" s="50" t="inlineStr">
        <is>
          <t>Y</t>
        </is>
      </c>
      <c r="AC863" s="43">
        <f>HYPERLINK("https://projects.propublica.org/nonprofits/organizations/340714363/202600799349300015/full","view filing")</f>
        <v/>
      </c>
      <c r="AD863" s="50" t="inlineStr">
        <is>
          <t>Y</t>
        </is>
      </c>
    </row>
    <row r="864">
      <c r="A864" t="inlineStr">
        <is>
          <t>Oberlin College</t>
        </is>
      </c>
      <c r="B864" s="50" t="inlineStr">
        <is>
          <t>OH</t>
        </is>
      </c>
      <c r="C864" s="52" t="n">
        <v>1.48</v>
      </c>
      <c r="D864" t="inlineStr">
        <is>
          <t>Endowment</t>
        </is>
      </c>
      <c r="E864" s="50" t="n">
        <v>2025</v>
      </c>
      <c r="F864" s="50" t="inlineStr">
        <is>
          <t>2026-03-20</t>
        </is>
      </c>
      <c r="G864" s="50" t="inlineStr">
        <is>
          <t>2025-06-30</t>
        </is>
      </c>
      <c r="H864" t="inlineStr">
        <is>
          <t>Katarzyna Karapuda</t>
        </is>
      </c>
      <c r="I864" t="inlineStr">
        <is>
          <t>Associate Director of Investments</t>
        </is>
      </c>
      <c r="J864" t="inlineStr">
        <is>
          <t>Director of Investments</t>
        </is>
      </c>
      <c r="K864" t="inlineStr">
        <is>
          <t>Sr Investment Professional</t>
        </is>
      </c>
      <c r="L864" s="28" t="n">
        <v>198248</v>
      </c>
      <c r="M864" s="28" t="n">
        <v>74079</v>
      </c>
      <c r="N864" s="28" t="n">
        <v>178</v>
      </c>
      <c r="O864" s="28" t="n">
        <v>21786</v>
      </c>
      <c r="P864" s="28" t="n">
        <v>832</v>
      </c>
      <c r="Q864" s="28" t="n">
        <v>295123</v>
      </c>
      <c r="R864" s="28" t="n">
        <v>0</v>
      </c>
      <c r="S864" s="28">
        <f>Q864-R864</f>
        <v/>
      </c>
      <c r="T864" s="28">
        <f>IF(S864="","",S864*(1+in_GrowthRate)^(YEARFRAC(DATE(2025,6,30),in_AgeToDate)*IF(in_AgeToDate&lt;DATE(2025,6,30),-1,1)+1))</f>
        <v/>
      </c>
      <c r="U864" s="50">
        <f>IF(AND(AND(OR(in_Mode="All Funds",AND(C864&gt;=in_BandFloor,C864&lt;=in_BandCeiling,OR(in_Geography="National",COUNTIFS(lst_GeoPreset,in_Geography,lst_GeoState,B864)&gt;0,AND(in_Geography="Custom",ISNUMBER(SEARCH(B864,SUBSTITUTE(in_CustomStates," ",""))))),OR(AND(D864="Endowment",Inputs!$B$14="Y"),AND(D864="Foundation",Inputs!$B$15="Y"),AND(D864="Healthcare",Inputs!$B$16="Y"),AND(D864="Pension",Inputs!$B$17="Y"),AND(D864="OCIO",Inputs!$B$18="Y"),AND(D864="Other",Inputs!$B$19="Y")))),A864&lt;&gt;in_ClientOrg,NOT(AND(in_ExclHarvard="Y",ISNUMBER(SEARCH("Harvard",A864))))),$AD864="Y",K864&lt;&gt;"",S864&gt;0),"Y","")</f>
        <v/>
      </c>
      <c r="V864" s="30" t="n">
        <v>0.3502245249611947</v>
      </c>
      <c r="W864" t="inlineStr"/>
      <c r="X864" s="28">
        <f>IF(L864+M864=0,"",L864+M864)</f>
        <v/>
      </c>
      <c r="Y864" s="38">
        <f>IF(L864=0,"",M864/L864)</f>
        <v/>
      </c>
      <c r="Z864" t="inlineStr">
        <is>
          <t>Director &amp; Investment Officer</t>
        </is>
      </c>
      <c r="AA864" t="inlineStr">
        <is>
          <t>Investments</t>
        </is>
      </c>
      <c r="AB864" s="50" t="inlineStr"/>
      <c r="AC864" s="43">
        <f>HYPERLINK("https://projects.propublica.org/nonprofits/organizations/340714363/202600799349300015/full","view filing")</f>
        <v/>
      </c>
      <c r="AD864" s="50" t="inlineStr">
        <is>
          <t>Y</t>
        </is>
      </c>
    </row>
    <row r="865">
      <c r="A865" t="inlineStr">
        <is>
          <t>Oberlin College</t>
        </is>
      </c>
      <c r="B865" s="50" t="inlineStr">
        <is>
          <t>OH</t>
        </is>
      </c>
      <c r="C865" s="52" t="n">
        <v>1.48</v>
      </c>
      <c r="D865" t="inlineStr">
        <is>
          <t>Endowment</t>
        </is>
      </c>
      <c r="E865" s="50" t="n">
        <v>2024</v>
      </c>
      <c r="F865" s="50" t="inlineStr">
        <is>
          <t>2025-04-07</t>
        </is>
      </c>
      <c r="G865" s="50" t="inlineStr">
        <is>
          <t>2024-06-30</t>
        </is>
      </c>
      <c r="H865" t="inlineStr">
        <is>
          <t>Jun Yang</t>
        </is>
      </c>
      <c r="I865" t="inlineStr">
        <is>
          <t>CHIEF INVESTMENT OFFICER</t>
        </is>
      </c>
      <c r="J865" t="inlineStr">
        <is>
          <t>CIO</t>
        </is>
      </c>
      <c r="K865" t="inlineStr">
        <is>
          <t>CIO - Top Investment Executive</t>
        </is>
      </c>
      <c r="L865" s="28" t="n">
        <v>475462</v>
      </c>
      <c r="M865" s="28" t="n">
        <v>393681</v>
      </c>
      <c r="N865" s="28" t="n">
        <v>774</v>
      </c>
      <c r="O865" s="28" t="n">
        <v>30400</v>
      </c>
      <c r="P865" s="28" t="n">
        <v>54057</v>
      </c>
      <c r="Q865" s="28" t="n">
        <v>954374</v>
      </c>
      <c r="R865" s="28" t="n">
        <v>0</v>
      </c>
      <c r="S865" s="28">
        <f>Q865-R865</f>
        <v/>
      </c>
      <c r="T865" s="28">
        <f>IF(S865="","",S865*(1+in_GrowthRate)^(YEARFRAC(DATE(2024,6,30),in_AgeToDate)*IF(in_AgeToDate&lt;DATE(2024,6,30),-1,1)+1))</f>
        <v/>
      </c>
      <c r="U865" s="50">
        <f>IF(AND(AND(OR(in_Mode="All Funds",AND(C865&gt;=in_BandFloor,C865&lt;=in_BandCeiling,OR(in_Geography="National",COUNTIFS(lst_GeoPreset,in_Geography,lst_GeoState,B865)&gt;0,AND(in_Geography="Custom",ISNUMBER(SEARCH(B865,SUBSTITUTE(in_CustomStates," ",""))))),OR(AND(D865="Endowment",Inputs!$B$14="Y"),AND(D865="Foundation",Inputs!$B$15="Y"),AND(D865="Healthcare",Inputs!$B$16="Y"),AND(D865="Pension",Inputs!$B$17="Y"),AND(D865="OCIO",Inputs!$B$18="Y"),AND(D865="Other",Inputs!$B$19="Y")))),A865&lt;&gt;in_ClientOrg,NOT(AND(in_ExclHarvard="Y",ISNUMBER(SEARCH("Harvard",A865))))),$AD865="Y",K865&lt;&gt;"",S865&gt;0),"Y","")</f>
        <v/>
      </c>
      <c r="V865" s="30" t="n">
        <v>1</v>
      </c>
      <c r="W865" t="inlineStr"/>
      <c r="X865" s="28">
        <f>IF(L865+M865=0,"",L865+M865)</f>
        <v/>
      </c>
      <c r="Y865" s="38">
        <f>IF(L865=0,"",M865/L865)</f>
        <v/>
      </c>
      <c r="Z865" t="inlineStr">
        <is>
          <t>CIO - Top Investment Executive</t>
        </is>
      </c>
      <c r="AA865" t="inlineStr">
        <is>
          <t>Leadership</t>
        </is>
      </c>
      <c r="AB865" s="50" t="inlineStr">
        <is>
          <t>Y</t>
        </is>
      </c>
      <c r="AC865" s="43">
        <f>HYPERLINK("https://projects.propublica.org/nonprofits/organizations/340714363/202540979349300224/full","view filing")</f>
        <v/>
      </c>
      <c r="AD865" s="50" t="inlineStr"/>
    </row>
    <row r="866">
      <c r="A866" t="inlineStr">
        <is>
          <t>Oberlin College</t>
        </is>
      </c>
      <c r="B866" s="50" t="inlineStr">
        <is>
          <t>OH</t>
        </is>
      </c>
      <c r="C866" s="52" t="n">
        <v>1.48</v>
      </c>
      <c r="D866" t="inlineStr">
        <is>
          <t>Endowment</t>
        </is>
      </c>
      <c r="E866" s="50" t="n">
        <v>2024</v>
      </c>
      <c r="F866" s="50" t="inlineStr">
        <is>
          <t>2025-04-07</t>
        </is>
      </c>
      <c r="G866" s="50" t="inlineStr">
        <is>
          <t>2024-06-30</t>
        </is>
      </c>
      <c r="H866" t="inlineStr">
        <is>
          <t>Katarzyna Karapuda</t>
        </is>
      </c>
      <c r="I866" t="inlineStr">
        <is>
          <t>Associate Director of Investments</t>
        </is>
      </c>
      <c r="J866" t="inlineStr">
        <is>
          <t>Director of Investments</t>
        </is>
      </c>
      <c r="K866" t="inlineStr">
        <is>
          <t>Sr Investment Professional</t>
        </is>
      </c>
      <c r="L866" s="28" t="n">
        <v>205061</v>
      </c>
      <c r="M866" s="28" t="n">
        <v>53398</v>
      </c>
      <c r="N866" s="28" t="n">
        <v>173</v>
      </c>
      <c r="O866" s="28" t="n">
        <v>20677</v>
      </c>
      <c r="P866" s="28" t="n">
        <v>817</v>
      </c>
      <c r="Q866" s="28" t="n">
        <v>280126</v>
      </c>
      <c r="R866" s="28" t="n">
        <v>0</v>
      </c>
      <c r="S866" s="28">
        <f>Q866-R866</f>
        <v/>
      </c>
      <c r="T866" s="28">
        <f>IF(S866="","",S866*(1+in_GrowthRate)^(YEARFRAC(DATE(2024,6,30),in_AgeToDate)*IF(in_AgeToDate&lt;DATE(2024,6,30),-1,1)+1))</f>
        <v/>
      </c>
      <c r="U866" s="50">
        <f>IF(AND(AND(OR(in_Mode="All Funds",AND(C866&gt;=in_BandFloor,C866&lt;=in_BandCeiling,OR(in_Geography="National",COUNTIFS(lst_GeoPreset,in_Geography,lst_GeoState,B866)&gt;0,AND(in_Geography="Custom",ISNUMBER(SEARCH(B866,SUBSTITUTE(in_CustomStates," ",""))))),OR(AND(D866="Endowment",Inputs!$B$14="Y"),AND(D866="Foundation",Inputs!$B$15="Y"),AND(D866="Healthcare",Inputs!$B$16="Y"),AND(D866="Pension",Inputs!$B$17="Y"),AND(D866="OCIO",Inputs!$B$18="Y"),AND(D866="Other",Inputs!$B$19="Y")))),A866&lt;&gt;in_ClientOrg,NOT(AND(in_ExclHarvard="Y",ISNUMBER(SEARCH("Harvard",A866))))),$AD866="Y",K866&lt;&gt;"",S866&gt;0),"Y","")</f>
        <v/>
      </c>
      <c r="V866" s="30" t="n">
        <v>0.2935180547667895</v>
      </c>
      <c r="W866" t="inlineStr"/>
      <c r="X866" s="28">
        <f>IF(L866+M866=0,"",L866+M866)</f>
        <v/>
      </c>
      <c r="Y866" s="38">
        <f>IF(L866=0,"",M866/L866)</f>
        <v/>
      </c>
      <c r="Z866" t="inlineStr">
        <is>
          <t>Director &amp; Investment Officer</t>
        </is>
      </c>
      <c r="AA866" t="inlineStr">
        <is>
          <t>Investments</t>
        </is>
      </c>
      <c r="AB866" s="50" t="inlineStr"/>
      <c r="AC866" s="43">
        <f>HYPERLINK("https://projects.propublica.org/nonprofits/organizations/340714363/202540979349300224/full","view filing")</f>
        <v/>
      </c>
      <c r="AD866" s="50" t="inlineStr"/>
    </row>
    <row r="867">
      <c r="A867" t="inlineStr">
        <is>
          <t>Oberlin College</t>
        </is>
      </c>
      <c r="B867" s="50" t="inlineStr">
        <is>
          <t>OH</t>
        </is>
      </c>
      <c r="C867" s="52" t="n">
        <v>1.48</v>
      </c>
      <c r="D867" t="inlineStr">
        <is>
          <t>Endowment</t>
        </is>
      </c>
      <c r="E867" s="50" t="n">
        <v>2023</v>
      </c>
      <c r="F867" s="50" t="inlineStr">
        <is>
          <t>2024-05-15</t>
        </is>
      </c>
      <c r="G867" s="50" t="inlineStr">
        <is>
          <t>2023-06-30</t>
        </is>
      </c>
      <c r="H867" t="inlineStr">
        <is>
          <t>Jun Yang</t>
        </is>
      </c>
      <c r="I867" t="inlineStr">
        <is>
          <t>Chief Investment Officer</t>
        </is>
      </c>
      <c r="J867" t="inlineStr">
        <is>
          <t>CIO</t>
        </is>
      </c>
      <c r="K867" t="inlineStr">
        <is>
          <t>CIO - Top Investment Executive</t>
        </is>
      </c>
      <c r="L867" s="28" t="n">
        <v>441430</v>
      </c>
      <c r="M867" s="28" t="n">
        <v>324315</v>
      </c>
      <c r="N867" s="28" t="n">
        <v>774</v>
      </c>
      <c r="O867" s="28" t="n">
        <v>26400</v>
      </c>
      <c r="P867" s="28" t="n">
        <v>50123</v>
      </c>
      <c r="Q867" s="28" t="n">
        <v>843042</v>
      </c>
      <c r="R867" s="28" t="n">
        <v>0</v>
      </c>
      <c r="S867" s="28">
        <f>Q867-R867</f>
        <v/>
      </c>
      <c r="T867" s="28">
        <f>IF(S867="","",S867*(1+in_GrowthRate)^(YEARFRAC(DATE(2023,6,30),in_AgeToDate)*IF(in_AgeToDate&lt;DATE(2023,6,30),-1,1)+1))</f>
        <v/>
      </c>
      <c r="U867" s="50">
        <f>IF(AND(AND(OR(in_Mode="All Funds",AND(C867&gt;=in_BandFloor,C867&lt;=in_BandCeiling,OR(in_Geography="National",COUNTIFS(lst_GeoPreset,in_Geography,lst_GeoState,B867)&gt;0,AND(in_Geography="Custom",ISNUMBER(SEARCH(B867,SUBSTITUTE(in_CustomStates," ",""))))),OR(AND(D867="Endowment",Inputs!$B$14="Y"),AND(D867="Foundation",Inputs!$B$15="Y"),AND(D867="Healthcare",Inputs!$B$16="Y"),AND(D867="Pension",Inputs!$B$17="Y"),AND(D867="OCIO",Inputs!$B$18="Y"),AND(D867="Other",Inputs!$B$19="Y")))),A867&lt;&gt;in_ClientOrg,NOT(AND(in_ExclHarvard="Y",ISNUMBER(SEARCH("Harvard",A867))))),$AD867="Y",K867&lt;&gt;"",S867&gt;0),"Y","")</f>
        <v/>
      </c>
      <c r="V867" s="30" t="n">
        <v>1</v>
      </c>
      <c r="W867" t="inlineStr"/>
      <c r="X867" s="28">
        <f>IF(L867+M867=0,"",L867+M867)</f>
        <v/>
      </c>
      <c r="Y867" s="38">
        <f>IF(L867=0,"",M867/L867)</f>
        <v/>
      </c>
      <c r="Z867" t="inlineStr">
        <is>
          <t>CIO - Top Investment Executive</t>
        </is>
      </c>
      <c r="AA867" t="inlineStr">
        <is>
          <t>Leadership</t>
        </is>
      </c>
      <c r="AB867" s="50" t="inlineStr">
        <is>
          <t>Y</t>
        </is>
      </c>
      <c r="AC867" s="43">
        <f>HYPERLINK("https://projects.propublica.org/nonprofits/organizations/340714363/202441369349312414/full","view filing")</f>
        <v/>
      </c>
      <c r="AD867" s="50" t="inlineStr"/>
    </row>
    <row r="868">
      <c r="A868" t="inlineStr">
        <is>
          <t>Oberlin College</t>
        </is>
      </c>
      <c r="B868" s="50" t="inlineStr">
        <is>
          <t>OH</t>
        </is>
      </c>
      <c r="C868" s="52" t="n">
        <v>1.48</v>
      </c>
      <c r="D868" t="inlineStr">
        <is>
          <t>Endowment</t>
        </is>
      </c>
      <c r="E868" s="50" t="n">
        <v>2023</v>
      </c>
      <c r="F868" s="50" t="inlineStr">
        <is>
          <t>2024-05-15</t>
        </is>
      </c>
      <c r="G868" s="50" t="inlineStr">
        <is>
          <t>2023-06-30</t>
        </is>
      </c>
      <c r="H868" t="inlineStr">
        <is>
          <t>Katarzyna Karapuda</t>
        </is>
      </c>
      <c r="I868" t="inlineStr">
        <is>
          <t>Associate Director of Investments</t>
        </is>
      </c>
      <c r="J868" t="inlineStr">
        <is>
          <t>Director of Investments</t>
        </is>
      </c>
      <c r="K868" t="inlineStr">
        <is>
          <t>Sr Investment Professional</t>
        </is>
      </c>
      <c r="L868" s="28" t="n">
        <v>206555</v>
      </c>
      <c r="M868" s="28" t="n">
        <v>0</v>
      </c>
      <c r="N868" s="28" t="n">
        <v>142</v>
      </c>
      <c r="O868" s="28" t="n">
        <v>16524</v>
      </c>
      <c r="P868" s="28" t="n">
        <v>709</v>
      </c>
      <c r="Q868" s="28" t="n">
        <v>223930</v>
      </c>
      <c r="R868" s="28" t="n">
        <v>0</v>
      </c>
      <c r="S868" s="28">
        <f>Q868-R868</f>
        <v/>
      </c>
      <c r="T868" s="28">
        <f>IF(S868="","",S868*(1+in_GrowthRate)^(YEARFRAC(DATE(2023,6,30),in_AgeToDate)*IF(in_AgeToDate&lt;DATE(2023,6,30),-1,1)+1))</f>
        <v/>
      </c>
      <c r="U868" s="50">
        <f>IF(AND(AND(OR(in_Mode="All Funds",AND(C868&gt;=in_BandFloor,C868&lt;=in_BandCeiling,OR(in_Geography="National",COUNTIFS(lst_GeoPreset,in_Geography,lst_GeoState,B868)&gt;0,AND(in_Geography="Custom",ISNUMBER(SEARCH(B868,SUBSTITUTE(in_CustomStates," ",""))))),OR(AND(D868="Endowment",Inputs!$B$14="Y"),AND(D868="Foundation",Inputs!$B$15="Y"),AND(D868="Healthcare",Inputs!$B$16="Y"),AND(D868="Pension",Inputs!$B$17="Y"),AND(D868="OCIO",Inputs!$B$18="Y"),AND(D868="Other",Inputs!$B$19="Y")))),A868&lt;&gt;in_ClientOrg,NOT(AND(in_ExclHarvard="Y",ISNUMBER(SEARCH("Harvard",A868))))),$AD868="Y",K868&lt;&gt;"",S868&gt;0),"Y","")</f>
        <v/>
      </c>
      <c r="V868" s="30" t="n">
        <v>0.2656214043902914</v>
      </c>
      <c r="W868" t="inlineStr"/>
      <c r="X868" s="28">
        <f>IF(L868+M868=0,"",L868+M868)</f>
        <v/>
      </c>
      <c r="Y868" s="38">
        <f>IF(L868=0,"",M868/L868)</f>
        <v/>
      </c>
      <c r="Z868" t="inlineStr">
        <is>
          <t>Director &amp; Investment Officer</t>
        </is>
      </c>
      <c r="AA868" t="inlineStr">
        <is>
          <t>Investments</t>
        </is>
      </c>
      <c r="AB868" s="50" t="inlineStr"/>
      <c r="AC868" s="43">
        <f>HYPERLINK("https://projects.propublica.org/nonprofits/organizations/340714363/202441369349312414/full","view filing")</f>
        <v/>
      </c>
      <c r="AD868" s="50" t="inlineStr"/>
    </row>
    <row r="869">
      <c r="A869" t="inlineStr">
        <is>
          <t>Oberlin College</t>
        </is>
      </c>
      <c r="B869" s="50" t="inlineStr">
        <is>
          <t>OH</t>
        </is>
      </c>
      <c r="C869" s="52" t="n">
        <v>1.48</v>
      </c>
      <c r="D869" t="inlineStr">
        <is>
          <t>Endowment</t>
        </is>
      </c>
      <c r="E869" s="50" t="n">
        <v>2022</v>
      </c>
      <c r="F869" s="50" t="inlineStr">
        <is>
          <t>2023-05-13</t>
        </is>
      </c>
      <c r="G869" s="50" t="inlineStr">
        <is>
          <t>2022-06-30</t>
        </is>
      </c>
      <c r="H869" t="inlineStr">
        <is>
          <t>Jun Yang</t>
        </is>
      </c>
      <c r="I869" t="inlineStr">
        <is>
          <t>Chief Investment Officer</t>
        </is>
      </c>
      <c r="J869" t="inlineStr">
        <is>
          <t>CIO</t>
        </is>
      </c>
      <c r="K869" t="inlineStr">
        <is>
          <t>CIO - Top Investment Executive</t>
        </is>
      </c>
      <c r="L869" s="28" t="n">
        <v>433082</v>
      </c>
      <c r="M869" s="28" t="n">
        <v>211625</v>
      </c>
      <c r="N869" s="28" t="n">
        <v>414</v>
      </c>
      <c r="O869" s="28" t="n">
        <v>35237</v>
      </c>
      <c r="P869" s="28" t="n">
        <v>26178</v>
      </c>
      <c r="Q869" s="28" t="n">
        <v>706536</v>
      </c>
      <c r="R869" s="28" t="n">
        <v>0</v>
      </c>
      <c r="S869" s="28">
        <f>Q869-R869</f>
        <v/>
      </c>
      <c r="T869" s="28">
        <f>IF(S869="","",S869*(1+in_GrowthRate)^(YEARFRAC(DATE(2022,6,30),in_AgeToDate)*IF(in_AgeToDate&lt;DATE(2022,6,30),-1,1)+1))</f>
        <v/>
      </c>
      <c r="U869" s="50">
        <f>IF(AND(AND(OR(in_Mode="All Funds",AND(C869&gt;=in_BandFloor,C869&lt;=in_BandCeiling,OR(in_Geography="National",COUNTIFS(lst_GeoPreset,in_Geography,lst_GeoState,B869)&gt;0,AND(in_Geography="Custom",ISNUMBER(SEARCH(B869,SUBSTITUTE(in_CustomStates," ",""))))),OR(AND(D869="Endowment",Inputs!$B$14="Y"),AND(D869="Foundation",Inputs!$B$15="Y"),AND(D869="Healthcare",Inputs!$B$16="Y"),AND(D869="Pension",Inputs!$B$17="Y"),AND(D869="OCIO",Inputs!$B$18="Y"),AND(D869="Other",Inputs!$B$19="Y")))),A869&lt;&gt;in_ClientOrg,NOT(AND(in_ExclHarvard="Y",ISNUMBER(SEARCH("Harvard",A869))))),$AD869="Y",K869&lt;&gt;"",S869&gt;0),"Y","")</f>
        <v/>
      </c>
      <c r="V869" s="30" t="n">
        <v>1</v>
      </c>
      <c r="W869" t="inlineStr"/>
      <c r="X869" s="28">
        <f>IF(L869+M869=0,"",L869+M869)</f>
        <v/>
      </c>
      <c r="Y869" s="38">
        <f>IF(L869=0,"",M869/L869)</f>
        <v/>
      </c>
      <c r="Z869" t="inlineStr">
        <is>
          <t>CIO - Top Investment Executive</t>
        </is>
      </c>
      <c r="AA869" t="inlineStr">
        <is>
          <t>Leadership</t>
        </is>
      </c>
      <c r="AB869" s="50" t="inlineStr">
        <is>
          <t>Y</t>
        </is>
      </c>
      <c r="AC869" s="43">
        <f>HYPERLINK("https://projects.propublica.org/nonprofits/organizations/340714363/202341339349301804/full","view filing")</f>
        <v/>
      </c>
      <c r="AD869" s="50" t="inlineStr"/>
    </row>
    <row r="870">
      <c r="A870" t="inlineStr">
        <is>
          <t>Oklahoma State University Foundation</t>
        </is>
      </c>
      <c r="B870" s="50" t="inlineStr">
        <is>
          <t>OK</t>
        </is>
      </c>
      <c r="C870" s="52" t="n">
        <v>1.56</v>
      </c>
      <c r="D870" t="inlineStr">
        <is>
          <t>Endowment</t>
        </is>
      </c>
      <c r="E870" s="50" t="n">
        <v>2025</v>
      </c>
      <c r="F870" s="50" t="inlineStr">
        <is>
          <t>2026-05-08</t>
        </is>
      </c>
      <c r="G870" s="50" t="inlineStr">
        <is>
          <t>2025-06-30</t>
        </is>
      </c>
      <c r="H870" t="inlineStr">
        <is>
          <t>Ryan Harms</t>
        </is>
      </c>
      <c r="I870" t="inlineStr">
        <is>
          <t>CHIEF INVESTMENT OFFICER</t>
        </is>
      </c>
      <c r="J870" t="inlineStr">
        <is>
          <t>CIO</t>
        </is>
      </c>
      <c r="K870" t="inlineStr">
        <is>
          <t>CIO - Top Investment Executive</t>
        </is>
      </c>
      <c r="L870" s="28" t="n">
        <v>0</v>
      </c>
      <c r="M870" s="28" t="n">
        <v>0</v>
      </c>
      <c r="N870" s="28" t="n">
        <v>0</v>
      </c>
      <c r="O870" s="28" t="n">
        <v>0</v>
      </c>
      <c r="P870" s="28" t="n">
        <v>0</v>
      </c>
      <c r="Q870" s="28" t="n">
        <v>952222</v>
      </c>
      <c r="R870" s="28" t="n">
        <v>0</v>
      </c>
      <c r="S870" s="28">
        <f>Q870-R870</f>
        <v/>
      </c>
      <c r="T870" s="28">
        <f>IF(S870="","",S870*(1+in_GrowthRate)^(YEARFRAC(DATE(2025,6,30),in_AgeToDate)*IF(in_AgeToDate&lt;DATE(2025,6,30),-1,1)+1))</f>
        <v/>
      </c>
      <c r="U870" s="50">
        <f>IF(AND(AND(OR(in_Mode="All Funds",AND(C870&gt;=in_BandFloor,C870&lt;=in_BandCeiling,OR(in_Geography="National",COUNTIFS(lst_GeoPreset,in_Geography,lst_GeoState,B870)&gt;0,AND(in_Geography="Custom",ISNUMBER(SEARCH(B870,SUBSTITUTE(in_CustomStates," ",""))))),OR(AND(D870="Endowment",Inputs!$B$14="Y"),AND(D870="Foundation",Inputs!$B$15="Y"),AND(D870="Healthcare",Inputs!$B$16="Y"),AND(D870="Pension",Inputs!$B$17="Y"),AND(D870="OCIO",Inputs!$B$18="Y"),AND(D870="Other",Inputs!$B$19="Y")))),A870&lt;&gt;in_ClientOrg,NOT(AND(in_ExclHarvard="Y",ISNUMBER(SEARCH("Harvard",A870))))),$AD870="Y",K870&lt;&gt;"",S870&gt;0),"Y","")</f>
        <v/>
      </c>
      <c r="V870" s="30" t="n">
        <v>1</v>
      </c>
      <c r="W870" t="inlineStr"/>
      <c r="X870" s="28">
        <f>IF(L870+M870=0,"",L870+M870)</f>
        <v/>
      </c>
      <c r="Y870" s="38">
        <f>IF(L870=0,"",M870/L870)</f>
        <v/>
      </c>
      <c r="Z870" t="inlineStr">
        <is>
          <t>CIO - Top Investment Executive</t>
        </is>
      </c>
      <c r="AA870" t="inlineStr">
        <is>
          <t>Leadership</t>
        </is>
      </c>
      <c r="AB870" s="50" t="inlineStr">
        <is>
          <t>Y</t>
        </is>
      </c>
      <c r="AC870" s="43">
        <f>HYPERLINK("https://projects.propublica.org/nonprofits/organizations/736097060/202611289349302616/full","view filing")</f>
        <v/>
      </c>
      <c r="AD870" s="50" t="inlineStr">
        <is>
          <t>Y</t>
        </is>
      </c>
    </row>
    <row r="871">
      <c r="A871" t="inlineStr">
        <is>
          <t>Oklahoma State University Foundation</t>
        </is>
      </c>
      <c r="B871" s="50" t="inlineStr">
        <is>
          <t>OK</t>
        </is>
      </c>
      <c r="C871" s="52" t="n">
        <v>1.56</v>
      </c>
      <c r="D871" t="inlineStr">
        <is>
          <t>Endowment</t>
        </is>
      </c>
      <c r="E871" s="50" t="n">
        <v>2024</v>
      </c>
      <c r="F871" s="50" t="inlineStr">
        <is>
          <t>2025-05-02</t>
        </is>
      </c>
      <c r="G871" s="50" t="inlineStr">
        <is>
          <t>2024-06-30</t>
        </is>
      </c>
      <c r="H871" t="inlineStr">
        <is>
          <t>Ryan Harms</t>
        </is>
      </c>
      <c r="I871" t="inlineStr">
        <is>
          <t>CHIEF INVESTMENT OFFICER</t>
        </is>
      </c>
      <c r="J871" t="inlineStr">
        <is>
          <t>CIO</t>
        </is>
      </c>
      <c r="K871" t="inlineStr">
        <is>
          <t>CIO - Top Investment Executive</t>
        </is>
      </c>
      <c r="L871" s="28" t="n">
        <v>0</v>
      </c>
      <c r="M871" s="28" t="n">
        <v>0</v>
      </c>
      <c r="N871" s="28" t="n">
        <v>0</v>
      </c>
      <c r="O871" s="28" t="n">
        <v>0</v>
      </c>
      <c r="P871" s="28" t="n">
        <v>0</v>
      </c>
      <c r="Q871" s="28" t="n">
        <v>630415</v>
      </c>
      <c r="R871" s="28" t="n">
        <v>0</v>
      </c>
      <c r="S871" s="28">
        <f>Q871-R871</f>
        <v/>
      </c>
      <c r="T871" s="28">
        <f>IF(S871="","",S871*(1+in_GrowthRate)^(YEARFRAC(DATE(2024,6,30),in_AgeToDate)*IF(in_AgeToDate&lt;DATE(2024,6,30),-1,1)+1))</f>
        <v/>
      </c>
      <c r="U871" s="50">
        <f>IF(AND(AND(OR(in_Mode="All Funds",AND(C871&gt;=in_BandFloor,C871&lt;=in_BandCeiling,OR(in_Geography="National",COUNTIFS(lst_GeoPreset,in_Geography,lst_GeoState,B871)&gt;0,AND(in_Geography="Custom",ISNUMBER(SEARCH(B871,SUBSTITUTE(in_CustomStates," ",""))))),OR(AND(D871="Endowment",Inputs!$B$14="Y"),AND(D871="Foundation",Inputs!$B$15="Y"),AND(D871="Healthcare",Inputs!$B$16="Y"),AND(D871="Pension",Inputs!$B$17="Y"),AND(D871="OCIO",Inputs!$B$18="Y"),AND(D871="Other",Inputs!$B$19="Y")))),A871&lt;&gt;in_ClientOrg,NOT(AND(in_ExclHarvard="Y",ISNUMBER(SEARCH("Harvard",A871))))),$AD871="Y",K871&lt;&gt;"",S871&gt;0),"Y","")</f>
        <v/>
      </c>
      <c r="V871" s="30" t="n">
        <v>1</v>
      </c>
      <c r="W871" t="inlineStr"/>
      <c r="X871" s="28">
        <f>IF(L871+M871=0,"",L871+M871)</f>
        <v/>
      </c>
      <c r="Y871" s="38">
        <f>IF(L871=0,"",M871/L871)</f>
        <v/>
      </c>
      <c r="Z871" t="inlineStr">
        <is>
          <t>CIO - Top Investment Executive</t>
        </is>
      </c>
      <c r="AA871" t="inlineStr">
        <is>
          <t>Leadership</t>
        </is>
      </c>
      <c r="AB871" s="50" t="inlineStr">
        <is>
          <t>Y</t>
        </is>
      </c>
      <c r="AC871" s="43">
        <f>HYPERLINK("https://projects.propublica.org/nonprofits/organizations/736097060/202521229349302392/full","view filing")</f>
        <v/>
      </c>
      <c r="AD871" s="50" t="inlineStr"/>
    </row>
    <row r="872">
      <c r="A872" t="inlineStr">
        <is>
          <t>Oklahoma State University Foundation</t>
        </is>
      </c>
      <c r="B872" s="50" t="inlineStr">
        <is>
          <t>OK</t>
        </is>
      </c>
      <c r="C872" s="52" t="n">
        <v>1.56</v>
      </c>
      <c r="D872" t="inlineStr">
        <is>
          <t>Endowment</t>
        </is>
      </c>
      <c r="E872" s="50" t="n">
        <v>2023</v>
      </c>
      <c r="F872" s="50" t="inlineStr">
        <is>
          <t>2024-05-15</t>
        </is>
      </c>
      <c r="G872" s="50" t="inlineStr">
        <is>
          <t>2023-06-30</t>
        </is>
      </c>
      <c r="H872" t="inlineStr">
        <is>
          <t>Ryan Harms</t>
        </is>
      </c>
      <c r="I872" t="inlineStr">
        <is>
          <t>CHIEF INVESTMENT OFFICER</t>
        </is>
      </c>
      <c r="J872" t="inlineStr">
        <is>
          <t>CIO</t>
        </is>
      </c>
      <c r="K872" t="inlineStr">
        <is>
          <t>CIO - Top Investment Executive</t>
        </is>
      </c>
      <c r="L872" s="28" t="n">
        <v>0</v>
      </c>
      <c r="M872" s="28" t="n">
        <v>0</v>
      </c>
      <c r="N872" s="28" t="n">
        <v>0</v>
      </c>
      <c r="O872" s="28" t="n">
        <v>0</v>
      </c>
      <c r="P872" s="28" t="n">
        <v>0</v>
      </c>
      <c r="Q872" s="28" t="n">
        <v>519897</v>
      </c>
      <c r="R872" s="28" t="n">
        <v>0</v>
      </c>
      <c r="S872" s="28">
        <f>Q872-R872</f>
        <v/>
      </c>
      <c r="T872" s="28">
        <f>IF(S872="","",S872*(1+in_GrowthRate)^(YEARFRAC(DATE(2023,6,30),in_AgeToDate)*IF(in_AgeToDate&lt;DATE(2023,6,30),-1,1)+1))</f>
        <v/>
      </c>
      <c r="U872" s="50">
        <f>IF(AND(AND(OR(in_Mode="All Funds",AND(C872&gt;=in_BandFloor,C872&lt;=in_BandCeiling,OR(in_Geography="National",COUNTIFS(lst_GeoPreset,in_Geography,lst_GeoState,B872)&gt;0,AND(in_Geography="Custom",ISNUMBER(SEARCH(B872,SUBSTITUTE(in_CustomStates," ",""))))),OR(AND(D872="Endowment",Inputs!$B$14="Y"),AND(D872="Foundation",Inputs!$B$15="Y"),AND(D872="Healthcare",Inputs!$B$16="Y"),AND(D872="Pension",Inputs!$B$17="Y"),AND(D872="OCIO",Inputs!$B$18="Y"),AND(D872="Other",Inputs!$B$19="Y")))),A872&lt;&gt;in_ClientOrg,NOT(AND(in_ExclHarvard="Y",ISNUMBER(SEARCH("Harvard",A872))))),$AD872="Y",K872&lt;&gt;"",S872&gt;0),"Y","")</f>
        <v/>
      </c>
      <c r="V872" s="30" t="n">
        <v>1</v>
      </c>
      <c r="W872" t="inlineStr"/>
      <c r="X872" s="28">
        <f>IF(L872+M872=0,"",L872+M872)</f>
        <v/>
      </c>
      <c r="Y872" s="38">
        <f>IF(L872=0,"",M872/L872)</f>
        <v/>
      </c>
      <c r="Z872" t="inlineStr">
        <is>
          <t>CIO - Top Investment Executive</t>
        </is>
      </c>
      <c r="AA872" t="inlineStr">
        <is>
          <t>Leadership</t>
        </is>
      </c>
      <c r="AB872" s="50" t="inlineStr">
        <is>
          <t>Y</t>
        </is>
      </c>
      <c r="AC872" s="43">
        <f>HYPERLINK("https://projects.propublica.org/nonprofits/organizations/736097060/202411369349306306/full","view filing")</f>
        <v/>
      </c>
      <c r="AD872" s="50" t="inlineStr"/>
    </row>
    <row r="873">
      <c r="A873" t="inlineStr">
        <is>
          <t>Oklahoma State University Foundation</t>
        </is>
      </c>
      <c r="B873" s="50" t="inlineStr">
        <is>
          <t>OK</t>
        </is>
      </c>
      <c r="C873" s="52" t="n">
        <v>1.56</v>
      </c>
      <c r="D873" t="inlineStr">
        <is>
          <t>Endowment</t>
        </is>
      </c>
      <c r="E873" s="50" t="n">
        <v>2022</v>
      </c>
      <c r="F873" s="50" t="inlineStr">
        <is>
          <t>2023-05-15</t>
        </is>
      </c>
      <c r="G873" s="50" t="inlineStr">
        <is>
          <t>2022-06-30</t>
        </is>
      </c>
      <c r="H873" t="inlineStr">
        <is>
          <t>Ryan Harms</t>
        </is>
      </c>
      <c r="I873" t="inlineStr">
        <is>
          <t>CHIEF INVESTMENT OFFICER</t>
        </is>
      </c>
      <c r="J873" t="inlineStr">
        <is>
          <t>CIO</t>
        </is>
      </c>
      <c r="K873" t="inlineStr">
        <is>
          <t>Sr Investment Professional</t>
        </is>
      </c>
      <c r="L873" s="28" t="n">
        <v>0</v>
      </c>
      <c r="M873" s="28" t="n">
        <v>0</v>
      </c>
      <c r="N873" s="28" t="n">
        <v>0</v>
      </c>
      <c r="O873" s="28" t="n">
        <v>0</v>
      </c>
      <c r="P873" s="28" t="n">
        <v>0</v>
      </c>
      <c r="Q873" s="28" t="n">
        <v>378749</v>
      </c>
      <c r="R873" s="28" t="n">
        <v>0</v>
      </c>
      <c r="S873" s="28">
        <f>Q873-R873</f>
        <v/>
      </c>
      <c r="T873" s="28">
        <f>IF(S873="","",S873*(1+in_GrowthRate)^(YEARFRAC(DATE(2022,6,30),in_AgeToDate)*IF(in_AgeToDate&lt;DATE(2022,6,30),-1,1)+1))</f>
        <v/>
      </c>
      <c r="U873" s="50">
        <f>IF(AND(AND(OR(in_Mode="All Funds",AND(C873&gt;=in_BandFloor,C873&lt;=in_BandCeiling,OR(in_Geography="National",COUNTIFS(lst_GeoPreset,in_Geography,lst_GeoState,B873)&gt;0,AND(in_Geography="Custom",ISNUMBER(SEARCH(B873,SUBSTITUTE(in_CustomStates," ",""))))),OR(AND(D873="Endowment",Inputs!$B$14="Y"),AND(D873="Foundation",Inputs!$B$15="Y"),AND(D873="Healthcare",Inputs!$B$16="Y"),AND(D873="Pension",Inputs!$B$17="Y"),AND(D873="OCIO",Inputs!$B$18="Y"),AND(D873="Other",Inputs!$B$19="Y")))),A873&lt;&gt;in_ClientOrg,NOT(AND(in_ExclHarvard="Y",ISNUMBER(SEARCH("Harvard",A873))))),$AD873="Y",K873&lt;&gt;"",S873&gt;0),"Y","")</f>
        <v/>
      </c>
      <c r="V873" s="30" t="n">
        <v>0.8310127082199715</v>
      </c>
      <c r="W873" t="inlineStr"/>
      <c r="X873" s="28">
        <f>IF(L873+M873=0,"",L873+M873)</f>
        <v/>
      </c>
      <c r="Y873" s="38">
        <f>IF(L873=0,"",M873/L873)</f>
        <v/>
      </c>
      <c r="Z873" t="inlineStr">
        <is>
          <t>Deputy CIO</t>
        </is>
      </c>
      <c r="AA873" t="inlineStr">
        <is>
          <t>Leadership</t>
        </is>
      </c>
      <c r="AB873" s="50" t="inlineStr"/>
      <c r="AC873" s="43">
        <f>HYPERLINK("https://projects.propublica.org/nonprofits/organizations/736097060/202311359349306096/full","view filing")</f>
        <v/>
      </c>
      <c r="AD873" s="50" t="inlineStr"/>
    </row>
    <row r="874">
      <c r="A874" t="inlineStr">
        <is>
          <t>Oklahoma State University Foundation</t>
        </is>
      </c>
      <c r="B874" s="50" t="inlineStr">
        <is>
          <t>OK</t>
        </is>
      </c>
      <c r="C874" s="52" t="n">
        <v>1.56</v>
      </c>
      <c r="D874" t="inlineStr">
        <is>
          <t>Endowment</t>
        </is>
      </c>
      <c r="E874" s="50" t="n">
        <v>2022</v>
      </c>
      <c r="F874" s="50" t="inlineStr">
        <is>
          <t>2023-05-15</t>
        </is>
      </c>
      <c r="G874" s="50" t="inlineStr">
        <is>
          <t>2022-06-30</t>
        </is>
      </c>
      <c r="H874" t="inlineStr">
        <is>
          <t>Ryan Tidwell</t>
        </is>
      </c>
      <c r="I874" t="inlineStr">
        <is>
          <t>CEO/CIO</t>
        </is>
      </c>
      <c r="J874" t="inlineStr">
        <is>
          <t>CIO</t>
        </is>
      </c>
      <c r="K874" t="inlineStr">
        <is>
          <t>CIO - Top Investment Executive</t>
        </is>
      </c>
      <c r="L874" s="28" t="n">
        <v>0</v>
      </c>
      <c r="M874" s="28" t="n">
        <v>0</v>
      </c>
      <c r="N874" s="28" t="n">
        <v>0</v>
      </c>
      <c r="O874" s="28" t="n">
        <v>0</v>
      </c>
      <c r="P874" s="28" t="n">
        <v>0</v>
      </c>
      <c r="Q874" s="28" t="n">
        <v>455768</v>
      </c>
      <c r="R874" s="28" t="n">
        <v>0</v>
      </c>
      <c r="S874" s="28">
        <f>Q874-R874</f>
        <v/>
      </c>
      <c r="T874" s="28">
        <f>IF(S874="","",S874*(1+in_GrowthRate)^(YEARFRAC(DATE(2022,6,30),in_AgeToDate)*IF(in_AgeToDate&lt;DATE(2022,6,30),-1,1)+1))</f>
        <v/>
      </c>
      <c r="U874" s="50">
        <f>IF(AND(AND(OR(in_Mode="All Funds",AND(C874&gt;=in_BandFloor,C874&lt;=in_BandCeiling,OR(in_Geography="National",COUNTIFS(lst_GeoPreset,in_Geography,lst_GeoState,B874)&gt;0,AND(in_Geography="Custom",ISNUMBER(SEARCH(B874,SUBSTITUTE(in_CustomStates," ",""))))),OR(AND(D874="Endowment",Inputs!$B$14="Y"),AND(D874="Foundation",Inputs!$B$15="Y"),AND(D874="Healthcare",Inputs!$B$16="Y"),AND(D874="Pension",Inputs!$B$17="Y"),AND(D874="OCIO",Inputs!$B$18="Y"),AND(D874="Other",Inputs!$B$19="Y")))),A874&lt;&gt;in_ClientOrg,NOT(AND(in_ExclHarvard="Y",ISNUMBER(SEARCH("Harvard",A874))))),$AD874="Y",K874&lt;&gt;"",S874&gt;0),"Y","")</f>
        <v/>
      </c>
      <c r="V874" s="30" t="n">
        <v>1</v>
      </c>
      <c r="W874" t="inlineStr"/>
      <c r="X874" s="28">
        <f>IF(L874+M874=0,"",L874+M874)</f>
        <v/>
      </c>
      <c r="Y874" s="38">
        <f>IF(L874=0,"",M874/L874)</f>
        <v/>
      </c>
      <c r="Z874" t="inlineStr">
        <is>
          <t>CIO - Top Investment Executive</t>
        </is>
      </c>
      <c r="AA874" t="inlineStr">
        <is>
          <t>Leadership</t>
        </is>
      </c>
      <c r="AB874" s="50" t="inlineStr">
        <is>
          <t>Y</t>
        </is>
      </c>
      <c r="AC874" s="43">
        <f>HYPERLINK("https://projects.propublica.org/nonprofits/organizations/736097060/202311359349306096/full","view filing")</f>
        <v/>
      </c>
      <c r="AD874" s="50" t="inlineStr"/>
    </row>
    <row r="875">
      <c r="A875" t="inlineStr">
        <is>
          <t>Pepperdine University</t>
        </is>
      </c>
      <c r="B875" s="50" t="inlineStr">
        <is>
          <t>CA</t>
        </is>
      </c>
      <c r="C875" s="52" t="n">
        <v>1.29</v>
      </c>
      <c r="D875" t="inlineStr">
        <is>
          <t>Endowment</t>
        </is>
      </c>
      <c r="E875" s="50" t="n">
        <v>2025</v>
      </c>
      <c r="F875" s="50" t="inlineStr">
        <is>
          <t>2026-06-02</t>
        </is>
      </c>
      <c r="G875" s="50" t="inlineStr">
        <is>
          <t>2025-07-31</t>
        </is>
      </c>
      <c r="H875" t="inlineStr">
        <is>
          <t>Faye Holton</t>
        </is>
      </c>
      <c r="I875" t="inlineStr">
        <is>
          <t>DIRECTOR OF INVESTMENTS</t>
        </is>
      </c>
      <c r="J875" t="inlineStr">
        <is>
          <t>Director of Investments</t>
        </is>
      </c>
      <c r="K875" t="inlineStr">
        <is>
          <t>Sr Investment Professional</t>
        </is>
      </c>
      <c r="L875" s="28" t="n">
        <v>244969</v>
      </c>
      <c r="M875" s="28" t="n">
        <v>0</v>
      </c>
      <c r="N875" s="28" t="n">
        <v>3556</v>
      </c>
      <c r="O875" s="28" t="n">
        <v>25239</v>
      </c>
      <c r="P875" s="28" t="n">
        <v>19466</v>
      </c>
      <c r="Q875" s="28" t="n">
        <v>293230</v>
      </c>
      <c r="R875" s="28" t="n">
        <v>0</v>
      </c>
      <c r="S875" s="28">
        <f>Q875-R875</f>
        <v/>
      </c>
      <c r="T875" s="28">
        <f>IF(S875="","",S875*(1+in_GrowthRate)^(YEARFRAC(DATE(2025,7,31),in_AgeToDate)*IF(in_AgeToDate&lt;DATE(2025,7,31),-1,1)+1))</f>
        <v/>
      </c>
      <c r="U875" s="50">
        <f>IF(AND(AND(OR(in_Mode="All Funds",AND(C875&gt;=in_BandFloor,C875&lt;=in_BandCeiling,OR(in_Geography="National",COUNTIFS(lst_GeoPreset,in_Geography,lst_GeoState,B875)&gt;0,AND(in_Geography="Custom",ISNUMBER(SEARCH(B875,SUBSTITUTE(in_CustomStates," ",""))))),OR(AND(D875="Endowment",Inputs!$B$14="Y"),AND(D875="Foundation",Inputs!$B$15="Y"),AND(D875="Healthcare",Inputs!$B$16="Y"),AND(D875="Pension",Inputs!$B$17="Y"),AND(D875="OCIO",Inputs!$B$18="Y"),AND(D875="Other",Inputs!$B$19="Y")))),A875&lt;&gt;in_ClientOrg,NOT(AND(in_ExclHarvard="Y",ISNUMBER(SEARCH("Harvard",A875))))),$AD875="Y",K875&lt;&gt;"",S875&gt;0),"Y","")</f>
        <v/>
      </c>
      <c r="V875" s="30" t="n">
        <v>0.5591585258183912</v>
      </c>
      <c r="W875" t="inlineStr"/>
      <c r="X875" s="28">
        <f>IF(L875+M875=0,"",L875+M875)</f>
        <v/>
      </c>
      <c r="Y875" s="38">
        <f>IF(L875=0,"",M875/L875)</f>
        <v/>
      </c>
      <c r="Z875" t="inlineStr">
        <is>
          <t>Director &amp; Investment Officer</t>
        </is>
      </c>
      <c r="AA875" t="inlineStr">
        <is>
          <t>Investments</t>
        </is>
      </c>
      <c r="AB875" s="50" t="inlineStr"/>
      <c r="AC875" s="43">
        <f>HYPERLINK("https://projects.propublica.org/nonprofits/organizations/951644037/202611539349301221/full","view filing")</f>
        <v/>
      </c>
      <c r="AD875" s="50" t="inlineStr">
        <is>
          <t>Y</t>
        </is>
      </c>
    </row>
    <row r="876">
      <c r="A876" t="inlineStr">
        <is>
          <t>Pepperdine University</t>
        </is>
      </c>
      <c r="B876" s="50" t="inlineStr">
        <is>
          <t>CA</t>
        </is>
      </c>
      <c r="C876" s="52" t="n">
        <v>1.29</v>
      </c>
      <c r="D876" t="inlineStr">
        <is>
          <t>Endowment</t>
        </is>
      </c>
      <c r="E876" s="50" t="n">
        <v>2025</v>
      </c>
      <c r="F876" s="50" t="inlineStr">
        <is>
          <t>2026-06-02</t>
        </is>
      </c>
      <c r="G876" s="50" t="inlineStr">
        <is>
          <t>2025-07-31</t>
        </is>
      </c>
      <c r="H876" t="inlineStr">
        <is>
          <t>Jeffrey Rohde</t>
        </is>
      </c>
      <c r="I876" t="inlineStr">
        <is>
          <t>CHIEF INVESTMENT OFFICER</t>
        </is>
      </c>
      <c r="J876" t="inlineStr">
        <is>
          <t>CIO</t>
        </is>
      </c>
      <c r="K876" t="inlineStr">
        <is>
          <t>CIO - Top Investment Executive</t>
        </is>
      </c>
      <c r="L876" s="28" t="n">
        <v>375718</v>
      </c>
      <c r="M876" s="28" t="n">
        <v>71000</v>
      </c>
      <c r="N876" s="28" t="n">
        <v>810</v>
      </c>
      <c r="O876" s="28" t="n">
        <v>34500</v>
      </c>
      <c r="P876" s="28" t="n">
        <v>42385</v>
      </c>
      <c r="Q876" s="28" t="n">
        <v>524413</v>
      </c>
      <c r="R876" s="28" t="n">
        <v>0</v>
      </c>
      <c r="S876" s="28">
        <f>Q876-R876</f>
        <v/>
      </c>
      <c r="T876" s="28">
        <f>IF(S876="","",S876*(1+in_GrowthRate)^(YEARFRAC(DATE(2025,7,31),in_AgeToDate)*IF(in_AgeToDate&lt;DATE(2025,7,31),-1,1)+1))</f>
        <v/>
      </c>
      <c r="U876" s="50">
        <f>IF(AND(AND(OR(in_Mode="All Funds",AND(C876&gt;=in_BandFloor,C876&lt;=in_BandCeiling,OR(in_Geography="National",COUNTIFS(lst_GeoPreset,in_Geography,lst_GeoState,B876)&gt;0,AND(in_Geography="Custom",ISNUMBER(SEARCH(B876,SUBSTITUTE(in_CustomStates," ",""))))),OR(AND(D876="Endowment",Inputs!$B$14="Y"),AND(D876="Foundation",Inputs!$B$15="Y"),AND(D876="Healthcare",Inputs!$B$16="Y"),AND(D876="Pension",Inputs!$B$17="Y"),AND(D876="OCIO",Inputs!$B$18="Y"),AND(D876="Other",Inputs!$B$19="Y")))),A876&lt;&gt;in_ClientOrg,NOT(AND(in_ExclHarvard="Y",ISNUMBER(SEARCH("Harvard",A876))))),$AD876="Y",K876&lt;&gt;"",S876&gt;0),"Y","")</f>
        <v/>
      </c>
      <c r="V876" s="30" t="n">
        <v>1</v>
      </c>
      <c r="W876" t="inlineStr"/>
      <c r="X876" s="28">
        <f>IF(L876+M876=0,"",L876+M876)</f>
        <v/>
      </c>
      <c r="Y876" s="38">
        <f>IF(L876=0,"",M876/L876)</f>
        <v/>
      </c>
      <c r="Z876" t="inlineStr">
        <is>
          <t>CIO - Top Investment Executive</t>
        </is>
      </c>
      <c r="AA876" t="inlineStr">
        <is>
          <t>Leadership</t>
        </is>
      </c>
      <c r="AB876" s="50" t="inlineStr">
        <is>
          <t>Y</t>
        </is>
      </c>
      <c r="AC876" s="43">
        <f>HYPERLINK("https://projects.propublica.org/nonprofits/organizations/951644037/202611539349301221/full","view filing")</f>
        <v/>
      </c>
      <c r="AD876" s="50" t="inlineStr">
        <is>
          <t>Y</t>
        </is>
      </c>
    </row>
    <row r="877">
      <c r="A877" t="inlineStr">
        <is>
          <t>Pepperdine University</t>
        </is>
      </c>
      <c r="B877" s="50" t="inlineStr">
        <is>
          <t>CA</t>
        </is>
      </c>
      <c r="C877" s="52" t="n">
        <v>1.29</v>
      </c>
      <c r="D877" t="inlineStr">
        <is>
          <t>Endowment</t>
        </is>
      </c>
      <c r="E877" s="50" t="n">
        <v>2025</v>
      </c>
      <c r="F877" s="50" t="inlineStr">
        <is>
          <t>2026-06-02</t>
        </is>
      </c>
      <c r="G877" s="50" t="inlineStr">
        <is>
          <t>2025-07-31</t>
        </is>
      </c>
      <c r="H877" t="inlineStr">
        <is>
          <t>Michael Nicks</t>
        </is>
      </c>
      <c r="I877" t="inlineStr">
        <is>
          <t>DIRECTOR OF INVESTMENTS</t>
        </is>
      </c>
      <c r="J877" t="inlineStr">
        <is>
          <t>Director of Investments</t>
        </is>
      </c>
      <c r="K877" t="inlineStr">
        <is>
          <t>Sr Investment Professional</t>
        </is>
      </c>
      <c r="L877" s="28" t="n">
        <v>247715</v>
      </c>
      <c r="M877" s="28" t="n">
        <v>0</v>
      </c>
      <c r="N877" s="28" t="n">
        <v>2436</v>
      </c>
      <c r="O877" s="28" t="n">
        <v>26402</v>
      </c>
      <c r="P877" s="28" t="n">
        <v>49187</v>
      </c>
      <c r="Q877" s="28" t="n">
        <v>325740</v>
      </c>
      <c r="R877" s="28" t="n">
        <v>0</v>
      </c>
      <c r="S877" s="28">
        <f>Q877-R877</f>
        <v/>
      </c>
      <c r="T877" s="28">
        <f>IF(S877="","",S877*(1+in_GrowthRate)^(YEARFRAC(DATE(2025,7,31),in_AgeToDate)*IF(in_AgeToDate&lt;DATE(2025,7,31),-1,1)+1))</f>
        <v/>
      </c>
      <c r="U877" s="50">
        <f>IF(AND(AND(OR(in_Mode="All Funds",AND(C877&gt;=in_BandFloor,C877&lt;=in_BandCeiling,OR(in_Geography="National",COUNTIFS(lst_GeoPreset,in_Geography,lst_GeoState,B877)&gt;0,AND(in_Geography="Custom",ISNUMBER(SEARCH(B877,SUBSTITUTE(in_CustomStates," ",""))))),OR(AND(D877="Endowment",Inputs!$B$14="Y"),AND(D877="Foundation",Inputs!$B$15="Y"),AND(D877="Healthcare",Inputs!$B$16="Y"),AND(D877="Pension",Inputs!$B$17="Y"),AND(D877="OCIO",Inputs!$B$18="Y"),AND(D877="Other",Inputs!$B$19="Y")))),A877&lt;&gt;in_ClientOrg,NOT(AND(in_ExclHarvard="Y",ISNUMBER(SEARCH("Harvard",A877))))),$AD877="Y",K877&lt;&gt;"",S877&gt;0),"Y","")</f>
        <v/>
      </c>
      <c r="V877" s="30" t="n">
        <v>0.6211516495586494</v>
      </c>
      <c r="W877" t="inlineStr"/>
      <c r="X877" s="28">
        <f>IF(L877+M877=0,"",L877+M877)</f>
        <v/>
      </c>
      <c r="Y877" s="38">
        <f>IF(L877=0,"",M877/L877)</f>
        <v/>
      </c>
      <c r="Z877" t="inlineStr">
        <is>
          <t>Director &amp; Investment Officer</t>
        </is>
      </c>
      <c r="AA877" t="inlineStr">
        <is>
          <t>Investments</t>
        </is>
      </c>
      <c r="AB877" s="50" t="inlineStr"/>
      <c r="AC877" s="43">
        <f>HYPERLINK("https://projects.propublica.org/nonprofits/organizations/951644037/202611539349301221/full","view filing")</f>
        <v/>
      </c>
      <c r="AD877" s="50" t="inlineStr">
        <is>
          <t>Y</t>
        </is>
      </c>
    </row>
    <row r="878">
      <c r="A878" t="inlineStr">
        <is>
          <t>Pepperdine University</t>
        </is>
      </c>
      <c r="B878" s="50" t="inlineStr">
        <is>
          <t>CA</t>
        </is>
      </c>
      <c r="C878" s="52" t="n">
        <v>1.29</v>
      </c>
      <c r="D878" t="inlineStr">
        <is>
          <t>Endowment</t>
        </is>
      </c>
      <c r="E878" s="50" t="n">
        <v>2024</v>
      </c>
      <c r="F878" s="50" t="inlineStr">
        <is>
          <t>2025-06-05</t>
        </is>
      </c>
      <c r="G878" s="50" t="inlineStr">
        <is>
          <t>2024-07-31</t>
        </is>
      </c>
      <c r="H878" t="inlineStr">
        <is>
          <t>Faye Holton</t>
        </is>
      </c>
      <c r="I878" t="inlineStr">
        <is>
          <t>DIRECTOR OF INVESTMENTS</t>
        </is>
      </c>
      <c r="J878" t="inlineStr">
        <is>
          <t>Director of Investments</t>
        </is>
      </c>
      <c r="K878" t="inlineStr">
        <is>
          <t>Sr Investment Professional</t>
        </is>
      </c>
      <c r="L878" s="28" t="n">
        <v>237315</v>
      </c>
      <c r="M878" s="28" t="n">
        <v>8000</v>
      </c>
      <c r="N878" s="28" t="n">
        <v>3406</v>
      </c>
      <c r="O878" s="28" t="n">
        <v>24374</v>
      </c>
      <c r="P878" s="28" t="n">
        <v>19946</v>
      </c>
      <c r="Q878" s="28" t="n">
        <v>293041</v>
      </c>
      <c r="R878" s="28" t="n">
        <v>0</v>
      </c>
      <c r="S878" s="28">
        <f>Q878-R878</f>
        <v/>
      </c>
      <c r="T878" s="28">
        <f>IF(S878="","",S878*(1+in_GrowthRate)^(YEARFRAC(DATE(2024,7,31),in_AgeToDate)*IF(in_AgeToDate&lt;DATE(2024,7,31),-1,1)+1))</f>
        <v/>
      </c>
      <c r="U878" s="50">
        <f>IF(AND(AND(OR(in_Mode="All Funds",AND(C878&gt;=in_BandFloor,C878&lt;=in_BandCeiling,OR(in_Geography="National",COUNTIFS(lst_GeoPreset,in_Geography,lst_GeoState,B878)&gt;0,AND(in_Geography="Custom",ISNUMBER(SEARCH(B878,SUBSTITUTE(in_CustomStates," ",""))))),OR(AND(D878="Endowment",Inputs!$B$14="Y"),AND(D878="Foundation",Inputs!$B$15="Y"),AND(D878="Healthcare",Inputs!$B$16="Y"),AND(D878="Pension",Inputs!$B$17="Y"),AND(D878="OCIO",Inputs!$B$18="Y"),AND(D878="Other",Inputs!$B$19="Y")))),A878&lt;&gt;in_ClientOrg,NOT(AND(in_ExclHarvard="Y",ISNUMBER(SEARCH("Harvard",A878))))),$AD878="Y",K878&lt;&gt;"",S878&gt;0),"Y","")</f>
        <v/>
      </c>
      <c r="V878" s="30" t="n">
        <v>0.6097805097301526</v>
      </c>
      <c r="W878" t="inlineStr"/>
      <c r="X878" s="28">
        <f>IF(L878+M878=0,"",L878+M878)</f>
        <v/>
      </c>
      <c r="Y878" s="38">
        <f>IF(L878=0,"",M878/L878)</f>
        <v/>
      </c>
      <c r="Z878" t="inlineStr">
        <is>
          <t>Director &amp; Investment Officer</t>
        </is>
      </c>
      <c r="AA878" t="inlineStr">
        <is>
          <t>Investments</t>
        </is>
      </c>
      <c r="AB878" s="50" t="inlineStr"/>
      <c r="AC878" s="43">
        <f>HYPERLINK("https://projects.propublica.org/nonprofits/organizations/951644037/202501569349301705/full","view filing")</f>
        <v/>
      </c>
      <c r="AD878" s="50" t="inlineStr"/>
    </row>
    <row r="879">
      <c r="A879" t="inlineStr">
        <is>
          <t>Pepperdine University</t>
        </is>
      </c>
      <c r="B879" s="50" t="inlineStr">
        <is>
          <t>CA</t>
        </is>
      </c>
      <c r="C879" s="52" t="n">
        <v>1.29</v>
      </c>
      <c r="D879" t="inlineStr">
        <is>
          <t>Endowment</t>
        </is>
      </c>
      <c r="E879" s="50" t="n">
        <v>2024</v>
      </c>
      <c r="F879" s="50" t="inlineStr">
        <is>
          <t>2025-06-05</t>
        </is>
      </c>
      <c r="G879" s="50" t="inlineStr">
        <is>
          <t>2024-07-31</t>
        </is>
      </c>
      <c r="H879" t="inlineStr">
        <is>
          <t>Jeffrey Rohde</t>
        </is>
      </c>
      <c r="I879" t="inlineStr">
        <is>
          <t>CHIEF INVESTMENT OFFICER</t>
        </is>
      </c>
      <c r="J879" t="inlineStr">
        <is>
          <t>CIO</t>
        </is>
      </c>
      <c r="K879" t="inlineStr">
        <is>
          <t>CIO - Top Investment Executive</t>
        </is>
      </c>
      <c r="L879" s="28" t="n">
        <v>349094</v>
      </c>
      <c r="M879" s="28" t="n">
        <v>52000</v>
      </c>
      <c r="N879" s="28" t="n">
        <v>719</v>
      </c>
      <c r="O879" s="28" t="n">
        <v>33000</v>
      </c>
      <c r="P879" s="28" t="n">
        <v>45755</v>
      </c>
      <c r="Q879" s="28" t="n">
        <v>480568</v>
      </c>
      <c r="R879" s="28" t="n">
        <v>0</v>
      </c>
      <c r="S879" s="28">
        <f>Q879-R879</f>
        <v/>
      </c>
      <c r="T879" s="28">
        <f>IF(S879="","",S879*(1+in_GrowthRate)^(YEARFRAC(DATE(2024,7,31),in_AgeToDate)*IF(in_AgeToDate&lt;DATE(2024,7,31),-1,1)+1))</f>
        <v/>
      </c>
      <c r="U879" s="50">
        <f>IF(AND(AND(OR(in_Mode="All Funds",AND(C879&gt;=in_BandFloor,C879&lt;=in_BandCeiling,OR(in_Geography="National",COUNTIFS(lst_GeoPreset,in_Geography,lst_GeoState,B879)&gt;0,AND(in_Geography="Custom",ISNUMBER(SEARCH(B879,SUBSTITUTE(in_CustomStates," ",""))))),OR(AND(D879="Endowment",Inputs!$B$14="Y"),AND(D879="Foundation",Inputs!$B$15="Y"),AND(D879="Healthcare",Inputs!$B$16="Y"),AND(D879="Pension",Inputs!$B$17="Y"),AND(D879="OCIO",Inputs!$B$18="Y"),AND(D879="Other",Inputs!$B$19="Y")))),A879&lt;&gt;in_ClientOrg,NOT(AND(in_ExclHarvard="Y",ISNUMBER(SEARCH("Harvard",A879))))),$AD879="Y",K879&lt;&gt;"",S879&gt;0),"Y","")</f>
        <v/>
      </c>
      <c r="V879" s="30" t="n">
        <v>1</v>
      </c>
      <c r="W879" t="inlineStr"/>
      <c r="X879" s="28">
        <f>IF(L879+M879=0,"",L879+M879)</f>
        <v/>
      </c>
      <c r="Y879" s="38">
        <f>IF(L879=0,"",M879/L879)</f>
        <v/>
      </c>
      <c r="Z879" t="inlineStr">
        <is>
          <t>CIO - Top Investment Executive</t>
        </is>
      </c>
      <c r="AA879" t="inlineStr">
        <is>
          <t>Leadership</t>
        </is>
      </c>
      <c r="AB879" s="50" t="inlineStr">
        <is>
          <t>Y</t>
        </is>
      </c>
      <c r="AC879" s="43">
        <f>HYPERLINK("https://projects.propublica.org/nonprofits/organizations/951644037/202501569349301705/full","view filing")</f>
        <v/>
      </c>
      <c r="AD879" s="50" t="inlineStr"/>
    </row>
    <row r="880">
      <c r="A880" t="inlineStr">
        <is>
          <t>Pepperdine University</t>
        </is>
      </c>
      <c r="B880" s="50" t="inlineStr">
        <is>
          <t>CA</t>
        </is>
      </c>
      <c r="C880" s="52" t="n">
        <v>1.29</v>
      </c>
      <c r="D880" t="inlineStr">
        <is>
          <t>Endowment</t>
        </is>
      </c>
      <c r="E880" s="50" t="n">
        <v>2024</v>
      </c>
      <c r="F880" s="50" t="inlineStr">
        <is>
          <t>2025-06-05</t>
        </is>
      </c>
      <c r="G880" s="50" t="inlineStr">
        <is>
          <t>2024-07-31</t>
        </is>
      </c>
      <c r="H880" t="inlineStr">
        <is>
          <t>Michael Nicks</t>
        </is>
      </c>
      <c r="I880" t="inlineStr">
        <is>
          <t>DIRECTOR OF INVESTMENTS</t>
        </is>
      </c>
      <c r="J880" t="inlineStr">
        <is>
          <t>Director of Investments</t>
        </is>
      </c>
      <c r="K880" t="inlineStr">
        <is>
          <t>Sr Investment Professional</t>
        </is>
      </c>
      <c r="L880" s="28" t="n">
        <v>238857</v>
      </c>
      <c r="M880" s="28" t="n">
        <v>8000</v>
      </c>
      <c r="N880" s="28" t="n">
        <v>2307</v>
      </c>
      <c r="O880" s="28" t="n">
        <v>25358</v>
      </c>
      <c r="P880" s="28" t="n">
        <v>51778</v>
      </c>
      <c r="Q880" s="28" t="n">
        <v>326300</v>
      </c>
      <c r="R880" s="28" t="n">
        <v>0</v>
      </c>
      <c r="S880" s="28">
        <f>Q880-R880</f>
        <v/>
      </c>
      <c r="T880" s="28">
        <f>IF(S880="","",S880*(1+in_GrowthRate)^(YEARFRAC(DATE(2024,7,31),in_AgeToDate)*IF(in_AgeToDate&lt;DATE(2024,7,31),-1,1)+1))</f>
        <v/>
      </c>
      <c r="U880" s="50">
        <f>IF(AND(AND(OR(in_Mode="All Funds",AND(C880&gt;=in_BandFloor,C880&lt;=in_BandCeiling,OR(in_Geography="National",COUNTIFS(lst_GeoPreset,in_Geography,lst_GeoState,B880)&gt;0,AND(in_Geography="Custom",ISNUMBER(SEARCH(B880,SUBSTITUTE(in_CustomStates," ",""))))),OR(AND(D880="Endowment",Inputs!$B$14="Y"),AND(D880="Foundation",Inputs!$B$15="Y"),AND(D880="Healthcare",Inputs!$B$16="Y"),AND(D880="Pension",Inputs!$B$17="Y"),AND(D880="OCIO",Inputs!$B$18="Y"),AND(D880="Other",Inputs!$B$19="Y")))),A880&lt;&gt;in_ClientOrg,NOT(AND(in_ExclHarvard="Y",ISNUMBER(SEARCH("Harvard",A880))))),$AD880="Y",K880&lt;&gt;"",S880&gt;0),"Y","")</f>
        <v/>
      </c>
      <c r="V880" s="30" t="n">
        <v>0.6789881972998618</v>
      </c>
      <c r="W880" t="inlineStr"/>
      <c r="X880" s="28">
        <f>IF(L880+M880=0,"",L880+M880)</f>
        <v/>
      </c>
      <c r="Y880" s="38">
        <f>IF(L880=0,"",M880/L880)</f>
        <v/>
      </c>
      <c r="Z880" t="inlineStr">
        <is>
          <t>Director &amp; Investment Officer</t>
        </is>
      </c>
      <c r="AA880" t="inlineStr">
        <is>
          <t>Investments</t>
        </is>
      </c>
      <c r="AB880" s="50" t="inlineStr"/>
      <c r="AC880" s="43">
        <f>HYPERLINK("https://projects.propublica.org/nonprofits/organizations/951644037/202501569349301705/full","view filing")</f>
        <v/>
      </c>
      <c r="AD880" s="50" t="inlineStr"/>
    </row>
    <row r="881">
      <c r="A881" t="inlineStr">
        <is>
          <t>Pepperdine University</t>
        </is>
      </c>
      <c r="B881" s="50" t="inlineStr">
        <is>
          <t>CA</t>
        </is>
      </c>
      <c r="C881" s="52" t="n">
        <v>1.29</v>
      </c>
      <c r="D881" t="inlineStr">
        <is>
          <t>Endowment</t>
        </is>
      </c>
      <c r="E881" s="50" t="n">
        <v>2023</v>
      </c>
      <c r="F881" s="50" t="inlineStr">
        <is>
          <t>2024-06-14</t>
        </is>
      </c>
      <c r="G881" s="50" t="inlineStr">
        <is>
          <t>2023-07-31</t>
        </is>
      </c>
      <c r="H881" t="inlineStr">
        <is>
          <t>Faye Holton</t>
        </is>
      </c>
      <c r="I881" t="inlineStr">
        <is>
          <t>DIRECTOR OF INVESTMENTS</t>
        </is>
      </c>
      <c r="J881" t="inlineStr">
        <is>
          <t>Director of Investments</t>
        </is>
      </c>
      <c r="K881" t="inlineStr">
        <is>
          <t>Sr Investment Professional</t>
        </is>
      </c>
      <c r="L881" s="28" t="n">
        <v>227729</v>
      </c>
      <c r="M881" s="28" t="n">
        <v>8000</v>
      </c>
      <c r="N881" s="28" t="n">
        <v>2827</v>
      </c>
      <c r="O881" s="28" t="n">
        <v>23264</v>
      </c>
      <c r="P881" s="28" t="n">
        <v>18620</v>
      </c>
      <c r="Q881" s="28" t="n">
        <v>280440</v>
      </c>
      <c r="R881" s="28" t="n">
        <v>0</v>
      </c>
      <c r="S881" s="28">
        <f>Q881-R881</f>
        <v/>
      </c>
      <c r="T881" s="28">
        <f>IF(S881="","",S881*(1+in_GrowthRate)^(YEARFRAC(DATE(2023,7,31),in_AgeToDate)*IF(in_AgeToDate&lt;DATE(2023,7,31),-1,1)+1))</f>
        <v/>
      </c>
      <c r="U881" s="50">
        <f>IF(AND(AND(OR(in_Mode="All Funds",AND(C881&gt;=in_BandFloor,C881&lt;=in_BandCeiling,OR(in_Geography="National",COUNTIFS(lst_GeoPreset,in_Geography,lst_GeoState,B881)&gt;0,AND(in_Geography="Custom",ISNUMBER(SEARCH(B881,SUBSTITUTE(in_CustomStates," ",""))))),OR(AND(D881="Endowment",Inputs!$B$14="Y"),AND(D881="Foundation",Inputs!$B$15="Y"),AND(D881="Healthcare",Inputs!$B$16="Y"),AND(D881="Pension",Inputs!$B$17="Y"),AND(D881="OCIO",Inputs!$B$18="Y"),AND(D881="Other",Inputs!$B$19="Y")))),A881&lt;&gt;in_ClientOrg,NOT(AND(in_ExclHarvard="Y",ISNUMBER(SEARCH("Harvard",A881))))),$AD881="Y",K881&lt;&gt;"",S881&gt;0),"Y","")</f>
        <v/>
      </c>
      <c r="V881" s="30" t="n">
        <v>0.5833118401238009</v>
      </c>
      <c r="W881" t="inlineStr"/>
      <c r="X881" s="28">
        <f>IF(L881+M881=0,"",L881+M881)</f>
        <v/>
      </c>
      <c r="Y881" s="38">
        <f>IF(L881=0,"",M881/L881)</f>
        <v/>
      </c>
      <c r="Z881" t="inlineStr">
        <is>
          <t>Director &amp; Investment Officer</t>
        </is>
      </c>
      <c r="AA881" t="inlineStr">
        <is>
          <t>Investments</t>
        </is>
      </c>
      <c r="AB881" s="50" t="inlineStr"/>
      <c r="AC881" s="43">
        <f>HYPERLINK("https://projects.propublica.org/nonprofits/organizations/951644037/202441669349300249/full","view filing")</f>
        <v/>
      </c>
      <c r="AD881" s="50" t="inlineStr"/>
    </row>
    <row r="882">
      <c r="A882" t="inlineStr">
        <is>
          <t>Pepperdine University</t>
        </is>
      </c>
      <c r="B882" s="50" t="inlineStr">
        <is>
          <t>CA</t>
        </is>
      </c>
      <c r="C882" s="52" t="n">
        <v>1.29</v>
      </c>
      <c r="D882" t="inlineStr">
        <is>
          <t>Endowment</t>
        </is>
      </c>
      <c r="E882" s="50" t="n">
        <v>2023</v>
      </c>
      <c r="F882" s="50" t="inlineStr">
        <is>
          <t>2024-06-14</t>
        </is>
      </c>
      <c r="G882" s="50" t="inlineStr">
        <is>
          <t>2023-07-31</t>
        </is>
      </c>
      <c r="H882" t="inlineStr">
        <is>
          <t>Jeffrey Rohde</t>
        </is>
      </c>
      <c r="I882" t="inlineStr">
        <is>
          <t>CHIEF INVESTMENT OFFICER</t>
        </is>
      </c>
      <c r="J882" t="inlineStr">
        <is>
          <t>CIO</t>
        </is>
      </c>
      <c r="K882" t="inlineStr">
        <is>
          <t>CIO - Top Investment Executive</t>
        </is>
      </c>
      <c r="L882" s="28" t="n">
        <v>328942</v>
      </c>
      <c r="M882" s="28" t="n">
        <v>77185</v>
      </c>
      <c r="N882" s="28" t="n">
        <v>600</v>
      </c>
      <c r="O882" s="28" t="n">
        <v>30500</v>
      </c>
      <c r="P882" s="28" t="n">
        <v>43545</v>
      </c>
      <c r="Q882" s="28" t="n">
        <v>480772</v>
      </c>
      <c r="R882" s="28" t="n">
        <v>0</v>
      </c>
      <c r="S882" s="28">
        <f>Q882-R882</f>
        <v/>
      </c>
      <c r="T882" s="28">
        <f>IF(S882="","",S882*(1+in_GrowthRate)^(YEARFRAC(DATE(2023,7,31),in_AgeToDate)*IF(in_AgeToDate&lt;DATE(2023,7,31),-1,1)+1))</f>
        <v/>
      </c>
      <c r="U882" s="50">
        <f>IF(AND(AND(OR(in_Mode="All Funds",AND(C882&gt;=in_BandFloor,C882&lt;=in_BandCeiling,OR(in_Geography="National",COUNTIFS(lst_GeoPreset,in_Geography,lst_GeoState,B882)&gt;0,AND(in_Geography="Custom",ISNUMBER(SEARCH(B882,SUBSTITUTE(in_CustomStates," ",""))))),OR(AND(D882="Endowment",Inputs!$B$14="Y"),AND(D882="Foundation",Inputs!$B$15="Y"),AND(D882="Healthcare",Inputs!$B$16="Y"),AND(D882="Pension",Inputs!$B$17="Y"),AND(D882="OCIO",Inputs!$B$18="Y"),AND(D882="Other",Inputs!$B$19="Y")))),A882&lt;&gt;in_ClientOrg,NOT(AND(in_ExclHarvard="Y",ISNUMBER(SEARCH("Harvard",A882))))),$AD882="Y",K882&lt;&gt;"",S882&gt;0),"Y","")</f>
        <v/>
      </c>
      <c r="V882" s="30" t="n">
        <v>1</v>
      </c>
      <c r="W882" t="inlineStr"/>
      <c r="X882" s="28">
        <f>IF(L882+M882=0,"",L882+M882)</f>
        <v/>
      </c>
      <c r="Y882" s="38">
        <f>IF(L882=0,"",M882/L882)</f>
        <v/>
      </c>
      <c r="Z882" t="inlineStr">
        <is>
          <t>CIO - Top Investment Executive</t>
        </is>
      </c>
      <c r="AA882" t="inlineStr">
        <is>
          <t>Leadership</t>
        </is>
      </c>
      <c r="AB882" s="50" t="inlineStr">
        <is>
          <t>Y</t>
        </is>
      </c>
      <c r="AC882" s="43">
        <f>HYPERLINK("https://projects.propublica.org/nonprofits/organizations/951644037/202441669349300249/full","view filing")</f>
        <v/>
      </c>
      <c r="AD882" s="50" t="inlineStr"/>
    </row>
    <row r="883">
      <c r="A883" t="inlineStr">
        <is>
          <t>Pepperdine University</t>
        </is>
      </c>
      <c r="B883" s="50" t="inlineStr">
        <is>
          <t>CA</t>
        </is>
      </c>
      <c r="C883" s="52" t="n">
        <v>1.29</v>
      </c>
      <c r="D883" t="inlineStr">
        <is>
          <t>Endowment</t>
        </is>
      </c>
      <c r="E883" s="50" t="n">
        <v>2023</v>
      </c>
      <c r="F883" s="50" t="inlineStr">
        <is>
          <t>2024-06-14</t>
        </is>
      </c>
      <c r="G883" s="50" t="inlineStr">
        <is>
          <t>2023-07-31</t>
        </is>
      </c>
      <c r="H883" t="inlineStr">
        <is>
          <t>Michael Nicks</t>
        </is>
      </c>
      <c r="I883" t="inlineStr">
        <is>
          <t>DIRECTOR OF INVESTMENTS</t>
        </is>
      </c>
      <c r="J883" t="inlineStr">
        <is>
          <t>Director of Investments</t>
        </is>
      </c>
      <c r="K883" t="inlineStr">
        <is>
          <t>Sr Investment Professional</t>
        </is>
      </c>
      <c r="L883" s="28" t="n">
        <v>228229</v>
      </c>
      <c r="M883" s="28" t="n">
        <v>8000</v>
      </c>
      <c r="N883" s="28" t="n">
        <v>1648</v>
      </c>
      <c r="O883" s="28" t="n">
        <v>24142</v>
      </c>
      <c r="P883" s="28" t="n">
        <v>50213</v>
      </c>
      <c r="Q883" s="28" t="n">
        <v>312232</v>
      </c>
      <c r="R883" s="28" t="n">
        <v>0</v>
      </c>
      <c r="S883" s="28">
        <f>Q883-R883</f>
        <v/>
      </c>
      <c r="T883" s="28">
        <f>IF(S883="","",S883*(1+in_GrowthRate)^(YEARFRAC(DATE(2023,7,31),in_AgeToDate)*IF(in_AgeToDate&lt;DATE(2023,7,31),-1,1)+1))</f>
        <v/>
      </c>
      <c r="U883" s="50">
        <f>IF(AND(AND(OR(in_Mode="All Funds",AND(C883&gt;=in_BandFloor,C883&lt;=in_BandCeiling,OR(in_Geography="National",COUNTIFS(lst_GeoPreset,in_Geography,lst_GeoState,B883)&gt;0,AND(in_Geography="Custom",ISNUMBER(SEARCH(B883,SUBSTITUTE(in_CustomStates," ",""))))),OR(AND(D883="Endowment",Inputs!$B$14="Y"),AND(D883="Foundation",Inputs!$B$15="Y"),AND(D883="Healthcare",Inputs!$B$16="Y"),AND(D883="Pension",Inputs!$B$17="Y"),AND(D883="OCIO",Inputs!$B$18="Y"),AND(D883="Other",Inputs!$B$19="Y")))),A883&lt;&gt;in_ClientOrg,NOT(AND(in_ExclHarvard="Y",ISNUMBER(SEARCH("Harvard",A883))))),$AD883="Y",K883&lt;&gt;"",S883&gt;0),"Y","")</f>
        <v/>
      </c>
      <c r="V883" s="30" t="n">
        <v>0.6494388192324012</v>
      </c>
      <c r="W883" t="inlineStr"/>
      <c r="X883" s="28">
        <f>IF(L883+M883=0,"",L883+M883)</f>
        <v/>
      </c>
      <c r="Y883" s="38">
        <f>IF(L883=0,"",M883/L883)</f>
        <v/>
      </c>
      <c r="Z883" t="inlineStr">
        <is>
          <t>Director &amp; Investment Officer</t>
        </is>
      </c>
      <c r="AA883" t="inlineStr">
        <is>
          <t>Investments</t>
        </is>
      </c>
      <c r="AB883" s="50" t="inlineStr"/>
      <c r="AC883" s="43">
        <f>HYPERLINK("https://projects.propublica.org/nonprofits/organizations/951644037/202441669349300249/full","view filing")</f>
        <v/>
      </c>
      <c r="AD883" s="50" t="inlineStr"/>
    </row>
    <row r="884">
      <c r="A884" t="inlineStr">
        <is>
          <t>Pepperdine University</t>
        </is>
      </c>
      <c r="B884" s="50" t="inlineStr">
        <is>
          <t>CA</t>
        </is>
      </c>
      <c r="C884" s="52" t="n">
        <v>1.29</v>
      </c>
      <c r="D884" t="inlineStr">
        <is>
          <t>Endowment</t>
        </is>
      </c>
      <c r="E884" s="50" t="n">
        <v>2022</v>
      </c>
      <c r="F884" s="50" t="inlineStr">
        <is>
          <t>2023-06-13</t>
        </is>
      </c>
      <c r="G884" s="50" t="inlineStr">
        <is>
          <t>2022-07-31</t>
        </is>
      </c>
      <c r="H884" t="inlineStr">
        <is>
          <t>Faye Holton</t>
        </is>
      </c>
      <c r="I884" t="inlineStr">
        <is>
          <t>DIRECTOR OF INVESTMENTS</t>
        </is>
      </c>
      <c r="J884" t="inlineStr">
        <is>
          <t>Director of Investments</t>
        </is>
      </c>
      <c r="K884" t="inlineStr">
        <is>
          <t>Sr Investment Professional</t>
        </is>
      </c>
      <c r="L884" s="28" t="n">
        <v>197325</v>
      </c>
      <c r="M884" s="28" t="n">
        <v>750</v>
      </c>
      <c r="N884" s="28" t="n">
        <v>1842</v>
      </c>
      <c r="O884" s="28" t="n">
        <v>13207</v>
      </c>
      <c r="P884" s="28" t="n">
        <v>20598</v>
      </c>
      <c r="Q884" s="28" t="n">
        <v>233722</v>
      </c>
      <c r="R884" s="28" t="n">
        <v>0</v>
      </c>
      <c r="S884" s="28">
        <f>Q884-R884</f>
        <v/>
      </c>
      <c r="T884" s="28">
        <f>IF(S884="","",S884*(1+in_GrowthRate)^(YEARFRAC(DATE(2022,7,31),in_AgeToDate)*IF(in_AgeToDate&lt;DATE(2022,7,31),-1,1)+1))</f>
        <v/>
      </c>
      <c r="U884" s="50">
        <f>IF(AND(AND(OR(in_Mode="All Funds",AND(C884&gt;=in_BandFloor,C884&lt;=in_BandCeiling,OR(in_Geography="National",COUNTIFS(lst_GeoPreset,in_Geography,lst_GeoState,B884)&gt;0,AND(in_Geography="Custom",ISNUMBER(SEARCH(B884,SUBSTITUTE(in_CustomStates," ",""))))),OR(AND(D884="Endowment",Inputs!$B$14="Y"),AND(D884="Foundation",Inputs!$B$15="Y"),AND(D884="Healthcare",Inputs!$B$16="Y"),AND(D884="Pension",Inputs!$B$17="Y"),AND(D884="OCIO",Inputs!$B$18="Y"),AND(D884="Other",Inputs!$B$19="Y")))),A884&lt;&gt;in_ClientOrg,NOT(AND(in_ExclHarvard="Y",ISNUMBER(SEARCH("Harvard",A884))))),$AD884="Y",K884&lt;&gt;"",S884&gt;0),"Y","")</f>
        <v/>
      </c>
      <c r="V884" s="30" t="n"/>
      <c r="W884" t="inlineStr"/>
      <c r="X884" s="28">
        <f>IF(L884+M884=0,"",L884+M884)</f>
        <v/>
      </c>
      <c r="Y884" s="38">
        <f>IF(L884=0,"",M884/L884)</f>
        <v/>
      </c>
      <c r="Z884" t="inlineStr">
        <is>
          <t>Director &amp; Investment Officer</t>
        </is>
      </c>
      <c r="AA884" t="inlineStr">
        <is>
          <t>Investments</t>
        </is>
      </c>
      <c r="AB884" s="50" t="inlineStr"/>
      <c r="AC884" s="43">
        <f>HYPERLINK("https://projects.propublica.org/nonprofits/organizations/951644037/202321649349301852/full","view filing")</f>
        <v/>
      </c>
      <c r="AD884" s="50" t="inlineStr"/>
    </row>
    <row r="885">
      <c r="A885" t="inlineStr">
        <is>
          <t>Pepperdine University</t>
        </is>
      </c>
      <c r="B885" s="50" t="inlineStr">
        <is>
          <t>CA</t>
        </is>
      </c>
      <c r="C885" s="52" t="n">
        <v>1.29</v>
      </c>
      <c r="D885" t="inlineStr">
        <is>
          <t>Endowment</t>
        </is>
      </c>
      <c r="E885" s="50" t="n">
        <v>2022</v>
      </c>
      <c r="F885" s="50" t="inlineStr">
        <is>
          <t>2023-06-13</t>
        </is>
      </c>
      <c r="G885" s="50" t="inlineStr">
        <is>
          <t>2022-07-31</t>
        </is>
      </c>
      <c r="H885" t="inlineStr">
        <is>
          <t>Michael Nicks</t>
        </is>
      </c>
      <c r="I885" t="inlineStr">
        <is>
          <t>DIRECTOR OF INVESTMENTS</t>
        </is>
      </c>
      <c r="J885" t="inlineStr">
        <is>
          <t>Director of Investments</t>
        </is>
      </c>
      <c r="K885" t="inlineStr">
        <is>
          <t>Sr Investment Professional</t>
        </is>
      </c>
      <c r="L885" s="28" t="n">
        <v>185583</v>
      </c>
      <c r="M885" s="28" t="n">
        <v>750</v>
      </c>
      <c r="N885" s="28" t="n">
        <v>1496</v>
      </c>
      <c r="O885" s="28" t="n">
        <v>13322</v>
      </c>
      <c r="P885" s="28" t="n">
        <v>53239</v>
      </c>
      <c r="Q885" s="28" t="n">
        <v>254390</v>
      </c>
      <c r="R885" s="28" t="n">
        <v>0</v>
      </c>
      <c r="S885" s="28">
        <f>Q885-R885</f>
        <v/>
      </c>
      <c r="T885" s="28">
        <f>IF(S885="","",S885*(1+in_GrowthRate)^(YEARFRAC(DATE(2022,7,31),in_AgeToDate)*IF(in_AgeToDate&lt;DATE(2022,7,31),-1,1)+1))</f>
        <v/>
      </c>
      <c r="U885" s="50">
        <f>IF(AND(AND(OR(in_Mode="All Funds",AND(C885&gt;=in_BandFloor,C885&lt;=in_BandCeiling,OR(in_Geography="National",COUNTIFS(lst_GeoPreset,in_Geography,lst_GeoState,B885)&gt;0,AND(in_Geography="Custom",ISNUMBER(SEARCH(B885,SUBSTITUTE(in_CustomStates," ",""))))),OR(AND(D885="Endowment",Inputs!$B$14="Y"),AND(D885="Foundation",Inputs!$B$15="Y"),AND(D885="Healthcare",Inputs!$B$16="Y"),AND(D885="Pension",Inputs!$B$17="Y"),AND(D885="OCIO",Inputs!$B$18="Y"),AND(D885="Other",Inputs!$B$19="Y")))),A885&lt;&gt;in_ClientOrg,NOT(AND(in_ExclHarvard="Y",ISNUMBER(SEARCH("Harvard",A885))))),$AD885="Y",K885&lt;&gt;"",S885&gt;0),"Y","")</f>
        <v/>
      </c>
      <c r="V885" s="30" t="n"/>
      <c r="W885" t="inlineStr"/>
      <c r="X885" s="28">
        <f>IF(L885+M885=0,"",L885+M885)</f>
        <v/>
      </c>
      <c r="Y885" s="38">
        <f>IF(L885=0,"",M885/L885)</f>
        <v/>
      </c>
      <c r="Z885" t="inlineStr">
        <is>
          <t>Director &amp; Investment Officer</t>
        </is>
      </c>
      <c r="AA885" t="inlineStr">
        <is>
          <t>Investments</t>
        </is>
      </c>
      <c r="AB885" s="50" t="inlineStr"/>
      <c r="AC885" s="43">
        <f>HYPERLINK("https://projects.propublica.org/nonprofits/organizations/951644037/202321649349301852/full","view filing")</f>
        <v/>
      </c>
      <c r="AD885" s="50" t="inlineStr"/>
    </row>
    <row r="886">
      <c r="A886" t="inlineStr">
        <is>
          <t>Pomona College</t>
        </is>
      </c>
      <c r="B886" s="50" t="inlineStr">
        <is>
          <t>CA</t>
        </is>
      </c>
      <c r="C886" s="52" t="n">
        <v>3.22</v>
      </c>
      <c r="D886" t="inlineStr">
        <is>
          <t>Endowment</t>
        </is>
      </c>
      <c r="E886" s="50" t="n">
        <v>2025</v>
      </c>
      <c r="F886" s="50" t="inlineStr">
        <is>
          <t>2026-05-12</t>
        </is>
      </c>
      <c r="G886" s="50" t="inlineStr">
        <is>
          <t>2025-06-30</t>
        </is>
      </c>
      <c r="H886" t="inlineStr">
        <is>
          <t>David Wallace</t>
        </is>
      </c>
      <c r="I886" t="inlineStr">
        <is>
          <t>ASST TREASURER/CIO</t>
        </is>
      </c>
      <c r="J886" t="inlineStr">
        <is>
          <t>CIO</t>
        </is>
      </c>
      <c r="K886" t="inlineStr">
        <is>
          <t>CIO - Top Investment Executive</t>
        </is>
      </c>
      <c r="L886" s="28" t="n">
        <v>489997</v>
      </c>
      <c r="M886" s="28" t="n">
        <v>148698</v>
      </c>
      <c r="N886" s="28" t="n">
        <v>0</v>
      </c>
      <c r="O886" s="28" t="n">
        <v>38028</v>
      </c>
      <c r="P886" s="28" t="n">
        <v>31713</v>
      </c>
      <c r="Q886" s="28" t="n">
        <v>708436</v>
      </c>
      <c r="R886" s="28" t="n">
        <v>0</v>
      </c>
      <c r="S886" s="28">
        <f>Q886-R886</f>
        <v/>
      </c>
      <c r="T886" s="28">
        <f>IF(S886="","",S886*(1+in_GrowthRate)^(YEARFRAC(DATE(2025,6,30),in_AgeToDate)*IF(in_AgeToDate&lt;DATE(2025,6,30),-1,1)+1))</f>
        <v/>
      </c>
      <c r="U886" s="50">
        <f>IF(AND(AND(OR(in_Mode="All Funds",AND(C886&gt;=in_BandFloor,C886&lt;=in_BandCeiling,OR(in_Geography="National",COUNTIFS(lst_GeoPreset,in_Geography,lst_GeoState,B886)&gt;0,AND(in_Geography="Custom",ISNUMBER(SEARCH(B886,SUBSTITUTE(in_CustomStates," ",""))))),OR(AND(D886="Endowment",Inputs!$B$14="Y"),AND(D886="Foundation",Inputs!$B$15="Y"),AND(D886="Healthcare",Inputs!$B$16="Y"),AND(D886="Pension",Inputs!$B$17="Y"),AND(D886="OCIO",Inputs!$B$18="Y"),AND(D886="Other",Inputs!$B$19="Y")))),A886&lt;&gt;in_ClientOrg,NOT(AND(in_ExclHarvard="Y",ISNUMBER(SEARCH("Harvard",A886))))),$AD886="Y",K886&lt;&gt;"",S886&gt;0),"Y","")</f>
        <v/>
      </c>
      <c r="V886" s="30" t="n">
        <v>1</v>
      </c>
      <c r="W886" t="inlineStr"/>
      <c r="X886" s="28">
        <f>IF(L886+M886=0,"",L886+M886)</f>
        <v/>
      </c>
      <c r="Y886" s="38">
        <f>IF(L886=0,"",M886/L886)</f>
        <v/>
      </c>
      <c r="Z886" t="inlineStr">
        <is>
          <t>CIO - Top Investment Executive</t>
        </is>
      </c>
      <c r="AA886" t="inlineStr">
        <is>
          <t>Leadership</t>
        </is>
      </c>
      <c r="AB886" s="50" t="inlineStr">
        <is>
          <t>Y</t>
        </is>
      </c>
      <c r="AC886" s="43">
        <f>HYPERLINK("https://projects.propublica.org/nonprofits/organizations/951664112/202621329349306532/full","view filing")</f>
        <v/>
      </c>
      <c r="AD886" s="50" t="inlineStr">
        <is>
          <t>Y</t>
        </is>
      </c>
    </row>
    <row r="887">
      <c r="A887" t="inlineStr">
        <is>
          <t>Pomona College</t>
        </is>
      </c>
      <c r="B887" s="50" t="inlineStr">
        <is>
          <t>CA</t>
        </is>
      </c>
      <c r="C887" s="52" t="n">
        <v>3.22</v>
      </c>
      <c r="D887" t="inlineStr">
        <is>
          <t>Endowment</t>
        </is>
      </c>
      <c r="E887" s="50" t="n">
        <v>2025</v>
      </c>
      <c r="F887" s="50" t="inlineStr">
        <is>
          <t>2026-05-12</t>
        </is>
      </c>
      <c r="G887" s="50" t="inlineStr">
        <is>
          <t>2025-06-30</t>
        </is>
      </c>
      <c r="H887" t="inlineStr">
        <is>
          <t>Joshua Ross</t>
        </is>
      </c>
      <c r="I887" t="inlineStr">
        <is>
          <t>DIR OF INVESTMENTS</t>
        </is>
      </c>
      <c r="J887" t="inlineStr">
        <is>
          <t>Director of Investments</t>
        </is>
      </c>
      <c r="K887" t="inlineStr">
        <is>
          <t>Sr Investment Professional</t>
        </is>
      </c>
      <c r="L887" s="28" t="n">
        <v>301795</v>
      </c>
      <c r="M887" s="28" t="n">
        <v>98162</v>
      </c>
      <c r="N887" s="28" t="n">
        <v>46000</v>
      </c>
      <c r="O887" s="28" t="n">
        <v>38028</v>
      </c>
      <c r="P887" s="28" t="n">
        <v>36725</v>
      </c>
      <c r="Q887" s="28" t="n">
        <v>520710</v>
      </c>
      <c r="R887" s="28" t="n">
        <v>0</v>
      </c>
      <c r="S887" s="28">
        <f>Q887-R887</f>
        <v/>
      </c>
      <c r="T887" s="28">
        <f>IF(S887="","",S887*(1+in_GrowthRate)^(YEARFRAC(DATE(2025,6,30),in_AgeToDate)*IF(in_AgeToDate&lt;DATE(2025,6,30),-1,1)+1))</f>
        <v/>
      </c>
      <c r="U887" s="50">
        <f>IF(AND(AND(OR(in_Mode="All Funds",AND(C887&gt;=in_BandFloor,C887&lt;=in_BandCeiling,OR(in_Geography="National",COUNTIFS(lst_GeoPreset,in_Geography,lst_GeoState,B887)&gt;0,AND(in_Geography="Custom",ISNUMBER(SEARCH(B887,SUBSTITUTE(in_CustomStates," ",""))))),OR(AND(D887="Endowment",Inputs!$B$14="Y"),AND(D887="Foundation",Inputs!$B$15="Y"),AND(D887="Healthcare",Inputs!$B$16="Y"),AND(D887="Pension",Inputs!$B$17="Y"),AND(D887="OCIO",Inputs!$B$18="Y"),AND(D887="Other",Inputs!$B$19="Y")))),A887&lt;&gt;in_ClientOrg,NOT(AND(in_ExclHarvard="Y",ISNUMBER(SEARCH("Harvard",A887))))),$AD887="Y",K887&lt;&gt;"",S887&gt;0),"Y","")</f>
        <v/>
      </c>
      <c r="V887" s="30" t="n">
        <v>0.7350134662834752</v>
      </c>
      <c r="W887" t="inlineStr"/>
      <c r="X887" s="28">
        <f>IF(L887+M887=0,"",L887+M887)</f>
        <v/>
      </c>
      <c r="Y887" s="38">
        <f>IF(L887=0,"",M887/L887)</f>
        <v/>
      </c>
      <c r="Z887" t="inlineStr">
        <is>
          <t>Director &amp; Investment Officer</t>
        </is>
      </c>
      <c r="AA887" t="inlineStr">
        <is>
          <t>Investments</t>
        </is>
      </c>
      <c r="AB887" s="50" t="inlineStr"/>
      <c r="AC887" s="43">
        <f>HYPERLINK("https://projects.propublica.org/nonprofits/organizations/951664112/202621329349306532/full","view filing")</f>
        <v/>
      </c>
      <c r="AD887" s="50" t="inlineStr">
        <is>
          <t>Y</t>
        </is>
      </c>
    </row>
    <row r="888">
      <c r="A888" t="inlineStr">
        <is>
          <t>Pomona College</t>
        </is>
      </c>
      <c r="B888" s="50" t="inlineStr">
        <is>
          <t>CA</t>
        </is>
      </c>
      <c r="C888" s="52" t="n">
        <v>3.22</v>
      </c>
      <c r="D888" t="inlineStr">
        <is>
          <t>Endowment</t>
        </is>
      </c>
      <c r="E888" s="50" t="n">
        <v>2024</v>
      </c>
      <c r="F888" s="50" t="inlineStr">
        <is>
          <t>2025-05-14</t>
        </is>
      </c>
      <c r="G888" s="50" t="inlineStr">
        <is>
          <t>2024-06-30</t>
        </is>
      </c>
      <c r="H888" t="inlineStr">
        <is>
          <t>David Wallace</t>
        </is>
      </c>
      <c r="I888" t="inlineStr">
        <is>
          <t>ASST TREASURER/CIO</t>
        </is>
      </c>
      <c r="J888" t="inlineStr">
        <is>
          <t>CIO</t>
        </is>
      </c>
      <c r="K888" t="inlineStr">
        <is>
          <t>CIO - Top Investment Executive</t>
        </is>
      </c>
      <c r="L888" s="28" t="n">
        <v>472525</v>
      </c>
      <c r="M888" s="28" t="n">
        <v>117565</v>
      </c>
      <c r="N888" s="28" t="n">
        <v>0</v>
      </c>
      <c r="O888" s="28" t="n">
        <v>36396</v>
      </c>
      <c r="P888" s="28" t="n">
        <v>29753</v>
      </c>
      <c r="Q888" s="28" t="n">
        <v>656239</v>
      </c>
      <c r="R888" s="28" t="n">
        <v>0</v>
      </c>
      <c r="S888" s="28">
        <f>Q888-R888</f>
        <v/>
      </c>
      <c r="T888" s="28">
        <f>IF(S888="","",S888*(1+in_GrowthRate)^(YEARFRAC(DATE(2024,6,30),in_AgeToDate)*IF(in_AgeToDate&lt;DATE(2024,6,30),-1,1)+1))</f>
        <v/>
      </c>
      <c r="U888" s="50">
        <f>IF(AND(AND(OR(in_Mode="All Funds",AND(C888&gt;=in_BandFloor,C888&lt;=in_BandCeiling,OR(in_Geography="National",COUNTIFS(lst_GeoPreset,in_Geography,lst_GeoState,B888)&gt;0,AND(in_Geography="Custom",ISNUMBER(SEARCH(B888,SUBSTITUTE(in_CustomStates," ",""))))),OR(AND(D888="Endowment",Inputs!$B$14="Y"),AND(D888="Foundation",Inputs!$B$15="Y"),AND(D888="Healthcare",Inputs!$B$16="Y"),AND(D888="Pension",Inputs!$B$17="Y"),AND(D888="OCIO",Inputs!$B$18="Y"),AND(D888="Other",Inputs!$B$19="Y")))),A888&lt;&gt;in_ClientOrg,NOT(AND(in_ExclHarvard="Y",ISNUMBER(SEARCH("Harvard",A888))))),$AD888="Y",K888&lt;&gt;"",S888&gt;0),"Y","")</f>
        <v/>
      </c>
      <c r="V888" s="30" t="n">
        <v>1</v>
      </c>
      <c r="W888" t="inlineStr"/>
      <c r="X888" s="28">
        <f>IF(L888+M888=0,"",L888+M888)</f>
        <v/>
      </c>
      <c r="Y888" s="38">
        <f>IF(L888=0,"",M888/L888)</f>
        <v/>
      </c>
      <c r="Z888" t="inlineStr">
        <is>
          <t>CIO - Top Investment Executive</t>
        </is>
      </c>
      <c r="AA888" t="inlineStr">
        <is>
          <t>Leadership</t>
        </is>
      </c>
      <c r="AB888" s="50" t="inlineStr">
        <is>
          <t>Y</t>
        </is>
      </c>
      <c r="AC888" s="43">
        <f>HYPERLINK("https://projects.propublica.org/nonprofits/organizations/951664112/202521349349307757/full","view filing")</f>
        <v/>
      </c>
      <c r="AD888" s="50" t="inlineStr"/>
    </row>
    <row r="889">
      <c r="A889" t="inlineStr">
        <is>
          <t>Pomona College</t>
        </is>
      </c>
      <c r="B889" s="50" t="inlineStr">
        <is>
          <t>CA</t>
        </is>
      </c>
      <c r="C889" s="52" t="n">
        <v>3.22</v>
      </c>
      <c r="D889" t="inlineStr">
        <is>
          <t>Endowment</t>
        </is>
      </c>
      <c r="E889" s="50" t="n">
        <v>2024</v>
      </c>
      <c r="F889" s="50" t="inlineStr">
        <is>
          <t>2025-05-14</t>
        </is>
      </c>
      <c r="G889" s="50" t="inlineStr">
        <is>
          <t>2024-06-30</t>
        </is>
      </c>
      <c r="H889" t="inlineStr">
        <is>
          <t>Emily Webb</t>
        </is>
      </c>
      <c r="I889" t="inlineStr">
        <is>
          <t>DIR. OF INVESTMENTS</t>
        </is>
      </c>
      <c r="J889" t="inlineStr">
        <is>
          <t>Director of Investments</t>
        </is>
      </c>
      <c r="K889" t="inlineStr">
        <is>
          <t>Sr Investment Professional</t>
        </is>
      </c>
      <c r="L889" s="28" t="n">
        <v>260641</v>
      </c>
      <c r="M889" s="28" t="n">
        <v>72075</v>
      </c>
      <c r="N889" s="28" t="n">
        <v>0</v>
      </c>
      <c r="O889" s="28" t="n">
        <v>28020</v>
      </c>
      <c r="P889" s="28" t="n">
        <v>14515</v>
      </c>
      <c r="Q889" s="28" t="n">
        <v>375251</v>
      </c>
      <c r="R889" s="28" t="n">
        <v>0</v>
      </c>
      <c r="S889" s="28">
        <f>Q889-R889</f>
        <v/>
      </c>
      <c r="T889" s="28">
        <f>IF(S889="","",S889*(1+in_GrowthRate)^(YEARFRAC(DATE(2024,6,30),in_AgeToDate)*IF(in_AgeToDate&lt;DATE(2024,6,30),-1,1)+1))</f>
        <v/>
      </c>
      <c r="U889" s="50">
        <f>IF(AND(AND(OR(in_Mode="All Funds",AND(C889&gt;=in_BandFloor,C889&lt;=in_BandCeiling,OR(in_Geography="National",COUNTIFS(lst_GeoPreset,in_Geography,lst_GeoState,B889)&gt;0,AND(in_Geography="Custom",ISNUMBER(SEARCH(B889,SUBSTITUTE(in_CustomStates," ",""))))),OR(AND(D889="Endowment",Inputs!$B$14="Y"),AND(D889="Foundation",Inputs!$B$15="Y"),AND(D889="Healthcare",Inputs!$B$16="Y"),AND(D889="Pension",Inputs!$B$17="Y"),AND(D889="OCIO",Inputs!$B$18="Y"),AND(D889="Other",Inputs!$B$19="Y")))),A889&lt;&gt;in_ClientOrg,NOT(AND(in_ExclHarvard="Y",ISNUMBER(SEARCH("Harvard",A889))))),$AD889="Y",K889&lt;&gt;"",S889&gt;0),"Y","")</f>
        <v/>
      </c>
      <c r="V889" s="30" t="n">
        <v>0.5718206324220292</v>
      </c>
      <c r="W889" t="inlineStr"/>
      <c r="X889" s="28">
        <f>IF(L889+M889=0,"",L889+M889)</f>
        <v/>
      </c>
      <c r="Y889" s="38">
        <f>IF(L889=0,"",M889/L889)</f>
        <v/>
      </c>
      <c r="Z889" t="inlineStr">
        <is>
          <t>Director &amp; Investment Officer</t>
        </is>
      </c>
      <c r="AA889" t="inlineStr">
        <is>
          <t>Investments</t>
        </is>
      </c>
      <c r="AB889" s="50" t="inlineStr"/>
      <c r="AC889" s="43">
        <f>HYPERLINK("https://projects.propublica.org/nonprofits/organizations/951664112/202521349349307757/full","view filing")</f>
        <v/>
      </c>
      <c r="AD889" s="50" t="inlineStr"/>
    </row>
    <row r="890">
      <c r="A890" t="inlineStr">
        <is>
          <t>Pomona College</t>
        </is>
      </c>
      <c r="B890" s="50" t="inlineStr">
        <is>
          <t>CA</t>
        </is>
      </c>
      <c r="C890" s="52" t="n">
        <v>3.22</v>
      </c>
      <c r="D890" t="inlineStr">
        <is>
          <t>Endowment</t>
        </is>
      </c>
      <c r="E890" s="50" t="n">
        <v>2024</v>
      </c>
      <c r="F890" s="50" t="inlineStr">
        <is>
          <t>2025-05-14</t>
        </is>
      </c>
      <c r="G890" s="50" t="inlineStr">
        <is>
          <t>2024-06-30</t>
        </is>
      </c>
      <c r="H890" t="inlineStr">
        <is>
          <t>Joshua Ross</t>
        </is>
      </c>
      <c r="I890" t="inlineStr">
        <is>
          <t>DIR. OF INVESTMENTS</t>
        </is>
      </c>
      <c r="J890" t="inlineStr">
        <is>
          <t>Director of Investments</t>
        </is>
      </c>
      <c r="K890" t="inlineStr">
        <is>
          <t>Sr Investment Professional</t>
        </is>
      </c>
      <c r="L890" s="28" t="n">
        <v>260979</v>
      </c>
      <c r="M890" s="28" t="n">
        <v>83700</v>
      </c>
      <c r="N890" s="28" t="n">
        <v>45000</v>
      </c>
      <c r="O890" s="28" t="n">
        <v>34850</v>
      </c>
      <c r="P890" s="28" t="n">
        <v>36250</v>
      </c>
      <c r="Q890" s="28" t="n">
        <v>460779</v>
      </c>
      <c r="R890" s="28" t="n">
        <v>0</v>
      </c>
      <c r="S890" s="28">
        <f>Q890-R890</f>
        <v/>
      </c>
      <c r="T890" s="28">
        <f>IF(S890="","",S890*(1+in_GrowthRate)^(YEARFRAC(DATE(2024,6,30),in_AgeToDate)*IF(in_AgeToDate&lt;DATE(2024,6,30),-1,1)+1))</f>
        <v/>
      </c>
      <c r="U890" s="50">
        <f>IF(AND(AND(OR(in_Mode="All Funds",AND(C890&gt;=in_BandFloor,C890&lt;=in_BandCeiling,OR(in_Geography="National",COUNTIFS(lst_GeoPreset,in_Geography,lst_GeoState,B890)&gt;0,AND(in_Geography="Custom",ISNUMBER(SEARCH(B890,SUBSTITUTE(in_CustomStates," ",""))))),OR(AND(D890="Endowment",Inputs!$B$14="Y"),AND(D890="Foundation",Inputs!$B$15="Y"),AND(D890="Healthcare",Inputs!$B$16="Y"),AND(D890="Pension",Inputs!$B$17="Y"),AND(D890="OCIO",Inputs!$B$18="Y"),AND(D890="Other",Inputs!$B$19="Y")))),A890&lt;&gt;in_ClientOrg,NOT(AND(in_ExclHarvard="Y",ISNUMBER(SEARCH("Harvard",A890))))),$AD890="Y",K890&lt;&gt;"",S890&gt;0),"Y","")</f>
        <v/>
      </c>
      <c r="V890" s="30" t="n">
        <v>0.7021511979629372</v>
      </c>
      <c r="W890" t="inlineStr"/>
      <c r="X890" s="28">
        <f>IF(L890+M890=0,"",L890+M890)</f>
        <v/>
      </c>
      <c r="Y890" s="38">
        <f>IF(L890=0,"",M890/L890)</f>
        <v/>
      </c>
      <c r="Z890" t="inlineStr">
        <is>
          <t>Director &amp; Investment Officer</t>
        </is>
      </c>
      <c r="AA890" t="inlineStr">
        <is>
          <t>Investments</t>
        </is>
      </c>
      <c r="AB890" s="50" t="inlineStr"/>
      <c r="AC890" s="43">
        <f>HYPERLINK("https://projects.propublica.org/nonprofits/organizations/951664112/202521349349307757/full","view filing")</f>
        <v/>
      </c>
      <c r="AD890" s="50" t="inlineStr"/>
    </row>
    <row r="891">
      <c r="A891" t="inlineStr">
        <is>
          <t>Pomona College</t>
        </is>
      </c>
      <c r="B891" s="50" t="inlineStr">
        <is>
          <t>CA</t>
        </is>
      </c>
      <c r="C891" s="52" t="n">
        <v>3.22</v>
      </c>
      <c r="D891" t="inlineStr">
        <is>
          <t>Endowment</t>
        </is>
      </c>
      <c r="E891" s="50" t="n">
        <v>2023</v>
      </c>
      <c r="F891" s="50" t="inlineStr">
        <is>
          <t>2024-05-15</t>
        </is>
      </c>
      <c r="G891" s="50" t="inlineStr">
        <is>
          <t>2023-06-30</t>
        </is>
      </c>
      <c r="H891" t="inlineStr">
        <is>
          <t>David Wallace</t>
        </is>
      </c>
      <c r="I891" t="inlineStr">
        <is>
          <t>ASST TREASURER/CIO</t>
        </is>
      </c>
      <c r="J891" t="inlineStr">
        <is>
          <t>CIO</t>
        </is>
      </c>
      <c r="K891" t="inlineStr">
        <is>
          <t>CIO - Top Investment Executive</t>
        </is>
      </c>
      <c r="L891" s="28" t="n">
        <v>378063</v>
      </c>
      <c r="M891" s="28" t="n">
        <v>0</v>
      </c>
      <c r="N891" s="28" t="n">
        <v>0</v>
      </c>
      <c r="O891" s="28" t="n">
        <v>33660</v>
      </c>
      <c r="P891" s="28" t="n">
        <v>24743</v>
      </c>
      <c r="Q891" s="28" t="n">
        <v>436466</v>
      </c>
      <c r="R891" s="28" t="n">
        <v>0</v>
      </c>
      <c r="S891" s="28">
        <f>Q891-R891</f>
        <v/>
      </c>
      <c r="T891" s="28">
        <f>IF(S891="","",S891*(1+in_GrowthRate)^(YEARFRAC(DATE(2023,6,30),in_AgeToDate)*IF(in_AgeToDate&lt;DATE(2023,6,30),-1,1)+1))</f>
        <v/>
      </c>
      <c r="U891" s="50">
        <f>IF(AND(AND(OR(in_Mode="All Funds",AND(C891&gt;=in_BandFloor,C891&lt;=in_BandCeiling,OR(in_Geography="National",COUNTIFS(lst_GeoPreset,in_Geography,lst_GeoState,B891)&gt;0,AND(in_Geography="Custom",ISNUMBER(SEARCH(B891,SUBSTITUTE(in_CustomStates," ",""))))),OR(AND(D891="Endowment",Inputs!$B$14="Y"),AND(D891="Foundation",Inputs!$B$15="Y"),AND(D891="Healthcare",Inputs!$B$16="Y"),AND(D891="Pension",Inputs!$B$17="Y"),AND(D891="OCIO",Inputs!$B$18="Y"),AND(D891="Other",Inputs!$B$19="Y")))),A891&lt;&gt;in_ClientOrg,NOT(AND(in_ExclHarvard="Y",ISNUMBER(SEARCH("Harvard",A891))))),$AD891="Y",K891&lt;&gt;"",S891&gt;0),"Y","")</f>
        <v/>
      </c>
      <c r="V891" s="30" t="n">
        <v>1</v>
      </c>
      <c r="W891" t="inlineStr"/>
      <c r="X891" s="28">
        <f>IF(L891+M891=0,"",L891+M891)</f>
        <v/>
      </c>
      <c r="Y891" s="38">
        <f>IF(L891=0,"",M891/L891)</f>
        <v/>
      </c>
      <c r="Z891" t="inlineStr">
        <is>
          <t>CIO - Top Investment Executive</t>
        </is>
      </c>
      <c r="AA891" t="inlineStr">
        <is>
          <t>Leadership</t>
        </is>
      </c>
      <c r="AB891" s="50" t="inlineStr">
        <is>
          <t>Y</t>
        </is>
      </c>
      <c r="AC891" s="43">
        <f>HYPERLINK("https://projects.propublica.org/nonprofits/organizations/951664112/202421369349306222/full","view filing")</f>
        <v/>
      </c>
      <c r="AD891" s="50" t="inlineStr"/>
    </row>
    <row r="892">
      <c r="A892" t="inlineStr">
        <is>
          <t>Pomona College</t>
        </is>
      </c>
      <c r="B892" s="50" t="inlineStr">
        <is>
          <t>CA</t>
        </is>
      </c>
      <c r="C892" s="52" t="n">
        <v>3.22</v>
      </c>
      <c r="D892" t="inlineStr">
        <is>
          <t>Endowment</t>
        </is>
      </c>
      <c r="E892" s="50" t="n">
        <v>2022</v>
      </c>
      <c r="F892" s="50" t="inlineStr">
        <is>
          <t>2023-05-15</t>
        </is>
      </c>
      <c r="G892" s="50" t="inlineStr">
        <is>
          <t>2022-06-30</t>
        </is>
      </c>
      <c r="H892" t="inlineStr">
        <is>
          <t>David Wallace</t>
        </is>
      </c>
      <c r="I892" t="inlineStr">
        <is>
          <t>ASST TREASURER/CIO</t>
        </is>
      </c>
      <c r="J892" t="inlineStr">
        <is>
          <t>CIO</t>
        </is>
      </c>
      <c r="K892" t="inlineStr">
        <is>
          <t>CIO - Top Investment Executive</t>
        </is>
      </c>
      <c r="L892" s="28" t="n">
        <v>282917</v>
      </c>
      <c r="M892" s="28" t="n">
        <v>0</v>
      </c>
      <c r="N892" s="28" t="n">
        <v>0</v>
      </c>
      <c r="O892" s="28" t="n">
        <v>31875</v>
      </c>
      <c r="P892" s="28" t="n">
        <v>22989</v>
      </c>
      <c r="Q892" s="28" t="n">
        <v>337781</v>
      </c>
      <c r="R892" s="28" t="n">
        <v>0</v>
      </c>
      <c r="S892" s="28">
        <f>Q892-R892</f>
        <v/>
      </c>
      <c r="T892" s="28">
        <f>IF(S892="","",S892*(1+in_GrowthRate)^(YEARFRAC(DATE(2022,6,30),in_AgeToDate)*IF(in_AgeToDate&lt;DATE(2022,6,30),-1,1)+1))</f>
        <v/>
      </c>
      <c r="U892" s="50">
        <f>IF(AND(AND(OR(in_Mode="All Funds",AND(C892&gt;=in_BandFloor,C892&lt;=in_BandCeiling,OR(in_Geography="National",COUNTIFS(lst_GeoPreset,in_Geography,lst_GeoState,B892)&gt;0,AND(in_Geography="Custom",ISNUMBER(SEARCH(B892,SUBSTITUTE(in_CustomStates," ",""))))),OR(AND(D892="Endowment",Inputs!$B$14="Y"),AND(D892="Foundation",Inputs!$B$15="Y"),AND(D892="Healthcare",Inputs!$B$16="Y"),AND(D892="Pension",Inputs!$B$17="Y"),AND(D892="OCIO",Inputs!$B$18="Y"),AND(D892="Other",Inputs!$B$19="Y")))),A892&lt;&gt;in_ClientOrg,NOT(AND(in_ExclHarvard="Y",ISNUMBER(SEARCH("Harvard",A892))))),$AD892="Y",K892&lt;&gt;"",S892&gt;0),"Y","")</f>
        <v/>
      </c>
      <c r="V892" s="30" t="n">
        <v>1</v>
      </c>
      <c r="W892" t="inlineStr"/>
      <c r="X892" s="28">
        <f>IF(L892+M892=0,"",L892+M892)</f>
        <v/>
      </c>
      <c r="Y892" s="38">
        <f>IF(L892=0,"",M892/L892)</f>
        <v/>
      </c>
      <c r="Z892" t="inlineStr">
        <is>
          <t>CIO - Top Investment Executive</t>
        </is>
      </c>
      <c r="AA892" t="inlineStr">
        <is>
          <t>Leadership</t>
        </is>
      </c>
      <c r="AB892" s="50" t="inlineStr">
        <is>
          <t>Y</t>
        </is>
      </c>
      <c r="AC892" s="43">
        <f>HYPERLINK("https://projects.propublica.org/nonprofits/organizations/951664112/202331359349316888/full","view filing")</f>
        <v/>
      </c>
      <c r="AD892" s="50" t="inlineStr"/>
    </row>
    <row r="893">
      <c r="A893" t="inlineStr">
        <is>
          <t>President &amp; Trustees Of Colby College</t>
        </is>
      </c>
      <c r="B893" s="50" t="inlineStr">
        <is>
          <t>ME</t>
        </is>
      </c>
      <c r="C893" s="52" t="n">
        <v>1.16</v>
      </c>
      <c r="D893" t="inlineStr">
        <is>
          <t>Endowment</t>
        </is>
      </c>
      <c r="E893" s="50" t="n">
        <v>2025</v>
      </c>
      <c r="F893" s="50" t="inlineStr">
        <is>
          <t>2026-05-11</t>
        </is>
      </c>
      <c r="G893" s="50" t="inlineStr">
        <is>
          <t>2025-06-30</t>
        </is>
      </c>
      <c r="H893" t="inlineStr">
        <is>
          <t>Alexander Gentilli</t>
        </is>
      </c>
      <c r="I893" t="inlineStr">
        <is>
          <t>Director of Investment Operations</t>
        </is>
      </c>
      <c r="J893" t="inlineStr">
        <is>
          <t>Head of Inv Ops (Inv Entity)</t>
        </is>
      </c>
      <c r="K893" t="inlineStr">
        <is>
          <t>COO (Investment Office)</t>
        </is>
      </c>
      <c r="L893" s="28" t="n">
        <v>219013</v>
      </c>
      <c r="M893" s="28" t="n">
        <v>33750</v>
      </c>
      <c r="N893" s="28" t="n">
        <v>960</v>
      </c>
      <c r="O893" s="28" t="n">
        <v>11427</v>
      </c>
      <c r="P893" s="28" t="n">
        <v>0</v>
      </c>
      <c r="Q893" s="28" t="n">
        <v>265150</v>
      </c>
      <c r="R893" s="28" t="n">
        <v>0</v>
      </c>
      <c r="S893" s="28">
        <f>Q893-R893</f>
        <v/>
      </c>
      <c r="T893" s="28">
        <f>IF(S893="","",S893*(1+in_GrowthRate)^(YEARFRAC(DATE(2025,6,30),in_AgeToDate)*IF(in_AgeToDate&lt;DATE(2025,6,30),-1,1)+1))</f>
        <v/>
      </c>
      <c r="U893" s="50">
        <f>IF(AND(AND(OR(in_Mode="All Funds",AND(C893&gt;=in_BandFloor,C893&lt;=in_BandCeiling,OR(in_Geography="National",COUNTIFS(lst_GeoPreset,in_Geography,lst_GeoState,B893)&gt;0,AND(in_Geography="Custom",ISNUMBER(SEARCH(B893,SUBSTITUTE(in_CustomStates," ",""))))),OR(AND(D893="Endowment",Inputs!$B$14="Y"),AND(D893="Foundation",Inputs!$B$15="Y"),AND(D893="Healthcare",Inputs!$B$16="Y"),AND(D893="Pension",Inputs!$B$17="Y"),AND(D893="OCIO",Inputs!$B$18="Y"),AND(D893="Other",Inputs!$B$19="Y")))),A893&lt;&gt;in_ClientOrg,NOT(AND(in_ExclHarvard="Y",ISNUMBER(SEARCH("Harvard",A893))))),$AD893="Y",K893&lt;&gt;"",S893&gt;0),"Y","")</f>
        <v/>
      </c>
      <c r="V893" s="30" t="n">
        <v>0.287851400717593</v>
      </c>
      <c r="W893" t="inlineStr"/>
      <c r="X893" s="28">
        <f>IF(L893+M893=0,"",L893+M893)</f>
        <v/>
      </c>
      <c r="Y893" s="38">
        <f>IF(L893=0,"",M893/L893)</f>
        <v/>
      </c>
      <c r="Z893" t="inlineStr">
        <is>
          <t>COO (Investment Office)</t>
        </is>
      </c>
      <c r="AA893" t="inlineStr">
        <is>
          <t>Operations &amp; Control</t>
        </is>
      </c>
      <c r="AB893" s="50" t="inlineStr"/>
      <c r="AC893" s="43">
        <f>HYPERLINK("https://projects.propublica.org/nonprofits/organizations/10211497/202631319349303008/full","view filing")</f>
        <v/>
      </c>
      <c r="AD893" s="50" t="inlineStr">
        <is>
          <t>Y</t>
        </is>
      </c>
    </row>
    <row r="894">
      <c r="A894" t="inlineStr">
        <is>
          <t>President &amp; Trustees Of Colby College</t>
        </is>
      </c>
      <c r="B894" s="50" t="inlineStr">
        <is>
          <t>ME</t>
        </is>
      </c>
      <c r="C894" s="52" t="n">
        <v>1.16</v>
      </c>
      <c r="D894" t="inlineStr">
        <is>
          <t>Endowment</t>
        </is>
      </c>
      <c r="E894" s="50" t="n">
        <v>2025</v>
      </c>
      <c r="F894" s="50" t="inlineStr">
        <is>
          <t>2026-05-11</t>
        </is>
      </c>
      <c r="G894" s="50" t="inlineStr">
        <is>
          <t>2025-06-30</t>
        </is>
      </c>
      <c r="H894" t="inlineStr">
        <is>
          <t>Deborah Shufrin</t>
        </is>
      </c>
      <c r="I894" t="inlineStr">
        <is>
          <t>Associate VP and Chief Investment Officer</t>
        </is>
      </c>
      <c r="J894" t="inlineStr">
        <is>
          <t>CIO</t>
        </is>
      </c>
      <c r="K894" t="inlineStr">
        <is>
          <t>CIO - Top Investment Executive</t>
        </is>
      </c>
      <c r="L894" s="28" t="n">
        <v>650181</v>
      </c>
      <c r="M894" s="28" t="n">
        <v>172411</v>
      </c>
      <c r="N894" s="28" t="n">
        <v>37400</v>
      </c>
      <c r="O894" s="28" t="n">
        <v>32802</v>
      </c>
      <c r="P894" s="28" t="n">
        <v>28341</v>
      </c>
      <c r="Q894" s="28" t="n">
        <v>921135</v>
      </c>
      <c r="R894" s="28" t="n">
        <v>0</v>
      </c>
      <c r="S894" s="28">
        <f>Q894-R894</f>
        <v/>
      </c>
      <c r="T894" s="28">
        <f>IF(S894="","",S894*(1+in_GrowthRate)^(YEARFRAC(DATE(2025,6,30),in_AgeToDate)*IF(in_AgeToDate&lt;DATE(2025,6,30),-1,1)+1))</f>
        <v/>
      </c>
      <c r="U894" s="50">
        <f>IF(AND(AND(OR(in_Mode="All Funds",AND(C894&gt;=in_BandFloor,C894&lt;=in_BandCeiling,OR(in_Geography="National",COUNTIFS(lst_GeoPreset,in_Geography,lst_GeoState,B894)&gt;0,AND(in_Geography="Custom",ISNUMBER(SEARCH(B894,SUBSTITUTE(in_CustomStates," ",""))))),OR(AND(D894="Endowment",Inputs!$B$14="Y"),AND(D894="Foundation",Inputs!$B$15="Y"),AND(D894="Healthcare",Inputs!$B$16="Y"),AND(D894="Pension",Inputs!$B$17="Y"),AND(D894="OCIO",Inputs!$B$18="Y"),AND(D894="Other",Inputs!$B$19="Y")))),A894&lt;&gt;in_ClientOrg,NOT(AND(in_ExclHarvard="Y",ISNUMBER(SEARCH("Harvard",A894))))),$AD894="Y",K894&lt;&gt;"",S894&gt;0),"Y","")</f>
        <v/>
      </c>
      <c r="V894" s="30" t="n">
        <v>1</v>
      </c>
      <c r="W894" t="inlineStr"/>
      <c r="X894" s="28">
        <f>IF(L894+M894=0,"",L894+M894)</f>
        <v/>
      </c>
      <c r="Y894" s="38">
        <f>IF(L894=0,"",M894/L894)</f>
        <v/>
      </c>
      <c r="Z894" t="inlineStr">
        <is>
          <t>CIO - Top Investment Executive</t>
        </is>
      </c>
      <c r="AA894" t="inlineStr">
        <is>
          <t>Leadership</t>
        </is>
      </c>
      <c r="AB894" s="50" t="inlineStr">
        <is>
          <t>Y</t>
        </is>
      </c>
      <c r="AC894" s="43">
        <f>HYPERLINK("https://projects.propublica.org/nonprofits/organizations/10211497/202631319349303008/full","view filing")</f>
        <v/>
      </c>
      <c r="AD894" s="50" t="inlineStr">
        <is>
          <t>Y</t>
        </is>
      </c>
    </row>
    <row r="895">
      <c r="A895" t="inlineStr">
        <is>
          <t>President &amp; Trustees Of Colby College</t>
        </is>
      </c>
      <c r="B895" s="50" t="inlineStr">
        <is>
          <t>ME</t>
        </is>
      </c>
      <c r="C895" s="52" t="n">
        <v>1.16</v>
      </c>
      <c r="D895" t="inlineStr">
        <is>
          <t>Endowment</t>
        </is>
      </c>
      <c r="E895" s="50" t="n">
        <v>2025</v>
      </c>
      <c r="F895" s="50" t="inlineStr">
        <is>
          <t>2026-05-11</t>
        </is>
      </c>
      <c r="G895" s="50" t="inlineStr">
        <is>
          <t>2025-06-30</t>
        </is>
      </c>
      <c r="H895" t="inlineStr">
        <is>
          <t>Thomas Martin</t>
        </is>
      </c>
      <c r="I895" t="inlineStr">
        <is>
          <t>Managing Director of Investments</t>
        </is>
      </c>
      <c r="J895" t="inlineStr">
        <is>
          <t>Managing Director</t>
        </is>
      </c>
      <c r="K895" t="inlineStr">
        <is>
          <t>Sr Investment Professional</t>
        </is>
      </c>
      <c r="L895" s="28" t="n">
        <v>358750</v>
      </c>
      <c r="M895" s="28" t="n">
        <v>87500</v>
      </c>
      <c r="N895" s="28" t="n">
        <v>960</v>
      </c>
      <c r="O895" s="28" t="n">
        <v>0</v>
      </c>
      <c r="P895" s="28" t="n">
        <v>0</v>
      </c>
      <c r="Q895" s="28" t="n">
        <v>447210</v>
      </c>
      <c r="R895" s="28" t="n">
        <v>0</v>
      </c>
      <c r="S895" s="28">
        <f>Q895-R895</f>
        <v/>
      </c>
      <c r="T895" s="28">
        <f>IF(S895="","",S895*(1+in_GrowthRate)^(YEARFRAC(DATE(2025,6,30),in_AgeToDate)*IF(in_AgeToDate&lt;DATE(2025,6,30),-1,1)+1))</f>
        <v/>
      </c>
      <c r="U895" s="50">
        <f>IF(AND(AND(OR(in_Mode="All Funds",AND(C895&gt;=in_BandFloor,C895&lt;=in_BandCeiling,OR(in_Geography="National",COUNTIFS(lst_GeoPreset,in_Geography,lst_GeoState,B895)&gt;0,AND(in_Geography="Custom",ISNUMBER(SEARCH(B895,SUBSTITUTE(in_CustomStates," ",""))))),OR(AND(D895="Endowment",Inputs!$B$14="Y"),AND(D895="Foundation",Inputs!$B$15="Y"),AND(D895="Healthcare",Inputs!$B$16="Y"),AND(D895="Pension",Inputs!$B$17="Y"),AND(D895="OCIO",Inputs!$B$18="Y"),AND(D895="Other",Inputs!$B$19="Y")))),A895&lt;&gt;in_ClientOrg,NOT(AND(in_ExclHarvard="Y",ISNUMBER(SEARCH("Harvard",A895))))),$AD895="Y",K895&lt;&gt;"",S895&gt;0),"Y","")</f>
        <v/>
      </c>
      <c r="V895" s="30" t="n">
        <v>0.4854988682440685</v>
      </c>
      <c r="W895" t="inlineStr"/>
      <c r="X895" s="28">
        <f>IF(L895+M895=0,"",L895+M895)</f>
        <v/>
      </c>
      <c r="Y895" s="38">
        <f>IF(L895=0,"",M895/L895)</f>
        <v/>
      </c>
      <c r="Z895" t="inlineStr">
        <is>
          <t>Managing Director</t>
        </is>
      </c>
      <c r="AA895" t="inlineStr">
        <is>
          <t>Investments</t>
        </is>
      </c>
      <c r="AB895" s="50" t="inlineStr"/>
      <c r="AC895" s="43">
        <f>HYPERLINK("https://projects.propublica.org/nonprofits/organizations/10211497/202631319349303008/full","view filing")</f>
        <v/>
      </c>
      <c r="AD895" s="50" t="inlineStr">
        <is>
          <t>Y</t>
        </is>
      </c>
    </row>
    <row r="896">
      <c r="A896" t="inlineStr">
        <is>
          <t>President &amp; Trustees Of Colby College</t>
        </is>
      </c>
      <c r="B896" s="50" t="inlineStr">
        <is>
          <t>ME</t>
        </is>
      </c>
      <c r="C896" s="52" t="n">
        <v>1.16</v>
      </c>
      <c r="D896" t="inlineStr">
        <is>
          <t>Endowment</t>
        </is>
      </c>
      <c r="E896" s="50" t="n">
        <v>2024</v>
      </c>
      <c r="F896" s="50" t="inlineStr">
        <is>
          <t>2025-05-06</t>
        </is>
      </c>
      <c r="G896" s="50" t="inlineStr">
        <is>
          <t>2024-06-30</t>
        </is>
      </c>
      <c r="H896" t="inlineStr">
        <is>
          <t>Shufrin Deborah</t>
        </is>
      </c>
      <c r="I896" t="inlineStr">
        <is>
          <t>Associate VP and Chief Investment Officer</t>
        </is>
      </c>
      <c r="J896" t="inlineStr">
        <is>
          <t>CIO</t>
        </is>
      </c>
      <c r="K896" t="inlineStr">
        <is>
          <t>CIO - Top Investment Executive</t>
        </is>
      </c>
      <c r="L896" s="28" t="n">
        <v>639450</v>
      </c>
      <c r="M896" s="28" t="n">
        <v>102375</v>
      </c>
      <c r="N896" s="28" t="n">
        <v>27000</v>
      </c>
      <c r="O896" s="28" t="n">
        <v>31302</v>
      </c>
      <c r="P896" s="28" t="n">
        <v>12489</v>
      </c>
      <c r="Q896" s="28" t="n">
        <v>812616</v>
      </c>
      <c r="R896" s="28" t="n">
        <v>0</v>
      </c>
      <c r="S896" s="28">
        <f>Q896-R896</f>
        <v/>
      </c>
      <c r="T896" s="28">
        <f>IF(S896="","",S896*(1+in_GrowthRate)^(YEARFRAC(DATE(2024,6,30),in_AgeToDate)*IF(in_AgeToDate&lt;DATE(2024,6,30),-1,1)+1))</f>
        <v/>
      </c>
      <c r="U896" s="50">
        <f>IF(AND(AND(OR(in_Mode="All Funds",AND(C896&gt;=in_BandFloor,C896&lt;=in_BandCeiling,OR(in_Geography="National",COUNTIFS(lst_GeoPreset,in_Geography,lst_GeoState,B896)&gt;0,AND(in_Geography="Custom",ISNUMBER(SEARCH(B896,SUBSTITUTE(in_CustomStates," ",""))))),OR(AND(D896="Endowment",Inputs!$B$14="Y"),AND(D896="Foundation",Inputs!$B$15="Y"),AND(D896="Healthcare",Inputs!$B$16="Y"),AND(D896="Pension",Inputs!$B$17="Y"),AND(D896="OCIO",Inputs!$B$18="Y"),AND(D896="Other",Inputs!$B$19="Y")))),A896&lt;&gt;in_ClientOrg,NOT(AND(in_ExclHarvard="Y",ISNUMBER(SEARCH("Harvard",A896))))),$AD896="Y",K896&lt;&gt;"",S896&gt;0),"Y","")</f>
        <v/>
      </c>
      <c r="V896" s="30" t="n">
        <v>1</v>
      </c>
      <c r="W896" t="inlineStr"/>
      <c r="X896" s="28">
        <f>IF(L896+M896=0,"",L896+M896)</f>
        <v/>
      </c>
      <c r="Y896" s="38">
        <f>IF(L896=0,"",M896/L896)</f>
        <v/>
      </c>
      <c r="Z896" t="inlineStr">
        <is>
          <t>CIO - Top Investment Executive</t>
        </is>
      </c>
      <c r="AA896" t="inlineStr">
        <is>
          <t>Leadership</t>
        </is>
      </c>
      <c r="AB896" s="50" t="inlineStr">
        <is>
          <t>Y</t>
        </is>
      </c>
      <c r="AC896" s="43">
        <f>HYPERLINK("https://projects.propublica.org/nonprofits/organizations/10211497/202541329349303094/full","view filing")</f>
        <v/>
      </c>
      <c r="AD896" s="50" t="inlineStr"/>
    </row>
    <row r="897">
      <c r="A897" t="inlineStr">
        <is>
          <t>President &amp; Trustees Of Colby College</t>
        </is>
      </c>
      <c r="B897" s="50" t="inlineStr">
        <is>
          <t>ME</t>
        </is>
      </c>
      <c r="C897" s="52" t="n">
        <v>1.16</v>
      </c>
      <c r="D897" t="inlineStr">
        <is>
          <t>Endowment</t>
        </is>
      </c>
      <c r="E897" s="50" t="n">
        <v>2023</v>
      </c>
      <c r="F897" s="50" t="inlineStr">
        <is>
          <t>2024-05-15</t>
        </is>
      </c>
      <c r="G897" s="50" t="inlineStr">
        <is>
          <t>2023-06-30</t>
        </is>
      </c>
      <c r="H897" t="inlineStr">
        <is>
          <t>Shufrin Deborah</t>
        </is>
      </c>
      <c r="I897" t="inlineStr">
        <is>
          <t>Associate VP and Chief Investment Officer</t>
        </is>
      </c>
      <c r="J897" t="inlineStr">
        <is>
          <t>CIO</t>
        </is>
      </c>
      <c r="K897" t="inlineStr">
        <is>
          <t>CIO - Top Investment Executive</t>
        </is>
      </c>
      <c r="L897" s="28" t="n">
        <v>615000</v>
      </c>
      <c r="M897" s="28" t="n">
        <v>119250</v>
      </c>
      <c r="N897" s="28" t="n">
        <v>27000</v>
      </c>
      <c r="O897" s="28" t="n">
        <v>0</v>
      </c>
      <c r="P897" s="28" t="n">
        <v>11565</v>
      </c>
      <c r="Q897" s="28" t="n">
        <v>772815</v>
      </c>
      <c r="R897" s="28" t="n">
        <v>0</v>
      </c>
      <c r="S897" s="28">
        <f>Q897-R897</f>
        <v/>
      </c>
      <c r="T897" s="28">
        <f>IF(S897="","",S897*(1+in_GrowthRate)^(YEARFRAC(DATE(2023,6,30),in_AgeToDate)*IF(in_AgeToDate&lt;DATE(2023,6,30),-1,1)+1))</f>
        <v/>
      </c>
      <c r="U897" s="50">
        <f>IF(AND(AND(OR(in_Mode="All Funds",AND(C897&gt;=in_BandFloor,C897&lt;=in_BandCeiling,OR(in_Geography="National",COUNTIFS(lst_GeoPreset,in_Geography,lst_GeoState,B897)&gt;0,AND(in_Geography="Custom",ISNUMBER(SEARCH(B897,SUBSTITUTE(in_CustomStates," ",""))))),OR(AND(D897="Endowment",Inputs!$B$14="Y"),AND(D897="Foundation",Inputs!$B$15="Y"),AND(D897="Healthcare",Inputs!$B$16="Y"),AND(D897="Pension",Inputs!$B$17="Y"),AND(D897="OCIO",Inputs!$B$18="Y"),AND(D897="Other",Inputs!$B$19="Y")))),A897&lt;&gt;in_ClientOrg,NOT(AND(in_ExclHarvard="Y",ISNUMBER(SEARCH("Harvard",A897))))),$AD897="Y",K897&lt;&gt;"",S897&gt;0),"Y","")</f>
        <v/>
      </c>
      <c r="V897" s="30" t="n">
        <v>1</v>
      </c>
      <c r="W897" t="inlineStr"/>
      <c r="X897" s="28">
        <f>IF(L897+M897=0,"",L897+M897)</f>
        <v/>
      </c>
      <c r="Y897" s="38">
        <f>IF(L897=0,"",M897/L897)</f>
        <v/>
      </c>
      <c r="Z897" t="inlineStr">
        <is>
          <t>CIO - Top Investment Executive</t>
        </is>
      </c>
      <c r="AA897" t="inlineStr">
        <is>
          <t>Leadership</t>
        </is>
      </c>
      <c r="AB897" s="50" t="inlineStr">
        <is>
          <t>Y</t>
        </is>
      </c>
      <c r="AC897" s="43">
        <f>HYPERLINK("https://projects.propublica.org/nonprofits/organizations/10211497/202421319349300017/full","view filing")</f>
        <v/>
      </c>
      <c r="AD897" s="50" t="inlineStr"/>
    </row>
    <row r="898">
      <c r="A898" t="inlineStr">
        <is>
          <t>President &amp; Trustees Of Colby College</t>
        </is>
      </c>
      <c r="B898" s="50" t="inlineStr">
        <is>
          <t>ME</t>
        </is>
      </c>
      <c r="C898" s="52" t="n">
        <v>1.16</v>
      </c>
      <c r="D898" t="inlineStr">
        <is>
          <t>Endowment</t>
        </is>
      </c>
      <c r="E898" s="50" t="n">
        <v>2022</v>
      </c>
      <c r="F898" s="50" t="inlineStr">
        <is>
          <t>2023-05-15</t>
        </is>
      </c>
      <c r="G898" s="50" t="inlineStr">
        <is>
          <t>2022-06-30</t>
        </is>
      </c>
      <c r="H898" t="inlineStr">
        <is>
          <t>Shufrin Deborah</t>
        </is>
      </c>
      <c r="I898" t="inlineStr">
        <is>
          <t>Associate VP and Chief Investment Officer</t>
        </is>
      </c>
      <c r="J898" t="inlineStr">
        <is>
          <t>CIO</t>
        </is>
      </c>
      <c r="K898" t="inlineStr">
        <is>
          <t>CIO - Top Investment Executive</t>
        </is>
      </c>
      <c r="L898" s="28" t="n">
        <v>450000</v>
      </c>
      <c r="M898" s="28" t="n">
        <v>0</v>
      </c>
      <c r="N898" s="28" t="n">
        <v>0</v>
      </c>
      <c r="O898" s="28" t="n">
        <v>0</v>
      </c>
      <c r="P898" s="28" t="n">
        <v>8332</v>
      </c>
      <c r="Q898" s="28" t="n">
        <v>458332</v>
      </c>
      <c r="R898" s="28" t="n">
        <v>0</v>
      </c>
      <c r="S898" s="28">
        <f>Q898-R898</f>
        <v/>
      </c>
      <c r="T898" s="28">
        <f>IF(S898="","",S898*(1+in_GrowthRate)^(YEARFRAC(DATE(2022,6,30),in_AgeToDate)*IF(in_AgeToDate&lt;DATE(2022,6,30),-1,1)+1))</f>
        <v/>
      </c>
      <c r="U898" s="50">
        <f>IF(AND(AND(OR(in_Mode="All Funds",AND(C898&gt;=in_BandFloor,C898&lt;=in_BandCeiling,OR(in_Geography="National",COUNTIFS(lst_GeoPreset,in_Geography,lst_GeoState,B898)&gt;0,AND(in_Geography="Custom",ISNUMBER(SEARCH(B898,SUBSTITUTE(in_CustomStates," ",""))))),OR(AND(D898="Endowment",Inputs!$B$14="Y"),AND(D898="Foundation",Inputs!$B$15="Y"),AND(D898="Healthcare",Inputs!$B$16="Y"),AND(D898="Pension",Inputs!$B$17="Y"),AND(D898="OCIO",Inputs!$B$18="Y"),AND(D898="Other",Inputs!$B$19="Y")))),A898&lt;&gt;in_ClientOrg,NOT(AND(in_ExclHarvard="Y",ISNUMBER(SEARCH("Harvard",A898))))),$AD898="Y",K898&lt;&gt;"",S898&gt;0),"Y","")</f>
        <v/>
      </c>
      <c r="V898" s="30" t="n">
        <v>1</v>
      </c>
      <c r="W898" t="inlineStr"/>
      <c r="X898" s="28">
        <f>IF(L898+M898=0,"",L898+M898)</f>
        <v/>
      </c>
      <c r="Y898" s="38">
        <f>IF(L898=0,"",M898/L898)</f>
        <v/>
      </c>
      <c r="Z898" t="inlineStr">
        <is>
          <t>CIO - Top Investment Executive</t>
        </is>
      </c>
      <c r="AA898" t="inlineStr">
        <is>
          <t>Leadership</t>
        </is>
      </c>
      <c r="AB898" s="50" t="inlineStr">
        <is>
          <t>Y</t>
        </is>
      </c>
      <c r="AC898" s="43">
        <f>HYPERLINK("https://projects.propublica.org/nonprofits/organizations/10211497/202301359349310385/full","view filing")</f>
        <v/>
      </c>
      <c r="AD898" s="50" t="inlineStr"/>
    </row>
    <row r="899">
      <c r="A899" t="inlineStr">
        <is>
          <t>President &amp; Trustees Of Colby College</t>
        </is>
      </c>
      <c r="B899" s="50" t="inlineStr">
        <is>
          <t>ME</t>
        </is>
      </c>
      <c r="C899" s="52" t="n">
        <v>1.16</v>
      </c>
      <c r="D899" t="inlineStr">
        <is>
          <t>Endowment</t>
        </is>
      </c>
      <c r="E899" s="50" t="n">
        <v>2022</v>
      </c>
      <c r="F899" s="50" t="inlineStr">
        <is>
          <t>2023-05-15</t>
        </is>
      </c>
      <c r="G899" s="50" t="inlineStr">
        <is>
          <t>2022-06-30</t>
        </is>
      </c>
      <c r="H899" t="inlineStr">
        <is>
          <t>Sibunruang Harris</t>
        </is>
      </c>
      <c r="I899" t="inlineStr">
        <is>
          <t>Director Investments</t>
        </is>
      </c>
      <c r="J899" t="inlineStr">
        <is>
          <t>Director of Investments</t>
        </is>
      </c>
      <c r="K899" t="inlineStr">
        <is>
          <t>Sr Investment Professional</t>
        </is>
      </c>
      <c r="L899" s="28" t="n">
        <v>176760</v>
      </c>
      <c r="M899" s="28" t="n">
        <v>38390</v>
      </c>
      <c r="N899" s="28" t="n">
        <v>50000</v>
      </c>
      <c r="O899" s="28" t="n">
        <v>20978</v>
      </c>
      <c r="P899" s="28" t="n">
        <v>26709</v>
      </c>
      <c r="Q899" s="28" t="n">
        <v>312837</v>
      </c>
      <c r="R899" s="28" t="n">
        <v>0</v>
      </c>
      <c r="S899" s="28">
        <f>Q899-R899</f>
        <v/>
      </c>
      <c r="T899" s="28">
        <f>IF(S899="","",S899*(1+in_GrowthRate)^(YEARFRAC(DATE(2022,6,30),in_AgeToDate)*IF(in_AgeToDate&lt;DATE(2022,6,30),-1,1)+1))</f>
        <v/>
      </c>
      <c r="U899" s="50">
        <f>IF(AND(AND(OR(in_Mode="All Funds",AND(C899&gt;=in_BandFloor,C899&lt;=in_BandCeiling,OR(in_Geography="National",COUNTIFS(lst_GeoPreset,in_Geography,lst_GeoState,B899)&gt;0,AND(in_Geography="Custom",ISNUMBER(SEARCH(B899,SUBSTITUTE(in_CustomStates," ",""))))),OR(AND(D899="Endowment",Inputs!$B$14="Y"),AND(D899="Foundation",Inputs!$B$15="Y"),AND(D899="Healthcare",Inputs!$B$16="Y"),AND(D899="Pension",Inputs!$B$17="Y"),AND(D899="OCIO",Inputs!$B$18="Y"),AND(D899="Other",Inputs!$B$19="Y")))),A899&lt;&gt;in_ClientOrg,NOT(AND(in_ExclHarvard="Y",ISNUMBER(SEARCH("Harvard",A899))))),$AD899="Y",K899&lt;&gt;"",S899&gt;0),"Y","")</f>
        <v/>
      </c>
      <c r="V899" s="30" t="n">
        <v>0.6825554401612804</v>
      </c>
      <c r="W899" t="inlineStr"/>
      <c r="X899" s="28">
        <f>IF(L899+M899=0,"",L899+M899)</f>
        <v/>
      </c>
      <c r="Y899" s="38">
        <f>IF(L899=0,"",M899/L899)</f>
        <v/>
      </c>
      <c r="Z899" t="inlineStr">
        <is>
          <t>Director &amp; Investment Officer</t>
        </is>
      </c>
      <c r="AA899" t="inlineStr">
        <is>
          <t>Investments</t>
        </is>
      </c>
      <c r="AB899" s="50" t="inlineStr"/>
      <c r="AC899" s="43">
        <f>HYPERLINK("https://projects.propublica.org/nonprofits/organizations/10211497/202301359349310385/full","view filing")</f>
        <v/>
      </c>
      <c r="AD899" s="50" t="inlineStr"/>
    </row>
    <row r="900">
      <c r="A900" t="inlineStr">
        <is>
          <t>President Board Of Trustees Santa Clara College</t>
        </is>
      </c>
      <c r="B900" s="50" t="inlineStr">
        <is>
          <t>CA</t>
        </is>
      </c>
      <c r="C900" s="52" t="n">
        <v>1.67</v>
      </c>
      <c r="D900" t="inlineStr">
        <is>
          <t>Endowment</t>
        </is>
      </c>
      <c r="E900" s="50" t="n">
        <v>2024</v>
      </c>
      <c r="F900" s="50" t="inlineStr">
        <is>
          <t>2025-05-14</t>
        </is>
      </c>
      <c r="G900" s="50" t="inlineStr">
        <is>
          <t>2024-06-30</t>
        </is>
      </c>
      <c r="H900" t="inlineStr">
        <is>
          <t>John Kerrigan</t>
        </is>
      </c>
      <c r="I900" t="inlineStr">
        <is>
          <t>CHIEF INVESTMENT OFFICER</t>
        </is>
      </c>
      <c r="J900" t="inlineStr">
        <is>
          <t>CIO</t>
        </is>
      </c>
      <c r="K900" t="inlineStr">
        <is>
          <t>CIO - Top Investment Executive</t>
        </is>
      </c>
      <c r="L900" s="28" t="n">
        <v>555765</v>
      </c>
      <c r="M900" s="28" t="n">
        <v>217487</v>
      </c>
      <c r="N900" s="28" t="n">
        <v>8105</v>
      </c>
      <c r="O900" s="28" t="n">
        <v>25008</v>
      </c>
      <c r="P900" s="28" t="n">
        <v>29684</v>
      </c>
      <c r="Q900" s="28" t="n">
        <v>836049</v>
      </c>
      <c r="R900" s="28" t="n">
        <v>0</v>
      </c>
      <c r="S900" s="28">
        <f>Q900-R900</f>
        <v/>
      </c>
      <c r="T900" s="28">
        <f>IF(S900="","",S900*(1+in_GrowthRate)^(YEARFRAC(DATE(2024,6,30),in_AgeToDate)*IF(in_AgeToDate&lt;DATE(2024,6,30),-1,1)+1))</f>
        <v/>
      </c>
      <c r="U900" s="50">
        <f>IF(AND(AND(OR(in_Mode="All Funds",AND(C900&gt;=in_BandFloor,C900&lt;=in_BandCeiling,OR(in_Geography="National",COUNTIFS(lst_GeoPreset,in_Geography,lst_GeoState,B900)&gt;0,AND(in_Geography="Custom",ISNUMBER(SEARCH(B900,SUBSTITUTE(in_CustomStates," ",""))))),OR(AND(D900="Endowment",Inputs!$B$14="Y"),AND(D900="Foundation",Inputs!$B$15="Y"),AND(D900="Healthcare",Inputs!$B$16="Y"),AND(D900="Pension",Inputs!$B$17="Y"),AND(D900="OCIO",Inputs!$B$18="Y"),AND(D900="Other",Inputs!$B$19="Y")))),A900&lt;&gt;in_ClientOrg,NOT(AND(in_ExclHarvard="Y",ISNUMBER(SEARCH("Harvard",A900))))),$AD900="Y",K900&lt;&gt;"",S900&gt;0),"Y","")</f>
        <v/>
      </c>
      <c r="V900" s="30" t="n">
        <v>1</v>
      </c>
      <c r="W900" t="inlineStr"/>
      <c r="X900" s="28">
        <f>IF(L900+M900=0,"",L900+M900)</f>
        <v/>
      </c>
      <c r="Y900" s="38">
        <f>IF(L900=0,"",M900/L900)</f>
        <v/>
      </c>
      <c r="Z900" t="inlineStr">
        <is>
          <t>CIO - Top Investment Executive</t>
        </is>
      </c>
      <c r="AA900" t="inlineStr">
        <is>
          <t>Leadership</t>
        </is>
      </c>
      <c r="AB900" s="50" t="inlineStr">
        <is>
          <t>Y</t>
        </is>
      </c>
      <c r="AC900" s="43">
        <f>HYPERLINK("https://projects.propublica.org/nonprofits/organizations/941156617/202541349349310994/full","view filing")</f>
        <v/>
      </c>
      <c r="AD900" s="50" t="inlineStr"/>
    </row>
    <row r="901">
      <c r="A901" t="inlineStr">
        <is>
          <t>President Board Of Trustees Santa Clara College</t>
        </is>
      </c>
      <c r="B901" s="50" t="inlineStr">
        <is>
          <t>CA</t>
        </is>
      </c>
      <c r="C901" s="52" t="n">
        <v>1.67</v>
      </c>
      <c r="D901" t="inlineStr">
        <is>
          <t>Endowment</t>
        </is>
      </c>
      <c r="E901" s="50" t="n">
        <v>2023</v>
      </c>
      <c r="F901" s="50" t="inlineStr">
        <is>
          <t>2024-05-15</t>
        </is>
      </c>
      <c r="G901" s="50" t="inlineStr">
        <is>
          <t>2023-06-30</t>
        </is>
      </c>
      <c r="H901" t="inlineStr">
        <is>
          <t>John Kerrigan</t>
        </is>
      </c>
      <c r="I901" t="inlineStr">
        <is>
          <t>CHIEF INVESTMENT OFFICER</t>
        </is>
      </c>
      <c r="J901" t="inlineStr">
        <is>
          <t>CIO</t>
        </is>
      </c>
      <c r="K901" t="inlineStr">
        <is>
          <t>CIO - Top Investment Executive</t>
        </is>
      </c>
      <c r="L901" s="28" t="n">
        <v>538399</v>
      </c>
      <c r="M901" s="28" t="n">
        <v>234733</v>
      </c>
      <c r="N901" s="28" t="n">
        <v>8105</v>
      </c>
      <c r="O901" s="28" t="n">
        <v>21750</v>
      </c>
      <c r="P901" s="28" t="n">
        <v>30681</v>
      </c>
      <c r="Q901" s="28" t="n">
        <v>833668</v>
      </c>
      <c r="R901" s="28" t="n">
        <v>0</v>
      </c>
      <c r="S901" s="28">
        <f>Q901-R901</f>
        <v/>
      </c>
      <c r="T901" s="28">
        <f>IF(S901="","",S901*(1+in_GrowthRate)^(YEARFRAC(DATE(2023,6,30),in_AgeToDate)*IF(in_AgeToDate&lt;DATE(2023,6,30),-1,1)+1))</f>
        <v/>
      </c>
      <c r="U901" s="50">
        <f>IF(AND(AND(OR(in_Mode="All Funds",AND(C901&gt;=in_BandFloor,C901&lt;=in_BandCeiling,OR(in_Geography="National",COUNTIFS(lst_GeoPreset,in_Geography,lst_GeoState,B901)&gt;0,AND(in_Geography="Custom",ISNUMBER(SEARCH(B901,SUBSTITUTE(in_CustomStates," ",""))))),OR(AND(D901="Endowment",Inputs!$B$14="Y"),AND(D901="Foundation",Inputs!$B$15="Y"),AND(D901="Healthcare",Inputs!$B$16="Y"),AND(D901="Pension",Inputs!$B$17="Y"),AND(D901="OCIO",Inputs!$B$18="Y"),AND(D901="Other",Inputs!$B$19="Y")))),A901&lt;&gt;in_ClientOrg,NOT(AND(in_ExclHarvard="Y",ISNUMBER(SEARCH("Harvard",A901))))),$AD901="Y",K901&lt;&gt;"",S901&gt;0),"Y","")</f>
        <v/>
      </c>
      <c r="V901" s="30" t="n">
        <v>1</v>
      </c>
      <c r="W901" t="inlineStr"/>
      <c r="X901" s="28">
        <f>IF(L901+M901=0,"",L901+M901)</f>
        <v/>
      </c>
      <c r="Y901" s="38">
        <f>IF(L901=0,"",M901/L901)</f>
        <v/>
      </c>
      <c r="Z901" t="inlineStr">
        <is>
          <t>CIO - Top Investment Executive</t>
        </is>
      </c>
      <c r="AA901" t="inlineStr">
        <is>
          <t>Leadership</t>
        </is>
      </c>
      <c r="AB901" s="50" t="inlineStr">
        <is>
          <t>Y</t>
        </is>
      </c>
      <c r="AC901" s="43">
        <f>HYPERLINK("https://projects.propublica.org/nonprofits/organizations/941156617/202401369349318455/full","view filing")</f>
        <v/>
      </c>
      <c r="AD901" s="50" t="inlineStr"/>
    </row>
    <row r="902">
      <c r="A902" t="inlineStr">
        <is>
          <t>President Board Of Trustees Santa Clara College</t>
        </is>
      </c>
      <c r="B902" s="50" t="inlineStr">
        <is>
          <t>CA</t>
        </is>
      </c>
      <c r="C902" s="52" t="n">
        <v>1.67</v>
      </c>
      <c r="D902" t="inlineStr">
        <is>
          <t>Endowment</t>
        </is>
      </c>
      <c r="E902" s="50" t="n">
        <v>2022</v>
      </c>
      <c r="F902" s="50" t="inlineStr">
        <is>
          <t>2023-05-15</t>
        </is>
      </c>
      <c r="G902" s="50" t="inlineStr">
        <is>
          <t>2022-06-30</t>
        </is>
      </c>
      <c r="H902" t="inlineStr">
        <is>
          <t>John Kerrigan</t>
        </is>
      </c>
      <c r="I902" t="inlineStr">
        <is>
          <t>CHIEF INVESTMENT OFFICER</t>
        </is>
      </c>
      <c r="J902" t="inlineStr">
        <is>
          <t>CIO</t>
        </is>
      </c>
      <c r="K902" t="inlineStr">
        <is>
          <t>CIO - Top Investment Executive</t>
        </is>
      </c>
      <c r="L902" s="28" t="n">
        <v>518217</v>
      </c>
      <c r="M902" s="28" t="n">
        <v>181163</v>
      </c>
      <c r="N902" s="28" t="n">
        <v>8105</v>
      </c>
      <c r="O902" s="28" t="n">
        <v>14941</v>
      </c>
      <c r="P902" s="28" t="n">
        <v>29405</v>
      </c>
      <c r="Q902" s="28" t="n">
        <v>751831</v>
      </c>
      <c r="R902" s="28" t="n">
        <v>0</v>
      </c>
      <c r="S902" s="28">
        <f>Q902-R902</f>
        <v/>
      </c>
      <c r="T902" s="28">
        <f>IF(S902="","",S902*(1+in_GrowthRate)^(YEARFRAC(DATE(2022,6,30),in_AgeToDate)*IF(in_AgeToDate&lt;DATE(2022,6,30),-1,1)+1))</f>
        <v/>
      </c>
      <c r="U902" s="50">
        <f>IF(AND(AND(OR(in_Mode="All Funds",AND(C902&gt;=in_BandFloor,C902&lt;=in_BandCeiling,OR(in_Geography="National",COUNTIFS(lst_GeoPreset,in_Geography,lst_GeoState,B902)&gt;0,AND(in_Geography="Custom",ISNUMBER(SEARCH(B902,SUBSTITUTE(in_CustomStates," ",""))))),OR(AND(D902="Endowment",Inputs!$B$14="Y"),AND(D902="Foundation",Inputs!$B$15="Y"),AND(D902="Healthcare",Inputs!$B$16="Y"),AND(D902="Pension",Inputs!$B$17="Y"),AND(D902="OCIO",Inputs!$B$18="Y"),AND(D902="Other",Inputs!$B$19="Y")))),A902&lt;&gt;in_ClientOrg,NOT(AND(in_ExclHarvard="Y",ISNUMBER(SEARCH("Harvard",A902))))),$AD902="Y",K902&lt;&gt;"",S902&gt;0),"Y","")</f>
        <v/>
      </c>
      <c r="V902" s="30" t="n">
        <v>1</v>
      </c>
      <c r="W902" t="inlineStr"/>
      <c r="X902" s="28">
        <f>IF(L902+M902=0,"",L902+M902)</f>
        <v/>
      </c>
      <c r="Y902" s="38">
        <f>IF(L902=0,"",M902/L902)</f>
        <v/>
      </c>
      <c r="Z902" t="inlineStr">
        <is>
          <t>CIO - Top Investment Executive</t>
        </is>
      </c>
      <c r="AA902" t="inlineStr">
        <is>
          <t>Leadership</t>
        </is>
      </c>
      <c r="AB902" s="50" t="inlineStr">
        <is>
          <t>Y</t>
        </is>
      </c>
      <c r="AC902" s="43">
        <f>HYPERLINK("https://projects.propublica.org/nonprofits/organizations/941156617/202341359349320669/full","view filing")</f>
        <v/>
      </c>
      <c r="AD902" s="50" t="inlineStr"/>
    </row>
    <row r="903">
      <c r="A903" t="inlineStr">
        <is>
          <t>Princeton University</t>
        </is>
      </c>
      <c r="B903" s="50" t="inlineStr">
        <is>
          <t>NJ</t>
        </is>
      </c>
      <c r="C903" s="52" t="n">
        <v>36.42</v>
      </c>
      <c r="D903" t="inlineStr">
        <is>
          <t>Endowment</t>
        </is>
      </c>
      <c r="E903" s="50" t="n">
        <v>2025</v>
      </c>
      <c r="F903" s="50" t="inlineStr">
        <is>
          <t>2026-05-14</t>
        </is>
      </c>
      <c r="G903" s="50" t="inlineStr">
        <is>
          <t>2025-06-30</t>
        </is>
      </c>
      <c r="H903" t="inlineStr">
        <is>
          <t>Jennifer Birmingham</t>
        </is>
      </c>
      <c r="I903" t="inlineStr">
        <is>
          <t>managing director of PRINCO</t>
        </is>
      </c>
      <c r="J903" t="inlineStr">
        <is>
          <t>Managing Director</t>
        </is>
      </c>
      <c r="K903" t="inlineStr">
        <is>
          <t>COO (Investment Office)</t>
        </is>
      </c>
      <c r="L903" s="28" t="n">
        <v>864987</v>
      </c>
      <c r="M903" s="28" t="n">
        <v>1048199</v>
      </c>
      <c r="N903" s="28" t="n">
        <v>89620</v>
      </c>
      <c r="O903" s="28" t="n">
        <v>500184</v>
      </c>
      <c r="P903" s="28" t="n">
        <v>72729</v>
      </c>
      <c r="Q903" s="28" t="n">
        <v>2575719</v>
      </c>
      <c r="R903" s="28" t="n">
        <v>865293</v>
      </c>
      <c r="S903" s="28">
        <f>Q903-R903</f>
        <v/>
      </c>
      <c r="T903" s="28">
        <f>IF(S903="","",S903*(1+in_GrowthRate)^(YEARFRAC(DATE(2025,6,30),in_AgeToDate)*IF(in_AgeToDate&lt;DATE(2025,6,30),-1,1)+1))</f>
        <v/>
      </c>
      <c r="U903" s="50">
        <f>IF(AND(AND(OR(in_Mode="All Funds",AND(C903&gt;=in_BandFloor,C903&lt;=in_BandCeiling,OR(in_Geography="National",COUNTIFS(lst_GeoPreset,in_Geography,lst_GeoState,B903)&gt;0,AND(in_Geography="Custom",ISNUMBER(SEARCH(B903,SUBSTITUTE(in_CustomStates," ",""))))),OR(AND(D903="Endowment",Inputs!$B$14="Y"),AND(D903="Foundation",Inputs!$B$15="Y"),AND(D903="Healthcare",Inputs!$B$16="Y"),AND(D903="Pension",Inputs!$B$17="Y"),AND(D903="OCIO",Inputs!$B$18="Y"),AND(D903="Other",Inputs!$B$19="Y")))),A903&lt;&gt;in_ClientOrg,NOT(AND(in_ExclHarvard="Y",ISNUMBER(SEARCH("Harvard",A903))))),$AD903="Y",K903&lt;&gt;"",S903&gt;0),"Y","")</f>
        <v/>
      </c>
      <c r="V903" s="30" t="n">
        <v>0.3621653874755017</v>
      </c>
      <c r="W903" t="inlineStr"/>
      <c r="X903" s="28">
        <f>IF(L903+M903=0,"",L903+M903)</f>
        <v/>
      </c>
      <c r="Y903" s="38">
        <f>IF(L903=0,"",M903/L903)</f>
        <v/>
      </c>
      <c r="Z903" t="inlineStr">
        <is>
          <t>COO (Investment Office)</t>
        </is>
      </c>
      <c r="AA903" t="inlineStr">
        <is>
          <t>Operations &amp; Control</t>
        </is>
      </c>
      <c r="AB903" s="50" t="inlineStr"/>
      <c r="AC903" s="43">
        <f>HYPERLINK("https://projects.propublica.org/nonprofits/organizations/210634501/202611349349307136/full","view filing")</f>
        <v/>
      </c>
      <c r="AD903" s="50" t="inlineStr">
        <is>
          <t>Y</t>
        </is>
      </c>
    </row>
    <row r="904">
      <c r="A904" t="inlineStr">
        <is>
          <t>Princeton University</t>
        </is>
      </c>
      <c r="B904" s="50" t="inlineStr">
        <is>
          <t>NJ</t>
        </is>
      </c>
      <c r="C904" s="52" t="n">
        <v>36.42</v>
      </c>
      <c r="D904" t="inlineStr">
        <is>
          <t>Endowment</t>
        </is>
      </c>
      <c r="E904" s="50" t="n">
        <v>2025</v>
      </c>
      <c r="F904" s="50" t="inlineStr">
        <is>
          <t>2026-05-14</t>
        </is>
      </c>
      <c r="G904" s="50" t="inlineStr">
        <is>
          <t>2025-06-30</t>
        </is>
      </c>
      <c r="H904" t="inlineStr">
        <is>
          <t>Jonathan Erickson</t>
        </is>
      </c>
      <c r="I904" t="inlineStr">
        <is>
          <t>managing director of PRINCO</t>
        </is>
      </c>
      <c r="J904" t="inlineStr">
        <is>
          <t>Managing Director</t>
        </is>
      </c>
      <c r="K904" t="inlineStr">
        <is>
          <t>Sr Investment Professional</t>
        </is>
      </c>
      <c r="L904" s="28" t="n">
        <v>1019536</v>
      </c>
      <c r="M904" s="28" t="n">
        <v>1756645</v>
      </c>
      <c r="N904" s="28" t="n">
        <v>9330</v>
      </c>
      <c r="O904" s="28" t="n">
        <v>42140</v>
      </c>
      <c r="P904" s="28" t="n">
        <v>126030</v>
      </c>
      <c r="Q904" s="28" t="n">
        <v>2953681</v>
      </c>
      <c r="R904" s="28" t="n">
        <v>1566287</v>
      </c>
      <c r="S904" s="28">
        <f>Q904-R904</f>
        <v/>
      </c>
      <c r="T904" s="28">
        <f>IF(S904="","",S904*(1+in_GrowthRate)^(YEARFRAC(DATE(2025,6,30),in_AgeToDate)*IF(in_AgeToDate&lt;DATE(2025,6,30),-1,1)+1))</f>
        <v/>
      </c>
      <c r="U904" s="50">
        <f>IF(AND(AND(OR(in_Mode="All Funds",AND(C904&gt;=in_BandFloor,C904&lt;=in_BandCeiling,OR(in_Geography="National",COUNTIFS(lst_GeoPreset,in_Geography,lst_GeoState,B904)&gt;0,AND(in_Geography="Custom",ISNUMBER(SEARCH(B904,SUBSTITUTE(in_CustomStates," ",""))))),OR(AND(D904="Endowment",Inputs!$B$14="Y"),AND(D904="Foundation",Inputs!$B$15="Y"),AND(D904="Healthcare",Inputs!$B$16="Y"),AND(D904="Pension",Inputs!$B$17="Y"),AND(D904="OCIO",Inputs!$B$18="Y"),AND(D904="Other",Inputs!$B$19="Y")))),A904&lt;&gt;in_ClientOrg,NOT(AND(in_ExclHarvard="Y",ISNUMBER(SEARCH("Harvard",A904))))),$AD904="Y",K904&lt;&gt;"",S904&gt;0),"Y","")</f>
        <v/>
      </c>
      <c r="V904" s="30" t="n">
        <v>0.293766632167183</v>
      </c>
      <c r="W904" t="inlineStr"/>
      <c r="X904" s="28">
        <f>IF(L904+M904=0,"",L904+M904)</f>
        <v/>
      </c>
      <c r="Y904" s="38">
        <f>IF(L904=0,"",M904/L904)</f>
        <v/>
      </c>
      <c r="Z904" t="inlineStr">
        <is>
          <t>Managing Director</t>
        </is>
      </c>
      <c r="AA904" t="inlineStr">
        <is>
          <t>Investments</t>
        </is>
      </c>
      <c r="AB904" s="50" t="inlineStr"/>
      <c r="AC904" s="43">
        <f>HYPERLINK("https://projects.propublica.org/nonprofits/organizations/210634501/202611349349307136/full","view filing")</f>
        <v/>
      </c>
      <c r="AD904" s="50" t="inlineStr">
        <is>
          <t>Y</t>
        </is>
      </c>
    </row>
    <row r="905">
      <c r="A905" t="inlineStr">
        <is>
          <t>Princeton University</t>
        </is>
      </c>
      <c r="B905" s="50" t="inlineStr">
        <is>
          <t>NJ</t>
        </is>
      </c>
      <c r="C905" s="52" t="n">
        <v>36.42</v>
      </c>
      <c r="D905" t="inlineStr">
        <is>
          <t>Endowment</t>
        </is>
      </c>
      <c r="E905" s="50" t="n">
        <v>2025</v>
      </c>
      <c r="F905" s="50" t="inlineStr">
        <is>
          <t>2026-05-14</t>
        </is>
      </c>
      <c r="G905" s="50" t="inlineStr">
        <is>
          <t>2025-06-30</t>
        </is>
      </c>
      <c r="H905" t="inlineStr">
        <is>
          <t>Susan Butler Ciniglio</t>
        </is>
      </c>
      <c r="I905" t="inlineStr">
        <is>
          <t>managing director of PRINCO</t>
        </is>
      </c>
      <c r="J905" t="inlineStr">
        <is>
          <t>Managing Director</t>
        </is>
      </c>
      <c r="K905" t="inlineStr">
        <is>
          <t>Sr Investment Professional</t>
        </is>
      </c>
      <c r="L905" s="28" t="n">
        <v>765603</v>
      </c>
      <c r="M905" s="28" t="n">
        <v>847832</v>
      </c>
      <c r="N905" s="28" t="n">
        <v>72647</v>
      </c>
      <c r="O905" s="28" t="n">
        <v>570681</v>
      </c>
      <c r="P905" s="28" t="n">
        <v>34996</v>
      </c>
      <c r="Q905" s="28" t="n">
        <v>2291759</v>
      </c>
      <c r="R905" s="28" t="n">
        <v>0</v>
      </c>
      <c r="S905" s="28">
        <f>Q905-R905</f>
        <v/>
      </c>
      <c r="T905" s="28">
        <f>IF(S905="","",S905*(1+in_GrowthRate)^(YEARFRAC(DATE(2025,6,30),in_AgeToDate)*IF(in_AgeToDate&lt;DATE(2025,6,30),-1,1)+1))</f>
        <v/>
      </c>
      <c r="U905" s="50">
        <f>IF(AND(AND(OR(in_Mode="All Funds",AND(C905&gt;=in_BandFloor,C905&lt;=in_BandCeiling,OR(in_Geography="National",COUNTIFS(lst_GeoPreset,in_Geography,lst_GeoState,B905)&gt;0,AND(in_Geography="Custom",ISNUMBER(SEARCH(B905,SUBSTITUTE(in_CustomStates," ",""))))),OR(AND(D905="Endowment",Inputs!$B$14="Y"),AND(D905="Foundation",Inputs!$B$15="Y"),AND(D905="Healthcare",Inputs!$B$16="Y"),AND(D905="Pension",Inputs!$B$17="Y"),AND(D905="OCIO",Inputs!$B$18="Y"),AND(D905="Other",Inputs!$B$19="Y")))),A905&lt;&gt;in_ClientOrg,NOT(AND(in_ExclHarvard="Y",ISNUMBER(SEARCH("Harvard",A905))))),$AD905="Y",K905&lt;&gt;"",S905&gt;0),"Y","")</f>
        <v/>
      </c>
      <c r="V905" s="30" t="n">
        <v>0.4852567642420475</v>
      </c>
      <c r="W905" t="inlineStr"/>
      <c r="X905" s="28">
        <f>IF(L905+M905=0,"",L905+M905)</f>
        <v/>
      </c>
      <c r="Y905" s="38">
        <f>IF(L905=0,"",M905/L905)</f>
        <v/>
      </c>
      <c r="Z905" t="inlineStr">
        <is>
          <t>Managing Director</t>
        </is>
      </c>
      <c r="AA905" t="inlineStr">
        <is>
          <t>Investments</t>
        </is>
      </c>
      <c r="AB905" s="50" t="inlineStr"/>
      <c r="AC905" s="43">
        <f>HYPERLINK("https://projects.propublica.org/nonprofits/organizations/210634501/202611349349307136/full","view filing")</f>
        <v/>
      </c>
      <c r="AD905" s="50" t="inlineStr">
        <is>
          <t>Y</t>
        </is>
      </c>
    </row>
    <row r="906">
      <c r="A906" t="inlineStr">
        <is>
          <t>Princeton University</t>
        </is>
      </c>
      <c r="B906" s="50" t="inlineStr">
        <is>
          <t>NJ</t>
        </is>
      </c>
      <c r="C906" s="52" t="n">
        <v>36.42</v>
      </c>
      <c r="D906" t="inlineStr">
        <is>
          <t>Endowment</t>
        </is>
      </c>
      <c r="E906" s="50" t="n">
        <v>2025</v>
      </c>
      <c r="F906" s="50" t="inlineStr">
        <is>
          <t>2026-05-14</t>
        </is>
      </c>
      <c r="G906" s="50" t="inlineStr">
        <is>
          <t>2025-06-30</t>
        </is>
      </c>
      <c r="H906" t="inlineStr">
        <is>
          <t>Tae Kyoon Kim</t>
        </is>
      </c>
      <c r="I906" t="inlineStr">
        <is>
          <t>managing director of PRINCO</t>
        </is>
      </c>
      <c r="J906" t="inlineStr">
        <is>
          <t>Managing Director</t>
        </is>
      </c>
      <c r="K906" t="inlineStr">
        <is>
          <t>Sr Investment Professional</t>
        </is>
      </c>
      <c r="L906" s="28" t="n">
        <v>765796</v>
      </c>
      <c r="M906" s="28" t="n">
        <v>1210062</v>
      </c>
      <c r="N906" s="28" t="n">
        <v>73179</v>
      </c>
      <c r="O906" s="28" t="n">
        <v>570681</v>
      </c>
      <c r="P906" s="28" t="n">
        <v>34803</v>
      </c>
      <c r="Q906" s="28" t="n">
        <v>2654521</v>
      </c>
      <c r="R906" s="28" t="n">
        <v>1052547</v>
      </c>
      <c r="S906" s="28">
        <f>Q906-R906</f>
        <v/>
      </c>
      <c r="T906" s="28">
        <f>IF(S906="","",S906*(1+in_GrowthRate)^(YEARFRAC(DATE(2025,6,30),in_AgeToDate)*IF(in_AgeToDate&lt;DATE(2025,6,30),-1,1)+1))</f>
        <v/>
      </c>
      <c r="U906" s="50">
        <f>IF(AND(AND(OR(in_Mode="All Funds",AND(C906&gt;=in_BandFloor,C906&lt;=in_BandCeiling,OR(in_Geography="National",COUNTIFS(lst_GeoPreset,in_Geography,lst_GeoState,B906)&gt;0,AND(in_Geography="Custom",ISNUMBER(SEARCH(B906,SUBSTITUTE(in_CustomStates," ",""))))),OR(AND(D906="Endowment",Inputs!$B$14="Y"),AND(D906="Foundation",Inputs!$B$15="Y"),AND(D906="Healthcare",Inputs!$B$16="Y"),AND(D906="Pension",Inputs!$B$17="Y"),AND(D906="OCIO",Inputs!$B$18="Y"),AND(D906="Other",Inputs!$B$19="Y")))),A906&lt;&gt;in_ClientOrg,NOT(AND(in_ExclHarvard="Y",ISNUMBER(SEARCH("Harvard",A906))))),$AD906="Y",K906&lt;&gt;"",S906&gt;0),"Y","")</f>
        <v/>
      </c>
      <c r="V906" s="30" t="n">
        <v>0.3392017745495446</v>
      </c>
      <c r="W906" t="inlineStr"/>
      <c r="X906" s="28">
        <f>IF(L906+M906=0,"",L906+M906)</f>
        <v/>
      </c>
      <c r="Y906" s="38">
        <f>IF(L906=0,"",M906/L906)</f>
        <v/>
      </c>
      <c r="Z906" t="inlineStr">
        <is>
          <t>Managing Director</t>
        </is>
      </c>
      <c r="AA906" t="inlineStr">
        <is>
          <t>Investments</t>
        </is>
      </c>
      <c r="AB906" s="50" t="inlineStr"/>
      <c r="AC906" s="43">
        <f>HYPERLINK("https://projects.propublica.org/nonprofits/organizations/210634501/202611349349307136/full","view filing")</f>
        <v/>
      </c>
      <c r="AD906" s="50" t="inlineStr">
        <is>
          <t>Y</t>
        </is>
      </c>
    </row>
    <row r="907">
      <c r="A907" t="inlineStr">
        <is>
          <t>Princeton University</t>
        </is>
      </c>
      <c r="B907" s="50" t="inlineStr">
        <is>
          <t>NJ</t>
        </is>
      </c>
      <c r="C907" s="52" t="n">
        <v>36.42</v>
      </c>
      <c r="D907" t="inlineStr">
        <is>
          <t>Endowment</t>
        </is>
      </c>
      <c r="E907" s="50" t="n">
        <v>2025</v>
      </c>
      <c r="F907" s="50" t="inlineStr">
        <is>
          <t>2026-05-14</t>
        </is>
      </c>
      <c r="G907" s="50" t="inlineStr">
        <is>
          <t>2025-06-30</t>
        </is>
      </c>
      <c r="H907" t="inlineStr">
        <is>
          <t>Ting Zhou</t>
        </is>
      </c>
      <c r="I907" t="inlineStr">
        <is>
          <t>managing director of PRINCO</t>
        </is>
      </c>
      <c r="J907" t="inlineStr">
        <is>
          <t>Managing Director</t>
        </is>
      </c>
      <c r="K907" t="inlineStr">
        <is>
          <t>Sr Investment Professional</t>
        </is>
      </c>
      <c r="L907" s="28" t="n">
        <v>600750</v>
      </c>
      <c r="M907" s="28" t="n">
        <v>711813</v>
      </c>
      <c r="N907" s="28" t="n">
        <v>43841</v>
      </c>
      <c r="O907" s="28" t="n">
        <v>460453</v>
      </c>
      <c r="P907" s="28" t="n">
        <v>28094</v>
      </c>
      <c r="Q907" s="28" t="n">
        <v>1844951</v>
      </c>
      <c r="R907" s="28" t="n">
        <v>0</v>
      </c>
      <c r="S907" s="28">
        <f>Q907-R907</f>
        <v/>
      </c>
      <c r="T907" s="28">
        <f>IF(S907="","",S907*(1+in_GrowthRate)^(YEARFRAC(DATE(2025,6,30),in_AgeToDate)*IF(in_AgeToDate&lt;DATE(2025,6,30),-1,1)+1))</f>
        <v/>
      </c>
      <c r="U907" s="50">
        <f>IF(AND(AND(OR(in_Mode="All Funds",AND(C907&gt;=in_BandFloor,C907&lt;=in_BandCeiling,OR(in_Geography="National",COUNTIFS(lst_GeoPreset,in_Geography,lst_GeoState,B907)&gt;0,AND(in_Geography="Custom",ISNUMBER(SEARCH(B907,SUBSTITUTE(in_CustomStates," ",""))))),OR(AND(D907="Endowment",Inputs!$B$14="Y"),AND(D907="Foundation",Inputs!$B$15="Y"),AND(D907="Healthcare",Inputs!$B$16="Y"),AND(D907="Pension",Inputs!$B$17="Y"),AND(D907="OCIO",Inputs!$B$18="Y"),AND(D907="Other",Inputs!$B$19="Y")))),A907&lt;&gt;in_ClientOrg,NOT(AND(in_ExclHarvard="Y",ISNUMBER(SEARCH("Harvard",A907))))),$AD907="Y",K907&lt;&gt;"",S907&gt;0),"Y","")</f>
        <v/>
      </c>
      <c r="V907" s="30" t="n">
        <v>0.3906496941629245</v>
      </c>
      <c r="W907" t="inlineStr"/>
      <c r="X907" s="28">
        <f>IF(L907+M907=0,"",L907+M907)</f>
        <v/>
      </c>
      <c r="Y907" s="38">
        <f>IF(L907=0,"",M907/L907)</f>
        <v/>
      </c>
      <c r="Z907" t="inlineStr">
        <is>
          <t>Managing Director</t>
        </is>
      </c>
      <c r="AA907" t="inlineStr">
        <is>
          <t>Investments</t>
        </is>
      </c>
      <c r="AB907" s="50" t="inlineStr"/>
      <c r="AC907" s="43">
        <f>HYPERLINK("https://projects.propublica.org/nonprofits/organizations/210634501/202611349349307136/full","view filing")</f>
        <v/>
      </c>
      <c r="AD907" s="50" t="inlineStr">
        <is>
          <t>Y</t>
        </is>
      </c>
    </row>
    <row r="908">
      <c r="A908" t="inlineStr">
        <is>
          <t>Princeton University</t>
        </is>
      </c>
      <c r="B908" s="50" t="inlineStr">
        <is>
          <t>NJ</t>
        </is>
      </c>
      <c r="C908" s="52" t="n">
        <v>36.42</v>
      </c>
      <c r="D908" t="inlineStr">
        <is>
          <t>Endowment</t>
        </is>
      </c>
      <c r="E908" s="50" t="n">
        <v>2025</v>
      </c>
      <c r="F908" s="50" t="inlineStr">
        <is>
          <t>2026-05-14</t>
        </is>
      </c>
      <c r="G908" s="50" t="inlineStr">
        <is>
          <t>2025-06-30</t>
        </is>
      </c>
      <c r="H908" t="inlineStr">
        <is>
          <t>Vincent Tuohey</t>
        </is>
      </c>
      <c r="I908" t="inlineStr">
        <is>
          <t>President of PRINCO</t>
        </is>
      </c>
      <c r="J908" t="inlineStr">
        <is>
          <t>CEO (Inv Entity)</t>
        </is>
      </c>
      <c r="K908" t="inlineStr">
        <is>
          <t>CIO - Top Investment Executive</t>
        </is>
      </c>
      <c r="L908" s="28" t="n">
        <v>860440</v>
      </c>
      <c r="M908" s="28" t="n">
        <v>876250</v>
      </c>
      <c r="N908" s="28" t="n">
        <v>2026057</v>
      </c>
      <c r="O908" s="28" t="n">
        <v>918390</v>
      </c>
      <c r="P908" s="28" t="n">
        <v>41639</v>
      </c>
      <c r="Q908" s="28" t="n">
        <v>4722776</v>
      </c>
      <c r="R908" s="28" t="n">
        <v>0</v>
      </c>
      <c r="S908" s="28">
        <f>Q908-R908</f>
        <v/>
      </c>
      <c r="T908" s="28">
        <f>IF(S908="","",S908*(1+in_GrowthRate)^(YEARFRAC(DATE(2025,6,30),in_AgeToDate)*IF(in_AgeToDate&lt;DATE(2025,6,30),-1,1)+1))</f>
        <v/>
      </c>
      <c r="U908" s="50">
        <f>IF(AND(AND(OR(in_Mode="All Funds",AND(C908&gt;=in_BandFloor,C908&lt;=in_BandCeiling,OR(in_Geography="National",COUNTIFS(lst_GeoPreset,in_Geography,lst_GeoState,B908)&gt;0,AND(in_Geography="Custom",ISNUMBER(SEARCH(B908,SUBSTITUTE(in_CustomStates," ",""))))),OR(AND(D908="Endowment",Inputs!$B$14="Y"),AND(D908="Foundation",Inputs!$B$15="Y"),AND(D908="Healthcare",Inputs!$B$16="Y"),AND(D908="Pension",Inputs!$B$17="Y"),AND(D908="OCIO",Inputs!$B$18="Y"),AND(D908="Other",Inputs!$B$19="Y")))),A908&lt;&gt;in_ClientOrg,NOT(AND(in_ExclHarvard="Y",ISNUMBER(SEARCH("Harvard",A908))))),$AD908="Y",K908&lt;&gt;"",S908&gt;0),"Y","")</f>
        <v/>
      </c>
      <c r="V908" s="30" t="n">
        <v>1</v>
      </c>
      <c r="W908" t="inlineStr"/>
      <c r="X908" s="28">
        <f>IF(L908+M908=0,"",L908+M908)</f>
        <v/>
      </c>
      <c r="Y908" s="38">
        <f>IF(L908=0,"",M908/L908)</f>
        <v/>
      </c>
      <c r="Z908" t="inlineStr">
        <is>
          <t>CIO - Top Investment Executive</t>
        </is>
      </c>
      <c r="AA908" t="inlineStr">
        <is>
          <t>Leadership</t>
        </is>
      </c>
      <c r="AB908" s="50" t="inlineStr">
        <is>
          <t>Y</t>
        </is>
      </c>
      <c r="AC908" s="43">
        <f>HYPERLINK("https://projects.propublica.org/nonprofits/organizations/210634501/202611349349307136/full","view filing")</f>
        <v/>
      </c>
      <c r="AD908" s="50" t="inlineStr">
        <is>
          <t>Y</t>
        </is>
      </c>
    </row>
    <row r="909">
      <c r="A909" t="inlineStr">
        <is>
          <t>Princeton University</t>
        </is>
      </c>
      <c r="B909" s="50" t="inlineStr">
        <is>
          <t>NJ</t>
        </is>
      </c>
      <c r="C909" s="52" t="n">
        <v>36.42</v>
      </c>
      <c r="D909" t="inlineStr">
        <is>
          <t>Endowment</t>
        </is>
      </c>
      <c r="E909" s="50" t="n">
        <v>2024</v>
      </c>
      <c r="F909" s="50" t="inlineStr">
        <is>
          <t>2025-04-11</t>
        </is>
      </c>
      <c r="G909" s="50" t="inlineStr">
        <is>
          <t>2024-06-30</t>
        </is>
      </c>
      <c r="H909" t="inlineStr">
        <is>
          <t>Edward Karns</t>
        </is>
      </c>
      <c r="I909" t="inlineStr">
        <is>
          <t>managing director of PRINCO</t>
        </is>
      </c>
      <c r="J909" t="inlineStr">
        <is>
          <t>Managing Director</t>
        </is>
      </c>
      <c r="K909" t="inlineStr">
        <is>
          <t>Sr Investment Professional</t>
        </is>
      </c>
      <c r="L909" s="28" t="n">
        <v>428892</v>
      </c>
      <c r="M909" s="28" t="n">
        <v>1975520</v>
      </c>
      <c r="N909" s="28" t="n">
        <v>621</v>
      </c>
      <c r="O909" s="28" t="n">
        <v>40369</v>
      </c>
      <c r="P909" s="28" t="n">
        <v>37066</v>
      </c>
      <c r="Q909" s="28" t="n">
        <v>2482468</v>
      </c>
      <c r="R909" s="28" t="n">
        <v>1408520</v>
      </c>
      <c r="S909" s="28">
        <f>Q909-R909</f>
        <v/>
      </c>
      <c r="T909" s="28">
        <f>IF(S909="","",S909*(1+in_GrowthRate)^(YEARFRAC(DATE(2024,6,30),in_AgeToDate)*IF(in_AgeToDate&lt;DATE(2024,6,30),-1,1)+1))</f>
        <v/>
      </c>
      <c r="U909" s="50">
        <f>IF(AND(AND(OR(in_Mode="All Funds",AND(C909&gt;=in_BandFloor,C909&lt;=in_BandCeiling,OR(in_Geography="National",COUNTIFS(lst_GeoPreset,in_Geography,lst_GeoState,B909)&gt;0,AND(in_Geography="Custom",ISNUMBER(SEARCH(B909,SUBSTITUTE(in_CustomStates," ",""))))),OR(AND(D909="Endowment",Inputs!$B$14="Y"),AND(D909="Foundation",Inputs!$B$15="Y"),AND(D909="Healthcare",Inputs!$B$16="Y"),AND(D909="Pension",Inputs!$B$17="Y"),AND(D909="OCIO",Inputs!$B$18="Y"),AND(D909="Other",Inputs!$B$19="Y")))),A909&lt;&gt;in_ClientOrg,NOT(AND(in_ExclHarvard="Y",ISNUMBER(SEARCH("Harvard",A909))))),$AD909="Y",K909&lt;&gt;"",S909&gt;0),"Y","")</f>
        <v/>
      </c>
      <c r="V909" s="30" t="n"/>
      <c r="W909" t="inlineStr"/>
      <c r="X909" s="28">
        <f>IF(L909+M909=0,"",L909+M909)</f>
        <v/>
      </c>
      <c r="Y909" s="38">
        <f>IF(L909=0,"",M909/L909)</f>
        <v/>
      </c>
      <c r="Z909" t="inlineStr">
        <is>
          <t>Managing Director</t>
        </is>
      </c>
      <c r="AA909" t="inlineStr">
        <is>
          <t>Investments</t>
        </is>
      </c>
      <c r="AB909" s="50" t="inlineStr"/>
      <c r="AC909" s="43">
        <f>HYPERLINK("https://projects.propublica.org/nonprofits/organizations/210634501/202511349349305891/full","view filing")</f>
        <v/>
      </c>
      <c r="AD909" s="50" t="inlineStr"/>
    </row>
    <row r="910">
      <c r="A910" t="inlineStr">
        <is>
          <t>Princeton University</t>
        </is>
      </c>
      <c r="B910" s="50" t="inlineStr">
        <is>
          <t>NJ</t>
        </is>
      </c>
      <c r="C910" s="52" t="n">
        <v>36.42</v>
      </c>
      <c r="D910" t="inlineStr">
        <is>
          <t>Endowment</t>
        </is>
      </c>
      <c r="E910" s="50" t="n">
        <v>2024</v>
      </c>
      <c r="F910" s="50" t="inlineStr">
        <is>
          <t>2025-04-11</t>
        </is>
      </c>
      <c r="G910" s="50" t="inlineStr">
        <is>
          <t>2024-06-30</t>
        </is>
      </c>
      <c r="H910" t="inlineStr">
        <is>
          <t>Jennifer Birmingham</t>
        </is>
      </c>
      <c r="I910" t="inlineStr">
        <is>
          <t>managing director of PRINCO</t>
        </is>
      </c>
      <c r="J910" t="inlineStr">
        <is>
          <t>Managing Director</t>
        </is>
      </c>
      <c r="K910" t="inlineStr">
        <is>
          <t>COO (Investment Office)</t>
        </is>
      </c>
      <c r="L910" s="28" t="n">
        <v>781095</v>
      </c>
      <c r="M910" s="28" t="n">
        <v>1003580</v>
      </c>
      <c r="N910" s="28" t="n">
        <v>77905</v>
      </c>
      <c r="O910" s="28" t="n">
        <v>463235</v>
      </c>
      <c r="P910" s="28" t="n">
        <v>49623</v>
      </c>
      <c r="Q910" s="28" t="n">
        <v>2375438</v>
      </c>
      <c r="R910" s="28" t="n">
        <v>920080</v>
      </c>
      <c r="S910" s="28">
        <f>Q910-R910</f>
        <v/>
      </c>
      <c r="T910" s="28">
        <f>IF(S910="","",S910*(1+in_GrowthRate)^(YEARFRAC(DATE(2024,6,30),in_AgeToDate)*IF(in_AgeToDate&lt;DATE(2024,6,30),-1,1)+1))</f>
        <v/>
      </c>
      <c r="U910" s="50">
        <f>IF(AND(AND(OR(in_Mode="All Funds",AND(C910&gt;=in_BandFloor,C910&lt;=in_BandCeiling,OR(in_Geography="National",COUNTIFS(lst_GeoPreset,in_Geography,lst_GeoState,B910)&gt;0,AND(in_Geography="Custom",ISNUMBER(SEARCH(B910,SUBSTITUTE(in_CustomStates," ",""))))),OR(AND(D910="Endowment",Inputs!$B$14="Y"),AND(D910="Foundation",Inputs!$B$15="Y"),AND(D910="Healthcare",Inputs!$B$16="Y"),AND(D910="Pension",Inputs!$B$17="Y"),AND(D910="OCIO",Inputs!$B$18="Y"),AND(D910="Other",Inputs!$B$19="Y")))),A910&lt;&gt;in_ClientOrg,NOT(AND(in_ExclHarvard="Y",ISNUMBER(SEARCH("Harvard",A910))))),$AD910="Y",K910&lt;&gt;"",S910&gt;0),"Y","")</f>
        <v/>
      </c>
      <c r="V910" s="30" t="n"/>
      <c r="W910" t="inlineStr"/>
      <c r="X910" s="28">
        <f>IF(L910+M910=0,"",L910+M910)</f>
        <v/>
      </c>
      <c r="Y910" s="38">
        <f>IF(L910=0,"",M910/L910)</f>
        <v/>
      </c>
      <c r="Z910" t="inlineStr">
        <is>
          <t>COO (Investment Office)</t>
        </is>
      </c>
      <c r="AA910" t="inlineStr">
        <is>
          <t>Operations &amp; Control</t>
        </is>
      </c>
      <c r="AB910" s="50" t="inlineStr"/>
      <c r="AC910" s="43">
        <f>HYPERLINK("https://projects.propublica.org/nonprofits/organizations/210634501/202511349349305891/full","view filing")</f>
        <v/>
      </c>
      <c r="AD910" s="50" t="inlineStr"/>
    </row>
    <row r="911">
      <c r="A911" t="inlineStr">
        <is>
          <t>Princeton University</t>
        </is>
      </c>
      <c r="B911" s="50" t="inlineStr">
        <is>
          <t>NJ</t>
        </is>
      </c>
      <c r="C911" s="52" t="n">
        <v>36.42</v>
      </c>
      <c r="D911" t="inlineStr">
        <is>
          <t>Endowment</t>
        </is>
      </c>
      <c r="E911" s="50" t="n">
        <v>2024</v>
      </c>
      <c r="F911" s="50" t="inlineStr">
        <is>
          <t>2025-04-11</t>
        </is>
      </c>
      <c r="G911" s="50" t="inlineStr">
        <is>
          <t>2024-06-30</t>
        </is>
      </c>
      <c r="H911" t="inlineStr">
        <is>
          <t>Jonathan Erickson</t>
        </is>
      </c>
      <c r="I911" t="inlineStr">
        <is>
          <t>managing director of PRINCO</t>
        </is>
      </c>
      <c r="J911" t="inlineStr">
        <is>
          <t>Managing Director</t>
        </is>
      </c>
      <c r="K911" t="inlineStr">
        <is>
          <t>Sr Investment Professional</t>
        </is>
      </c>
      <c r="L911" s="28" t="n">
        <v>701454</v>
      </c>
      <c r="M911" s="28" t="n">
        <v>2152729</v>
      </c>
      <c r="N911" s="28" t="n">
        <v>70676</v>
      </c>
      <c r="O911" s="28" t="n">
        <v>355959</v>
      </c>
      <c r="P911" s="28" t="n">
        <v>104325</v>
      </c>
      <c r="Q911" s="28" t="n">
        <v>3385143</v>
      </c>
      <c r="R911" s="28" t="n">
        <v>1790039</v>
      </c>
      <c r="S911" s="28">
        <f>Q911-R911</f>
        <v/>
      </c>
      <c r="T911" s="28">
        <f>IF(S911="","",S911*(1+in_GrowthRate)^(YEARFRAC(DATE(2024,6,30),in_AgeToDate)*IF(in_AgeToDate&lt;DATE(2024,6,30),-1,1)+1))</f>
        <v/>
      </c>
      <c r="U911" s="50">
        <f>IF(AND(AND(OR(in_Mode="All Funds",AND(C911&gt;=in_BandFloor,C911&lt;=in_BandCeiling,OR(in_Geography="National",COUNTIFS(lst_GeoPreset,in_Geography,lst_GeoState,B911)&gt;0,AND(in_Geography="Custom",ISNUMBER(SEARCH(B911,SUBSTITUTE(in_CustomStates," ",""))))),OR(AND(D911="Endowment",Inputs!$B$14="Y"),AND(D911="Foundation",Inputs!$B$15="Y"),AND(D911="Healthcare",Inputs!$B$16="Y"),AND(D911="Pension",Inputs!$B$17="Y"),AND(D911="OCIO",Inputs!$B$18="Y"),AND(D911="Other",Inputs!$B$19="Y")))),A911&lt;&gt;in_ClientOrg,NOT(AND(in_ExclHarvard="Y",ISNUMBER(SEARCH("Harvard",A911))))),$AD911="Y",K911&lt;&gt;"",S911&gt;0),"Y","")</f>
        <v/>
      </c>
      <c r="V911" s="30" t="n"/>
      <c r="W911" t="inlineStr"/>
      <c r="X911" s="28">
        <f>IF(L911+M911=0,"",L911+M911)</f>
        <v/>
      </c>
      <c r="Y911" s="38">
        <f>IF(L911=0,"",M911/L911)</f>
        <v/>
      </c>
      <c r="Z911" t="inlineStr">
        <is>
          <t>Managing Director</t>
        </is>
      </c>
      <c r="AA911" t="inlineStr">
        <is>
          <t>Investments</t>
        </is>
      </c>
      <c r="AB911" s="50" t="inlineStr"/>
      <c r="AC911" s="43">
        <f>HYPERLINK("https://projects.propublica.org/nonprofits/organizations/210634501/202511349349305891/full","view filing")</f>
        <v/>
      </c>
      <c r="AD911" s="50" t="inlineStr"/>
    </row>
    <row r="912">
      <c r="A912" t="inlineStr">
        <is>
          <t>Princeton University</t>
        </is>
      </c>
      <c r="B912" s="50" t="inlineStr">
        <is>
          <t>NJ</t>
        </is>
      </c>
      <c r="C912" s="52" t="n">
        <v>36.42</v>
      </c>
      <c r="D912" t="inlineStr">
        <is>
          <t>Endowment</t>
        </is>
      </c>
      <c r="E912" s="50" t="n">
        <v>2024</v>
      </c>
      <c r="F912" s="50" t="inlineStr">
        <is>
          <t>2025-04-11</t>
        </is>
      </c>
      <c r="G912" s="50" t="inlineStr">
        <is>
          <t>2024-06-30</t>
        </is>
      </c>
      <c r="H912" t="inlineStr">
        <is>
          <t>Susan Butler Ciniglio</t>
        </is>
      </c>
      <c r="I912" t="inlineStr">
        <is>
          <t>managing director of PRINCO</t>
        </is>
      </c>
      <c r="J912" t="inlineStr">
        <is>
          <t>Managing Director</t>
        </is>
      </c>
      <c r="K912" t="inlineStr">
        <is>
          <t>Sr Investment Professional</t>
        </is>
      </c>
      <c r="L912" s="28" t="n">
        <v>671011</v>
      </c>
      <c r="M912" s="28" t="n">
        <v>792729</v>
      </c>
      <c r="N912" s="28" t="n">
        <v>60340</v>
      </c>
      <c r="O912" s="28" t="n">
        <v>548449</v>
      </c>
      <c r="P912" s="28" t="n">
        <v>27601</v>
      </c>
      <c r="Q912" s="28" t="n">
        <v>2100130</v>
      </c>
      <c r="R912" s="28" t="n">
        <v>0</v>
      </c>
      <c r="S912" s="28">
        <f>Q912-R912</f>
        <v/>
      </c>
      <c r="T912" s="28">
        <f>IF(S912="","",S912*(1+in_GrowthRate)^(YEARFRAC(DATE(2024,6,30),in_AgeToDate)*IF(in_AgeToDate&lt;DATE(2024,6,30),-1,1)+1))</f>
        <v/>
      </c>
      <c r="U912" s="50">
        <f>IF(AND(AND(OR(in_Mode="All Funds",AND(C912&gt;=in_BandFloor,C912&lt;=in_BandCeiling,OR(in_Geography="National",COUNTIFS(lst_GeoPreset,in_Geography,lst_GeoState,B912)&gt;0,AND(in_Geography="Custom",ISNUMBER(SEARCH(B912,SUBSTITUTE(in_CustomStates," ",""))))),OR(AND(D912="Endowment",Inputs!$B$14="Y"),AND(D912="Foundation",Inputs!$B$15="Y"),AND(D912="Healthcare",Inputs!$B$16="Y"),AND(D912="Pension",Inputs!$B$17="Y"),AND(D912="OCIO",Inputs!$B$18="Y"),AND(D912="Other",Inputs!$B$19="Y")))),A912&lt;&gt;in_ClientOrg,NOT(AND(in_ExclHarvard="Y",ISNUMBER(SEARCH("Harvard",A912))))),$AD912="Y",K912&lt;&gt;"",S912&gt;0),"Y","")</f>
        <v/>
      </c>
      <c r="V912" s="30" t="n"/>
      <c r="W912" t="inlineStr"/>
      <c r="X912" s="28">
        <f>IF(L912+M912=0,"",L912+M912)</f>
        <v/>
      </c>
      <c r="Y912" s="38">
        <f>IF(L912=0,"",M912/L912)</f>
        <v/>
      </c>
      <c r="Z912" t="inlineStr">
        <is>
          <t>Managing Director</t>
        </is>
      </c>
      <c r="AA912" t="inlineStr">
        <is>
          <t>Investments</t>
        </is>
      </c>
      <c r="AB912" s="50" t="inlineStr"/>
      <c r="AC912" s="43">
        <f>HYPERLINK("https://projects.propublica.org/nonprofits/organizations/210634501/202511349349305891/full","view filing")</f>
        <v/>
      </c>
      <c r="AD912" s="50" t="inlineStr"/>
    </row>
    <row r="913">
      <c r="A913" t="inlineStr">
        <is>
          <t>Princeton University</t>
        </is>
      </c>
      <c r="B913" s="50" t="inlineStr">
        <is>
          <t>NJ</t>
        </is>
      </c>
      <c r="C913" s="52" t="n">
        <v>36.42</v>
      </c>
      <c r="D913" t="inlineStr">
        <is>
          <t>Endowment</t>
        </is>
      </c>
      <c r="E913" s="50" t="n">
        <v>2024</v>
      </c>
      <c r="F913" s="50" t="inlineStr">
        <is>
          <t>2025-04-11</t>
        </is>
      </c>
      <c r="G913" s="50" t="inlineStr">
        <is>
          <t>2024-06-30</t>
        </is>
      </c>
      <c r="H913" t="inlineStr">
        <is>
          <t>Tae Kyoon Kim</t>
        </is>
      </c>
      <c r="I913" t="inlineStr">
        <is>
          <t>managing director of PRINCO</t>
        </is>
      </c>
      <c r="J913" t="inlineStr">
        <is>
          <t>Managing Director</t>
        </is>
      </c>
      <c r="K913" t="inlineStr">
        <is>
          <t>Sr Investment Professional</t>
        </is>
      </c>
      <c r="L913" s="28" t="n">
        <v>671204</v>
      </c>
      <c r="M913" s="28" t="n">
        <v>1284805</v>
      </c>
      <c r="N913" s="28" t="n">
        <v>61109</v>
      </c>
      <c r="O913" s="28" t="n">
        <v>559947</v>
      </c>
      <c r="P913" s="28" t="n">
        <v>27408</v>
      </c>
      <c r="Q913" s="28" t="n">
        <v>2604473</v>
      </c>
      <c r="R913" s="28" t="n">
        <v>1174805</v>
      </c>
      <c r="S913" s="28">
        <f>Q913-R913</f>
        <v/>
      </c>
      <c r="T913" s="28">
        <f>IF(S913="","",S913*(1+in_GrowthRate)^(YEARFRAC(DATE(2024,6,30),in_AgeToDate)*IF(in_AgeToDate&lt;DATE(2024,6,30),-1,1)+1))</f>
        <v/>
      </c>
      <c r="U913" s="50">
        <f>IF(AND(AND(OR(in_Mode="All Funds",AND(C913&gt;=in_BandFloor,C913&lt;=in_BandCeiling,OR(in_Geography="National",COUNTIFS(lst_GeoPreset,in_Geography,lst_GeoState,B913)&gt;0,AND(in_Geography="Custom",ISNUMBER(SEARCH(B913,SUBSTITUTE(in_CustomStates," ",""))))),OR(AND(D913="Endowment",Inputs!$B$14="Y"),AND(D913="Foundation",Inputs!$B$15="Y"),AND(D913="Healthcare",Inputs!$B$16="Y"),AND(D913="Pension",Inputs!$B$17="Y"),AND(D913="OCIO",Inputs!$B$18="Y"),AND(D913="Other",Inputs!$B$19="Y")))),A913&lt;&gt;in_ClientOrg,NOT(AND(in_ExclHarvard="Y",ISNUMBER(SEARCH("Harvard",A913))))),$AD913="Y",K913&lt;&gt;"",S913&gt;0),"Y","")</f>
        <v/>
      </c>
      <c r="V913" s="30" t="n"/>
      <c r="W913" t="inlineStr"/>
      <c r="X913" s="28">
        <f>IF(L913+M913=0,"",L913+M913)</f>
        <v/>
      </c>
      <c r="Y913" s="38">
        <f>IF(L913=0,"",M913/L913)</f>
        <v/>
      </c>
      <c r="Z913" t="inlineStr">
        <is>
          <t>Managing Director</t>
        </is>
      </c>
      <c r="AA913" t="inlineStr">
        <is>
          <t>Investments</t>
        </is>
      </c>
      <c r="AB913" s="50" t="inlineStr"/>
      <c r="AC913" s="43">
        <f>HYPERLINK("https://projects.propublica.org/nonprofits/organizations/210634501/202511349349305891/full","view filing")</f>
        <v/>
      </c>
      <c r="AD913" s="50" t="inlineStr"/>
    </row>
    <row r="914">
      <c r="A914" t="inlineStr">
        <is>
          <t>Princeton University</t>
        </is>
      </c>
      <c r="B914" s="50" t="inlineStr">
        <is>
          <t>NJ</t>
        </is>
      </c>
      <c r="C914" s="52" t="n">
        <v>36.42</v>
      </c>
      <c r="D914" t="inlineStr">
        <is>
          <t>Endowment</t>
        </is>
      </c>
      <c r="E914" s="50" t="n">
        <v>2023</v>
      </c>
      <c r="F914" s="50" t="inlineStr">
        <is>
          <t>2024-05-15</t>
        </is>
      </c>
      <c r="G914" s="50" t="inlineStr">
        <is>
          <t>2023-06-30</t>
        </is>
      </c>
      <c r="H914" t="inlineStr">
        <is>
          <t>Edward Karns</t>
        </is>
      </c>
      <c r="I914" t="inlineStr">
        <is>
          <t>managing director of PRINCO</t>
        </is>
      </c>
      <c r="J914" t="inlineStr">
        <is>
          <t>Managing Director</t>
        </is>
      </c>
      <c r="K914" t="inlineStr">
        <is>
          <t>Sr Investment Professional</t>
        </is>
      </c>
      <c r="L914" s="28" t="n">
        <v>627689</v>
      </c>
      <c r="M914" s="28" t="n">
        <v>1816626</v>
      </c>
      <c r="N914" s="28" t="n">
        <v>51543</v>
      </c>
      <c r="O914" s="28" t="n">
        <v>1144127</v>
      </c>
      <c r="P914" s="28" t="n">
        <v>77411</v>
      </c>
      <c r="Q914" s="28" t="n">
        <v>3717396</v>
      </c>
      <c r="R914" s="28" t="n">
        <v>1428543</v>
      </c>
      <c r="S914" s="28">
        <f>Q914-R914</f>
        <v/>
      </c>
      <c r="T914" s="28">
        <f>IF(S914="","",S914*(1+in_GrowthRate)^(YEARFRAC(DATE(2023,6,30),in_AgeToDate)*IF(in_AgeToDate&lt;DATE(2023,6,30),-1,1)+1))</f>
        <v/>
      </c>
      <c r="U914" s="50">
        <f>IF(AND(AND(OR(in_Mode="All Funds",AND(C914&gt;=in_BandFloor,C914&lt;=in_BandCeiling,OR(in_Geography="National",COUNTIFS(lst_GeoPreset,in_Geography,lst_GeoState,B914)&gt;0,AND(in_Geography="Custom",ISNUMBER(SEARCH(B914,SUBSTITUTE(in_CustomStates," ",""))))),OR(AND(D914="Endowment",Inputs!$B$14="Y"),AND(D914="Foundation",Inputs!$B$15="Y"),AND(D914="Healthcare",Inputs!$B$16="Y"),AND(D914="Pension",Inputs!$B$17="Y"),AND(D914="OCIO",Inputs!$B$18="Y"),AND(D914="Other",Inputs!$B$19="Y")))),A914&lt;&gt;in_ClientOrg,NOT(AND(in_ExclHarvard="Y",ISNUMBER(SEARCH("Harvard",A914))))),$AD914="Y",K914&lt;&gt;"",S914&gt;0),"Y","")</f>
        <v/>
      </c>
      <c r="V914" s="30" t="n"/>
      <c r="W914" t="inlineStr"/>
      <c r="X914" s="28">
        <f>IF(L914+M914=0,"",L914+M914)</f>
        <v/>
      </c>
      <c r="Y914" s="38">
        <f>IF(L914=0,"",M914/L914)</f>
        <v/>
      </c>
      <c r="Z914" t="inlineStr">
        <is>
          <t>Managing Director</t>
        </is>
      </c>
      <c r="AA914" t="inlineStr">
        <is>
          <t>Investments</t>
        </is>
      </c>
      <c r="AB914" s="50" t="inlineStr"/>
      <c r="AC914" s="43">
        <f>HYPERLINK("https://projects.propublica.org/nonprofits/organizations/210634501/202441369349303904/full","view filing")</f>
        <v/>
      </c>
      <c r="AD914" s="50" t="inlineStr"/>
    </row>
    <row r="915">
      <c r="A915" t="inlineStr">
        <is>
          <t>Princeton University</t>
        </is>
      </c>
      <c r="B915" s="50" t="inlineStr">
        <is>
          <t>NJ</t>
        </is>
      </c>
      <c r="C915" s="52" t="n">
        <v>36.42</v>
      </c>
      <c r="D915" t="inlineStr">
        <is>
          <t>Endowment</t>
        </is>
      </c>
      <c r="E915" s="50" t="n">
        <v>2023</v>
      </c>
      <c r="F915" s="50" t="inlineStr">
        <is>
          <t>2024-05-15</t>
        </is>
      </c>
      <c r="G915" s="50" t="inlineStr">
        <is>
          <t>2023-06-30</t>
        </is>
      </c>
      <c r="H915" t="inlineStr">
        <is>
          <t>James Millar</t>
        </is>
      </c>
      <c r="I915" t="inlineStr">
        <is>
          <t>managing director of PRINCO</t>
        </is>
      </c>
      <c r="J915" t="inlineStr">
        <is>
          <t>Managing Director</t>
        </is>
      </c>
      <c r="K915" t="inlineStr">
        <is>
          <t>Sr Investment Professional</t>
        </is>
      </c>
      <c r="L915" s="28" t="n">
        <v>636894</v>
      </c>
      <c r="M915" s="28" t="n">
        <v>4088711</v>
      </c>
      <c r="N915" s="28" t="n">
        <v>53823</v>
      </c>
      <c r="O915" s="28" t="n">
        <v>37371</v>
      </c>
      <c r="P915" s="28" t="n">
        <v>31400</v>
      </c>
      <c r="Q915" s="28" t="n">
        <v>4848199</v>
      </c>
      <c r="R915" s="28" t="n">
        <v>2570089</v>
      </c>
      <c r="S915" s="28">
        <f>Q915-R915</f>
        <v/>
      </c>
      <c r="T915" s="28">
        <f>IF(S915="","",S915*(1+in_GrowthRate)^(YEARFRAC(DATE(2023,6,30),in_AgeToDate)*IF(in_AgeToDate&lt;DATE(2023,6,30),-1,1)+1))</f>
        <v/>
      </c>
      <c r="U915" s="50">
        <f>IF(AND(AND(OR(in_Mode="All Funds",AND(C915&gt;=in_BandFloor,C915&lt;=in_BandCeiling,OR(in_Geography="National",COUNTIFS(lst_GeoPreset,in_Geography,lst_GeoState,B915)&gt;0,AND(in_Geography="Custom",ISNUMBER(SEARCH(B915,SUBSTITUTE(in_CustomStates," ",""))))),OR(AND(D915="Endowment",Inputs!$B$14="Y"),AND(D915="Foundation",Inputs!$B$15="Y"),AND(D915="Healthcare",Inputs!$B$16="Y"),AND(D915="Pension",Inputs!$B$17="Y"),AND(D915="OCIO",Inputs!$B$18="Y"),AND(D915="Other",Inputs!$B$19="Y")))),A915&lt;&gt;in_ClientOrg,NOT(AND(in_ExclHarvard="Y",ISNUMBER(SEARCH("Harvard",A915))))),$AD915="Y",K915&lt;&gt;"",S915&gt;0),"Y","")</f>
        <v/>
      </c>
      <c r="V915" s="30" t="n"/>
      <c r="W915" t="inlineStr"/>
      <c r="X915" s="28">
        <f>IF(L915+M915=0,"",L915+M915)</f>
        <v/>
      </c>
      <c r="Y915" s="38">
        <f>IF(L915=0,"",M915/L915)</f>
        <v/>
      </c>
      <c r="Z915" t="inlineStr">
        <is>
          <t>Managing Director</t>
        </is>
      </c>
      <c r="AA915" t="inlineStr">
        <is>
          <t>Investments</t>
        </is>
      </c>
      <c r="AB915" s="50" t="inlineStr"/>
      <c r="AC915" s="43">
        <f>HYPERLINK("https://projects.propublica.org/nonprofits/organizations/210634501/202441369349303904/full","view filing")</f>
        <v/>
      </c>
      <c r="AD915" s="50" t="inlineStr"/>
    </row>
    <row r="916">
      <c r="A916" t="inlineStr">
        <is>
          <t>Princeton University</t>
        </is>
      </c>
      <c r="B916" s="50" t="inlineStr">
        <is>
          <t>NJ</t>
        </is>
      </c>
      <c r="C916" s="52" t="n">
        <v>36.42</v>
      </c>
      <c r="D916" t="inlineStr">
        <is>
          <t>Endowment</t>
        </is>
      </c>
      <c r="E916" s="50" t="n">
        <v>2023</v>
      </c>
      <c r="F916" s="50" t="inlineStr">
        <is>
          <t>2024-05-15</t>
        </is>
      </c>
      <c r="G916" s="50" t="inlineStr">
        <is>
          <t>2023-06-30</t>
        </is>
      </c>
      <c r="H916" t="inlineStr">
        <is>
          <t>Jennifer Birmingham</t>
        </is>
      </c>
      <c r="I916" t="inlineStr">
        <is>
          <t>managing director of PRINCO</t>
        </is>
      </c>
      <c r="J916" t="inlineStr">
        <is>
          <t>Managing Director</t>
        </is>
      </c>
      <c r="K916" t="inlineStr">
        <is>
          <t>COO (Investment Office)</t>
        </is>
      </c>
      <c r="L916" s="28" t="n">
        <v>710863</v>
      </c>
      <c r="M916" s="28" t="n">
        <v>1083040</v>
      </c>
      <c r="N916" s="28" t="n">
        <v>70447</v>
      </c>
      <c r="O916" s="28" t="n">
        <v>862323</v>
      </c>
      <c r="P916" s="28" t="n">
        <v>43607</v>
      </c>
      <c r="Q916" s="28" t="n">
        <v>2770280</v>
      </c>
      <c r="R916" s="28" t="n">
        <v>809040</v>
      </c>
      <c r="S916" s="28">
        <f>Q916-R916</f>
        <v/>
      </c>
      <c r="T916" s="28">
        <f>IF(S916="","",S916*(1+in_GrowthRate)^(YEARFRAC(DATE(2023,6,30),in_AgeToDate)*IF(in_AgeToDate&lt;DATE(2023,6,30),-1,1)+1))</f>
        <v/>
      </c>
      <c r="U916" s="50">
        <f>IF(AND(AND(OR(in_Mode="All Funds",AND(C916&gt;=in_BandFloor,C916&lt;=in_BandCeiling,OR(in_Geography="National",COUNTIFS(lst_GeoPreset,in_Geography,lst_GeoState,B916)&gt;0,AND(in_Geography="Custom",ISNUMBER(SEARCH(B916,SUBSTITUTE(in_CustomStates," ",""))))),OR(AND(D916="Endowment",Inputs!$B$14="Y"),AND(D916="Foundation",Inputs!$B$15="Y"),AND(D916="Healthcare",Inputs!$B$16="Y"),AND(D916="Pension",Inputs!$B$17="Y"),AND(D916="OCIO",Inputs!$B$18="Y"),AND(D916="Other",Inputs!$B$19="Y")))),A916&lt;&gt;in_ClientOrg,NOT(AND(in_ExclHarvard="Y",ISNUMBER(SEARCH("Harvard",A916))))),$AD916="Y",K916&lt;&gt;"",S916&gt;0),"Y","")</f>
        <v/>
      </c>
      <c r="V916" s="30" t="n"/>
      <c r="W916" t="inlineStr"/>
      <c r="X916" s="28">
        <f>IF(L916+M916=0,"",L916+M916)</f>
        <v/>
      </c>
      <c r="Y916" s="38">
        <f>IF(L916=0,"",M916/L916)</f>
        <v/>
      </c>
      <c r="Z916" t="inlineStr">
        <is>
          <t>COO (Investment Office)</t>
        </is>
      </c>
      <c r="AA916" t="inlineStr">
        <is>
          <t>Operations &amp; Control</t>
        </is>
      </c>
      <c r="AB916" s="50" t="inlineStr"/>
      <c r="AC916" s="43">
        <f>HYPERLINK("https://projects.propublica.org/nonprofits/organizations/210634501/202441369349303904/full","view filing")</f>
        <v/>
      </c>
      <c r="AD916" s="50" t="inlineStr"/>
    </row>
    <row r="917">
      <c r="A917" t="inlineStr">
        <is>
          <t>Princeton University</t>
        </is>
      </c>
      <c r="B917" s="50" t="inlineStr">
        <is>
          <t>NJ</t>
        </is>
      </c>
      <c r="C917" s="52" t="n">
        <v>36.42</v>
      </c>
      <c r="D917" t="inlineStr">
        <is>
          <t>Endowment</t>
        </is>
      </c>
      <c r="E917" s="50" t="n">
        <v>2023</v>
      </c>
      <c r="F917" s="50" t="inlineStr">
        <is>
          <t>2024-05-15</t>
        </is>
      </c>
      <c r="G917" s="50" t="inlineStr">
        <is>
          <t>2023-06-30</t>
        </is>
      </c>
      <c r="H917" t="inlineStr">
        <is>
          <t>Jonathan Erickson</t>
        </is>
      </c>
      <c r="I917" t="inlineStr">
        <is>
          <t>managing director of PRINCO</t>
        </is>
      </c>
      <c r="J917" t="inlineStr">
        <is>
          <t>Managing Director</t>
        </is>
      </c>
      <c r="K917" t="inlineStr">
        <is>
          <t>Sr Investment Professional</t>
        </is>
      </c>
      <c r="L917" s="28" t="n">
        <v>664362</v>
      </c>
      <c r="M917" s="28" t="n">
        <v>2252628</v>
      </c>
      <c r="N917" s="28" t="n">
        <v>67721</v>
      </c>
      <c r="O917" s="28" t="n">
        <v>1233056</v>
      </c>
      <c r="P917" s="28" t="n">
        <v>85463</v>
      </c>
      <c r="Q917" s="28" t="n">
        <v>4303230</v>
      </c>
      <c r="R917" s="28" t="n">
        <v>1847368</v>
      </c>
      <c r="S917" s="28">
        <f>Q917-R917</f>
        <v/>
      </c>
      <c r="T917" s="28">
        <f>IF(S917="","",S917*(1+in_GrowthRate)^(YEARFRAC(DATE(2023,6,30),in_AgeToDate)*IF(in_AgeToDate&lt;DATE(2023,6,30),-1,1)+1))</f>
        <v/>
      </c>
      <c r="U917" s="50">
        <f>IF(AND(AND(OR(in_Mode="All Funds",AND(C917&gt;=in_BandFloor,C917&lt;=in_BandCeiling,OR(in_Geography="National",COUNTIFS(lst_GeoPreset,in_Geography,lst_GeoState,B917)&gt;0,AND(in_Geography="Custom",ISNUMBER(SEARCH(B917,SUBSTITUTE(in_CustomStates," ",""))))),OR(AND(D917="Endowment",Inputs!$B$14="Y"),AND(D917="Foundation",Inputs!$B$15="Y"),AND(D917="Healthcare",Inputs!$B$16="Y"),AND(D917="Pension",Inputs!$B$17="Y"),AND(D917="OCIO",Inputs!$B$18="Y"),AND(D917="Other",Inputs!$B$19="Y")))),A917&lt;&gt;in_ClientOrg,NOT(AND(in_ExclHarvard="Y",ISNUMBER(SEARCH("Harvard",A917))))),$AD917="Y",K917&lt;&gt;"",S917&gt;0),"Y","")</f>
        <v/>
      </c>
      <c r="V917" s="30" t="n"/>
      <c r="W917" t="inlineStr"/>
      <c r="X917" s="28">
        <f>IF(L917+M917=0,"",L917+M917)</f>
        <v/>
      </c>
      <c r="Y917" s="38">
        <f>IF(L917=0,"",M917/L917)</f>
        <v/>
      </c>
      <c r="Z917" t="inlineStr">
        <is>
          <t>Managing Director</t>
        </is>
      </c>
      <c r="AA917" t="inlineStr">
        <is>
          <t>Investments</t>
        </is>
      </c>
      <c r="AB917" s="50" t="inlineStr"/>
      <c r="AC917" s="43">
        <f>HYPERLINK("https://projects.propublica.org/nonprofits/organizations/210634501/202441369349303904/full","view filing")</f>
        <v/>
      </c>
      <c r="AD917" s="50" t="inlineStr"/>
    </row>
    <row r="918">
      <c r="A918" t="inlineStr">
        <is>
          <t>Princeton University</t>
        </is>
      </c>
      <c r="B918" s="50" t="inlineStr">
        <is>
          <t>NJ</t>
        </is>
      </c>
      <c r="C918" s="52" t="n">
        <v>36.42</v>
      </c>
      <c r="D918" t="inlineStr">
        <is>
          <t>Endowment</t>
        </is>
      </c>
      <c r="E918" s="50" t="n">
        <v>2023</v>
      </c>
      <c r="F918" s="50" t="inlineStr">
        <is>
          <t>2024-05-15</t>
        </is>
      </c>
      <c r="G918" s="50" t="inlineStr">
        <is>
          <t>2023-06-30</t>
        </is>
      </c>
      <c r="H918" t="inlineStr">
        <is>
          <t>Tae Kyoon Kim</t>
        </is>
      </c>
      <c r="I918" t="inlineStr">
        <is>
          <t>managing director of PRINCO</t>
        </is>
      </c>
      <c r="J918" t="inlineStr">
        <is>
          <t>Managing Director</t>
        </is>
      </c>
      <c r="K918" t="inlineStr">
        <is>
          <t>Sr Investment Professional</t>
        </is>
      </c>
      <c r="L918" s="28" t="n">
        <v>577062</v>
      </c>
      <c r="M918" s="28" t="n">
        <v>1502466</v>
      </c>
      <c r="N918" s="28" t="n">
        <v>49748</v>
      </c>
      <c r="O918" s="28" t="n">
        <v>1069903</v>
      </c>
      <c r="P918" s="28" t="n">
        <v>31582</v>
      </c>
      <c r="Q918" s="28" t="n">
        <v>3230761</v>
      </c>
      <c r="R918" s="28" t="n">
        <v>717727</v>
      </c>
      <c r="S918" s="28">
        <f>Q918-R918</f>
        <v/>
      </c>
      <c r="T918" s="28">
        <f>IF(S918="","",S918*(1+in_GrowthRate)^(YEARFRAC(DATE(2023,6,30),in_AgeToDate)*IF(in_AgeToDate&lt;DATE(2023,6,30),-1,1)+1))</f>
        <v/>
      </c>
      <c r="U918" s="50">
        <f>IF(AND(AND(OR(in_Mode="All Funds",AND(C918&gt;=in_BandFloor,C918&lt;=in_BandCeiling,OR(in_Geography="National",COUNTIFS(lst_GeoPreset,in_Geography,lst_GeoState,B918)&gt;0,AND(in_Geography="Custom",ISNUMBER(SEARCH(B918,SUBSTITUTE(in_CustomStates," ",""))))),OR(AND(D918="Endowment",Inputs!$B$14="Y"),AND(D918="Foundation",Inputs!$B$15="Y"),AND(D918="Healthcare",Inputs!$B$16="Y"),AND(D918="Pension",Inputs!$B$17="Y"),AND(D918="OCIO",Inputs!$B$18="Y"),AND(D918="Other",Inputs!$B$19="Y")))),A918&lt;&gt;in_ClientOrg,NOT(AND(in_ExclHarvard="Y",ISNUMBER(SEARCH("Harvard",A918))))),$AD918="Y",K918&lt;&gt;"",S918&gt;0),"Y","")</f>
        <v/>
      </c>
      <c r="V918" s="30" t="n"/>
      <c r="W918" t="inlineStr"/>
      <c r="X918" s="28">
        <f>IF(L918+M918=0,"",L918+M918)</f>
        <v/>
      </c>
      <c r="Y918" s="38">
        <f>IF(L918=0,"",M918/L918)</f>
        <v/>
      </c>
      <c r="Z918" t="inlineStr">
        <is>
          <t>Managing Director</t>
        </is>
      </c>
      <c r="AA918" t="inlineStr">
        <is>
          <t>Investments</t>
        </is>
      </c>
      <c r="AB918" s="50" t="inlineStr"/>
      <c r="AC918" s="43">
        <f>HYPERLINK("https://projects.propublica.org/nonprofits/organizations/210634501/202441369349303904/full","view filing")</f>
        <v/>
      </c>
      <c r="AD918" s="50" t="inlineStr"/>
    </row>
    <row r="919">
      <c r="A919" t="inlineStr">
        <is>
          <t>Princeton University</t>
        </is>
      </c>
      <c r="B919" s="50" t="inlineStr">
        <is>
          <t>NJ</t>
        </is>
      </c>
      <c r="C919" s="52" t="n">
        <v>36.42</v>
      </c>
      <c r="D919" t="inlineStr">
        <is>
          <t>Endowment</t>
        </is>
      </c>
      <c r="E919" s="50" t="n">
        <v>2022</v>
      </c>
      <c r="F919" s="50" t="inlineStr">
        <is>
          <t>2023-05-15</t>
        </is>
      </c>
      <c r="G919" s="50" t="inlineStr">
        <is>
          <t>2022-06-30</t>
        </is>
      </c>
      <c r="H919" t="inlineStr">
        <is>
          <t>Andrew Golden</t>
        </is>
      </c>
      <c r="I919" t="inlineStr">
        <is>
          <t>president of the Princeton University Investment Company</t>
        </is>
      </c>
      <c r="J919" t="inlineStr">
        <is>
          <t>CEO (Inv Entity)</t>
        </is>
      </c>
      <c r="K919" t="inlineStr">
        <is>
          <t>CIO - Top Investment Executive</t>
        </is>
      </c>
      <c r="L919" s="28" t="n">
        <v>1024618</v>
      </c>
      <c r="M919" s="28" t="n">
        <v>5254858</v>
      </c>
      <c r="N919" s="28" t="n">
        <v>115314</v>
      </c>
      <c r="O919" s="28" t="n">
        <v>2799642</v>
      </c>
      <c r="P919" s="28" t="n">
        <v>34055</v>
      </c>
      <c r="Q919" s="28" t="n">
        <v>9228487</v>
      </c>
      <c r="R919" s="28" t="n">
        <v>5254858</v>
      </c>
      <c r="S919" s="28">
        <f>Q919-R919</f>
        <v/>
      </c>
      <c r="T919" s="28">
        <f>IF(S919="","",S919*(1+in_GrowthRate)^(YEARFRAC(DATE(2022,6,30),in_AgeToDate)*IF(in_AgeToDate&lt;DATE(2022,6,30),-1,1)+1))</f>
        <v/>
      </c>
      <c r="U919" s="50">
        <f>IF(AND(AND(OR(in_Mode="All Funds",AND(C919&gt;=in_BandFloor,C919&lt;=in_BandCeiling,OR(in_Geography="National",COUNTIFS(lst_GeoPreset,in_Geography,lst_GeoState,B919)&gt;0,AND(in_Geography="Custom",ISNUMBER(SEARCH(B919,SUBSTITUTE(in_CustomStates," ",""))))),OR(AND(D919="Endowment",Inputs!$B$14="Y"),AND(D919="Foundation",Inputs!$B$15="Y"),AND(D919="Healthcare",Inputs!$B$16="Y"),AND(D919="Pension",Inputs!$B$17="Y"),AND(D919="OCIO",Inputs!$B$18="Y"),AND(D919="Other",Inputs!$B$19="Y")))),A919&lt;&gt;in_ClientOrg,NOT(AND(in_ExclHarvard="Y",ISNUMBER(SEARCH("Harvard",A919))))),$AD919="Y",K919&lt;&gt;"",S919&gt;0),"Y","")</f>
        <v/>
      </c>
      <c r="V919" s="30" t="n">
        <v>1</v>
      </c>
      <c r="W919" t="inlineStr"/>
      <c r="X919" s="28">
        <f>IF(L919+M919=0,"",L919+M919)</f>
        <v/>
      </c>
      <c r="Y919" s="38">
        <f>IF(L919=0,"",M919/L919)</f>
        <v/>
      </c>
      <c r="Z919" t="inlineStr">
        <is>
          <t>CIO - Top Investment Executive</t>
        </is>
      </c>
      <c r="AA919" t="inlineStr">
        <is>
          <t>Leadership</t>
        </is>
      </c>
      <c r="AB919" s="50" t="inlineStr">
        <is>
          <t>Y</t>
        </is>
      </c>
      <c r="AC919" s="43">
        <f>HYPERLINK("https://projects.propublica.org/nonprofits/organizations/210634501/202341359349301724/full","view filing")</f>
        <v/>
      </c>
      <c r="AD919" s="50" t="inlineStr"/>
    </row>
    <row r="920">
      <c r="A920" t="inlineStr">
        <is>
          <t>Princeton University</t>
        </is>
      </c>
      <c r="B920" s="50" t="inlineStr">
        <is>
          <t>NJ</t>
        </is>
      </c>
      <c r="C920" s="52" t="n">
        <v>36.42</v>
      </c>
      <c r="D920" t="inlineStr">
        <is>
          <t>Endowment</t>
        </is>
      </c>
      <c r="E920" s="50" t="n">
        <v>2022</v>
      </c>
      <c r="F920" s="50" t="inlineStr">
        <is>
          <t>2023-05-15</t>
        </is>
      </c>
      <c r="G920" s="50" t="inlineStr">
        <is>
          <t>2022-06-30</t>
        </is>
      </c>
      <c r="H920" t="inlineStr">
        <is>
          <t>Edward Karns</t>
        </is>
      </c>
      <c r="I920" t="inlineStr">
        <is>
          <t>managing director of PRINCO</t>
        </is>
      </c>
      <c r="J920" t="inlineStr">
        <is>
          <t>Managing Director</t>
        </is>
      </c>
      <c r="K920" t="inlineStr">
        <is>
          <t>Sr Investment Professional</t>
        </is>
      </c>
      <c r="L920" s="28" t="n">
        <v>574445</v>
      </c>
      <c r="M920" s="28" t="n">
        <v>1989551</v>
      </c>
      <c r="N920" s="28" t="n">
        <v>48295</v>
      </c>
      <c r="O920" s="28" t="n">
        <v>952733</v>
      </c>
      <c r="P920" s="28" t="n">
        <v>62506</v>
      </c>
      <c r="Q920" s="28" t="n">
        <v>3627530</v>
      </c>
      <c r="R920" s="28" t="n">
        <v>1688051</v>
      </c>
      <c r="S920" s="28">
        <f>Q920-R920</f>
        <v/>
      </c>
      <c r="T920" s="28">
        <f>IF(S920="","",S920*(1+in_GrowthRate)^(YEARFRAC(DATE(2022,6,30),in_AgeToDate)*IF(in_AgeToDate&lt;DATE(2022,6,30),-1,1)+1))</f>
        <v/>
      </c>
      <c r="U920" s="50">
        <f>IF(AND(AND(OR(in_Mode="All Funds",AND(C920&gt;=in_BandFloor,C920&lt;=in_BandCeiling,OR(in_Geography="National",COUNTIFS(lst_GeoPreset,in_Geography,lst_GeoState,B920)&gt;0,AND(in_Geography="Custom",ISNUMBER(SEARCH(B920,SUBSTITUTE(in_CustomStates," ",""))))),OR(AND(D920="Endowment",Inputs!$B$14="Y"),AND(D920="Foundation",Inputs!$B$15="Y"),AND(D920="Healthcare",Inputs!$B$16="Y"),AND(D920="Pension",Inputs!$B$17="Y"),AND(D920="OCIO",Inputs!$B$18="Y"),AND(D920="Other",Inputs!$B$19="Y")))),A920&lt;&gt;in_ClientOrg,NOT(AND(in_ExclHarvard="Y",ISNUMBER(SEARCH("Harvard",A920))))),$AD920="Y",K920&lt;&gt;"",S920&gt;0),"Y","")</f>
        <v/>
      </c>
      <c r="V920" s="30" t="n">
        <v>0.4880875894553819</v>
      </c>
      <c r="W920" t="inlineStr"/>
      <c r="X920" s="28">
        <f>IF(L920+M920=0,"",L920+M920)</f>
        <v/>
      </c>
      <c r="Y920" s="38">
        <f>IF(L920=0,"",M920/L920)</f>
        <v/>
      </c>
      <c r="Z920" t="inlineStr">
        <is>
          <t>Managing Director</t>
        </is>
      </c>
      <c r="AA920" t="inlineStr">
        <is>
          <t>Investments</t>
        </is>
      </c>
      <c r="AB920" s="50" t="inlineStr"/>
      <c r="AC920" s="43">
        <f>HYPERLINK("https://projects.propublica.org/nonprofits/organizations/210634501/202341359349301724/full","view filing")</f>
        <v/>
      </c>
      <c r="AD920" s="50" t="inlineStr"/>
    </row>
    <row r="921">
      <c r="A921" t="inlineStr">
        <is>
          <t>Princeton University</t>
        </is>
      </c>
      <c r="B921" s="50" t="inlineStr">
        <is>
          <t>NJ</t>
        </is>
      </c>
      <c r="C921" s="52" t="n">
        <v>36.42</v>
      </c>
      <c r="D921" t="inlineStr">
        <is>
          <t>Endowment</t>
        </is>
      </c>
      <c r="E921" s="50" t="n">
        <v>2022</v>
      </c>
      <c r="F921" s="50" t="inlineStr">
        <is>
          <t>2023-05-15</t>
        </is>
      </c>
      <c r="G921" s="50" t="inlineStr">
        <is>
          <t>2022-06-30</t>
        </is>
      </c>
      <c r="H921" t="inlineStr">
        <is>
          <t>James Millar</t>
        </is>
      </c>
      <c r="I921" t="inlineStr">
        <is>
          <t>managing director of PRINCO</t>
        </is>
      </c>
      <c r="J921" t="inlineStr">
        <is>
          <t>Managing Director</t>
        </is>
      </c>
      <c r="K921" t="inlineStr">
        <is>
          <t>Sr Investment Professional</t>
        </is>
      </c>
      <c r="L921" s="28" t="n">
        <v>584102</v>
      </c>
      <c r="M921" s="28" t="n">
        <v>3622492</v>
      </c>
      <c r="N921" s="28" t="n">
        <v>48150</v>
      </c>
      <c r="O921" s="28" t="n">
        <v>648246</v>
      </c>
      <c r="P921" s="28" t="n">
        <v>27495</v>
      </c>
      <c r="Q921" s="28" t="n">
        <v>4930485</v>
      </c>
      <c r="R921" s="28" t="n">
        <v>3009606</v>
      </c>
      <c r="S921" s="28">
        <f>Q921-R921</f>
        <v/>
      </c>
      <c r="T921" s="28">
        <f>IF(S921="","",S921*(1+in_GrowthRate)^(YEARFRAC(DATE(2022,6,30),in_AgeToDate)*IF(in_AgeToDate&lt;DATE(2022,6,30),-1,1)+1))</f>
        <v/>
      </c>
      <c r="U921" s="50">
        <f>IF(AND(AND(OR(in_Mode="All Funds",AND(C921&gt;=in_BandFloor,C921&lt;=in_BandCeiling,OR(in_Geography="National",COUNTIFS(lst_GeoPreset,in_Geography,lst_GeoState,B921)&gt;0,AND(in_Geography="Custom",ISNUMBER(SEARCH(B921,SUBSTITUTE(in_CustomStates," ",""))))),OR(AND(D921="Endowment",Inputs!$B$14="Y"),AND(D921="Foundation",Inputs!$B$15="Y"),AND(D921="Healthcare",Inputs!$B$16="Y"),AND(D921="Pension",Inputs!$B$17="Y"),AND(D921="OCIO",Inputs!$B$18="Y"),AND(D921="Other",Inputs!$B$19="Y")))),A921&lt;&gt;in_ClientOrg,NOT(AND(in_ExclHarvard="Y",ISNUMBER(SEARCH("Harvard",A921))))),$AD921="Y",K921&lt;&gt;"",S921&gt;0),"Y","")</f>
        <v/>
      </c>
      <c r="V921" s="30" t="n">
        <v>0.483406729717344</v>
      </c>
      <c r="W921" t="inlineStr"/>
      <c r="X921" s="28">
        <f>IF(L921+M921=0,"",L921+M921)</f>
        <v/>
      </c>
      <c r="Y921" s="38">
        <f>IF(L921=0,"",M921/L921)</f>
        <v/>
      </c>
      <c r="Z921" t="inlineStr">
        <is>
          <t>Managing Director</t>
        </is>
      </c>
      <c r="AA921" t="inlineStr">
        <is>
          <t>Investments</t>
        </is>
      </c>
      <c r="AB921" s="50" t="inlineStr"/>
      <c r="AC921" s="43">
        <f>HYPERLINK("https://projects.propublica.org/nonprofits/organizations/210634501/202341359349301724/full","view filing")</f>
        <v/>
      </c>
      <c r="AD921" s="50" t="inlineStr"/>
    </row>
    <row r="922">
      <c r="A922" t="inlineStr">
        <is>
          <t>Princeton University</t>
        </is>
      </c>
      <c r="B922" s="50" t="inlineStr">
        <is>
          <t>NJ</t>
        </is>
      </c>
      <c r="C922" s="52" t="n">
        <v>36.42</v>
      </c>
      <c r="D922" t="inlineStr">
        <is>
          <t>Endowment</t>
        </is>
      </c>
      <c r="E922" s="50" t="n">
        <v>2022</v>
      </c>
      <c r="F922" s="50" t="inlineStr">
        <is>
          <t>2023-05-15</t>
        </is>
      </c>
      <c r="G922" s="50" t="inlineStr">
        <is>
          <t>2022-06-30</t>
        </is>
      </c>
      <c r="H922" t="inlineStr">
        <is>
          <t>Jennifer Birmingham</t>
        </is>
      </c>
      <c r="I922" t="inlineStr">
        <is>
          <t>managing director of PRINCO</t>
        </is>
      </c>
      <c r="J922" t="inlineStr">
        <is>
          <t>Managing Director</t>
        </is>
      </c>
      <c r="K922" t="inlineStr">
        <is>
          <t>COO (Investment Office)</t>
        </is>
      </c>
      <c r="L922" s="28" t="n">
        <v>641019</v>
      </c>
      <c r="M922" s="28" t="n">
        <v>1156389</v>
      </c>
      <c r="N922" s="28" t="n">
        <v>61854</v>
      </c>
      <c r="O922" s="28" t="n">
        <v>806500</v>
      </c>
      <c r="P922" s="28" t="n">
        <v>29112</v>
      </c>
      <c r="Q922" s="28" t="n">
        <v>2694874</v>
      </c>
      <c r="R922" s="28" t="n">
        <v>896389</v>
      </c>
      <c r="S922" s="28">
        <f>Q922-R922</f>
        <v/>
      </c>
      <c r="T922" s="28">
        <f>IF(S922="","",S922*(1+in_GrowthRate)^(YEARFRAC(DATE(2022,6,30),in_AgeToDate)*IF(in_AgeToDate&lt;DATE(2022,6,30),-1,1)+1))</f>
        <v/>
      </c>
      <c r="U922" s="50">
        <f>IF(AND(AND(OR(in_Mode="All Funds",AND(C922&gt;=in_BandFloor,C922&lt;=in_BandCeiling,OR(in_Geography="National",COUNTIFS(lst_GeoPreset,in_Geography,lst_GeoState,B922)&gt;0,AND(in_Geography="Custom",ISNUMBER(SEARCH(B922,SUBSTITUTE(in_CustomStates," ",""))))),OR(AND(D922="Endowment",Inputs!$B$14="Y"),AND(D922="Foundation",Inputs!$B$15="Y"),AND(D922="Healthcare",Inputs!$B$16="Y"),AND(D922="Pension",Inputs!$B$17="Y"),AND(D922="OCIO",Inputs!$B$18="Y"),AND(D922="Other",Inputs!$B$19="Y")))),A922&lt;&gt;in_ClientOrg,NOT(AND(in_ExclHarvard="Y",ISNUMBER(SEARCH("Harvard",A922))))),$AD922="Y",K922&lt;&gt;"",S922&gt;0),"Y","")</f>
        <v/>
      </c>
      <c r="V922" s="30" t="n">
        <v>0.4526051626863001</v>
      </c>
      <c r="W922" t="inlineStr"/>
      <c r="X922" s="28">
        <f>IF(L922+M922=0,"",L922+M922)</f>
        <v/>
      </c>
      <c r="Y922" s="38">
        <f>IF(L922=0,"",M922/L922)</f>
        <v/>
      </c>
      <c r="Z922" t="inlineStr">
        <is>
          <t>COO (Investment Office)</t>
        </is>
      </c>
      <c r="AA922" t="inlineStr">
        <is>
          <t>Operations &amp; Control</t>
        </is>
      </c>
      <c r="AB922" s="50" t="inlineStr"/>
      <c r="AC922" s="43">
        <f>HYPERLINK("https://projects.propublica.org/nonprofits/organizations/210634501/202341359349301724/full","view filing")</f>
        <v/>
      </c>
      <c r="AD922" s="50" t="inlineStr"/>
    </row>
    <row r="923">
      <c r="A923" t="inlineStr">
        <is>
          <t>Princeton University</t>
        </is>
      </c>
      <c r="B923" s="50" t="inlineStr">
        <is>
          <t>NJ</t>
        </is>
      </c>
      <c r="C923" s="52" t="n">
        <v>36.42</v>
      </c>
      <c r="D923" t="inlineStr">
        <is>
          <t>Endowment</t>
        </is>
      </c>
      <c r="E923" s="50" t="n">
        <v>2022</v>
      </c>
      <c r="F923" s="50" t="inlineStr">
        <is>
          <t>2023-05-15</t>
        </is>
      </c>
      <c r="G923" s="50" t="inlineStr">
        <is>
          <t>2022-06-30</t>
        </is>
      </c>
      <c r="H923" t="inlineStr">
        <is>
          <t>Jonathan Erickson</t>
        </is>
      </c>
      <c r="I923" t="inlineStr">
        <is>
          <t>managing director of PRINCO</t>
        </is>
      </c>
      <c r="J923" t="inlineStr">
        <is>
          <t>Managing Director</t>
        </is>
      </c>
      <c r="K923" t="inlineStr">
        <is>
          <t>Sr Investment Professional</t>
        </is>
      </c>
      <c r="L923" s="28" t="n">
        <v>619368</v>
      </c>
      <c r="M923" s="28" t="n">
        <v>1610625</v>
      </c>
      <c r="N923" s="28" t="n">
        <v>63059</v>
      </c>
      <c r="O923" s="28" t="n">
        <v>969500</v>
      </c>
      <c r="P923" s="28" t="n">
        <v>50477</v>
      </c>
      <c r="Q923" s="28" t="n">
        <v>3313029</v>
      </c>
      <c r="R923" s="28" t="n">
        <v>1302125</v>
      </c>
      <c r="S923" s="28">
        <f>Q923-R923</f>
        <v/>
      </c>
      <c r="T923" s="28">
        <f>IF(S923="","",S923*(1+in_GrowthRate)^(YEARFRAC(DATE(2022,6,30),in_AgeToDate)*IF(in_AgeToDate&lt;DATE(2022,6,30),-1,1)+1))</f>
        <v/>
      </c>
      <c r="U923" s="50">
        <f>IF(AND(AND(OR(in_Mode="All Funds",AND(C923&gt;=in_BandFloor,C923&lt;=in_BandCeiling,OR(in_Geography="National",COUNTIFS(lst_GeoPreset,in_Geography,lst_GeoState,B923)&gt;0,AND(in_Geography="Custom",ISNUMBER(SEARCH(B923,SUBSTITUTE(in_CustomStates," ",""))))),OR(AND(D923="Endowment",Inputs!$B$14="Y"),AND(D923="Foundation",Inputs!$B$15="Y"),AND(D923="Healthcare",Inputs!$B$16="Y"),AND(D923="Pension",Inputs!$B$17="Y"),AND(D923="OCIO",Inputs!$B$18="Y"),AND(D923="Other",Inputs!$B$19="Y")))),A923&lt;&gt;in_ClientOrg,NOT(AND(in_ExclHarvard="Y",ISNUMBER(SEARCH("Harvard",A923))))),$AD923="Y",K923&lt;&gt;"",S923&gt;0),"Y","")</f>
        <v/>
      </c>
      <c r="V923" s="30" t="n">
        <v>0.5060623425085734</v>
      </c>
      <c r="W923" t="inlineStr"/>
      <c r="X923" s="28">
        <f>IF(L923+M923=0,"",L923+M923)</f>
        <v/>
      </c>
      <c r="Y923" s="38">
        <f>IF(L923=0,"",M923/L923)</f>
        <v/>
      </c>
      <c r="Z923" t="inlineStr">
        <is>
          <t>Managing Director</t>
        </is>
      </c>
      <c r="AA923" t="inlineStr">
        <is>
          <t>Investments</t>
        </is>
      </c>
      <c r="AB923" s="50" t="inlineStr"/>
      <c r="AC923" s="43">
        <f>HYPERLINK("https://projects.propublica.org/nonprofits/organizations/210634501/202341359349301724/full","view filing")</f>
        <v/>
      </c>
      <c r="AD923" s="50" t="inlineStr"/>
    </row>
    <row r="924">
      <c r="A924" t="inlineStr">
        <is>
          <t>Princeton University</t>
        </is>
      </c>
      <c r="B924" s="50" t="inlineStr">
        <is>
          <t>NJ</t>
        </is>
      </c>
      <c r="C924" s="52" t="n">
        <v>36.42</v>
      </c>
      <c r="D924" t="inlineStr">
        <is>
          <t>Endowment</t>
        </is>
      </c>
      <c r="E924" s="50" t="n">
        <v>2022</v>
      </c>
      <c r="F924" s="50" t="inlineStr">
        <is>
          <t>2023-05-15</t>
        </is>
      </c>
      <c r="G924" s="50" t="inlineStr">
        <is>
          <t>2022-06-30</t>
        </is>
      </c>
      <c r="H924" t="inlineStr">
        <is>
          <t>Tae Kyoon Kim</t>
        </is>
      </c>
      <c r="I924" t="inlineStr">
        <is>
          <t>managing director of PRINCO</t>
        </is>
      </c>
      <c r="J924" t="inlineStr">
        <is>
          <t>Managing Director</t>
        </is>
      </c>
      <c r="K924" t="inlineStr">
        <is>
          <t>Sr Investment Professional</t>
        </is>
      </c>
      <c r="L924" s="28" t="n">
        <v>508843</v>
      </c>
      <c r="M924" s="28" t="n">
        <v>1553625</v>
      </c>
      <c r="N924" s="28" t="n">
        <v>41456</v>
      </c>
      <c r="O924" s="28" t="n">
        <v>884588</v>
      </c>
      <c r="P924" s="28" t="n">
        <v>27695</v>
      </c>
      <c r="Q924" s="28" t="n">
        <v>3016207</v>
      </c>
      <c r="R924" s="28" t="n">
        <v>1016736</v>
      </c>
      <c r="S924" s="28">
        <f>Q924-R924</f>
        <v/>
      </c>
      <c r="T924" s="28">
        <f>IF(S924="","",S924*(1+in_GrowthRate)^(YEARFRAC(DATE(2022,6,30),in_AgeToDate)*IF(in_AgeToDate&lt;DATE(2022,6,30),-1,1)+1))</f>
        <v/>
      </c>
      <c r="U924" s="50">
        <f>IF(AND(AND(OR(in_Mode="All Funds",AND(C924&gt;=in_BandFloor,C924&lt;=in_BandCeiling,OR(in_Geography="National",COUNTIFS(lst_GeoPreset,in_Geography,lst_GeoState,B924)&gt;0,AND(in_Geography="Custom",ISNUMBER(SEARCH(B924,SUBSTITUTE(in_CustomStates," ",""))))),OR(AND(D924="Endowment",Inputs!$B$14="Y"),AND(D924="Foundation",Inputs!$B$15="Y"),AND(D924="Healthcare",Inputs!$B$16="Y"),AND(D924="Pension",Inputs!$B$17="Y"),AND(D924="OCIO",Inputs!$B$18="Y"),AND(D924="Other",Inputs!$B$19="Y")))),A924&lt;&gt;in_ClientOrg,NOT(AND(in_ExclHarvard="Y",ISNUMBER(SEARCH("Harvard",A924))))),$AD924="Y",K924&lt;&gt;"",S924&gt;0),"Y","")</f>
        <v/>
      </c>
      <c r="V924" s="30" t="n">
        <v>0.5031851237244342</v>
      </c>
      <c r="W924" t="inlineStr"/>
      <c r="X924" s="28">
        <f>IF(L924+M924=0,"",L924+M924)</f>
        <v/>
      </c>
      <c r="Y924" s="38">
        <f>IF(L924=0,"",M924/L924)</f>
        <v/>
      </c>
      <c r="Z924" t="inlineStr">
        <is>
          <t>Managing Director</t>
        </is>
      </c>
      <c r="AA924" t="inlineStr">
        <is>
          <t>Investments</t>
        </is>
      </c>
      <c r="AB924" s="50" t="inlineStr"/>
      <c r="AC924" s="43">
        <f>HYPERLINK("https://projects.propublica.org/nonprofits/organizations/210634501/202341359349301724/full","view filing")</f>
        <v/>
      </c>
      <c r="AD924" s="50" t="inlineStr"/>
    </row>
    <row r="925">
      <c r="A925" t="inlineStr">
        <is>
          <t>Principia Corporation</t>
        </is>
      </c>
      <c r="B925" s="50" t="inlineStr">
        <is>
          <t>MO</t>
        </is>
      </c>
      <c r="C925" s="52" t="n">
        <v>0.96</v>
      </c>
      <c r="D925" t="inlineStr">
        <is>
          <t>Endowment</t>
        </is>
      </c>
      <c r="E925" s="50" t="n">
        <v>2025</v>
      </c>
      <c r="F925" s="50" t="inlineStr">
        <is>
          <t>2026-05-04</t>
        </is>
      </c>
      <c r="G925" s="50" t="inlineStr">
        <is>
          <t>2025-06-30</t>
        </is>
      </c>
      <c r="H925" t="inlineStr">
        <is>
          <t>Hans Fredrikson</t>
        </is>
      </c>
      <c r="I925" t="inlineStr">
        <is>
          <t>Chief Investment Officer</t>
        </is>
      </c>
      <c r="J925" t="inlineStr">
        <is>
          <t>CIO</t>
        </is>
      </c>
      <c r="K925" t="inlineStr">
        <is>
          <t>CIO - Top Investment Executive</t>
        </is>
      </c>
      <c r="L925" s="28" t="n">
        <v>296940</v>
      </c>
      <c r="M925" s="28" t="n">
        <v>0</v>
      </c>
      <c r="N925" s="28" t="n">
        <v>3216</v>
      </c>
      <c r="O925" s="28" t="n">
        <v>4500</v>
      </c>
      <c r="P925" s="28" t="n">
        <v>19047</v>
      </c>
      <c r="Q925" s="28" t="n">
        <v>323703</v>
      </c>
      <c r="R925" s="28" t="n">
        <v>0</v>
      </c>
      <c r="S925" s="28">
        <f>Q925-R925</f>
        <v/>
      </c>
      <c r="T925" s="28">
        <f>IF(S925="","",S925*(1+in_GrowthRate)^(YEARFRAC(DATE(2025,6,30),in_AgeToDate)*IF(in_AgeToDate&lt;DATE(2025,6,30),-1,1)+1))</f>
        <v/>
      </c>
      <c r="U925" s="50">
        <f>IF(AND(AND(OR(in_Mode="All Funds",AND(C925&gt;=in_BandFloor,C925&lt;=in_BandCeiling,OR(in_Geography="National",COUNTIFS(lst_GeoPreset,in_Geography,lst_GeoState,B925)&gt;0,AND(in_Geography="Custom",ISNUMBER(SEARCH(B925,SUBSTITUTE(in_CustomStates," ",""))))),OR(AND(D925="Endowment",Inputs!$B$14="Y"),AND(D925="Foundation",Inputs!$B$15="Y"),AND(D925="Healthcare",Inputs!$B$16="Y"),AND(D925="Pension",Inputs!$B$17="Y"),AND(D925="OCIO",Inputs!$B$18="Y"),AND(D925="Other",Inputs!$B$19="Y")))),A925&lt;&gt;in_ClientOrg,NOT(AND(in_ExclHarvard="Y",ISNUMBER(SEARCH("Harvard",A925))))),$AD925="Y",K925&lt;&gt;"",S925&gt;0),"Y","")</f>
        <v/>
      </c>
      <c r="V925" s="30" t="n">
        <v>1</v>
      </c>
      <c r="W925" t="inlineStr"/>
      <c r="X925" s="28">
        <f>IF(L925+M925=0,"",L925+M925)</f>
        <v/>
      </c>
      <c r="Y925" s="38">
        <f>IF(L925=0,"",M925/L925)</f>
        <v/>
      </c>
      <c r="Z925" t="inlineStr">
        <is>
          <t>CIO - Top Investment Executive</t>
        </is>
      </c>
      <c r="AA925" t="inlineStr">
        <is>
          <t>Leadership</t>
        </is>
      </c>
      <c r="AB925" s="50" t="inlineStr">
        <is>
          <t>Y</t>
        </is>
      </c>
      <c r="AC925" s="43">
        <f>HYPERLINK("https://projects.propublica.org/nonprofits/organizations/430652667/202601249349301645/full","view filing")</f>
        <v/>
      </c>
      <c r="AD925" s="50" t="inlineStr">
        <is>
          <t>Y</t>
        </is>
      </c>
    </row>
    <row r="926">
      <c r="A926" t="inlineStr">
        <is>
          <t>Principia Corporation</t>
        </is>
      </c>
      <c r="B926" s="50" t="inlineStr">
        <is>
          <t>MO</t>
        </is>
      </c>
      <c r="C926" s="52" t="n">
        <v>0.96</v>
      </c>
      <c r="D926" t="inlineStr">
        <is>
          <t>Endowment</t>
        </is>
      </c>
      <c r="E926" s="50" t="n">
        <v>2024</v>
      </c>
      <c r="F926" s="50" t="inlineStr">
        <is>
          <t>2025-05-06</t>
        </is>
      </c>
      <c r="G926" s="50" t="inlineStr">
        <is>
          <t>2024-06-30</t>
        </is>
      </c>
      <c r="H926" t="inlineStr">
        <is>
          <t>Hans Fredrikson</t>
        </is>
      </c>
      <c r="I926" t="inlineStr">
        <is>
          <t>Chief Investment Officer (begin July 2023)</t>
        </is>
      </c>
      <c r="J926" t="inlineStr">
        <is>
          <t>CIO</t>
        </is>
      </c>
      <c r="K926" t="inlineStr">
        <is>
          <t>CIO - Top Investment Executive</t>
        </is>
      </c>
      <c r="L926" s="28" t="n">
        <v>146720</v>
      </c>
      <c r="M926" s="28" t="n">
        <v>0</v>
      </c>
      <c r="N926" s="28" t="n">
        <v>1498</v>
      </c>
      <c r="O926" s="28" t="n">
        <v>4500</v>
      </c>
      <c r="P926" s="28" t="n">
        <v>9560</v>
      </c>
      <c r="Q926" s="28" t="n">
        <v>162278</v>
      </c>
      <c r="R926" s="28" t="n">
        <v>0</v>
      </c>
      <c r="S926" s="28">
        <f>Q926-R926</f>
        <v/>
      </c>
      <c r="T926" s="28">
        <f>IF(S926="","",S926*(1+in_GrowthRate)^(YEARFRAC(DATE(2024,6,30),in_AgeToDate)*IF(in_AgeToDate&lt;DATE(2024,6,30),-1,1)+1))</f>
        <v/>
      </c>
      <c r="U926" s="50">
        <f>IF(AND(AND(OR(in_Mode="All Funds",AND(C926&gt;=in_BandFloor,C926&lt;=in_BandCeiling,OR(in_Geography="National",COUNTIFS(lst_GeoPreset,in_Geography,lst_GeoState,B926)&gt;0,AND(in_Geography="Custom",ISNUMBER(SEARCH(B926,SUBSTITUTE(in_CustomStates," ",""))))),OR(AND(D926="Endowment",Inputs!$B$14="Y"),AND(D926="Foundation",Inputs!$B$15="Y"),AND(D926="Healthcare",Inputs!$B$16="Y"),AND(D926="Pension",Inputs!$B$17="Y"),AND(D926="OCIO",Inputs!$B$18="Y"),AND(D926="Other",Inputs!$B$19="Y")))),A926&lt;&gt;in_ClientOrg,NOT(AND(in_ExclHarvard="Y",ISNUMBER(SEARCH("Harvard",A926))))),$AD926="Y",K926&lt;&gt;"",S926&gt;0),"Y","")</f>
        <v/>
      </c>
      <c r="V926" s="30" t="n">
        <v>1</v>
      </c>
      <c r="W926" t="inlineStr"/>
      <c r="X926" s="28">
        <f>IF(L926+M926=0,"",L926+M926)</f>
        <v/>
      </c>
      <c r="Y926" s="38">
        <f>IF(L926=0,"",M926/L926)</f>
        <v/>
      </c>
      <c r="Z926" t="inlineStr">
        <is>
          <t>CIO - Top Investment Executive</t>
        </is>
      </c>
      <c r="AA926" t="inlineStr">
        <is>
          <t>Leadership</t>
        </is>
      </c>
      <c r="AB926" s="50" t="inlineStr">
        <is>
          <t>Y</t>
        </is>
      </c>
      <c r="AC926" s="43">
        <f>HYPERLINK("https://projects.propublica.org/nonprofits/organizations/430652667/202541269349300634/full","view filing")</f>
        <v/>
      </c>
      <c r="AD926" s="50" t="inlineStr"/>
    </row>
    <row r="927">
      <c r="A927" t="inlineStr">
        <is>
          <t>Principia Corporation</t>
        </is>
      </c>
      <c r="B927" s="50" t="inlineStr">
        <is>
          <t>MO</t>
        </is>
      </c>
      <c r="C927" s="52" t="n">
        <v>0.96</v>
      </c>
      <c r="D927" t="inlineStr">
        <is>
          <t>Endowment</t>
        </is>
      </c>
      <c r="E927" s="50" t="n">
        <v>2023</v>
      </c>
      <c r="F927" s="50" t="inlineStr">
        <is>
          <t>2024-05-03</t>
        </is>
      </c>
      <c r="G927" s="50" t="inlineStr">
        <is>
          <t>2023-06-30</t>
        </is>
      </c>
      <c r="H927" t="inlineStr">
        <is>
          <t>Howard E Berner Jr</t>
        </is>
      </c>
      <c r="I927" t="inlineStr">
        <is>
          <t>Chief Investment Officer</t>
        </is>
      </c>
      <c r="J927" t="inlineStr">
        <is>
          <t>CIO</t>
        </is>
      </c>
      <c r="K927" t="inlineStr">
        <is>
          <t>CIO - Top Investment Executive</t>
        </is>
      </c>
      <c r="L927" s="28" t="n">
        <v>290111</v>
      </c>
      <c r="M927" s="28" t="n">
        <v>0</v>
      </c>
      <c r="N927" s="28" t="n">
        <v>6935</v>
      </c>
      <c r="O927" s="28" t="n">
        <v>7302</v>
      </c>
      <c r="P927" s="28" t="n">
        <v>11344</v>
      </c>
      <c r="Q927" s="28" t="n">
        <v>315692</v>
      </c>
      <c r="R927" s="28" t="n">
        <v>0</v>
      </c>
      <c r="S927" s="28">
        <f>Q927-R927</f>
        <v/>
      </c>
      <c r="T927" s="28">
        <f>IF(S927="","",S927*(1+in_GrowthRate)^(YEARFRAC(DATE(2023,6,30),in_AgeToDate)*IF(in_AgeToDate&lt;DATE(2023,6,30),-1,1)+1))</f>
        <v/>
      </c>
      <c r="U927" s="50">
        <f>IF(AND(AND(OR(in_Mode="All Funds",AND(C927&gt;=in_BandFloor,C927&lt;=in_BandCeiling,OR(in_Geography="National",COUNTIFS(lst_GeoPreset,in_Geography,lst_GeoState,B927)&gt;0,AND(in_Geography="Custom",ISNUMBER(SEARCH(B927,SUBSTITUTE(in_CustomStates," ",""))))),OR(AND(D927="Endowment",Inputs!$B$14="Y"),AND(D927="Foundation",Inputs!$B$15="Y"),AND(D927="Healthcare",Inputs!$B$16="Y"),AND(D927="Pension",Inputs!$B$17="Y"),AND(D927="OCIO",Inputs!$B$18="Y"),AND(D927="Other",Inputs!$B$19="Y")))),A927&lt;&gt;in_ClientOrg,NOT(AND(in_ExclHarvard="Y",ISNUMBER(SEARCH("Harvard",A927))))),$AD927="Y",K927&lt;&gt;"",S927&gt;0),"Y","")</f>
        <v/>
      </c>
      <c r="V927" s="30" t="n">
        <v>1</v>
      </c>
      <c r="W927" t="inlineStr"/>
      <c r="X927" s="28">
        <f>IF(L927+M927=0,"",L927+M927)</f>
        <v/>
      </c>
      <c r="Y927" s="38">
        <f>IF(L927=0,"",M927/L927)</f>
        <v/>
      </c>
      <c r="Z927" t="inlineStr">
        <is>
          <t>CIO - Top Investment Executive</t>
        </is>
      </c>
      <c r="AA927" t="inlineStr">
        <is>
          <t>Leadership</t>
        </is>
      </c>
      <c r="AB927" s="50" t="inlineStr">
        <is>
          <t>Y</t>
        </is>
      </c>
      <c r="AC927" s="43">
        <f>HYPERLINK("https://projects.propublica.org/nonprofits/organizations/430652667/202431249349302143/full","view filing")</f>
        <v/>
      </c>
      <c r="AD927" s="50" t="inlineStr"/>
    </row>
    <row r="928">
      <c r="A928" t="inlineStr">
        <is>
          <t>Principia Corporation</t>
        </is>
      </c>
      <c r="B928" s="50" t="inlineStr">
        <is>
          <t>MO</t>
        </is>
      </c>
      <c r="C928" s="52" t="n">
        <v>0.96</v>
      </c>
      <c r="D928" t="inlineStr">
        <is>
          <t>Endowment</t>
        </is>
      </c>
      <c r="E928" s="50" t="n">
        <v>2022</v>
      </c>
      <c r="F928" s="50" t="inlineStr">
        <is>
          <t>2023-04-14</t>
        </is>
      </c>
      <c r="G928" s="50" t="inlineStr">
        <is>
          <t>2022-06-30</t>
        </is>
      </c>
      <c r="H928" t="inlineStr">
        <is>
          <t>Howard E Berner Jr</t>
        </is>
      </c>
      <c r="I928" t="inlineStr">
        <is>
          <t>Chief Investment Officer</t>
        </is>
      </c>
      <c r="J928" t="inlineStr">
        <is>
          <t>CIO</t>
        </is>
      </c>
      <c r="K928" t="inlineStr">
        <is>
          <t>CIO - Top Investment Executive</t>
        </is>
      </c>
      <c r="L928" s="28" t="n">
        <v>283015</v>
      </c>
      <c r="M928" s="28" t="n">
        <v>0</v>
      </c>
      <c r="N928" s="28" t="n">
        <v>2243</v>
      </c>
      <c r="O928" s="28" t="n">
        <v>7160</v>
      </c>
      <c r="P928" s="28" t="n">
        <v>10358</v>
      </c>
      <c r="Q928" s="28" t="n">
        <v>302776</v>
      </c>
      <c r="R928" s="28" t="n">
        <v>0</v>
      </c>
      <c r="S928" s="28">
        <f>Q928-R928</f>
        <v/>
      </c>
      <c r="T928" s="28">
        <f>IF(S928="","",S928*(1+in_GrowthRate)^(YEARFRAC(DATE(2022,6,30),in_AgeToDate)*IF(in_AgeToDate&lt;DATE(2022,6,30),-1,1)+1))</f>
        <v/>
      </c>
      <c r="U928" s="50">
        <f>IF(AND(AND(OR(in_Mode="All Funds",AND(C928&gt;=in_BandFloor,C928&lt;=in_BandCeiling,OR(in_Geography="National",COUNTIFS(lst_GeoPreset,in_Geography,lst_GeoState,B928)&gt;0,AND(in_Geography="Custom",ISNUMBER(SEARCH(B928,SUBSTITUTE(in_CustomStates," ",""))))),OR(AND(D928="Endowment",Inputs!$B$14="Y"),AND(D928="Foundation",Inputs!$B$15="Y"),AND(D928="Healthcare",Inputs!$B$16="Y"),AND(D928="Pension",Inputs!$B$17="Y"),AND(D928="OCIO",Inputs!$B$18="Y"),AND(D928="Other",Inputs!$B$19="Y")))),A928&lt;&gt;in_ClientOrg,NOT(AND(in_ExclHarvard="Y",ISNUMBER(SEARCH("Harvard",A928))))),$AD928="Y",K928&lt;&gt;"",S928&gt;0),"Y","")</f>
        <v/>
      </c>
      <c r="V928" s="30" t="n">
        <v>1</v>
      </c>
      <c r="W928" t="inlineStr"/>
      <c r="X928" s="28">
        <f>IF(L928+M928=0,"",L928+M928)</f>
        <v/>
      </c>
      <c r="Y928" s="38">
        <f>IF(L928=0,"",M928/L928)</f>
        <v/>
      </c>
      <c r="Z928" t="inlineStr">
        <is>
          <t>CIO - Top Investment Executive</t>
        </is>
      </c>
      <c r="AA928" t="inlineStr">
        <is>
          <t>Leadership</t>
        </is>
      </c>
      <c r="AB928" s="50" t="inlineStr">
        <is>
          <t>Y</t>
        </is>
      </c>
      <c r="AC928" s="43">
        <f>HYPERLINK("https://projects.propublica.org/nonprofits/organizations/430652667/202321049349301517/full","view filing")</f>
        <v/>
      </c>
      <c r="AD928" s="50" t="inlineStr"/>
    </row>
    <row r="929">
      <c r="A929" t="inlineStr">
        <is>
          <t>Purdue Research Foundation</t>
        </is>
      </c>
      <c r="B929" s="50" t="inlineStr">
        <is>
          <t>IN</t>
        </is>
      </c>
      <c r="C929" s="52" t="n">
        <v>4.67</v>
      </c>
      <c r="D929" t="inlineStr">
        <is>
          <t>Foundation</t>
        </is>
      </c>
      <c r="E929" s="50" t="n">
        <v>2025</v>
      </c>
      <c r="F929" s="50" t="inlineStr">
        <is>
          <t>2026-04-30</t>
        </is>
      </c>
      <c r="G929" s="50" t="inlineStr">
        <is>
          <t>2025-06-30</t>
        </is>
      </c>
      <c r="H929" t="inlineStr">
        <is>
          <t>David Cooper</t>
        </is>
      </c>
      <c r="I929" t="inlineStr">
        <is>
          <t>Chief Investment Officer</t>
        </is>
      </c>
      <c r="J929" t="inlineStr">
        <is>
          <t>CIO</t>
        </is>
      </c>
      <c r="K929" t="inlineStr">
        <is>
          <t>CIO - Top Investment Executive</t>
        </is>
      </c>
      <c r="L929" s="28" t="n">
        <v>376543</v>
      </c>
      <c r="M929" s="28" t="n">
        <v>182219</v>
      </c>
      <c r="N929" s="28" t="n">
        <v>1377</v>
      </c>
      <c r="O929" s="28" t="n">
        <v>34500</v>
      </c>
      <c r="P929" s="28" t="n">
        <v>15161</v>
      </c>
      <c r="Q929" s="28" t="n">
        <v>609800</v>
      </c>
      <c r="R929" s="28" t="n">
        <v>0</v>
      </c>
      <c r="S929" s="28">
        <f>Q929-R929</f>
        <v/>
      </c>
      <c r="T929" s="28">
        <f>IF(S929="","",S929*(1+in_GrowthRate)^(YEARFRAC(DATE(2025,6,30),in_AgeToDate)*IF(in_AgeToDate&lt;DATE(2025,6,30),-1,1)+1))</f>
        <v/>
      </c>
      <c r="U929" s="50">
        <f>IF(AND(AND(OR(in_Mode="All Funds",AND(C929&gt;=in_BandFloor,C929&lt;=in_BandCeiling,OR(in_Geography="National",COUNTIFS(lst_GeoPreset,in_Geography,lst_GeoState,B929)&gt;0,AND(in_Geography="Custom",ISNUMBER(SEARCH(B929,SUBSTITUTE(in_CustomStates," ",""))))),OR(AND(D929="Endowment",Inputs!$B$14="Y"),AND(D929="Foundation",Inputs!$B$15="Y"),AND(D929="Healthcare",Inputs!$B$16="Y"),AND(D929="Pension",Inputs!$B$17="Y"),AND(D929="OCIO",Inputs!$B$18="Y"),AND(D929="Other",Inputs!$B$19="Y")))),A929&lt;&gt;in_ClientOrg,NOT(AND(in_ExclHarvard="Y",ISNUMBER(SEARCH("Harvard",A929))))),$AD929="Y",K929&lt;&gt;"",S929&gt;0),"Y","")</f>
        <v/>
      </c>
      <c r="V929" s="30" t="n">
        <v>1</v>
      </c>
      <c r="W929" t="inlineStr"/>
      <c r="X929" s="28">
        <f>IF(L929+M929=0,"",L929+M929)</f>
        <v/>
      </c>
      <c r="Y929" s="38">
        <f>IF(L929=0,"",M929/L929)</f>
        <v/>
      </c>
      <c r="Z929" t="inlineStr">
        <is>
          <t>CIO - Top Investment Executive</t>
        </is>
      </c>
      <c r="AA929" t="inlineStr">
        <is>
          <t>Leadership</t>
        </is>
      </c>
      <c r="AB929" s="50" t="inlineStr">
        <is>
          <t>Y</t>
        </is>
      </c>
      <c r="AC929" s="43">
        <f>HYPERLINK("https://projects.propublica.org/nonprofits/organizations/351052049/202641209349300529/full","view filing")</f>
        <v/>
      </c>
      <c r="AD929" s="50" t="inlineStr">
        <is>
          <t>Y</t>
        </is>
      </c>
    </row>
    <row r="930">
      <c r="A930" t="inlineStr">
        <is>
          <t>Purdue Research Foundation</t>
        </is>
      </c>
      <c r="B930" s="50" t="inlineStr">
        <is>
          <t>IN</t>
        </is>
      </c>
      <c r="C930" s="52" t="n">
        <v>4.67</v>
      </c>
      <c r="D930" t="inlineStr">
        <is>
          <t>Foundation</t>
        </is>
      </c>
      <c r="E930" s="50" t="n">
        <v>2024</v>
      </c>
      <c r="F930" s="50" t="inlineStr">
        <is>
          <t>2025-05-12</t>
        </is>
      </c>
      <c r="G930" s="50" t="inlineStr">
        <is>
          <t>2024-06-30</t>
        </is>
      </c>
      <c r="H930" t="inlineStr">
        <is>
          <t>Blair Webb</t>
        </is>
      </c>
      <c r="I930" t="inlineStr">
        <is>
          <t>Director of Investments</t>
        </is>
      </c>
      <c r="J930" t="inlineStr">
        <is>
          <t>Director of Investments</t>
        </is>
      </c>
      <c r="K930" t="inlineStr">
        <is>
          <t>Sr Investment Professional</t>
        </is>
      </c>
      <c r="L930" s="28" t="n">
        <v>248664</v>
      </c>
      <c r="M930" s="28" t="n">
        <v>61417</v>
      </c>
      <c r="N930" s="28" t="n">
        <v>326</v>
      </c>
      <c r="O930" s="28" t="n">
        <v>25962</v>
      </c>
      <c r="P930" s="28" t="n">
        <v>21719</v>
      </c>
      <c r="Q930" s="28" t="n">
        <v>358088</v>
      </c>
      <c r="R930" s="28" t="n">
        <v>0</v>
      </c>
      <c r="S930" s="28">
        <f>Q930-R930</f>
        <v/>
      </c>
      <c r="T930" s="28">
        <f>IF(S930="","",S930*(1+in_GrowthRate)^(YEARFRAC(DATE(2024,6,30),in_AgeToDate)*IF(in_AgeToDate&lt;DATE(2024,6,30),-1,1)+1))</f>
        <v/>
      </c>
      <c r="U930" s="50">
        <f>IF(AND(AND(OR(in_Mode="All Funds",AND(C930&gt;=in_BandFloor,C930&lt;=in_BandCeiling,OR(in_Geography="National",COUNTIFS(lst_GeoPreset,in_Geography,lst_GeoState,B930)&gt;0,AND(in_Geography="Custom",ISNUMBER(SEARCH(B930,SUBSTITUTE(in_CustomStates," ",""))))),OR(AND(D930="Endowment",Inputs!$B$14="Y"),AND(D930="Foundation",Inputs!$B$15="Y"),AND(D930="Healthcare",Inputs!$B$16="Y"),AND(D930="Pension",Inputs!$B$17="Y"),AND(D930="OCIO",Inputs!$B$18="Y"),AND(D930="Other",Inputs!$B$19="Y")))),A930&lt;&gt;in_ClientOrg,NOT(AND(in_ExclHarvard="Y",ISNUMBER(SEARCH("Harvard",A930))))),$AD930="Y",K930&lt;&gt;"",S930&gt;0),"Y","")</f>
        <v/>
      </c>
      <c r="V930" s="30" t="n">
        <v>0.6832201908730476</v>
      </c>
      <c r="W930" t="inlineStr"/>
      <c r="X930" s="28">
        <f>IF(L930+M930=0,"",L930+M930)</f>
        <v/>
      </c>
      <c r="Y930" s="38">
        <f>IF(L930=0,"",M930/L930)</f>
        <v/>
      </c>
      <c r="Z930" t="inlineStr">
        <is>
          <t>Director &amp; Investment Officer</t>
        </is>
      </c>
      <c r="AA930" t="inlineStr">
        <is>
          <t>Investments</t>
        </is>
      </c>
      <c r="AB930" s="50" t="inlineStr"/>
      <c r="AC930" s="43">
        <f>HYPERLINK("https://projects.propublica.org/nonprofits/organizations/351052049/202541329349304169/full","view filing")</f>
        <v/>
      </c>
      <c r="AD930" s="50" t="inlineStr"/>
    </row>
    <row r="931">
      <c r="A931" t="inlineStr">
        <is>
          <t>Purdue Research Foundation</t>
        </is>
      </c>
      <c r="B931" s="50" t="inlineStr">
        <is>
          <t>IN</t>
        </is>
      </c>
      <c r="C931" s="52" t="n">
        <v>4.67</v>
      </c>
      <c r="D931" t="inlineStr">
        <is>
          <t>Foundation</t>
        </is>
      </c>
      <c r="E931" s="50" t="n">
        <v>2024</v>
      </c>
      <c r="F931" s="50" t="inlineStr">
        <is>
          <t>2025-05-12</t>
        </is>
      </c>
      <c r="G931" s="50" t="inlineStr">
        <is>
          <t>2024-06-30</t>
        </is>
      </c>
      <c r="H931" t="inlineStr">
        <is>
          <t>David Cooper</t>
        </is>
      </c>
      <c r="I931" t="inlineStr">
        <is>
          <t>Chief Investment Officer</t>
        </is>
      </c>
      <c r="J931" t="inlineStr">
        <is>
          <t>CIO</t>
        </is>
      </c>
      <c r="K931" t="inlineStr">
        <is>
          <t>CIO - Top Investment Executive</t>
        </is>
      </c>
      <c r="L931" s="28" t="n">
        <v>347488</v>
      </c>
      <c r="M931" s="28" t="n">
        <v>128975</v>
      </c>
      <c r="N931" s="28" t="n">
        <v>1242</v>
      </c>
      <c r="O931" s="28" t="n">
        <v>33000</v>
      </c>
      <c r="P931" s="28" t="n">
        <v>13413</v>
      </c>
      <c r="Q931" s="28" t="n">
        <v>524118</v>
      </c>
      <c r="R931" s="28" t="n">
        <v>0</v>
      </c>
      <c r="S931" s="28">
        <f>Q931-R931</f>
        <v/>
      </c>
      <c r="T931" s="28">
        <f>IF(S931="","",S931*(1+in_GrowthRate)^(YEARFRAC(DATE(2024,6,30),in_AgeToDate)*IF(in_AgeToDate&lt;DATE(2024,6,30),-1,1)+1))</f>
        <v/>
      </c>
      <c r="U931" s="50">
        <f>IF(AND(AND(OR(in_Mode="All Funds",AND(C931&gt;=in_BandFloor,C931&lt;=in_BandCeiling,OR(in_Geography="National",COUNTIFS(lst_GeoPreset,in_Geography,lst_GeoState,B931)&gt;0,AND(in_Geography="Custom",ISNUMBER(SEARCH(B931,SUBSTITUTE(in_CustomStates," ",""))))),OR(AND(D931="Endowment",Inputs!$B$14="Y"),AND(D931="Foundation",Inputs!$B$15="Y"),AND(D931="Healthcare",Inputs!$B$16="Y"),AND(D931="Pension",Inputs!$B$17="Y"),AND(D931="OCIO",Inputs!$B$18="Y"),AND(D931="Other",Inputs!$B$19="Y")))),A931&lt;&gt;in_ClientOrg,NOT(AND(in_ExclHarvard="Y",ISNUMBER(SEARCH("Harvard",A931))))),$AD931="Y",K931&lt;&gt;"",S931&gt;0),"Y","")</f>
        <v/>
      </c>
      <c r="V931" s="30" t="n">
        <v>1</v>
      </c>
      <c r="W931" t="inlineStr"/>
      <c r="X931" s="28">
        <f>IF(L931+M931=0,"",L931+M931)</f>
        <v/>
      </c>
      <c r="Y931" s="38">
        <f>IF(L931=0,"",M931/L931)</f>
        <v/>
      </c>
      <c r="Z931" t="inlineStr">
        <is>
          <t>CIO - Top Investment Executive</t>
        </is>
      </c>
      <c r="AA931" t="inlineStr">
        <is>
          <t>Leadership</t>
        </is>
      </c>
      <c r="AB931" s="50" t="inlineStr">
        <is>
          <t>Y</t>
        </is>
      </c>
      <c r="AC931" s="43">
        <f>HYPERLINK("https://projects.propublica.org/nonprofits/organizations/351052049/202541329349304169/full","view filing")</f>
        <v/>
      </c>
      <c r="AD931" s="50" t="inlineStr"/>
    </row>
    <row r="932">
      <c r="A932" t="inlineStr">
        <is>
          <t>Purdue Research Foundation</t>
        </is>
      </c>
      <c r="B932" s="50" t="inlineStr">
        <is>
          <t>IN</t>
        </is>
      </c>
      <c r="C932" s="52" t="n">
        <v>4.67</v>
      </c>
      <c r="D932" t="inlineStr">
        <is>
          <t>Foundation</t>
        </is>
      </c>
      <c r="E932" s="50" t="n">
        <v>2023</v>
      </c>
      <c r="F932" s="50" t="inlineStr">
        <is>
          <t>2024-05-02</t>
        </is>
      </c>
      <c r="G932" s="50" t="inlineStr">
        <is>
          <t>2023-06-30</t>
        </is>
      </c>
      <c r="H932" t="inlineStr">
        <is>
          <t>Blair Webb</t>
        </is>
      </c>
      <c r="I932" t="inlineStr">
        <is>
          <t>Director of Investments</t>
        </is>
      </c>
      <c r="J932" t="inlineStr">
        <is>
          <t>Director of Investments</t>
        </is>
      </c>
      <c r="K932" t="inlineStr">
        <is>
          <t>Sr Investment Professional</t>
        </is>
      </c>
      <c r="L932" s="28" t="n">
        <v>240419</v>
      </c>
      <c r="M932" s="28" t="n">
        <v>86205</v>
      </c>
      <c r="N932" s="28" t="n">
        <v>312</v>
      </c>
      <c r="O932" s="28" t="n">
        <v>25000</v>
      </c>
      <c r="P932" s="28" t="n">
        <v>22453</v>
      </c>
      <c r="Q932" s="28" t="n">
        <v>374389</v>
      </c>
      <c r="R932" s="28" t="n">
        <v>0</v>
      </c>
      <c r="S932" s="28">
        <f>Q932-R932</f>
        <v/>
      </c>
      <c r="T932" s="28">
        <f>IF(S932="","",S932*(1+in_GrowthRate)^(YEARFRAC(DATE(2023,6,30),in_AgeToDate)*IF(in_AgeToDate&lt;DATE(2023,6,30),-1,1)+1))</f>
        <v/>
      </c>
      <c r="U932" s="50">
        <f>IF(AND(AND(OR(in_Mode="All Funds",AND(C932&gt;=in_BandFloor,C932&lt;=in_BandCeiling,OR(in_Geography="National",COUNTIFS(lst_GeoPreset,in_Geography,lst_GeoState,B932)&gt;0,AND(in_Geography="Custom",ISNUMBER(SEARCH(B932,SUBSTITUTE(in_CustomStates," ",""))))),OR(AND(D932="Endowment",Inputs!$B$14="Y"),AND(D932="Foundation",Inputs!$B$15="Y"),AND(D932="Healthcare",Inputs!$B$16="Y"),AND(D932="Pension",Inputs!$B$17="Y"),AND(D932="OCIO",Inputs!$B$18="Y"),AND(D932="Other",Inputs!$B$19="Y")))),A932&lt;&gt;in_ClientOrg,NOT(AND(in_ExclHarvard="Y",ISNUMBER(SEARCH("Harvard",A932))))),$AD932="Y",K932&lt;&gt;"",S932&gt;0),"Y","")</f>
        <v/>
      </c>
      <c r="V932" s="30" t="n">
        <v>0.6515464240466677</v>
      </c>
      <c r="W932" t="inlineStr"/>
      <c r="X932" s="28">
        <f>IF(L932+M932=0,"",L932+M932)</f>
        <v/>
      </c>
      <c r="Y932" s="38">
        <f>IF(L932=0,"",M932/L932)</f>
        <v/>
      </c>
      <c r="Z932" t="inlineStr">
        <is>
          <t>Director &amp; Investment Officer</t>
        </is>
      </c>
      <c r="AA932" t="inlineStr">
        <is>
          <t>Investments</t>
        </is>
      </c>
      <c r="AB932" s="50" t="inlineStr"/>
      <c r="AC932" s="43">
        <f>HYPERLINK("https://projects.propublica.org/nonprofits/organizations/351052049/202401239349301830/full","view filing")</f>
        <v/>
      </c>
      <c r="AD932" s="50" t="inlineStr"/>
    </row>
    <row r="933">
      <c r="A933" t="inlineStr">
        <is>
          <t>Purdue Research Foundation</t>
        </is>
      </c>
      <c r="B933" s="50" t="inlineStr">
        <is>
          <t>IN</t>
        </is>
      </c>
      <c r="C933" s="52" t="n">
        <v>4.67</v>
      </c>
      <c r="D933" t="inlineStr">
        <is>
          <t>Foundation</t>
        </is>
      </c>
      <c r="E933" s="50" t="n">
        <v>2023</v>
      </c>
      <c r="F933" s="50" t="inlineStr">
        <is>
          <t>2024-05-02</t>
        </is>
      </c>
      <c r="G933" s="50" t="inlineStr">
        <is>
          <t>2023-06-30</t>
        </is>
      </c>
      <c r="H933" t="inlineStr">
        <is>
          <t>David Cooper</t>
        </is>
      </c>
      <c r="I933" t="inlineStr">
        <is>
          <t>Chief Investment Officer</t>
        </is>
      </c>
      <c r="J933" t="inlineStr">
        <is>
          <t>CIO</t>
        </is>
      </c>
      <c r="K933" t="inlineStr">
        <is>
          <t>CIO - Top Investment Executive</t>
        </is>
      </c>
      <c r="L933" s="28" t="n">
        <v>347488</v>
      </c>
      <c r="M933" s="28" t="n">
        <v>180713</v>
      </c>
      <c r="N933" s="28" t="n">
        <v>810</v>
      </c>
      <c r="O933" s="28" t="n">
        <v>30500</v>
      </c>
      <c r="P933" s="28" t="n">
        <v>15105</v>
      </c>
      <c r="Q933" s="28" t="n">
        <v>574616</v>
      </c>
      <c r="R933" s="28" t="n">
        <v>0</v>
      </c>
      <c r="S933" s="28">
        <f>Q933-R933</f>
        <v/>
      </c>
      <c r="T933" s="28">
        <f>IF(S933="","",S933*(1+in_GrowthRate)^(YEARFRAC(DATE(2023,6,30),in_AgeToDate)*IF(in_AgeToDate&lt;DATE(2023,6,30),-1,1)+1))</f>
        <v/>
      </c>
      <c r="U933" s="50">
        <f>IF(AND(AND(OR(in_Mode="All Funds",AND(C933&gt;=in_BandFloor,C933&lt;=in_BandCeiling,OR(in_Geography="National",COUNTIFS(lst_GeoPreset,in_Geography,lst_GeoState,B933)&gt;0,AND(in_Geography="Custom",ISNUMBER(SEARCH(B933,SUBSTITUTE(in_CustomStates," ",""))))),OR(AND(D933="Endowment",Inputs!$B$14="Y"),AND(D933="Foundation",Inputs!$B$15="Y"),AND(D933="Healthcare",Inputs!$B$16="Y"),AND(D933="Pension",Inputs!$B$17="Y"),AND(D933="OCIO",Inputs!$B$18="Y"),AND(D933="Other",Inputs!$B$19="Y")))),A933&lt;&gt;in_ClientOrg,NOT(AND(in_ExclHarvard="Y",ISNUMBER(SEARCH("Harvard",A933))))),$AD933="Y",K933&lt;&gt;"",S933&gt;0),"Y","")</f>
        <v/>
      </c>
      <c r="V933" s="30" t="n">
        <v>1</v>
      </c>
      <c r="W933" t="inlineStr"/>
      <c r="X933" s="28">
        <f>IF(L933+M933=0,"",L933+M933)</f>
        <v/>
      </c>
      <c r="Y933" s="38">
        <f>IF(L933=0,"",M933/L933)</f>
        <v/>
      </c>
      <c r="Z933" t="inlineStr">
        <is>
          <t>CIO - Top Investment Executive</t>
        </is>
      </c>
      <c r="AA933" t="inlineStr">
        <is>
          <t>Leadership</t>
        </is>
      </c>
      <c r="AB933" s="50" t="inlineStr">
        <is>
          <t>Y</t>
        </is>
      </c>
      <c r="AC933" s="43">
        <f>HYPERLINK("https://projects.propublica.org/nonprofits/organizations/351052049/202401239349301830/full","view filing")</f>
        <v/>
      </c>
      <c r="AD933" s="50" t="inlineStr"/>
    </row>
    <row r="934">
      <c r="A934" t="inlineStr">
        <is>
          <t>Purdue Research Foundation</t>
        </is>
      </c>
      <c r="B934" s="50" t="inlineStr">
        <is>
          <t>IN</t>
        </is>
      </c>
      <c r="C934" s="52" t="n">
        <v>4.67</v>
      </c>
      <c r="D934" t="inlineStr">
        <is>
          <t>Foundation</t>
        </is>
      </c>
      <c r="E934" s="50" t="n">
        <v>2022</v>
      </c>
      <c r="F934" s="50" t="inlineStr">
        <is>
          <t>2023-05-11</t>
        </is>
      </c>
      <c r="G934" s="50" t="inlineStr">
        <is>
          <t>2022-06-30</t>
        </is>
      </c>
      <c r="H934" t="inlineStr">
        <is>
          <t>David Cooper</t>
        </is>
      </c>
      <c r="I934" t="inlineStr">
        <is>
          <t>Chief Investment Officer</t>
        </is>
      </c>
      <c r="J934" t="inlineStr">
        <is>
          <t>CIO</t>
        </is>
      </c>
      <c r="K934" t="inlineStr">
        <is>
          <t>CIO - Top Investment Executive</t>
        </is>
      </c>
      <c r="L934" s="28" t="n">
        <v>346817</v>
      </c>
      <c r="M934" s="28" t="n">
        <v>58625</v>
      </c>
      <c r="N934" s="28" t="n">
        <v>810</v>
      </c>
      <c r="O934" s="28" t="n">
        <v>29000</v>
      </c>
      <c r="P934" s="28" t="n">
        <v>15979</v>
      </c>
      <c r="Q934" s="28" t="n">
        <v>451231</v>
      </c>
      <c r="R934" s="28" t="n">
        <v>0</v>
      </c>
      <c r="S934" s="28">
        <f>Q934-R934</f>
        <v/>
      </c>
      <c r="T934" s="28">
        <f>IF(S934="","",S934*(1+in_GrowthRate)^(YEARFRAC(DATE(2022,6,30),in_AgeToDate)*IF(in_AgeToDate&lt;DATE(2022,6,30),-1,1)+1))</f>
        <v/>
      </c>
      <c r="U934" s="50">
        <f>IF(AND(AND(OR(in_Mode="All Funds",AND(C934&gt;=in_BandFloor,C934&lt;=in_BandCeiling,OR(in_Geography="National",COUNTIFS(lst_GeoPreset,in_Geography,lst_GeoState,B934)&gt;0,AND(in_Geography="Custom",ISNUMBER(SEARCH(B934,SUBSTITUTE(in_CustomStates," ",""))))),OR(AND(D934="Endowment",Inputs!$B$14="Y"),AND(D934="Foundation",Inputs!$B$15="Y"),AND(D934="Healthcare",Inputs!$B$16="Y"),AND(D934="Pension",Inputs!$B$17="Y"),AND(D934="OCIO",Inputs!$B$18="Y"),AND(D934="Other",Inputs!$B$19="Y")))),A934&lt;&gt;in_ClientOrg,NOT(AND(in_ExclHarvard="Y",ISNUMBER(SEARCH("Harvard",A934))))),$AD934="Y",K934&lt;&gt;"",S934&gt;0),"Y","")</f>
        <v/>
      </c>
      <c r="V934" s="30" t="n">
        <v>1</v>
      </c>
      <c r="W934" t="inlineStr"/>
      <c r="X934" s="28">
        <f>IF(L934+M934=0,"",L934+M934)</f>
        <v/>
      </c>
      <c r="Y934" s="38">
        <f>IF(L934=0,"",M934/L934)</f>
        <v/>
      </c>
      <c r="Z934" t="inlineStr">
        <is>
          <t>CIO - Top Investment Executive</t>
        </is>
      </c>
      <c r="AA934" t="inlineStr">
        <is>
          <t>Leadership</t>
        </is>
      </c>
      <c r="AB934" s="50" t="inlineStr">
        <is>
          <t>Y</t>
        </is>
      </c>
      <c r="AC934" s="43">
        <f>HYPERLINK("https://projects.propublica.org/nonprofits/organizations/351052049/202341319349305369/full","view filing")</f>
        <v/>
      </c>
      <c r="AD934" s="50" t="inlineStr"/>
    </row>
    <row r="935">
      <c r="A935" t="inlineStr">
        <is>
          <t>Purdue Research Foundation</t>
        </is>
      </c>
      <c r="B935" s="50" t="inlineStr">
        <is>
          <t>IN</t>
        </is>
      </c>
      <c r="C935" s="52" t="n">
        <v>4.67</v>
      </c>
      <c r="D935" t="inlineStr">
        <is>
          <t>Foundation</t>
        </is>
      </c>
      <c r="E935" s="50" t="n">
        <v>2022</v>
      </c>
      <c r="F935" s="50" t="inlineStr">
        <is>
          <t>2023-05-11</t>
        </is>
      </c>
      <c r="G935" s="50" t="inlineStr">
        <is>
          <t>2022-06-30</t>
        </is>
      </c>
      <c r="H935" t="inlineStr">
        <is>
          <t>Sanjay Patel</t>
        </is>
      </c>
      <c r="I935" t="inlineStr">
        <is>
          <t>Director of Investments</t>
        </is>
      </c>
      <c r="J935" t="inlineStr">
        <is>
          <t>Director of Investments</t>
        </is>
      </c>
      <c r="K935" t="inlineStr">
        <is>
          <t>Sr Investment Professional</t>
        </is>
      </c>
      <c r="L935" s="28" t="n">
        <v>247242</v>
      </c>
      <c r="M935" s="28" t="n">
        <v>28417</v>
      </c>
      <c r="N935" s="28" t="n">
        <v>351</v>
      </c>
      <c r="O935" s="28" t="n">
        <v>25000</v>
      </c>
      <c r="P935" s="28" t="n">
        <v>15488</v>
      </c>
      <c r="Q935" s="28" t="n">
        <v>316498</v>
      </c>
      <c r="R935" s="28" t="n">
        <v>0</v>
      </c>
      <c r="S935" s="28">
        <f>Q935-R935</f>
        <v/>
      </c>
      <c r="T935" s="28">
        <f>IF(S935="","",S935*(1+in_GrowthRate)^(YEARFRAC(DATE(2022,6,30),in_AgeToDate)*IF(in_AgeToDate&lt;DATE(2022,6,30),-1,1)+1))</f>
        <v/>
      </c>
      <c r="U935" s="50">
        <f>IF(AND(AND(OR(in_Mode="All Funds",AND(C935&gt;=in_BandFloor,C935&lt;=in_BandCeiling,OR(in_Geography="National",COUNTIFS(lst_GeoPreset,in_Geography,lst_GeoState,B935)&gt;0,AND(in_Geography="Custom",ISNUMBER(SEARCH(B935,SUBSTITUTE(in_CustomStates," ",""))))),OR(AND(D935="Endowment",Inputs!$B$14="Y"),AND(D935="Foundation",Inputs!$B$15="Y"),AND(D935="Healthcare",Inputs!$B$16="Y"),AND(D935="Pension",Inputs!$B$17="Y"),AND(D935="OCIO",Inputs!$B$18="Y"),AND(D935="Other",Inputs!$B$19="Y")))),A935&lt;&gt;in_ClientOrg,NOT(AND(in_ExclHarvard="Y",ISNUMBER(SEARCH("Harvard",A935))))),$AD935="Y",K935&lt;&gt;"",S935&gt;0),"Y","")</f>
        <v/>
      </c>
      <c r="V935" s="30" t="n">
        <v>0.7014101424769131</v>
      </c>
      <c r="W935" t="inlineStr"/>
      <c r="X935" s="28">
        <f>IF(L935+M935=0,"",L935+M935)</f>
        <v/>
      </c>
      <c r="Y935" s="38">
        <f>IF(L935=0,"",M935/L935)</f>
        <v/>
      </c>
      <c r="Z935" t="inlineStr">
        <is>
          <t>Director &amp; Investment Officer</t>
        </is>
      </c>
      <c r="AA935" t="inlineStr">
        <is>
          <t>Investments</t>
        </is>
      </c>
      <c r="AB935" s="50" t="inlineStr"/>
      <c r="AC935" s="43">
        <f>HYPERLINK("https://projects.propublica.org/nonprofits/organizations/351052049/202341319349305369/full","view filing")</f>
        <v/>
      </c>
      <c r="AD935" s="50" t="inlineStr"/>
    </row>
    <row r="936">
      <c r="A936" t="inlineStr">
        <is>
          <t>Rainwater Charitable Foundation</t>
        </is>
      </c>
      <c r="B936" s="50" t="inlineStr">
        <is>
          <t>TX</t>
        </is>
      </c>
      <c r="C936" s="52" t="n">
        <v>1.03</v>
      </c>
      <c r="D936" t="inlineStr">
        <is>
          <t>Foundation</t>
        </is>
      </c>
      <c r="E936" s="50" t="n">
        <v>2024</v>
      </c>
      <c r="F936" s="50" t="inlineStr">
        <is>
          <t>2025-11-13</t>
        </is>
      </c>
      <c r="G936" s="50" t="inlineStr">
        <is>
          <t>2024-12-31</t>
        </is>
      </c>
      <c r="H936" t="inlineStr">
        <is>
          <t>Aaron Bigbee</t>
        </is>
      </c>
      <c r="I936" t="inlineStr">
        <is>
          <t>CIO AND INVESTMENT MANAGER</t>
        </is>
      </c>
      <c r="J936" t="inlineStr">
        <is>
          <t>CIO</t>
        </is>
      </c>
      <c r="K936" t="inlineStr">
        <is>
          <t>CIO - Top Investment Executive</t>
        </is>
      </c>
      <c r="L936" s="28" t="n">
        <v>0</v>
      </c>
      <c r="M936" s="28" t="n">
        <v>0</v>
      </c>
      <c r="N936" s="28" t="n">
        <v>0</v>
      </c>
      <c r="O936" s="28" t="n">
        <v>0</v>
      </c>
      <c r="P936" s="28" t="n">
        <v>233609</v>
      </c>
      <c r="Q936" s="28" t="n">
        <v>890225</v>
      </c>
      <c r="R936" s="28" t="n">
        <v>0</v>
      </c>
      <c r="S936" s="28">
        <f>Q936-R936</f>
        <v/>
      </c>
      <c r="T936" s="28">
        <f>IF(S936="","",S936*(1+in_GrowthRate)^(YEARFRAC(DATE(2024,12,31),in_AgeToDate)*IF(in_AgeToDate&lt;DATE(2024,12,31),-1,1)+1))</f>
        <v/>
      </c>
      <c r="U936" s="50">
        <f>IF(AND(AND(OR(in_Mode="All Funds",AND(C936&gt;=in_BandFloor,C936&lt;=in_BandCeiling,OR(in_Geography="National",COUNTIFS(lst_GeoPreset,in_Geography,lst_GeoState,B936)&gt;0,AND(in_Geography="Custom",ISNUMBER(SEARCH(B936,SUBSTITUTE(in_CustomStates," ",""))))),OR(AND(D936="Endowment",Inputs!$B$14="Y"),AND(D936="Foundation",Inputs!$B$15="Y"),AND(D936="Healthcare",Inputs!$B$16="Y"),AND(D936="Pension",Inputs!$B$17="Y"),AND(D936="OCIO",Inputs!$B$18="Y"),AND(D936="Other",Inputs!$B$19="Y")))),A936&lt;&gt;in_ClientOrg,NOT(AND(in_ExclHarvard="Y",ISNUMBER(SEARCH("Harvard",A936))))),$AD936="Y",K936&lt;&gt;"",S936&gt;0),"Y","")</f>
        <v/>
      </c>
      <c r="V936" s="30" t="n">
        <v>1</v>
      </c>
      <c r="W936" t="inlineStr"/>
      <c r="X936" s="28">
        <f>IF(L936+M936=0,"",L936+M936)</f>
        <v/>
      </c>
      <c r="Y936" s="38">
        <f>IF(L936=0,"",M936/L936)</f>
        <v/>
      </c>
      <c r="Z936" t="inlineStr">
        <is>
          <t>CIO - Top Investment Executive</t>
        </is>
      </c>
      <c r="AA936" t="inlineStr">
        <is>
          <t>Leadership</t>
        </is>
      </c>
      <c r="AB936" s="50" t="inlineStr">
        <is>
          <t>Y</t>
        </is>
      </c>
      <c r="AC936" s="43">
        <f>HYPERLINK("https://projects.propublica.org/nonprofits/organizations/800870036/202513179349102861/full","view filing")</f>
        <v/>
      </c>
      <c r="AD936" s="50" t="inlineStr">
        <is>
          <t>Y</t>
        </is>
      </c>
    </row>
    <row r="937">
      <c r="A937" t="inlineStr">
        <is>
          <t>Rainwater Charitable Foundation</t>
        </is>
      </c>
      <c r="B937" s="50" t="inlineStr">
        <is>
          <t>TX</t>
        </is>
      </c>
      <c r="C937" s="52" t="n">
        <v>1.03</v>
      </c>
      <c r="D937" t="inlineStr">
        <is>
          <t>Foundation</t>
        </is>
      </c>
      <c r="E937" s="50" t="n">
        <v>2024</v>
      </c>
      <c r="F937" s="50" t="inlineStr">
        <is>
          <t>2025-11-13</t>
        </is>
      </c>
      <c r="G937" s="50" t="inlineStr">
        <is>
          <t>2024-12-31</t>
        </is>
      </c>
      <c r="H937" t="inlineStr">
        <is>
          <t>Franklin Zhu</t>
        </is>
      </c>
      <c r="I937" t="inlineStr">
        <is>
          <t>INVESTMENT ASSOCIATE</t>
        </is>
      </c>
      <c r="J937" t="inlineStr">
        <is>
          <t>Associate</t>
        </is>
      </c>
      <c r="K937" t="inlineStr">
        <is>
          <t>Sr Investment Professional</t>
        </is>
      </c>
      <c r="L937" s="28" t="n">
        <v>0</v>
      </c>
      <c r="M937" s="28" t="n">
        <v>0</v>
      </c>
      <c r="N937" s="28" t="n">
        <v>0</v>
      </c>
      <c r="O937" s="28" t="n">
        <v>0</v>
      </c>
      <c r="P937" s="28" t="n">
        <v>0</v>
      </c>
      <c r="Q937" s="28" t="n">
        <v>220192</v>
      </c>
      <c r="R937" s="28" t="n">
        <v>0</v>
      </c>
      <c r="S937" s="28">
        <f>Q937-R937</f>
        <v/>
      </c>
      <c r="T937" s="28">
        <f>IF(S937="","",S937*(1+in_GrowthRate)^(YEARFRAC(DATE(2024,12,31),in_AgeToDate)*IF(in_AgeToDate&lt;DATE(2024,12,31),-1,1)+1))</f>
        <v/>
      </c>
      <c r="U937" s="50">
        <f>IF(AND(AND(OR(in_Mode="All Funds",AND(C937&gt;=in_BandFloor,C937&lt;=in_BandCeiling,OR(in_Geography="National",COUNTIFS(lst_GeoPreset,in_Geography,lst_GeoState,B937)&gt;0,AND(in_Geography="Custom",ISNUMBER(SEARCH(B937,SUBSTITUTE(in_CustomStates," ",""))))),OR(AND(D937="Endowment",Inputs!$B$14="Y"),AND(D937="Foundation",Inputs!$B$15="Y"),AND(D937="Healthcare",Inputs!$B$16="Y"),AND(D937="Pension",Inputs!$B$17="Y"),AND(D937="OCIO",Inputs!$B$18="Y"),AND(D937="Other",Inputs!$B$19="Y")))),A937&lt;&gt;in_ClientOrg,NOT(AND(in_ExclHarvard="Y",ISNUMBER(SEARCH("Harvard",A937))))),$AD937="Y",K937&lt;&gt;"",S937&gt;0),"Y","")</f>
        <v/>
      </c>
      <c r="V937" s="30" t="n">
        <v>0.2473442107332416</v>
      </c>
      <c r="W937" t="inlineStr"/>
      <c r="X937" s="28">
        <f>IF(L937+M937=0,"",L937+M937)</f>
        <v/>
      </c>
      <c r="Y937" s="38">
        <f>IF(L937=0,"",M937/L937)</f>
        <v/>
      </c>
      <c r="Z937" t="inlineStr">
        <is>
          <t>Other investment staff</t>
        </is>
      </c>
      <c r="AA937" t="inlineStr">
        <is>
          <t>Investments</t>
        </is>
      </c>
      <c r="AB937" s="50" t="inlineStr"/>
      <c r="AC937" s="43">
        <f>HYPERLINK("https://projects.propublica.org/nonprofits/organizations/800870036/202513179349102861/full","view filing")</f>
        <v/>
      </c>
      <c r="AD937" s="50" t="inlineStr">
        <is>
          <t>Y</t>
        </is>
      </c>
    </row>
    <row r="938">
      <c r="A938" t="inlineStr">
        <is>
          <t>Rainwater Charitable Foundation</t>
        </is>
      </c>
      <c r="B938" s="50" t="inlineStr">
        <is>
          <t>TX</t>
        </is>
      </c>
      <c r="C938" s="52" t="n">
        <v>1.03</v>
      </c>
      <c r="D938" t="inlineStr">
        <is>
          <t>Foundation</t>
        </is>
      </c>
      <c r="E938" s="50" t="n">
        <v>2024</v>
      </c>
      <c r="F938" s="50" t="inlineStr">
        <is>
          <t>2025-11-13</t>
        </is>
      </c>
      <c r="G938" s="50" t="inlineStr">
        <is>
          <t>2024-12-31</t>
        </is>
      </c>
      <c r="H938" t="inlineStr">
        <is>
          <t>Trent Moen</t>
        </is>
      </c>
      <c r="I938" t="inlineStr">
        <is>
          <t>INVESTMENT DIRECTOR</t>
        </is>
      </c>
      <c r="J938" t="inlineStr">
        <is>
          <t>Director of Investments</t>
        </is>
      </c>
      <c r="K938" t="inlineStr">
        <is>
          <t>Sr Investment Professional</t>
        </is>
      </c>
      <c r="L938" s="28" t="n">
        <v>0</v>
      </c>
      <c r="M938" s="28" t="n">
        <v>0</v>
      </c>
      <c r="N938" s="28" t="n">
        <v>0</v>
      </c>
      <c r="O938" s="28" t="n">
        <v>0</v>
      </c>
      <c r="P938" s="28" t="n">
        <v>0</v>
      </c>
      <c r="Q938" s="28" t="n">
        <v>234466</v>
      </c>
      <c r="R938" s="28" t="n">
        <v>0</v>
      </c>
      <c r="S938" s="28">
        <f>Q938-R938</f>
        <v/>
      </c>
      <c r="T938" s="28">
        <f>IF(S938="","",S938*(1+in_GrowthRate)^(YEARFRAC(DATE(2024,12,31),in_AgeToDate)*IF(in_AgeToDate&lt;DATE(2024,12,31),-1,1)+1))</f>
        <v/>
      </c>
      <c r="U938" s="50">
        <f>IF(AND(AND(OR(in_Mode="All Funds",AND(C938&gt;=in_BandFloor,C938&lt;=in_BandCeiling,OR(in_Geography="National",COUNTIFS(lst_GeoPreset,in_Geography,lst_GeoState,B938)&gt;0,AND(in_Geography="Custom",ISNUMBER(SEARCH(B938,SUBSTITUTE(in_CustomStates," ",""))))),OR(AND(D938="Endowment",Inputs!$B$14="Y"),AND(D938="Foundation",Inputs!$B$15="Y"),AND(D938="Healthcare",Inputs!$B$16="Y"),AND(D938="Pension",Inputs!$B$17="Y"),AND(D938="OCIO",Inputs!$B$18="Y"),AND(D938="Other",Inputs!$B$19="Y")))),A938&lt;&gt;in_ClientOrg,NOT(AND(in_ExclHarvard="Y",ISNUMBER(SEARCH("Harvard",A938))))),$AD938="Y",K938&lt;&gt;"",S938&gt;0),"Y","")</f>
        <v/>
      </c>
      <c r="V938" s="30" t="n">
        <v>0.2633783594035216</v>
      </c>
      <c r="W938" t="inlineStr"/>
      <c r="X938" s="28">
        <f>IF(L938+M938=0,"",L938+M938)</f>
        <v/>
      </c>
      <c r="Y938" s="38">
        <f>IF(L938=0,"",M938/L938)</f>
        <v/>
      </c>
      <c r="Z938" t="inlineStr">
        <is>
          <t>Director &amp; Investment Officer</t>
        </is>
      </c>
      <c r="AA938" t="inlineStr">
        <is>
          <t>Investments</t>
        </is>
      </c>
      <c r="AB938" s="50" t="inlineStr"/>
      <c r="AC938" s="43">
        <f>HYPERLINK("https://projects.propublica.org/nonprofits/organizations/800870036/202513179349102861/full","view filing")</f>
        <v/>
      </c>
      <c r="AD938" s="50" t="inlineStr">
        <is>
          <t>Y</t>
        </is>
      </c>
    </row>
    <row r="939">
      <c r="A939" t="inlineStr">
        <is>
          <t>Rainwater Charitable Foundation</t>
        </is>
      </c>
      <c r="B939" s="50" t="inlineStr">
        <is>
          <t>TX</t>
        </is>
      </c>
      <c r="C939" s="52" t="n">
        <v>1.03</v>
      </c>
      <c r="D939" t="inlineStr">
        <is>
          <t>Foundation</t>
        </is>
      </c>
      <c r="E939" s="50" t="n">
        <v>2023</v>
      </c>
      <c r="F939" s="50" t="inlineStr">
        <is>
          <t>2024-11-14</t>
        </is>
      </c>
      <c r="G939" s="50" t="inlineStr">
        <is>
          <t>2023-12-31</t>
        </is>
      </c>
      <c r="H939" t="inlineStr">
        <is>
          <t>Aaron Bigbee</t>
        </is>
      </c>
      <c r="I939" t="inlineStr">
        <is>
          <t>CIO AND INVESTMENT MANAGER</t>
        </is>
      </c>
      <c r="J939" t="inlineStr">
        <is>
          <t>CIO</t>
        </is>
      </c>
      <c r="K939" t="inlineStr">
        <is>
          <t>CIO - Top Investment Executive</t>
        </is>
      </c>
      <c r="L939" s="28" t="n">
        <v>0</v>
      </c>
      <c r="M939" s="28" t="n">
        <v>0</v>
      </c>
      <c r="N939" s="28" t="n">
        <v>0</v>
      </c>
      <c r="O939" s="28" t="n">
        <v>0</v>
      </c>
      <c r="P939" s="28" t="n">
        <v>264052</v>
      </c>
      <c r="Q939" s="28" t="n">
        <v>854772</v>
      </c>
      <c r="R939" s="28" t="n">
        <v>0</v>
      </c>
      <c r="S939" s="28">
        <f>Q939-R939</f>
        <v/>
      </c>
      <c r="T939" s="28">
        <f>IF(S939="","",S939*(1+in_GrowthRate)^(YEARFRAC(DATE(2023,12,31),in_AgeToDate)*IF(in_AgeToDate&lt;DATE(2023,12,31),-1,1)+1))</f>
        <v/>
      </c>
      <c r="U939" s="50">
        <f>IF(AND(AND(OR(in_Mode="All Funds",AND(C939&gt;=in_BandFloor,C939&lt;=in_BandCeiling,OR(in_Geography="National",COUNTIFS(lst_GeoPreset,in_Geography,lst_GeoState,B939)&gt;0,AND(in_Geography="Custom",ISNUMBER(SEARCH(B939,SUBSTITUTE(in_CustomStates," ",""))))),OR(AND(D939="Endowment",Inputs!$B$14="Y"),AND(D939="Foundation",Inputs!$B$15="Y"),AND(D939="Healthcare",Inputs!$B$16="Y"),AND(D939="Pension",Inputs!$B$17="Y"),AND(D939="OCIO",Inputs!$B$18="Y"),AND(D939="Other",Inputs!$B$19="Y")))),A939&lt;&gt;in_ClientOrg,NOT(AND(in_ExclHarvard="Y",ISNUMBER(SEARCH("Harvard",A939))))),$AD939="Y",K939&lt;&gt;"",S939&gt;0),"Y","")</f>
        <v/>
      </c>
      <c r="V939" s="30" t="n">
        <v>1</v>
      </c>
      <c r="W939" t="inlineStr"/>
      <c r="X939" s="28">
        <f>IF(L939+M939=0,"",L939+M939)</f>
        <v/>
      </c>
      <c r="Y939" s="38">
        <f>IF(L939=0,"",M939/L939)</f>
        <v/>
      </c>
      <c r="Z939" t="inlineStr">
        <is>
          <t>CIO - Top Investment Executive</t>
        </is>
      </c>
      <c r="AA939" t="inlineStr">
        <is>
          <t>Leadership</t>
        </is>
      </c>
      <c r="AB939" s="50" t="inlineStr">
        <is>
          <t>Y</t>
        </is>
      </c>
      <c r="AC939" s="43">
        <f>HYPERLINK("https://projects.propublica.org/nonprofits/organizations/800870036/202413199349103606/full","view filing")</f>
        <v/>
      </c>
      <c r="AD939" s="50" t="inlineStr"/>
    </row>
    <row r="940">
      <c r="A940" t="inlineStr">
        <is>
          <t>Rainwater Charitable Foundation</t>
        </is>
      </c>
      <c r="B940" s="50" t="inlineStr">
        <is>
          <t>TX</t>
        </is>
      </c>
      <c r="C940" s="52" t="n">
        <v>1.03</v>
      </c>
      <c r="D940" t="inlineStr">
        <is>
          <t>Foundation</t>
        </is>
      </c>
      <c r="E940" s="50" t="n">
        <v>2023</v>
      </c>
      <c r="F940" s="50" t="inlineStr">
        <is>
          <t>2024-11-14</t>
        </is>
      </c>
      <c r="G940" s="50" t="inlineStr">
        <is>
          <t>2023-12-31</t>
        </is>
      </c>
      <c r="H940" t="inlineStr">
        <is>
          <t>Randolph Kim</t>
        </is>
      </c>
      <c r="I940" t="inlineStr">
        <is>
          <t>CIO AND INVESTMENT MANAGER (TO 2/24/23</t>
        </is>
      </c>
      <c r="J940" t="inlineStr">
        <is>
          <t>CIO</t>
        </is>
      </c>
      <c r="K940" t="inlineStr">
        <is>
          <t>Sr Investment Professional</t>
        </is>
      </c>
      <c r="L940" s="28" t="n">
        <v>0</v>
      </c>
      <c r="M940" s="28" t="n">
        <v>0</v>
      </c>
      <c r="N940" s="28" t="n">
        <v>0</v>
      </c>
      <c r="O940" s="28" t="n">
        <v>0</v>
      </c>
      <c r="P940" s="28" t="n">
        <v>71367</v>
      </c>
      <c r="Q940" s="28" t="n">
        <v>525462</v>
      </c>
      <c r="R940" s="28" t="n">
        <v>0</v>
      </c>
      <c r="S940" s="28">
        <f>Q940-R940</f>
        <v/>
      </c>
      <c r="T940" s="28">
        <f>IF(S940="","",S940*(1+in_GrowthRate)^(YEARFRAC(DATE(2023,12,31),in_AgeToDate)*IF(in_AgeToDate&lt;DATE(2023,12,31),-1,1)+1))</f>
        <v/>
      </c>
      <c r="U940" s="50">
        <f>IF(AND(AND(OR(in_Mode="All Funds",AND(C940&gt;=in_BandFloor,C940&lt;=in_BandCeiling,OR(in_Geography="National",COUNTIFS(lst_GeoPreset,in_Geography,lst_GeoState,B940)&gt;0,AND(in_Geography="Custom",ISNUMBER(SEARCH(B940,SUBSTITUTE(in_CustomStates," ",""))))),OR(AND(D940="Endowment",Inputs!$B$14="Y"),AND(D940="Foundation",Inputs!$B$15="Y"),AND(D940="Healthcare",Inputs!$B$16="Y"),AND(D940="Pension",Inputs!$B$17="Y"),AND(D940="OCIO",Inputs!$B$18="Y"),AND(D940="Other",Inputs!$B$19="Y")))),A940&lt;&gt;in_ClientOrg,NOT(AND(in_ExclHarvard="Y",ISNUMBER(SEARCH("Harvard",A940))))),$AD940="Y",K940&lt;&gt;"",S940&gt;0),"Y","")</f>
        <v/>
      </c>
      <c r="V940" s="30" t="n">
        <v>0.6147393690949166</v>
      </c>
      <c r="W940" t="inlineStr"/>
      <c r="X940" s="28">
        <f>IF(L940+M940=0,"",L940+M940)</f>
        <v/>
      </c>
      <c r="Y940" s="38">
        <f>IF(L940=0,"",M940/L940)</f>
        <v/>
      </c>
      <c r="Z940" t="inlineStr">
        <is>
          <t>Deputy CIO</t>
        </is>
      </c>
      <c r="AA940" t="inlineStr">
        <is>
          <t>Leadership</t>
        </is>
      </c>
      <c r="AB940" s="50" t="inlineStr"/>
      <c r="AC940" s="43">
        <f>HYPERLINK("https://projects.propublica.org/nonprofits/organizations/800870036/202413199349103606/full","view filing")</f>
        <v/>
      </c>
      <c r="AD940" s="50" t="inlineStr"/>
    </row>
    <row r="941">
      <c r="A941" t="inlineStr">
        <is>
          <t>Rainwater Charitable Foundation</t>
        </is>
      </c>
      <c r="B941" s="50" t="inlineStr">
        <is>
          <t>TX</t>
        </is>
      </c>
      <c r="C941" s="52" t="n">
        <v>1.03</v>
      </c>
      <c r="D941" t="inlineStr">
        <is>
          <t>Foundation</t>
        </is>
      </c>
      <c r="E941" s="50" t="n">
        <v>2022</v>
      </c>
      <c r="F941" s="50" t="inlineStr">
        <is>
          <t>2023-11-15</t>
        </is>
      </c>
      <c r="G941" s="50" t="inlineStr">
        <is>
          <t>2022-12-31</t>
        </is>
      </c>
      <c r="H941" t="inlineStr">
        <is>
          <t>Aaron Bigbee</t>
        </is>
      </c>
      <c r="I941" t="inlineStr">
        <is>
          <t>DEPUTY CIO</t>
        </is>
      </c>
      <c r="J941" t="inlineStr">
        <is>
          <t>Deputy CIO</t>
        </is>
      </c>
      <c r="K941" t="inlineStr">
        <is>
          <t>Sr Investment Professional</t>
        </is>
      </c>
      <c r="L941" s="28" t="n">
        <v>0</v>
      </c>
      <c r="M941" s="28" t="n">
        <v>0</v>
      </c>
      <c r="N941" s="28" t="n">
        <v>0</v>
      </c>
      <c r="O941" s="28" t="n">
        <v>0</v>
      </c>
      <c r="P941" s="28" t="n">
        <v>0</v>
      </c>
      <c r="Q941" s="28" t="n">
        <v>565270</v>
      </c>
      <c r="R941" s="28" t="n">
        <v>0</v>
      </c>
      <c r="S941" s="28">
        <f>Q941-R941</f>
        <v/>
      </c>
      <c r="T941" s="28">
        <f>IF(S941="","",S941*(1+in_GrowthRate)^(YEARFRAC(DATE(2022,12,31),in_AgeToDate)*IF(in_AgeToDate&lt;DATE(2022,12,31),-1,1)+1))</f>
        <v/>
      </c>
      <c r="U941" s="50">
        <f>IF(AND(AND(OR(in_Mode="All Funds",AND(C941&gt;=in_BandFloor,C941&lt;=in_BandCeiling,OR(in_Geography="National",COUNTIFS(lst_GeoPreset,in_Geography,lst_GeoState,B941)&gt;0,AND(in_Geography="Custom",ISNUMBER(SEARCH(B941,SUBSTITUTE(in_CustomStates," ",""))))),OR(AND(D941="Endowment",Inputs!$B$14="Y"),AND(D941="Foundation",Inputs!$B$15="Y"),AND(D941="Healthcare",Inputs!$B$16="Y"),AND(D941="Pension",Inputs!$B$17="Y"),AND(D941="OCIO",Inputs!$B$18="Y"),AND(D941="Other",Inputs!$B$19="Y")))),A941&lt;&gt;in_ClientOrg,NOT(AND(in_ExclHarvard="Y",ISNUMBER(SEARCH("Harvard",A941))))),$AD941="Y",K941&lt;&gt;"",S941&gt;0),"Y","")</f>
        <v/>
      </c>
      <c r="V941" s="30" t="n">
        <v>0.5314061435051353</v>
      </c>
      <c r="W941" t="inlineStr"/>
      <c r="X941" s="28">
        <f>IF(L941+M941=0,"",L941+M941)</f>
        <v/>
      </c>
      <c r="Y941" s="38">
        <f>IF(L941=0,"",M941/L941)</f>
        <v/>
      </c>
      <c r="Z941" t="inlineStr">
        <is>
          <t>Deputy CIO</t>
        </is>
      </c>
      <c r="AA941" t="inlineStr">
        <is>
          <t>Leadership</t>
        </is>
      </c>
      <c r="AB941" s="50" t="inlineStr"/>
      <c r="AC941" s="43">
        <f>HYPERLINK("https://projects.propublica.org/nonprofits/organizations/800870036/202313199349105406/full","view filing")</f>
        <v/>
      </c>
      <c r="AD941" s="50" t="inlineStr"/>
    </row>
    <row r="942">
      <c r="A942" t="inlineStr">
        <is>
          <t>Rainwater Charitable Foundation</t>
        </is>
      </c>
      <c r="B942" s="50" t="inlineStr">
        <is>
          <t>TX</t>
        </is>
      </c>
      <c r="C942" s="52" t="n">
        <v>1.03</v>
      </c>
      <c r="D942" t="inlineStr">
        <is>
          <t>Foundation</t>
        </is>
      </c>
      <c r="E942" s="50" t="n">
        <v>2022</v>
      </c>
      <c r="F942" s="50" t="inlineStr">
        <is>
          <t>2023-11-15</t>
        </is>
      </c>
      <c r="G942" s="50" t="inlineStr">
        <is>
          <t>2022-12-31</t>
        </is>
      </c>
      <c r="H942" t="inlineStr">
        <is>
          <t>Randolph Kim</t>
        </is>
      </c>
      <c r="I942" t="inlineStr">
        <is>
          <t>CIO AND INVESTMENT MANAGER</t>
        </is>
      </c>
      <c r="J942" t="inlineStr">
        <is>
          <t>CIO</t>
        </is>
      </c>
      <c r="K942" t="inlineStr">
        <is>
          <t>CIO - Top Investment Executive</t>
        </is>
      </c>
      <c r="L942" s="28" t="n">
        <v>0</v>
      </c>
      <c r="M942" s="28" t="n">
        <v>0</v>
      </c>
      <c r="N942" s="28" t="n">
        <v>0</v>
      </c>
      <c r="O942" s="28" t="n">
        <v>0</v>
      </c>
      <c r="P942" s="28" t="n">
        <v>147436</v>
      </c>
      <c r="Q942" s="28" t="n">
        <v>1063725</v>
      </c>
      <c r="R942" s="28" t="n">
        <v>0</v>
      </c>
      <c r="S942" s="28">
        <f>Q942-R942</f>
        <v/>
      </c>
      <c r="T942" s="28">
        <f>IF(S942="","",S942*(1+in_GrowthRate)^(YEARFRAC(DATE(2022,12,31),in_AgeToDate)*IF(in_AgeToDate&lt;DATE(2022,12,31),-1,1)+1))</f>
        <v/>
      </c>
      <c r="U942" s="50">
        <f>IF(AND(AND(OR(in_Mode="All Funds",AND(C942&gt;=in_BandFloor,C942&lt;=in_BandCeiling,OR(in_Geography="National",COUNTIFS(lst_GeoPreset,in_Geography,lst_GeoState,B942)&gt;0,AND(in_Geography="Custom",ISNUMBER(SEARCH(B942,SUBSTITUTE(in_CustomStates," ",""))))),OR(AND(D942="Endowment",Inputs!$B$14="Y"),AND(D942="Foundation",Inputs!$B$15="Y"),AND(D942="Healthcare",Inputs!$B$16="Y"),AND(D942="Pension",Inputs!$B$17="Y"),AND(D942="OCIO",Inputs!$B$18="Y"),AND(D942="Other",Inputs!$B$19="Y")))),A942&lt;&gt;in_ClientOrg,NOT(AND(in_ExclHarvard="Y",ISNUMBER(SEARCH("Harvard",A942))))),$AD942="Y",K942&lt;&gt;"",S942&gt;0),"Y","")</f>
        <v/>
      </c>
      <c r="V942" s="30" t="n">
        <v>1</v>
      </c>
      <c r="W942" t="inlineStr"/>
      <c r="X942" s="28">
        <f>IF(L942+M942=0,"",L942+M942)</f>
        <v/>
      </c>
      <c r="Y942" s="38">
        <f>IF(L942=0,"",M942/L942)</f>
        <v/>
      </c>
      <c r="Z942" t="inlineStr">
        <is>
          <t>CIO - Top Investment Executive</t>
        </is>
      </c>
      <c r="AA942" t="inlineStr">
        <is>
          <t>Leadership</t>
        </is>
      </c>
      <c r="AB942" s="50" t="inlineStr">
        <is>
          <t>Y</t>
        </is>
      </c>
      <c r="AC942" s="43">
        <f>HYPERLINK("https://projects.propublica.org/nonprofits/organizations/800870036/202313199349105406/full","view filing")</f>
        <v/>
      </c>
      <c r="AD942" s="50" t="inlineStr"/>
    </row>
    <row r="943">
      <c r="A943" t="inlineStr">
        <is>
          <t>Red Gates Foundation</t>
        </is>
      </c>
      <c r="B943" s="50" t="inlineStr">
        <is>
          <t>VA</t>
        </is>
      </c>
      <c r="C943" s="52" t="n">
        <v>1.34</v>
      </c>
      <c r="D943" t="inlineStr">
        <is>
          <t>Foundation</t>
        </is>
      </c>
      <c r="E943" s="50" t="n">
        <v>2024</v>
      </c>
      <c r="F943" s="50" t="inlineStr">
        <is>
          <t>2025-11-13</t>
        </is>
      </c>
      <c r="G943" s="50" t="inlineStr">
        <is>
          <t>2024-12-31</t>
        </is>
      </c>
      <c r="H943" t="inlineStr">
        <is>
          <t>Mark Smith</t>
        </is>
      </c>
      <c r="I943" t="inlineStr">
        <is>
          <t>DIRECTOR OF INVESTME</t>
        </is>
      </c>
      <c r="J943" t="inlineStr">
        <is>
          <t>Director of Investments</t>
        </is>
      </c>
      <c r="K943" t="inlineStr">
        <is>
          <t>Sr Investment Professional</t>
        </is>
      </c>
      <c r="L943" s="28" t="n">
        <v>0</v>
      </c>
      <c r="M943" s="28" t="n">
        <v>0</v>
      </c>
      <c r="N943" s="28" t="n">
        <v>0</v>
      </c>
      <c r="O943" s="28" t="n">
        <v>0</v>
      </c>
      <c r="P943" s="28" t="n">
        <v>0</v>
      </c>
      <c r="Q943" s="28" t="n">
        <v>390687</v>
      </c>
      <c r="R943" s="28" t="n">
        <v>0</v>
      </c>
      <c r="S943" s="28">
        <f>Q943-R943</f>
        <v/>
      </c>
      <c r="T943" s="28">
        <f>IF(S943="","",S943*(1+in_GrowthRate)^(YEARFRAC(DATE(2024,12,31),in_AgeToDate)*IF(in_AgeToDate&lt;DATE(2024,12,31),-1,1)+1))</f>
        <v/>
      </c>
      <c r="U943" s="50">
        <f>IF(AND(AND(OR(in_Mode="All Funds",AND(C943&gt;=in_BandFloor,C943&lt;=in_BandCeiling,OR(in_Geography="National",COUNTIFS(lst_GeoPreset,in_Geography,lst_GeoState,B943)&gt;0,AND(in_Geography="Custom",ISNUMBER(SEARCH(B943,SUBSTITUTE(in_CustomStates," ",""))))),OR(AND(D943="Endowment",Inputs!$B$14="Y"),AND(D943="Foundation",Inputs!$B$15="Y"),AND(D943="Healthcare",Inputs!$B$16="Y"),AND(D943="Pension",Inputs!$B$17="Y"),AND(D943="OCIO",Inputs!$B$18="Y"),AND(D943="Other",Inputs!$B$19="Y")))),A943&lt;&gt;in_ClientOrg,NOT(AND(in_ExclHarvard="Y",ISNUMBER(SEARCH("Harvard",A943))))),$AD943="Y",K943&lt;&gt;"",S943&gt;0),"Y","")</f>
        <v/>
      </c>
      <c r="V943" s="30" t="n"/>
      <c r="W943" t="inlineStr"/>
      <c r="X943" s="28">
        <f>IF(L943+M943=0,"",L943+M943)</f>
        <v/>
      </c>
      <c r="Y943" s="38">
        <f>IF(L943=0,"",M943/L943)</f>
        <v/>
      </c>
      <c r="Z943" t="inlineStr">
        <is>
          <t>Director &amp; Investment Officer</t>
        </is>
      </c>
      <c r="AA943" t="inlineStr">
        <is>
          <t>Investments</t>
        </is>
      </c>
      <c r="AB943" s="50" t="inlineStr"/>
      <c r="AC943" s="43">
        <f>HYPERLINK("https://projects.propublica.org/nonprofits/organizations/301201296/202513179349102486/full","view filing")</f>
        <v/>
      </c>
      <c r="AD943" s="50" t="inlineStr">
        <is>
          <t>Y</t>
        </is>
      </c>
    </row>
    <row r="944">
      <c r="A944" t="inlineStr">
        <is>
          <t>Red Gates Foundation</t>
        </is>
      </c>
      <c r="B944" s="50" t="inlineStr">
        <is>
          <t>VA</t>
        </is>
      </c>
      <c r="C944" s="52" t="n">
        <v>1.34</v>
      </c>
      <c r="D944" t="inlineStr">
        <is>
          <t>Foundation</t>
        </is>
      </c>
      <c r="E944" s="50" t="n">
        <v>2023</v>
      </c>
      <c r="F944" s="50" t="inlineStr">
        <is>
          <t>2024-11-11</t>
        </is>
      </c>
      <c r="G944" s="50" t="inlineStr">
        <is>
          <t>2023-12-31</t>
        </is>
      </c>
      <c r="H944" t="inlineStr">
        <is>
          <t>Mark Smith</t>
        </is>
      </c>
      <c r="I944" t="inlineStr">
        <is>
          <t>DIRECTOR OF INVESTME</t>
        </is>
      </c>
      <c r="J944" t="inlineStr">
        <is>
          <t>Director of Investments</t>
        </is>
      </c>
      <c r="K944" t="inlineStr">
        <is>
          <t>Sr Investment Professional</t>
        </is>
      </c>
      <c r="L944" s="28" t="n">
        <v>0</v>
      </c>
      <c r="M944" s="28" t="n">
        <v>0</v>
      </c>
      <c r="N944" s="28" t="n">
        <v>0</v>
      </c>
      <c r="O944" s="28" t="n">
        <v>0</v>
      </c>
      <c r="P944" s="28" t="n">
        <v>0</v>
      </c>
      <c r="Q944" s="28" t="n">
        <v>222872</v>
      </c>
      <c r="R944" s="28" t="n">
        <v>0</v>
      </c>
      <c r="S944" s="28">
        <f>Q944-R944</f>
        <v/>
      </c>
      <c r="T944" s="28">
        <f>IF(S944="","",S944*(1+in_GrowthRate)^(YEARFRAC(DATE(2023,12,31),in_AgeToDate)*IF(in_AgeToDate&lt;DATE(2023,12,31),-1,1)+1))</f>
        <v/>
      </c>
      <c r="U944" s="50">
        <f>IF(AND(AND(OR(in_Mode="All Funds",AND(C944&gt;=in_BandFloor,C944&lt;=in_BandCeiling,OR(in_Geography="National",COUNTIFS(lst_GeoPreset,in_Geography,lst_GeoState,B944)&gt;0,AND(in_Geography="Custom",ISNUMBER(SEARCH(B944,SUBSTITUTE(in_CustomStates," ",""))))),OR(AND(D944="Endowment",Inputs!$B$14="Y"),AND(D944="Foundation",Inputs!$B$15="Y"),AND(D944="Healthcare",Inputs!$B$16="Y"),AND(D944="Pension",Inputs!$B$17="Y"),AND(D944="OCIO",Inputs!$B$18="Y"),AND(D944="Other",Inputs!$B$19="Y")))),A944&lt;&gt;in_ClientOrg,NOT(AND(in_ExclHarvard="Y",ISNUMBER(SEARCH("Harvard",A944))))),$AD944="Y",K944&lt;&gt;"",S944&gt;0),"Y","")</f>
        <v/>
      </c>
      <c r="V944" s="30" t="n"/>
      <c r="W944" t="inlineStr"/>
      <c r="X944" s="28">
        <f>IF(L944+M944=0,"",L944+M944)</f>
        <v/>
      </c>
      <c r="Y944" s="38">
        <f>IF(L944=0,"",M944/L944)</f>
        <v/>
      </c>
      <c r="Z944" t="inlineStr">
        <is>
          <t>Director &amp; Investment Officer</t>
        </is>
      </c>
      <c r="AA944" t="inlineStr">
        <is>
          <t>Investments</t>
        </is>
      </c>
      <c r="AB944" s="50" t="inlineStr"/>
      <c r="AC944" s="43">
        <f>HYPERLINK("https://projects.propublica.org/nonprofits/organizations/301201296/202443169349101034/full","view filing")</f>
        <v/>
      </c>
      <c r="AD944" s="50" t="inlineStr"/>
    </row>
    <row r="945">
      <c r="A945" t="inlineStr">
        <is>
          <t>Reed Institute</t>
        </is>
      </c>
      <c r="B945" s="50" t="inlineStr">
        <is>
          <t>OR</t>
        </is>
      </c>
      <c r="C945" s="52" t="n">
        <v>0.88</v>
      </c>
      <c r="D945" t="inlineStr">
        <is>
          <t>Endowment</t>
        </is>
      </c>
      <c r="E945" s="50" t="n">
        <v>2025</v>
      </c>
      <c r="F945" s="50" t="inlineStr">
        <is>
          <t>2026-05-11</t>
        </is>
      </c>
      <c r="G945" s="50" t="inlineStr">
        <is>
          <t>2025-06-30</t>
        </is>
      </c>
      <c r="H945" t="inlineStr">
        <is>
          <t>Andrew Lonergan</t>
        </is>
      </c>
      <c r="I945" t="inlineStr">
        <is>
          <t>Director of Investments</t>
        </is>
      </c>
      <c r="J945" t="inlineStr">
        <is>
          <t>Director of Investments</t>
        </is>
      </c>
      <c r="K945" t="inlineStr">
        <is>
          <t>Sr Investment Professional</t>
        </is>
      </c>
      <c r="L945" s="28" t="n">
        <v>202925</v>
      </c>
      <c r="M945" s="28" t="n">
        <v>47549</v>
      </c>
      <c r="N945" s="28" t="n">
        <v>840</v>
      </c>
      <c r="O945" s="28" t="n">
        <v>20292</v>
      </c>
      <c r="P945" s="28" t="n">
        <v>22273</v>
      </c>
      <c r="Q945" s="28" t="n">
        <v>293879</v>
      </c>
      <c r="R945" s="28" t="n">
        <v>0</v>
      </c>
      <c r="S945" s="28">
        <f>Q945-R945</f>
        <v/>
      </c>
      <c r="T945" s="28">
        <f>IF(S945="","",S945*(1+in_GrowthRate)^(YEARFRAC(DATE(2025,6,30),in_AgeToDate)*IF(in_AgeToDate&lt;DATE(2025,6,30),-1,1)+1))</f>
        <v/>
      </c>
      <c r="U945" s="50">
        <f>IF(AND(AND(OR(in_Mode="All Funds",AND(C945&gt;=in_BandFloor,C945&lt;=in_BandCeiling,OR(in_Geography="National",COUNTIFS(lst_GeoPreset,in_Geography,lst_GeoState,B945)&gt;0,AND(in_Geography="Custom",ISNUMBER(SEARCH(B945,SUBSTITUTE(in_CustomStates," ",""))))),OR(AND(D945="Endowment",Inputs!$B$14="Y"),AND(D945="Foundation",Inputs!$B$15="Y"),AND(D945="Healthcare",Inputs!$B$16="Y"),AND(D945="Pension",Inputs!$B$17="Y"),AND(D945="OCIO",Inputs!$B$18="Y"),AND(D945="Other",Inputs!$B$19="Y")))),A945&lt;&gt;in_ClientOrg,NOT(AND(in_ExclHarvard="Y",ISNUMBER(SEARCH("Harvard",A945))))),$AD945="Y",K945&lt;&gt;"",S945&gt;0),"Y","")</f>
        <v/>
      </c>
      <c r="V945" s="30" t="n">
        <v>0.5542105283008905</v>
      </c>
      <c r="W945" t="inlineStr"/>
      <c r="X945" s="28">
        <f>IF(L945+M945=0,"",L945+M945)</f>
        <v/>
      </c>
      <c r="Y945" s="38">
        <f>IF(L945=0,"",M945/L945)</f>
        <v/>
      </c>
      <c r="Z945" t="inlineStr">
        <is>
          <t>Director &amp; Investment Officer</t>
        </is>
      </c>
      <c r="AA945" t="inlineStr">
        <is>
          <t>Investments</t>
        </is>
      </c>
      <c r="AB945" s="50" t="inlineStr"/>
      <c r="AC945" s="43">
        <f>HYPERLINK("https://projects.propublica.org/nonprofits/organizations/930386908/202631319349304193/full","view filing")</f>
        <v/>
      </c>
      <c r="AD945" s="50" t="inlineStr">
        <is>
          <t>Y</t>
        </is>
      </c>
    </row>
    <row r="946">
      <c r="A946" t="inlineStr">
        <is>
          <t>Reed Institute</t>
        </is>
      </c>
      <c r="B946" s="50" t="inlineStr">
        <is>
          <t>OR</t>
        </is>
      </c>
      <c r="C946" s="52" t="n">
        <v>0.88</v>
      </c>
      <c r="D946" t="inlineStr">
        <is>
          <t>Endowment</t>
        </is>
      </c>
      <c r="E946" s="50" t="n">
        <v>2025</v>
      </c>
      <c r="F946" s="50" t="inlineStr">
        <is>
          <t>2026-05-11</t>
        </is>
      </c>
      <c r="G946" s="50" t="inlineStr">
        <is>
          <t>2025-06-30</t>
        </is>
      </c>
      <c r="H946" t="inlineStr">
        <is>
          <t>Erik Bernhardt</t>
        </is>
      </c>
      <c r="I946" t="inlineStr">
        <is>
          <t>Chief Investment Officer</t>
        </is>
      </c>
      <c r="J946" t="inlineStr">
        <is>
          <t>CIO</t>
        </is>
      </c>
      <c r="K946" t="inlineStr">
        <is>
          <t>CIO - Top Investment Executive</t>
        </is>
      </c>
      <c r="L946" s="28" t="n">
        <v>380004</v>
      </c>
      <c r="M946" s="28" t="n">
        <v>89823</v>
      </c>
      <c r="N946" s="28" t="n">
        <v>900</v>
      </c>
      <c r="O946" s="28" t="n">
        <v>34500</v>
      </c>
      <c r="P946" s="28" t="n">
        <v>25039</v>
      </c>
      <c r="Q946" s="28" t="n">
        <v>530266</v>
      </c>
      <c r="R946" s="28" t="n">
        <v>0</v>
      </c>
      <c r="S946" s="28">
        <f>Q946-R946</f>
        <v/>
      </c>
      <c r="T946" s="28">
        <f>IF(S946="","",S946*(1+in_GrowthRate)^(YEARFRAC(DATE(2025,6,30),in_AgeToDate)*IF(in_AgeToDate&lt;DATE(2025,6,30),-1,1)+1))</f>
        <v/>
      </c>
      <c r="U946" s="50">
        <f>IF(AND(AND(OR(in_Mode="All Funds",AND(C946&gt;=in_BandFloor,C946&lt;=in_BandCeiling,OR(in_Geography="National",COUNTIFS(lst_GeoPreset,in_Geography,lst_GeoState,B946)&gt;0,AND(in_Geography="Custom",ISNUMBER(SEARCH(B946,SUBSTITUTE(in_CustomStates," ",""))))),OR(AND(D946="Endowment",Inputs!$B$14="Y"),AND(D946="Foundation",Inputs!$B$15="Y"),AND(D946="Healthcare",Inputs!$B$16="Y"),AND(D946="Pension",Inputs!$B$17="Y"),AND(D946="OCIO",Inputs!$B$18="Y"),AND(D946="Other",Inputs!$B$19="Y")))),A946&lt;&gt;in_ClientOrg,NOT(AND(in_ExclHarvard="Y",ISNUMBER(SEARCH("Harvard",A946))))),$AD946="Y",K946&lt;&gt;"",S946&gt;0),"Y","")</f>
        <v/>
      </c>
      <c r="V946" s="30" t="n">
        <v>1</v>
      </c>
      <c r="W946" t="inlineStr"/>
      <c r="X946" s="28">
        <f>IF(L946+M946=0,"",L946+M946)</f>
        <v/>
      </c>
      <c r="Y946" s="38">
        <f>IF(L946=0,"",M946/L946)</f>
        <v/>
      </c>
      <c r="Z946" t="inlineStr">
        <is>
          <t>CIO - Top Investment Executive</t>
        </is>
      </c>
      <c r="AA946" t="inlineStr">
        <is>
          <t>Leadership</t>
        </is>
      </c>
      <c r="AB946" s="50" t="inlineStr">
        <is>
          <t>Y</t>
        </is>
      </c>
      <c r="AC946" s="43">
        <f>HYPERLINK("https://projects.propublica.org/nonprofits/organizations/930386908/202631319349304193/full","view filing")</f>
        <v/>
      </c>
      <c r="AD946" s="50" t="inlineStr">
        <is>
          <t>Y</t>
        </is>
      </c>
    </row>
    <row r="947">
      <c r="A947" t="inlineStr">
        <is>
          <t>Reed Institute</t>
        </is>
      </c>
      <c r="B947" s="50" t="inlineStr">
        <is>
          <t>OR</t>
        </is>
      </c>
      <c r="C947" s="52" t="n">
        <v>0.88</v>
      </c>
      <c r="D947" t="inlineStr">
        <is>
          <t>Endowment</t>
        </is>
      </c>
      <c r="E947" s="50" t="n">
        <v>2024</v>
      </c>
      <c r="F947" s="50" t="inlineStr">
        <is>
          <t>2025-05-05</t>
        </is>
      </c>
      <c r="G947" s="50" t="inlineStr">
        <is>
          <t>2024-06-30</t>
        </is>
      </c>
      <c r="H947" t="inlineStr">
        <is>
          <t>Andrew Lonergan</t>
        </is>
      </c>
      <c r="I947" t="inlineStr">
        <is>
          <t>Director of Investments</t>
        </is>
      </c>
      <c r="J947" t="inlineStr">
        <is>
          <t>Director of Investments</t>
        </is>
      </c>
      <c r="K947" t="inlineStr">
        <is>
          <t>Sr Investment Professional</t>
        </is>
      </c>
      <c r="L947" s="28" t="n">
        <v>197054</v>
      </c>
      <c r="M947" s="28" t="n">
        <v>33086</v>
      </c>
      <c r="N947" s="28" t="n">
        <v>840</v>
      </c>
      <c r="O947" s="28" t="n">
        <v>19705</v>
      </c>
      <c r="P947" s="28" t="n">
        <v>21366</v>
      </c>
      <c r="Q947" s="28" t="n">
        <v>272051</v>
      </c>
      <c r="R947" s="28" t="n">
        <v>0</v>
      </c>
      <c r="S947" s="28">
        <f>Q947-R947</f>
        <v/>
      </c>
      <c r="T947" s="28">
        <f>IF(S947="","",S947*(1+in_GrowthRate)^(YEARFRAC(DATE(2024,6,30),in_AgeToDate)*IF(in_AgeToDate&lt;DATE(2024,6,30),-1,1)+1))</f>
        <v/>
      </c>
      <c r="U947" s="50">
        <f>IF(AND(AND(OR(in_Mode="All Funds",AND(C947&gt;=in_BandFloor,C947&lt;=in_BandCeiling,OR(in_Geography="National",COUNTIFS(lst_GeoPreset,in_Geography,lst_GeoState,B947)&gt;0,AND(in_Geography="Custom",ISNUMBER(SEARCH(B947,SUBSTITUTE(in_CustomStates," ",""))))),OR(AND(D947="Endowment",Inputs!$B$14="Y"),AND(D947="Foundation",Inputs!$B$15="Y"),AND(D947="Healthcare",Inputs!$B$16="Y"),AND(D947="Pension",Inputs!$B$17="Y"),AND(D947="OCIO",Inputs!$B$18="Y"),AND(D947="Other",Inputs!$B$19="Y")))),A947&lt;&gt;in_ClientOrg,NOT(AND(in_ExclHarvard="Y",ISNUMBER(SEARCH("Harvard",A947))))),$AD947="Y",K947&lt;&gt;"",S947&gt;0),"Y","")</f>
        <v/>
      </c>
      <c r="V947" s="30" t="n">
        <v>0.5574998360601987</v>
      </c>
      <c r="W947" t="inlineStr"/>
      <c r="X947" s="28">
        <f>IF(L947+M947=0,"",L947+M947)</f>
        <v/>
      </c>
      <c r="Y947" s="38">
        <f>IF(L947=0,"",M947/L947)</f>
        <v/>
      </c>
      <c r="Z947" t="inlineStr">
        <is>
          <t>Director &amp; Investment Officer</t>
        </is>
      </c>
      <c r="AA947" t="inlineStr">
        <is>
          <t>Investments</t>
        </is>
      </c>
      <c r="AB947" s="50" t="inlineStr"/>
      <c r="AC947" s="43">
        <f>HYPERLINK("https://projects.propublica.org/nonprofits/organizations/930386908/202531279349301508/full","view filing")</f>
        <v/>
      </c>
      <c r="AD947" s="50" t="inlineStr"/>
    </row>
    <row r="948">
      <c r="A948" t="inlineStr">
        <is>
          <t>Reed Institute</t>
        </is>
      </c>
      <c r="B948" s="50" t="inlineStr">
        <is>
          <t>OR</t>
        </is>
      </c>
      <c r="C948" s="52" t="n">
        <v>0.88</v>
      </c>
      <c r="D948" t="inlineStr">
        <is>
          <t>Endowment</t>
        </is>
      </c>
      <c r="E948" s="50" t="n">
        <v>2024</v>
      </c>
      <c r="F948" s="50" t="inlineStr">
        <is>
          <t>2025-05-05</t>
        </is>
      </c>
      <c r="G948" s="50" t="inlineStr">
        <is>
          <t>2024-06-30</t>
        </is>
      </c>
      <c r="H948" t="inlineStr">
        <is>
          <t>Erik Bernhardt</t>
        </is>
      </c>
      <c r="I948" t="inlineStr">
        <is>
          <t>Chief Investment Officer</t>
        </is>
      </c>
      <c r="J948" t="inlineStr">
        <is>
          <t>CIO</t>
        </is>
      </c>
      <c r="K948" t="inlineStr">
        <is>
          <t>CIO - Top Investment Executive</t>
        </is>
      </c>
      <c r="L948" s="28" t="n">
        <v>369009</v>
      </c>
      <c r="M948" s="28" t="n">
        <v>61176</v>
      </c>
      <c r="N948" s="28" t="n">
        <v>863</v>
      </c>
      <c r="O948" s="28" t="n">
        <v>33000</v>
      </c>
      <c r="P948" s="28" t="n">
        <v>23936</v>
      </c>
      <c r="Q948" s="28" t="n">
        <v>487984</v>
      </c>
      <c r="R948" s="28" t="n">
        <v>0</v>
      </c>
      <c r="S948" s="28">
        <f>Q948-R948</f>
        <v/>
      </c>
      <c r="T948" s="28">
        <f>IF(S948="","",S948*(1+in_GrowthRate)^(YEARFRAC(DATE(2024,6,30),in_AgeToDate)*IF(in_AgeToDate&lt;DATE(2024,6,30),-1,1)+1))</f>
        <v/>
      </c>
      <c r="U948" s="50">
        <f>IF(AND(AND(OR(in_Mode="All Funds",AND(C948&gt;=in_BandFloor,C948&lt;=in_BandCeiling,OR(in_Geography="National",COUNTIFS(lst_GeoPreset,in_Geography,lst_GeoState,B948)&gt;0,AND(in_Geography="Custom",ISNUMBER(SEARCH(B948,SUBSTITUTE(in_CustomStates," ",""))))),OR(AND(D948="Endowment",Inputs!$B$14="Y"),AND(D948="Foundation",Inputs!$B$15="Y"),AND(D948="Healthcare",Inputs!$B$16="Y"),AND(D948="Pension",Inputs!$B$17="Y"),AND(D948="OCIO",Inputs!$B$18="Y"),AND(D948="Other",Inputs!$B$19="Y")))),A948&lt;&gt;in_ClientOrg,NOT(AND(in_ExclHarvard="Y",ISNUMBER(SEARCH("Harvard",A948))))),$AD948="Y",K948&lt;&gt;"",S948&gt;0),"Y","")</f>
        <v/>
      </c>
      <c r="V948" s="30" t="n">
        <v>1</v>
      </c>
      <c r="W948" t="inlineStr"/>
      <c r="X948" s="28">
        <f>IF(L948+M948=0,"",L948+M948)</f>
        <v/>
      </c>
      <c r="Y948" s="38">
        <f>IF(L948=0,"",M948/L948)</f>
        <v/>
      </c>
      <c r="Z948" t="inlineStr">
        <is>
          <t>CIO - Top Investment Executive</t>
        </is>
      </c>
      <c r="AA948" t="inlineStr">
        <is>
          <t>Leadership</t>
        </is>
      </c>
      <c r="AB948" s="50" t="inlineStr">
        <is>
          <t>Y</t>
        </is>
      </c>
      <c r="AC948" s="43">
        <f>HYPERLINK("https://projects.propublica.org/nonprofits/organizations/930386908/202531279349301508/full","view filing")</f>
        <v/>
      </c>
      <c r="AD948" s="50" t="inlineStr"/>
    </row>
    <row r="949">
      <c r="A949" t="inlineStr">
        <is>
          <t>Reed Institute</t>
        </is>
      </c>
      <c r="B949" s="50" t="inlineStr">
        <is>
          <t>OR</t>
        </is>
      </c>
      <c r="C949" s="52" t="n">
        <v>0.88</v>
      </c>
      <c r="D949" t="inlineStr">
        <is>
          <t>Endowment</t>
        </is>
      </c>
      <c r="E949" s="50" t="n">
        <v>2023</v>
      </c>
      <c r="F949" s="50" t="inlineStr">
        <is>
          <t>2024-05-01</t>
        </is>
      </c>
      <c r="G949" s="50" t="inlineStr">
        <is>
          <t>2023-06-30</t>
        </is>
      </c>
      <c r="H949" t="inlineStr">
        <is>
          <t>Andrew Lonergan</t>
        </is>
      </c>
      <c r="I949" t="inlineStr">
        <is>
          <t>Director of Investments</t>
        </is>
      </c>
      <c r="J949" t="inlineStr">
        <is>
          <t>Director of Investments</t>
        </is>
      </c>
      <c r="K949" t="inlineStr">
        <is>
          <t>Sr Investment Professional</t>
        </is>
      </c>
      <c r="L949" s="28" t="n">
        <v>186155</v>
      </c>
      <c r="M949" s="28" t="n">
        <v>21944</v>
      </c>
      <c r="N949" s="28" t="n">
        <v>595</v>
      </c>
      <c r="O949" s="28" t="n">
        <v>18615</v>
      </c>
      <c r="P949" s="28" t="n">
        <v>20237</v>
      </c>
      <c r="Q949" s="28" t="n">
        <v>247546</v>
      </c>
      <c r="R949" s="28" t="n">
        <v>0</v>
      </c>
      <c r="S949" s="28">
        <f>Q949-R949</f>
        <v/>
      </c>
      <c r="T949" s="28">
        <f>IF(S949="","",S949*(1+in_GrowthRate)^(YEARFRAC(DATE(2023,6,30),in_AgeToDate)*IF(in_AgeToDate&lt;DATE(2023,6,30),-1,1)+1))</f>
        <v/>
      </c>
      <c r="U949" s="50">
        <f>IF(AND(AND(OR(in_Mode="All Funds",AND(C949&gt;=in_BandFloor,C949&lt;=in_BandCeiling,OR(in_Geography="National",COUNTIFS(lst_GeoPreset,in_Geography,lst_GeoState,B949)&gt;0,AND(in_Geography="Custom",ISNUMBER(SEARCH(B949,SUBSTITUTE(in_CustomStates," ",""))))),OR(AND(D949="Endowment",Inputs!$B$14="Y"),AND(D949="Foundation",Inputs!$B$15="Y"),AND(D949="Healthcare",Inputs!$B$16="Y"),AND(D949="Pension",Inputs!$B$17="Y"),AND(D949="OCIO",Inputs!$B$18="Y"),AND(D949="Other",Inputs!$B$19="Y")))),A949&lt;&gt;in_ClientOrg,NOT(AND(in_ExclHarvard="Y",ISNUMBER(SEARCH("Harvard",A949))))),$AD949="Y",K949&lt;&gt;"",S949&gt;0),"Y","")</f>
        <v/>
      </c>
      <c r="V949" s="30" t="n">
        <v>0.5576151571056254</v>
      </c>
      <c r="W949" t="inlineStr"/>
      <c r="X949" s="28">
        <f>IF(L949+M949=0,"",L949+M949)</f>
        <v/>
      </c>
      <c r="Y949" s="38">
        <f>IF(L949=0,"",M949/L949)</f>
        <v/>
      </c>
      <c r="Z949" t="inlineStr">
        <is>
          <t>Director &amp; Investment Officer</t>
        </is>
      </c>
      <c r="AA949" t="inlineStr">
        <is>
          <t>Investments</t>
        </is>
      </c>
      <c r="AB949" s="50" t="inlineStr"/>
      <c r="AC949" s="43">
        <f>HYPERLINK("https://projects.propublica.org/nonprofits/organizations/930386908/202401279349302600/full","view filing")</f>
        <v/>
      </c>
      <c r="AD949" s="50" t="inlineStr"/>
    </row>
    <row r="950">
      <c r="A950" t="inlineStr">
        <is>
          <t>Reed Institute</t>
        </is>
      </c>
      <c r="B950" s="50" t="inlineStr">
        <is>
          <t>OR</t>
        </is>
      </c>
      <c r="C950" s="52" t="n">
        <v>0.88</v>
      </c>
      <c r="D950" t="inlineStr">
        <is>
          <t>Endowment</t>
        </is>
      </c>
      <c r="E950" s="50" t="n">
        <v>2023</v>
      </c>
      <c r="F950" s="50" t="inlineStr">
        <is>
          <t>2024-05-01</t>
        </is>
      </c>
      <c r="G950" s="50" t="inlineStr">
        <is>
          <t>2023-06-30</t>
        </is>
      </c>
      <c r="H950" t="inlineStr">
        <is>
          <t>Erik Bernhardt</t>
        </is>
      </c>
      <c r="I950" t="inlineStr">
        <is>
          <t>Chief Investment Officer</t>
        </is>
      </c>
      <c r="J950" t="inlineStr">
        <is>
          <t>CIO</t>
        </is>
      </c>
      <c r="K950" t="inlineStr">
        <is>
          <t>CIO - Top Investment Executive</t>
        </is>
      </c>
      <c r="L950" s="28" t="n">
        <v>348600</v>
      </c>
      <c r="M950" s="28" t="n">
        <v>41093</v>
      </c>
      <c r="N950" s="28" t="n">
        <v>900</v>
      </c>
      <c r="O950" s="28" t="n">
        <v>30500</v>
      </c>
      <c r="P950" s="28" t="n">
        <v>22844</v>
      </c>
      <c r="Q950" s="28" t="n">
        <v>443937</v>
      </c>
      <c r="R950" s="28" t="n">
        <v>0</v>
      </c>
      <c r="S950" s="28">
        <f>Q950-R950</f>
        <v/>
      </c>
      <c r="T950" s="28">
        <f>IF(S950="","",S950*(1+in_GrowthRate)^(YEARFRAC(DATE(2023,6,30),in_AgeToDate)*IF(in_AgeToDate&lt;DATE(2023,6,30),-1,1)+1))</f>
        <v/>
      </c>
      <c r="U950" s="50">
        <f>IF(AND(AND(OR(in_Mode="All Funds",AND(C950&gt;=in_BandFloor,C950&lt;=in_BandCeiling,OR(in_Geography="National",COUNTIFS(lst_GeoPreset,in_Geography,lst_GeoState,B950)&gt;0,AND(in_Geography="Custom",ISNUMBER(SEARCH(B950,SUBSTITUTE(in_CustomStates," ",""))))),OR(AND(D950="Endowment",Inputs!$B$14="Y"),AND(D950="Foundation",Inputs!$B$15="Y"),AND(D950="Healthcare",Inputs!$B$16="Y"),AND(D950="Pension",Inputs!$B$17="Y"),AND(D950="OCIO",Inputs!$B$18="Y"),AND(D950="Other",Inputs!$B$19="Y")))),A950&lt;&gt;in_ClientOrg,NOT(AND(in_ExclHarvard="Y",ISNUMBER(SEARCH("Harvard",A950))))),$AD950="Y",K950&lt;&gt;"",S950&gt;0),"Y","")</f>
        <v/>
      </c>
      <c r="V950" s="30" t="n">
        <v>1</v>
      </c>
      <c r="W950" t="inlineStr"/>
      <c r="X950" s="28">
        <f>IF(L950+M950=0,"",L950+M950)</f>
        <v/>
      </c>
      <c r="Y950" s="38">
        <f>IF(L950=0,"",M950/L950)</f>
        <v/>
      </c>
      <c r="Z950" t="inlineStr">
        <is>
          <t>CIO - Top Investment Executive</t>
        </is>
      </c>
      <c r="AA950" t="inlineStr">
        <is>
          <t>Leadership</t>
        </is>
      </c>
      <c r="AB950" s="50" t="inlineStr">
        <is>
          <t>Y</t>
        </is>
      </c>
      <c r="AC950" s="43">
        <f>HYPERLINK("https://projects.propublica.org/nonprofits/organizations/930386908/202401279349302600/full","view filing")</f>
        <v/>
      </c>
      <c r="AD950" s="50" t="inlineStr"/>
    </row>
    <row r="951">
      <c r="A951" t="inlineStr">
        <is>
          <t>Reed Institute</t>
        </is>
      </c>
      <c r="B951" s="50" t="inlineStr">
        <is>
          <t>OR</t>
        </is>
      </c>
      <c r="C951" s="52" t="n">
        <v>0.88</v>
      </c>
      <c r="D951" t="inlineStr">
        <is>
          <t>Endowment</t>
        </is>
      </c>
      <c r="E951" s="50" t="n">
        <v>2022</v>
      </c>
      <c r="F951" s="50" t="inlineStr">
        <is>
          <t>2023-05-09</t>
        </is>
      </c>
      <c r="G951" s="50" t="inlineStr">
        <is>
          <t>2022-06-30</t>
        </is>
      </c>
      <c r="H951" t="inlineStr">
        <is>
          <t>Erik Bernhardt</t>
        </is>
      </c>
      <c r="I951" t="inlineStr">
        <is>
          <t>Chief Investment Officer</t>
        </is>
      </c>
      <c r="J951" t="inlineStr">
        <is>
          <t>CIO</t>
        </is>
      </c>
      <c r="K951" t="inlineStr">
        <is>
          <t>CIO - Top Investment Executive</t>
        </is>
      </c>
      <c r="L951" s="28" t="n">
        <v>333594</v>
      </c>
      <c r="M951" s="28" t="n">
        <v>0</v>
      </c>
      <c r="N951" s="28" t="n">
        <v>0</v>
      </c>
      <c r="O951" s="28" t="n">
        <v>29000</v>
      </c>
      <c r="P951" s="28" t="n">
        <v>22375</v>
      </c>
      <c r="Q951" s="28" t="n">
        <v>384969</v>
      </c>
      <c r="R951" s="28" t="n">
        <v>0</v>
      </c>
      <c r="S951" s="28">
        <f>Q951-R951</f>
        <v/>
      </c>
      <c r="T951" s="28">
        <f>IF(S951="","",S951*(1+in_GrowthRate)^(YEARFRAC(DATE(2022,6,30),in_AgeToDate)*IF(in_AgeToDate&lt;DATE(2022,6,30),-1,1)+1))</f>
        <v/>
      </c>
      <c r="U951" s="50">
        <f>IF(AND(AND(OR(in_Mode="All Funds",AND(C951&gt;=in_BandFloor,C951&lt;=in_BandCeiling,OR(in_Geography="National",COUNTIFS(lst_GeoPreset,in_Geography,lst_GeoState,B951)&gt;0,AND(in_Geography="Custom",ISNUMBER(SEARCH(B951,SUBSTITUTE(in_CustomStates," ",""))))),OR(AND(D951="Endowment",Inputs!$B$14="Y"),AND(D951="Foundation",Inputs!$B$15="Y"),AND(D951="Healthcare",Inputs!$B$16="Y"),AND(D951="Pension",Inputs!$B$17="Y"),AND(D951="OCIO",Inputs!$B$18="Y"),AND(D951="Other",Inputs!$B$19="Y")))),A951&lt;&gt;in_ClientOrg,NOT(AND(in_ExclHarvard="Y",ISNUMBER(SEARCH("Harvard",A951))))),$AD951="Y",K951&lt;&gt;"",S951&gt;0),"Y","")</f>
        <v/>
      </c>
      <c r="V951" s="30" t="n">
        <v>1</v>
      </c>
      <c r="W951" t="inlineStr"/>
      <c r="X951" s="28">
        <f>IF(L951+M951=0,"",L951+M951)</f>
        <v/>
      </c>
      <c r="Y951" s="38">
        <f>IF(L951=0,"",M951/L951)</f>
        <v/>
      </c>
      <c r="Z951" t="inlineStr">
        <is>
          <t>CIO - Top Investment Executive</t>
        </is>
      </c>
      <c r="AA951" t="inlineStr">
        <is>
          <t>Leadership</t>
        </is>
      </c>
      <c r="AB951" s="50" t="inlineStr">
        <is>
          <t>Y</t>
        </is>
      </c>
      <c r="AC951" s="43">
        <f>HYPERLINK("https://projects.propublica.org/nonprofits/organizations/930386908/202321299349304247/full","view filing")</f>
        <v/>
      </c>
      <c r="AD951" s="50" t="inlineStr"/>
    </row>
    <row r="952">
      <c r="A952" t="inlineStr">
        <is>
          <t>Rf Catalytic Capital Inc</t>
        </is>
      </c>
      <c r="B952" s="50" t="inlineStr">
        <is>
          <t>NY</t>
        </is>
      </c>
      <c r="C952" s="52" t="n">
        <v>0.18</v>
      </c>
      <c r="D952" t="inlineStr">
        <is>
          <t>Foundation</t>
        </is>
      </c>
      <c r="E952" s="50" t="n">
        <v>2024</v>
      </c>
      <c r="F952" s="50" t="inlineStr">
        <is>
          <t>2025-11-07</t>
        </is>
      </c>
      <c r="G952" s="50" t="inlineStr">
        <is>
          <t>2024-12-31</t>
        </is>
      </c>
      <c r="H952" t="inlineStr">
        <is>
          <t>Stefana Fairholme</t>
        </is>
      </c>
      <c r="I952" t="inlineStr">
        <is>
          <t>CHIEF INVESTMENT OFFICER OF GEAPP</t>
        </is>
      </c>
      <c r="J952" t="inlineStr">
        <is>
          <t>CIO</t>
        </is>
      </c>
      <c r="K952" t="inlineStr">
        <is>
          <t>CIO - Top Investment Executive</t>
        </is>
      </c>
      <c r="L952" s="28" t="n">
        <v>410799</v>
      </c>
      <c r="M952" s="28" t="n">
        <v>0</v>
      </c>
      <c r="N952" s="28" t="n">
        <v>978</v>
      </c>
      <c r="O952" s="28" t="n">
        <v>41080</v>
      </c>
      <c r="P952" s="28" t="n">
        <v>0</v>
      </c>
      <c r="Q952" s="28" t="n">
        <v>452857</v>
      </c>
      <c r="R952" s="28" t="n">
        <v>0</v>
      </c>
      <c r="S952" s="28">
        <f>Q952-R952</f>
        <v/>
      </c>
      <c r="T952" s="28">
        <f>IF(S952="","",S952*(1+in_GrowthRate)^(YEARFRAC(DATE(2024,12,31),in_AgeToDate)*IF(in_AgeToDate&lt;DATE(2024,12,31),-1,1)+1))</f>
        <v/>
      </c>
      <c r="U952" s="50">
        <f>IF(AND(AND(OR(in_Mode="All Funds",AND(C952&gt;=in_BandFloor,C952&lt;=in_BandCeiling,OR(in_Geography="National",COUNTIFS(lst_GeoPreset,in_Geography,lst_GeoState,B952)&gt;0,AND(in_Geography="Custom",ISNUMBER(SEARCH(B952,SUBSTITUTE(in_CustomStates," ",""))))),OR(AND(D952="Endowment",Inputs!$B$14="Y"),AND(D952="Foundation",Inputs!$B$15="Y"),AND(D952="Healthcare",Inputs!$B$16="Y"),AND(D952="Pension",Inputs!$B$17="Y"),AND(D952="OCIO",Inputs!$B$18="Y"),AND(D952="Other",Inputs!$B$19="Y")))),A952&lt;&gt;in_ClientOrg,NOT(AND(in_ExclHarvard="Y",ISNUMBER(SEARCH("Harvard",A952))))),$AD952="Y",K952&lt;&gt;"",S952&gt;0),"Y","")</f>
        <v/>
      </c>
      <c r="V952" s="30" t="n">
        <v>1</v>
      </c>
      <c r="W952" t="inlineStr"/>
      <c r="X952" s="28">
        <f>IF(L952+M952=0,"",L952+M952)</f>
        <v/>
      </c>
      <c r="Y952" s="38">
        <f>IF(L952=0,"",M952/L952)</f>
        <v/>
      </c>
      <c r="Z952" t="inlineStr">
        <is>
          <t>CIO - Top Investment Executive</t>
        </is>
      </c>
      <c r="AA952" t="inlineStr">
        <is>
          <t>Leadership</t>
        </is>
      </c>
      <c r="AB952" s="50" t="inlineStr">
        <is>
          <t>Y</t>
        </is>
      </c>
      <c r="AC952" s="43">
        <f>HYPERLINK("https://projects.propublica.org/nonprofits/organizations/852150251/202513119349303756/full","view filing")</f>
        <v/>
      </c>
      <c r="AD952" s="50" t="inlineStr">
        <is>
          <t>Y</t>
        </is>
      </c>
    </row>
    <row r="953">
      <c r="A953" t="inlineStr">
        <is>
          <t>Rf Catalytic Capital Inc</t>
        </is>
      </c>
      <c r="B953" s="50" t="inlineStr">
        <is>
          <t>NY</t>
        </is>
      </c>
      <c r="C953" s="52" t="n">
        <v>0.18</v>
      </c>
      <c r="D953" t="inlineStr">
        <is>
          <t>Foundation</t>
        </is>
      </c>
      <c r="E953" s="50" t="n">
        <v>2023</v>
      </c>
      <c r="F953" s="50" t="inlineStr">
        <is>
          <t>2024-11-08</t>
        </is>
      </c>
      <c r="G953" s="50" t="inlineStr">
        <is>
          <t>2023-12-31</t>
        </is>
      </c>
      <c r="H953" t="inlineStr">
        <is>
          <t>Stefana Fairholme</t>
        </is>
      </c>
      <c r="I953" t="inlineStr">
        <is>
          <t>CHIEF INVESTMENT OFFICER OF GEAPP</t>
        </is>
      </c>
      <c r="J953" t="inlineStr">
        <is>
          <t>CIO</t>
        </is>
      </c>
      <c r="K953" t="inlineStr">
        <is>
          <t>CIO - Top Investment Executive</t>
        </is>
      </c>
      <c r="L953" s="28" t="n">
        <v>360353</v>
      </c>
      <c r="M953" s="28" t="n">
        <v>0</v>
      </c>
      <c r="N953" s="28" t="n">
        <v>1028</v>
      </c>
      <c r="O953" s="28" t="n">
        <v>64864</v>
      </c>
      <c r="P953" s="28" t="n">
        <v>0</v>
      </c>
      <c r="Q953" s="28" t="n">
        <v>426245</v>
      </c>
      <c r="R953" s="28" t="n">
        <v>0</v>
      </c>
      <c r="S953" s="28">
        <f>Q953-R953</f>
        <v/>
      </c>
      <c r="T953" s="28">
        <f>IF(S953="","",S953*(1+in_GrowthRate)^(YEARFRAC(DATE(2023,12,31),in_AgeToDate)*IF(in_AgeToDate&lt;DATE(2023,12,31),-1,1)+1))</f>
        <v/>
      </c>
      <c r="U953" s="50">
        <f>IF(AND(AND(OR(in_Mode="All Funds",AND(C953&gt;=in_BandFloor,C953&lt;=in_BandCeiling,OR(in_Geography="National",COUNTIFS(lst_GeoPreset,in_Geography,lst_GeoState,B953)&gt;0,AND(in_Geography="Custom",ISNUMBER(SEARCH(B953,SUBSTITUTE(in_CustomStates," ",""))))),OR(AND(D953="Endowment",Inputs!$B$14="Y"),AND(D953="Foundation",Inputs!$B$15="Y"),AND(D953="Healthcare",Inputs!$B$16="Y"),AND(D953="Pension",Inputs!$B$17="Y"),AND(D953="OCIO",Inputs!$B$18="Y"),AND(D953="Other",Inputs!$B$19="Y")))),A953&lt;&gt;in_ClientOrg,NOT(AND(in_ExclHarvard="Y",ISNUMBER(SEARCH("Harvard",A953))))),$AD953="Y",K953&lt;&gt;"",S953&gt;0),"Y","")</f>
        <v/>
      </c>
      <c r="V953" s="30" t="n">
        <v>1</v>
      </c>
      <c r="W953" t="inlineStr"/>
      <c r="X953" s="28">
        <f>IF(L953+M953=0,"",L953+M953)</f>
        <v/>
      </c>
      <c r="Y953" s="38">
        <f>IF(L953=0,"",M953/L953)</f>
        <v/>
      </c>
      <c r="Z953" t="inlineStr">
        <is>
          <t>CIO - Top Investment Executive</t>
        </is>
      </c>
      <c r="AA953" t="inlineStr">
        <is>
          <t>Leadership</t>
        </is>
      </c>
      <c r="AB953" s="50" t="inlineStr">
        <is>
          <t>Y</t>
        </is>
      </c>
      <c r="AC953" s="43">
        <f>HYPERLINK("https://projects.propublica.org/nonprofits/organizations/852150251/202413139349303401/full","view filing")</f>
        <v/>
      </c>
      <c r="AD953" s="50" t="inlineStr"/>
    </row>
    <row r="954">
      <c r="A954" t="inlineStr">
        <is>
          <t>Richard King Mellon Foundation Dtd 01 01 47</t>
        </is>
      </c>
      <c r="B954" s="50" t="inlineStr">
        <is>
          <t>PA</t>
        </is>
      </c>
      <c r="C954" s="52" t="n">
        <v>3.19</v>
      </c>
      <c r="D954" t="inlineStr">
        <is>
          <t>Foundation</t>
        </is>
      </c>
      <c r="E954" s="50" t="n">
        <v>2023</v>
      </c>
      <c r="F954" s="50" t="inlineStr">
        <is>
          <t>2024-11-14</t>
        </is>
      </c>
      <c r="G954" s="50" t="inlineStr">
        <is>
          <t>2023-12-31</t>
        </is>
      </c>
      <c r="H954" t="inlineStr">
        <is>
          <t>Patrick J Strollo Iii</t>
        </is>
      </c>
      <c r="I954" t="inlineStr">
        <is>
          <t>VP/INVESTMENT OFFICE</t>
        </is>
      </c>
      <c r="J954" t="inlineStr">
        <is>
          <t>Director of Investments</t>
        </is>
      </c>
      <c r="K954" t="inlineStr">
        <is>
          <t>Sr Investment Professional</t>
        </is>
      </c>
      <c r="L954" s="28" t="n">
        <v>0</v>
      </c>
      <c r="M954" s="28" t="n">
        <v>0</v>
      </c>
      <c r="N954" s="28" t="n">
        <v>0</v>
      </c>
      <c r="O954" s="28" t="n">
        <v>0</v>
      </c>
      <c r="P954" s="28" t="n">
        <v>0</v>
      </c>
      <c r="Q954" s="28" t="n">
        <v>194821</v>
      </c>
      <c r="R954" s="28" t="n">
        <v>0</v>
      </c>
      <c r="S954" s="28">
        <f>Q954-R954</f>
        <v/>
      </c>
      <c r="T954" s="28">
        <f>IF(S954="","",S954*(1+in_GrowthRate)^(YEARFRAC(DATE(2023,12,31),in_AgeToDate)*IF(in_AgeToDate&lt;DATE(2023,12,31),-1,1)+1))</f>
        <v/>
      </c>
      <c r="U954" s="50">
        <f>IF(AND(AND(OR(in_Mode="All Funds",AND(C954&gt;=in_BandFloor,C954&lt;=in_BandCeiling,OR(in_Geography="National",COUNTIFS(lst_GeoPreset,in_Geography,lst_GeoState,B954)&gt;0,AND(in_Geography="Custom",ISNUMBER(SEARCH(B954,SUBSTITUTE(in_CustomStates," ",""))))),OR(AND(D954="Endowment",Inputs!$B$14="Y"),AND(D954="Foundation",Inputs!$B$15="Y"),AND(D954="Healthcare",Inputs!$B$16="Y"),AND(D954="Pension",Inputs!$B$17="Y"),AND(D954="OCIO",Inputs!$B$18="Y"),AND(D954="Other",Inputs!$B$19="Y")))),A954&lt;&gt;in_ClientOrg,NOT(AND(in_ExclHarvard="Y",ISNUMBER(SEARCH("Harvard",A954))))),$AD954="Y",K954&lt;&gt;"",S954&gt;0),"Y","")</f>
        <v/>
      </c>
      <c r="V954" s="30" t="n"/>
      <c r="W954" t="inlineStr"/>
      <c r="X954" s="28">
        <f>IF(L954+M954=0,"",L954+M954)</f>
        <v/>
      </c>
      <c r="Y954" s="38">
        <f>IF(L954=0,"",M954/L954)</f>
        <v/>
      </c>
      <c r="Z954" t="inlineStr">
        <is>
          <t>Director &amp; Investment Officer</t>
        </is>
      </c>
      <c r="AA954" t="inlineStr">
        <is>
          <t>Investments</t>
        </is>
      </c>
      <c r="AB954" s="50" t="inlineStr"/>
      <c r="AC954" s="43">
        <f>HYPERLINK("https://projects.propublica.org/nonprofits/organizations/251127705/202423199349102637/full","view filing")</f>
        <v/>
      </c>
      <c r="AD954" s="50" t="inlineStr"/>
    </row>
    <row r="955">
      <c r="A955" t="inlineStr">
        <is>
          <t>Robert Wood Johnson Foundation</t>
        </is>
      </c>
      <c r="B955" s="50" t="inlineStr">
        <is>
          <t>NJ</t>
        </is>
      </c>
      <c r="C955" s="52" t="n">
        <v>12.61</v>
      </c>
      <c r="D955" t="inlineStr">
        <is>
          <t>Foundation</t>
        </is>
      </c>
      <c r="E955" s="50" t="n">
        <v>2024</v>
      </c>
      <c r="F955" s="50" t="inlineStr">
        <is>
          <t>2025-11-06</t>
        </is>
      </c>
      <c r="G955" s="50" t="inlineStr">
        <is>
          <t>2024-12-31</t>
        </is>
      </c>
      <c r="H955" t="inlineStr">
        <is>
          <t>Joshua Stern</t>
        </is>
      </c>
      <c r="I955" t="inlineStr">
        <is>
          <t>MD PRIVATE INV</t>
        </is>
      </c>
      <c r="J955" t="inlineStr">
        <is>
          <t>Managing Director</t>
        </is>
      </c>
      <c r="K955" t="inlineStr">
        <is>
          <t>Sr Investment Professional</t>
        </is>
      </c>
      <c r="L955" s="28" t="n">
        <v>0</v>
      </c>
      <c r="M955" s="28" t="n">
        <v>0</v>
      </c>
      <c r="N955" s="28" t="n">
        <v>0</v>
      </c>
      <c r="O955" s="28" t="n">
        <v>0</v>
      </c>
      <c r="P955" s="28" t="n">
        <v>0</v>
      </c>
      <c r="Q955" s="28" t="n">
        <v>1053144</v>
      </c>
      <c r="R955" s="28" t="n">
        <v>0</v>
      </c>
      <c r="S955" s="28">
        <f>Q955-R955</f>
        <v/>
      </c>
      <c r="T955" s="28">
        <f>IF(S955="","",S955*(1+in_GrowthRate)^(YEARFRAC(DATE(2024,12,31),in_AgeToDate)*IF(in_AgeToDate&lt;DATE(2024,12,31),-1,1)+1))</f>
        <v/>
      </c>
      <c r="U955" s="50">
        <f>IF(AND(AND(OR(in_Mode="All Funds",AND(C955&gt;=in_BandFloor,C955&lt;=in_BandCeiling,OR(in_Geography="National",COUNTIFS(lst_GeoPreset,in_Geography,lst_GeoState,B955)&gt;0,AND(in_Geography="Custom",ISNUMBER(SEARCH(B955,SUBSTITUTE(in_CustomStates," ",""))))),OR(AND(D955="Endowment",Inputs!$B$14="Y"),AND(D955="Foundation",Inputs!$B$15="Y"),AND(D955="Healthcare",Inputs!$B$16="Y"),AND(D955="Pension",Inputs!$B$17="Y"),AND(D955="OCIO",Inputs!$B$18="Y"),AND(D955="Other",Inputs!$B$19="Y")))),A955&lt;&gt;in_ClientOrg,NOT(AND(in_ExclHarvard="Y",ISNUMBER(SEARCH("Harvard",A955))))),$AD955="Y",K955&lt;&gt;"",S955&gt;0),"Y","")</f>
        <v/>
      </c>
      <c r="V955" s="30" t="n">
        <v>0.4736200898990603</v>
      </c>
      <c r="W955" t="inlineStr"/>
      <c r="X955" s="28">
        <f>IF(L955+M955=0,"",L955+M955)</f>
        <v/>
      </c>
      <c r="Y955" s="38">
        <f>IF(L955=0,"",M955/L955)</f>
        <v/>
      </c>
      <c r="Z955" t="inlineStr">
        <is>
          <t>Managing Director</t>
        </is>
      </c>
      <c r="AA955" t="inlineStr">
        <is>
          <t>Investments</t>
        </is>
      </c>
      <c r="AB955" s="50" t="inlineStr"/>
      <c r="AC955" s="43">
        <f>HYPERLINK("https://projects.propublica.org/nonprofits/organizations/226029397/202503109349101385/full","view filing")</f>
        <v/>
      </c>
      <c r="AD955" s="50" t="inlineStr">
        <is>
          <t>Y</t>
        </is>
      </c>
    </row>
    <row r="956">
      <c r="A956" t="inlineStr">
        <is>
          <t>Robert Wood Johnson Foundation</t>
        </is>
      </c>
      <c r="B956" s="50" t="inlineStr">
        <is>
          <t>NJ</t>
        </is>
      </c>
      <c r="C956" s="52" t="n">
        <v>12.61</v>
      </c>
      <c r="D956" t="inlineStr">
        <is>
          <t>Foundation</t>
        </is>
      </c>
      <c r="E956" s="50" t="n">
        <v>2024</v>
      </c>
      <c r="F956" s="50" t="inlineStr">
        <is>
          <t>2025-11-06</t>
        </is>
      </c>
      <c r="G956" s="50" t="inlineStr">
        <is>
          <t>2024-12-31</t>
        </is>
      </c>
      <c r="H956" t="inlineStr">
        <is>
          <t>May Ng</t>
        </is>
      </c>
      <c r="I956" t="inlineStr">
        <is>
          <t>CIO</t>
        </is>
      </c>
      <c r="J956" t="inlineStr">
        <is>
          <t>CIO</t>
        </is>
      </c>
      <c r="K956" t="inlineStr">
        <is>
          <t>CIO - Top Investment Executive</t>
        </is>
      </c>
      <c r="L956" s="28" t="n">
        <v>0</v>
      </c>
      <c r="M956" s="28" t="n">
        <v>0</v>
      </c>
      <c r="N956" s="28" t="n">
        <v>0</v>
      </c>
      <c r="O956" s="28" t="n">
        <v>0</v>
      </c>
      <c r="P956" s="28" t="n">
        <v>84006</v>
      </c>
      <c r="Q956" s="28" t="n">
        <v>2223605</v>
      </c>
      <c r="R956" s="28" t="n">
        <v>0</v>
      </c>
      <c r="S956" s="28">
        <f>Q956-R956</f>
        <v/>
      </c>
      <c r="T956" s="28">
        <f>IF(S956="","",S956*(1+in_GrowthRate)^(YEARFRAC(DATE(2024,12,31),in_AgeToDate)*IF(in_AgeToDate&lt;DATE(2024,12,31),-1,1)+1))</f>
        <v/>
      </c>
      <c r="U956" s="50">
        <f>IF(AND(AND(OR(in_Mode="All Funds",AND(C956&gt;=in_BandFloor,C956&lt;=in_BandCeiling,OR(in_Geography="National",COUNTIFS(lst_GeoPreset,in_Geography,lst_GeoState,B956)&gt;0,AND(in_Geography="Custom",ISNUMBER(SEARCH(B956,SUBSTITUTE(in_CustomStates," ",""))))),OR(AND(D956="Endowment",Inputs!$B$14="Y"),AND(D956="Foundation",Inputs!$B$15="Y"),AND(D956="Healthcare",Inputs!$B$16="Y"),AND(D956="Pension",Inputs!$B$17="Y"),AND(D956="OCIO",Inputs!$B$18="Y"),AND(D956="Other",Inputs!$B$19="Y")))),A956&lt;&gt;in_ClientOrg,NOT(AND(in_ExclHarvard="Y",ISNUMBER(SEARCH("Harvard",A956))))),$AD956="Y",K956&lt;&gt;"",S956&gt;0),"Y","")</f>
        <v/>
      </c>
      <c r="V956" s="30" t="n">
        <v>1</v>
      </c>
      <c r="W956" t="inlineStr"/>
      <c r="X956" s="28">
        <f>IF(L956+M956=0,"",L956+M956)</f>
        <v/>
      </c>
      <c r="Y956" s="38">
        <f>IF(L956=0,"",M956/L956)</f>
        <v/>
      </c>
      <c r="Z956" t="inlineStr">
        <is>
          <t>CIO - Top Investment Executive</t>
        </is>
      </c>
      <c r="AA956" t="inlineStr">
        <is>
          <t>Leadership</t>
        </is>
      </c>
      <c r="AB956" s="50" t="inlineStr">
        <is>
          <t>Y</t>
        </is>
      </c>
      <c r="AC956" s="43">
        <f>HYPERLINK("https://projects.propublica.org/nonprofits/organizations/226029397/202503109349101385/full","view filing")</f>
        <v/>
      </c>
      <c r="AD956" s="50" t="inlineStr">
        <is>
          <t>Y</t>
        </is>
      </c>
    </row>
    <row r="957">
      <c r="A957" t="inlineStr">
        <is>
          <t>Robert Wood Johnson Foundation</t>
        </is>
      </c>
      <c r="B957" s="50" t="inlineStr">
        <is>
          <t>NJ</t>
        </is>
      </c>
      <c r="C957" s="52" t="n">
        <v>12.61</v>
      </c>
      <c r="D957" t="inlineStr">
        <is>
          <t>Foundation</t>
        </is>
      </c>
      <c r="E957" s="50" t="n">
        <v>2024</v>
      </c>
      <c r="F957" s="50" t="inlineStr">
        <is>
          <t>2025-11-06</t>
        </is>
      </c>
      <c r="G957" s="50" t="inlineStr">
        <is>
          <t>2024-12-31</t>
        </is>
      </c>
      <c r="H957" t="inlineStr">
        <is>
          <t>Michael Aswad</t>
        </is>
      </c>
      <c r="I957" t="inlineStr">
        <is>
          <t>MD PRIVATE INV</t>
        </is>
      </c>
      <c r="J957" t="inlineStr">
        <is>
          <t>Managing Director</t>
        </is>
      </c>
      <c r="K957" t="inlineStr">
        <is>
          <t>Sr Investment Professional</t>
        </is>
      </c>
      <c r="L957" s="28" t="n">
        <v>0</v>
      </c>
      <c r="M957" s="28" t="n">
        <v>0</v>
      </c>
      <c r="N957" s="28" t="n">
        <v>0</v>
      </c>
      <c r="O957" s="28" t="n">
        <v>0</v>
      </c>
      <c r="P957" s="28" t="n">
        <v>0</v>
      </c>
      <c r="Q957" s="28" t="n">
        <v>1310125</v>
      </c>
      <c r="R957" s="28" t="n">
        <v>0</v>
      </c>
      <c r="S957" s="28">
        <f>Q957-R957</f>
        <v/>
      </c>
      <c r="T957" s="28">
        <f>IF(S957="","",S957*(1+in_GrowthRate)^(YEARFRAC(DATE(2024,12,31),in_AgeToDate)*IF(in_AgeToDate&lt;DATE(2024,12,31),-1,1)+1))</f>
        <v/>
      </c>
      <c r="U957" s="50">
        <f>IF(AND(AND(OR(in_Mode="All Funds",AND(C957&gt;=in_BandFloor,C957&lt;=in_BandCeiling,OR(in_Geography="National",COUNTIFS(lst_GeoPreset,in_Geography,lst_GeoState,B957)&gt;0,AND(in_Geography="Custom",ISNUMBER(SEARCH(B957,SUBSTITUTE(in_CustomStates," ",""))))),OR(AND(D957="Endowment",Inputs!$B$14="Y"),AND(D957="Foundation",Inputs!$B$15="Y"),AND(D957="Healthcare",Inputs!$B$16="Y"),AND(D957="Pension",Inputs!$B$17="Y"),AND(D957="OCIO",Inputs!$B$18="Y"),AND(D957="Other",Inputs!$B$19="Y")))),A957&lt;&gt;in_ClientOrg,NOT(AND(in_ExclHarvard="Y",ISNUMBER(SEARCH("Harvard",A957))))),$AD957="Y",K957&lt;&gt;"",S957&gt;0),"Y","")</f>
        <v/>
      </c>
      <c r="V957" s="30" t="n">
        <v>0.5891896267547518</v>
      </c>
      <c r="W957" t="inlineStr"/>
      <c r="X957" s="28">
        <f>IF(L957+M957=0,"",L957+M957)</f>
        <v/>
      </c>
      <c r="Y957" s="38">
        <f>IF(L957=0,"",M957/L957)</f>
        <v/>
      </c>
      <c r="Z957" t="inlineStr">
        <is>
          <t>Managing Director</t>
        </is>
      </c>
      <c r="AA957" t="inlineStr">
        <is>
          <t>Investments</t>
        </is>
      </c>
      <c r="AB957" s="50" t="inlineStr"/>
      <c r="AC957" s="43">
        <f>HYPERLINK("https://projects.propublica.org/nonprofits/organizations/226029397/202503109349101385/full","view filing")</f>
        <v/>
      </c>
      <c r="AD957" s="50" t="inlineStr">
        <is>
          <t>Y</t>
        </is>
      </c>
    </row>
    <row r="958">
      <c r="A958" t="inlineStr">
        <is>
          <t>Robert Wood Johnson Foundation</t>
        </is>
      </c>
      <c r="B958" s="50" t="inlineStr">
        <is>
          <t>NJ</t>
        </is>
      </c>
      <c r="C958" s="52" t="n">
        <v>12.61</v>
      </c>
      <c r="D958" t="inlineStr">
        <is>
          <t>Foundation</t>
        </is>
      </c>
      <c r="E958" s="50" t="n">
        <v>2024</v>
      </c>
      <c r="F958" s="50" t="inlineStr">
        <is>
          <t>2025-11-06</t>
        </is>
      </c>
      <c r="G958" s="50" t="inlineStr">
        <is>
          <t>2024-12-31</t>
        </is>
      </c>
      <c r="H958" t="inlineStr">
        <is>
          <t>Warren Stock</t>
        </is>
      </c>
      <c r="I958" t="inlineStr">
        <is>
          <t>MD PUBLIC INV</t>
        </is>
      </c>
      <c r="J958" t="inlineStr">
        <is>
          <t>Managing Director</t>
        </is>
      </c>
      <c r="K958" t="inlineStr">
        <is>
          <t>Sr Investment Professional</t>
        </is>
      </c>
      <c r="L958" s="28" t="n">
        <v>0</v>
      </c>
      <c r="M958" s="28" t="n">
        <v>0</v>
      </c>
      <c r="N958" s="28" t="n">
        <v>0</v>
      </c>
      <c r="O958" s="28" t="n">
        <v>0</v>
      </c>
      <c r="P958" s="28" t="n">
        <v>0</v>
      </c>
      <c r="Q958" s="28" t="n">
        <v>1280876</v>
      </c>
      <c r="R958" s="28" t="n">
        <v>0</v>
      </c>
      <c r="S958" s="28">
        <f>Q958-R958</f>
        <v/>
      </c>
      <c r="T958" s="28">
        <f>IF(S958="","",S958*(1+in_GrowthRate)^(YEARFRAC(DATE(2024,12,31),in_AgeToDate)*IF(in_AgeToDate&lt;DATE(2024,12,31),-1,1)+1))</f>
        <v/>
      </c>
      <c r="U958" s="50">
        <f>IF(AND(AND(OR(in_Mode="All Funds",AND(C958&gt;=in_BandFloor,C958&lt;=in_BandCeiling,OR(in_Geography="National",COUNTIFS(lst_GeoPreset,in_Geography,lst_GeoState,B958)&gt;0,AND(in_Geography="Custom",ISNUMBER(SEARCH(B958,SUBSTITUTE(in_CustomStates," ",""))))),OR(AND(D958="Endowment",Inputs!$B$14="Y"),AND(D958="Foundation",Inputs!$B$15="Y"),AND(D958="Healthcare",Inputs!$B$16="Y"),AND(D958="Pension",Inputs!$B$17="Y"),AND(D958="OCIO",Inputs!$B$18="Y"),AND(D958="Other",Inputs!$B$19="Y")))),A958&lt;&gt;in_ClientOrg,NOT(AND(in_ExclHarvard="Y",ISNUMBER(SEARCH("Harvard",A958))))),$AD958="Y",K958&lt;&gt;"",S958&gt;0),"Y","")</f>
        <v/>
      </c>
      <c r="V958" s="30" t="n">
        <v>0.5760357617472528</v>
      </c>
      <c r="W958" t="inlineStr"/>
      <c r="X958" s="28">
        <f>IF(L958+M958=0,"",L958+M958)</f>
        <v/>
      </c>
      <c r="Y958" s="38">
        <f>IF(L958=0,"",M958/L958)</f>
        <v/>
      </c>
      <c r="Z958" t="inlineStr">
        <is>
          <t>Managing Director</t>
        </is>
      </c>
      <c r="AA958" t="inlineStr">
        <is>
          <t>Investments</t>
        </is>
      </c>
      <c r="AB958" s="50" t="inlineStr"/>
      <c r="AC958" s="43">
        <f>HYPERLINK("https://projects.propublica.org/nonprofits/organizations/226029397/202503109349101385/full","view filing")</f>
        <v/>
      </c>
      <c r="AD958" s="50" t="inlineStr">
        <is>
          <t>Y</t>
        </is>
      </c>
    </row>
    <row r="959">
      <c r="A959" t="inlineStr">
        <is>
          <t>Robert Wood Johnson Foundation</t>
        </is>
      </c>
      <c r="B959" s="50" t="inlineStr">
        <is>
          <t>NJ</t>
        </is>
      </c>
      <c r="C959" s="52" t="n">
        <v>12.61</v>
      </c>
      <c r="D959" t="inlineStr">
        <is>
          <t>Foundation</t>
        </is>
      </c>
      <c r="E959" s="50" t="n">
        <v>2023</v>
      </c>
      <c r="F959" s="50" t="inlineStr">
        <is>
          <t>2024-11-07</t>
        </is>
      </c>
      <c r="G959" s="50" t="inlineStr">
        <is>
          <t>2023-12-31</t>
        </is>
      </c>
      <c r="H959" t="inlineStr">
        <is>
          <t>Brian S O'Neil</t>
        </is>
      </c>
      <c r="I959" t="inlineStr">
        <is>
          <t>CIO EMERITUS 2/28/2023</t>
        </is>
      </c>
      <c r="J959" t="inlineStr">
        <is>
          <t>CIO</t>
        </is>
      </c>
      <c r="K959" t="inlineStr">
        <is>
          <t>CIO - Top Investment Executive</t>
        </is>
      </c>
      <c r="L959" s="28" t="n">
        <v>0</v>
      </c>
      <c r="M959" s="28" t="n">
        <v>0</v>
      </c>
      <c r="N959" s="28" t="n">
        <v>0</v>
      </c>
      <c r="O959" s="28" t="n">
        <v>0</v>
      </c>
      <c r="P959" s="28" t="n">
        <v>78875</v>
      </c>
      <c r="Q959" s="28" t="n">
        <v>1999338</v>
      </c>
      <c r="R959" s="28" t="n">
        <v>0</v>
      </c>
      <c r="S959" s="28">
        <f>Q959-R959</f>
        <v/>
      </c>
      <c r="T959" s="28">
        <f>IF(S959="","",S959*(1+in_GrowthRate)^(YEARFRAC(DATE(2023,12,31),in_AgeToDate)*IF(in_AgeToDate&lt;DATE(2023,12,31),-1,1)+1))</f>
        <v/>
      </c>
      <c r="U959" s="50">
        <f>IF(AND(AND(OR(in_Mode="All Funds",AND(C959&gt;=in_BandFloor,C959&lt;=in_BandCeiling,OR(in_Geography="National",COUNTIFS(lst_GeoPreset,in_Geography,lst_GeoState,B959)&gt;0,AND(in_Geography="Custom",ISNUMBER(SEARCH(B959,SUBSTITUTE(in_CustomStates," ",""))))),OR(AND(D959="Endowment",Inputs!$B$14="Y"),AND(D959="Foundation",Inputs!$B$15="Y"),AND(D959="Healthcare",Inputs!$B$16="Y"),AND(D959="Pension",Inputs!$B$17="Y"),AND(D959="OCIO",Inputs!$B$18="Y"),AND(D959="Other",Inputs!$B$19="Y")))),A959&lt;&gt;in_ClientOrg,NOT(AND(in_ExclHarvard="Y",ISNUMBER(SEARCH("Harvard",A959))))),$AD959="Y",K959&lt;&gt;"",S959&gt;0),"Y","")</f>
        <v/>
      </c>
      <c r="V959" s="30" t="n">
        <v>1</v>
      </c>
      <c r="W959" t="inlineStr"/>
      <c r="X959" s="28">
        <f>IF(L959+M959=0,"",L959+M959)</f>
        <v/>
      </c>
      <c r="Y959" s="38">
        <f>IF(L959=0,"",M959/L959)</f>
        <v/>
      </c>
      <c r="Z959" t="inlineStr">
        <is>
          <t>CIO - Top Investment Executive</t>
        </is>
      </c>
      <c r="AA959" t="inlineStr">
        <is>
          <t>Leadership</t>
        </is>
      </c>
      <c r="AB959" s="50" t="inlineStr">
        <is>
          <t>Y</t>
        </is>
      </c>
      <c r="AC959" s="43">
        <f>HYPERLINK("https://projects.propublica.org/nonprofits/organizations/226029397/202443129349100234/full","view filing")</f>
        <v/>
      </c>
      <c r="AD959" s="50" t="inlineStr"/>
    </row>
    <row r="960">
      <c r="A960" t="inlineStr">
        <is>
          <t>Robert Wood Johnson Foundation</t>
        </is>
      </c>
      <c r="B960" s="50" t="inlineStr">
        <is>
          <t>NJ</t>
        </is>
      </c>
      <c r="C960" s="52" t="n">
        <v>12.61</v>
      </c>
      <c r="D960" t="inlineStr">
        <is>
          <t>Foundation</t>
        </is>
      </c>
      <c r="E960" s="50" t="n">
        <v>2023</v>
      </c>
      <c r="F960" s="50" t="inlineStr">
        <is>
          <t>2024-11-07</t>
        </is>
      </c>
      <c r="G960" s="50" t="inlineStr">
        <is>
          <t>2023-12-31</t>
        </is>
      </c>
      <c r="H960" t="inlineStr">
        <is>
          <t>Joshua Stern</t>
        </is>
      </c>
      <c r="I960" t="inlineStr">
        <is>
          <t>MD PRIVATE INV</t>
        </is>
      </c>
      <c r="J960" t="inlineStr">
        <is>
          <t>Managing Director</t>
        </is>
      </c>
      <c r="K960" t="inlineStr">
        <is>
          <t>Sr Investment Professional</t>
        </is>
      </c>
      <c r="L960" s="28" t="n">
        <v>0</v>
      </c>
      <c r="M960" s="28" t="n">
        <v>0</v>
      </c>
      <c r="N960" s="28" t="n">
        <v>0</v>
      </c>
      <c r="O960" s="28" t="n">
        <v>0</v>
      </c>
      <c r="P960" s="28" t="n">
        <v>0</v>
      </c>
      <c r="Q960" s="28" t="n">
        <v>1069502</v>
      </c>
      <c r="R960" s="28" t="n">
        <v>0</v>
      </c>
      <c r="S960" s="28">
        <f>Q960-R960</f>
        <v/>
      </c>
      <c r="T960" s="28">
        <f>IF(S960="","",S960*(1+in_GrowthRate)^(YEARFRAC(DATE(2023,12,31),in_AgeToDate)*IF(in_AgeToDate&lt;DATE(2023,12,31),-1,1)+1))</f>
        <v/>
      </c>
      <c r="U960" s="50">
        <f>IF(AND(AND(OR(in_Mode="All Funds",AND(C960&gt;=in_BandFloor,C960&lt;=in_BandCeiling,OR(in_Geography="National",COUNTIFS(lst_GeoPreset,in_Geography,lst_GeoState,B960)&gt;0,AND(in_Geography="Custom",ISNUMBER(SEARCH(B960,SUBSTITUTE(in_CustomStates," ",""))))),OR(AND(D960="Endowment",Inputs!$B$14="Y"),AND(D960="Foundation",Inputs!$B$15="Y"),AND(D960="Healthcare",Inputs!$B$16="Y"),AND(D960="Pension",Inputs!$B$17="Y"),AND(D960="OCIO",Inputs!$B$18="Y"),AND(D960="Other",Inputs!$B$19="Y")))),A960&lt;&gt;in_ClientOrg,NOT(AND(in_ExclHarvard="Y",ISNUMBER(SEARCH("Harvard",A960))))),$AD960="Y",K960&lt;&gt;"",S960&gt;0),"Y","")</f>
        <v/>
      </c>
      <c r="V960" s="30" t="n">
        <v>0.5349280611882533</v>
      </c>
      <c r="W960" t="inlineStr"/>
      <c r="X960" s="28">
        <f>IF(L960+M960=0,"",L960+M960)</f>
        <v/>
      </c>
      <c r="Y960" s="38">
        <f>IF(L960=0,"",M960/L960)</f>
        <v/>
      </c>
      <c r="Z960" t="inlineStr">
        <is>
          <t>Managing Director</t>
        </is>
      </c>
      <c r="AA960" t="inlineStr">
        <is>
          <t>Investments</t>
        </is>
      </c>
      <c r="AB960" s="50" t="inlineStr"/>
      <c r="AC960" s="43">
        <f>HYPERLINK("https://projects.propublica.org/nonprofits/organizations/226029397/202443129349100234/full","view filing")</f>
        <v/>
      </c>
      <c r="AD960" s="50" t="inlineStr"/>
    </row>
    <row r="961">
      <c r="A961" t="inlineStr">
        <is>
          <t>Robert Wood Johnson Foundation</t>
        </is>
      </c>
      <c r="B961" s="50" t="inlineStr">
        <is>
          <t>NJ</t>
        </is>
      </c>
      <c r="C961" s="52" t="n">
        <v>12.61</v>
      </c>
      <c r="D961" t="inlineStr">
        <is>
          <t>Foundation</t>
        </is>
      </c>
      <c r="E961" s="50" t="n">
        <v>2023</v>
      </c>
      <c r="F961" s="50" t="inlineStr">
        <is>
          <t>2024-11-07</t>
        </is>
      </c>
      <c r="G961" s="50" t="inlineStr">
        <is>
          <t>2023-12-31</t>
        </is>
      </c>
      <c r="H961" t="inlineStr">
        <is>
          <t>Michael Aswad</t>
        </is>
      </c>
      <c r="I961" t="inlineStr">
        <is>
          <t>MD PRIVATE INV</t>
        </is>
      </c>
      <c r="J961" t="inlineStr">
        <is>
          <t>Managing Director</t>
        </is>
      </c>
      <c r="K961" t="inlineStr">
        <is>
          <t>Sr Investment Professional</t>
        </is>
      </c>
      <c r="L961" s="28" t="n">
        <v>0</v>
      </c>
      <c r="M961" s="28" t="n">
        <v>0</v>
      </c>
      <c r="N961" s="28" t="n">
        <v>0</v>
      </c>
      <c r="O961" s="28" t="n">
        <v>0</v>
      </c>
      <c r="P961" s="28" t="n">
        <v>0</v>
      </c>
      <c r="Q961" s="28" t="n">
        <v>1207587</v>
      </c>
      <c r="R961" s="28" t="n">
        <v>0</v>
      </c>
      <c r="S961" s="28">
        <f>Q961-R961</f>
        <v/>
      </c>
      <c r="T961" s="28">
        <f>IF(S961="","",S961*(1+in_GrowthRate)^(YEARFRAC(DATE(2023,12,31),in_AgeToDate)*IF(in_AgeToDate&lt;DATE(2023,12,31),-1,1)+1))</f>
        <v/>
      </c>
      <c r="U961" s="50">
        <f>IF(AND(AND(OR(in_Mode="All Funds",AND(C961&gt;=in_BandFloor,C961&lt;=in_BandCeiling,OR(in_Geography="National",COUNTIFS(lst_GeoPreset,in_Geography,lst_GeoState,B961)&gt;0,AND(in_Geography="Custom",ISNUMBER(SEARCH(B961,SUBSTITUTE(in_CustomStates," ",""))))),OR(AND(D961="Endowment",Inputs!$B$14="Y"),AND(D961="Foundation",Inputs!$B$15="Y"),AND(D961="Healthcare",Inputs!$B$16="Y"),AND(D961="Pension",Inputs!$B$17="Y"),AND(D961="OCIO",Inputs!$B$18="Y"),AND(D961="Other",Inputs!$B$19="Y")))),A961&lt;&gt;in_ClientOrg,NOT(AND(in_ExclHarvard="Y",ISNUMBER(SEARCH("Harvard",A961))))),$AD961="Y",K961&lt;&gt;"",S961&gt;0),"Y","")</f>
        <v/>
      </c>
      <c r="V961" s="30" t="n">
        <v>0.6039934218226233</v>
      </c>
      <c r="W961" t="inlineStr"/>
      <c r="X961" s="28">
        <f>IF(L961+M961=0,"",L961+M961)</f>
        <v/>
      </c>
      <c r="Y961" s="38">
        <f>IF(L961=0,"",M961/L961)</f>
        <v/>
      </c>
      <c r="Z961" t="inlineStr">
        <is>
          <t>Managing Director</t>
        </is>
      </c>
      <c r="AA961" t="inlineStr">
        <is>
          <t>Investments</t>
        </is>
      </c>
      <c r="AB961" s="50" t="inlineStr"/>
      <c r="AC961" s="43">
        <f>HYPERLINK("https://projects.propublica.org/nonprofits/organizations/226029397/202443129349100234/full","view filing")</f>
        <v/>
      </c>
      <c r="AD961" s="50" t="inlineStr"/>
    </row>
    <row r="962">
      <c r="A962" t="inlineStr">
        <is>
          <t>Robert Wood Johnson Foundation</t>
        </is>
      </c>
      <c r="B962" s="50" t="inlineStr">
        <is>
          <t>NJ</t>
        </is>
      </c>
      <c r="C962" s="52" t="n">
        <v>12.61</v>
      </c>
      <c r="D962" t="inlineStr">
        <is>
          <t>Foundation</t>
        </is>
      </c>
      <c r="E962" s="50" t="n">
        <v>2023</v>
      </c>
      <c r="F962" s="50" t="inlineStr">
        <is>
          <t>2024-11-07</t>
        </is>
      </c>
      <c r="G962" s="50" t="inlineStr">
        <is>
          <t>2023-12-31</t>
        </is>
      </c>
      <c r="H962" t="inlineStr">
        <is>
          <t>Warren Stock</t>
        </is>
      </c>
      <c r="I962" t="inlineStr">
        <is>
          <t>MD PUBLIC INV</t>
        </is>
      </c>
      <c r="J962" t="inlineStr">
        <is>
          <t>Managing Director</t>
        </is>
      </c>
      <c r="K962" t="inlineStr">
        <is>
          <t>Sr Investment Professional</t>
        </is>
      </c>
      <c r="L962" s="28" t="n">
        <v>0</v>
      </c>
      <c r="M962" s="28" t="n">
        <v>0</v>
      </c>
      <c r="N962" s="28" t="n">
        <v>0</v>
      </c>
      <c r="O962" s="28" t="n">
        <v>0</v>
      </c>
      <c r="P962" s="28" t="n">
        <v>0</v>
      </c>
      <c r="Q962" s="28" t="n">
        <v>1170090</v>
      </c>
      <c r="R962" s="28" t="n">
        <v>0</v>
      </c>
      <c r="S962" s="28">
        <f>Q962-R962</f>
        <v/>
      </c>
      <c r="T962" s="28">
        <f>IF(S962="","",S962*(1+in_GrowthRate)^(YEARFRAC(DATE(2023,12,31),in_AgeToDate)*IF(in_AgeToDate&lt;DATE(2023,12,31),-1,1)+1))</f>
        <v/>
      </c>
      <c r="U962" s="50">
        <f>IF(AND(AND(OR(in_Mode="All Funds",AND(C962&gt;=in_BandFloor,C962&lt;=in_BandCeiling,OR(in_Geography="National",COUNTIFS(lst_GeoPreset,in_Geography,lst_GeoState,B962)&gt;0,AND(in_Geography="Custom",ISNUMBER(SEARCH(B962,SUBSTITUTE(in_CustomStates," ",""))))),OR(AND(D962="Endowment",Inputs!$B$14="Y"),AND(D962="Foundation",Inputs!$B$15="Y"),AND(D962="Healthcare",Inputs!$B$16="Y"),AND(D962="Pension",Inputs!$B$17="Y"),AND(D962="OCIO",Inputs!$B$18="Y"),AND(D962="Other",Inputs!$B$19="Y")))),A962&lt;&gt;in_ClientOrg,NOT(AND(in_ExclHarvard="Y",ISNUMBER(SEARCH("Harvard",A962))))),$AD962="Y",K962&lt;&gt;"",S962&gt;0),"Y","")</f>
        <v/>
      </c>
      <c r="V962" s="30" t="n">
        <v>0.5852387140143388</v>
      </c>
      <c r="W962" t="inlineStr"/>
      <c r="X962" s="28">
        <f>IF(L962+M962=0,"",L962+M962)</f>
        <v/>
      </c>
      <c r="Y962" s="38">
        <f>IF(L962=0,"",M962/L962)</f>
        <v/>
      </c>
      <c r="Z962" t="inlineStr">
        <is>
          <t>Managing Director</t>
        </is>
      </c>
      <c r="AA962" t="inlineStr">
        <is>
          <t>Investments</t>
        </is>
      </c>
      <c r="AB962" s="50" t="inlineStr"/>
      <c r="AC962" s="43">
        <f>HYPERLINK("https://projects.propublica.org/nonprofits/organizations/226029397/202443129349100234/full","view filing")</f>
        <v/>
      </c>
      <c r="AD962" s="50" t="inlineStr"/>
    </row>
    <row r="963">
      <c r="A963" t="inlineStr">
        <is>
          <t>Robert Wood Johnson Foundation</t>
        </is>
      </c>
      <c r="B963" s="50" t="inlineStr">
        <is>
          <t>NJ</t>
        </is>
      </c>
      <c r="C963" s="52" t="n">
        <v>12.61</v>
      </c>
      <c r="D963" t="inlineStr">
        <is>
          <t>Foundation</t>
        </is>
      </c>
      <c r="E963" s="50" t="n">
        <v>2022</v>
      </c>
      <c r="F963" s="50" t="inlineStr">
        <is>
          <t>2023-11-09</t>
        </is>
      </c>
      <c r="G963" s="50" t="inlineStr">
        <is>
          <t>2022-12-31</t>
        </is>
      </c>
      <c r="H963" t="inlineStr">
        <is>
          <t>Brian S O'Neil</t>
        </is>
      </c>
      <c r="I963" t="inlineStr">
        <is>
          <t>CHIEF INVESTMENT OFFICER</t>
        </is>
      </c>
      <c r="J963" t="inlineStr">
        <is>
          <t>CIO</t>
        </is>
      </c>
      <c r="K963" t="inlineStr">
        <is>
          <t>CIO - Top Investment Executive</t>
        </is>
      </c>
      <c r="L963" s="28" t="n">
        <v>0</v>
      </c>
      <c r="M963" s="28" t="n">
        <v>0</v>
      </c>
      <c r="N963" s="28" t="n">
        <v>0</v>
      </c>
      <c r="O963" s="28" t="n">
        <v>0</v>
      </c>
      <c r="P963" s="28" t="n">
        <v>113388</v>
      </c>
      <c r="Q963" s="28" t="n">
        <v>3138417</v>
      </c>
      <c r="R963" s="28" t="n">
        <v>0</v>
      </c>
      <c r="S963" s="28">
        <f>Q963-R963</f>
        <v/>
      </c>
      <c r="T963" s="28">
        <f>IF(S963="","",S963*(1+in_GrowthRate)^(YEARFRAC(DATE(2022,12,31),in_AgeToDate)*IF(in_AgeToDate&lt;DATE(2022,12,31),-1,1)+1))</f>
        <v/>
      </c>
      <c r="U963" s="50">
        <f>IF(AND(AND(OR(in_Mode="All Funds",AND(C963&gt;=in_BandFloor,C963&lt;=in_BandCeiling,OR(in_Geography="National",COUNTIFS(lst_GeoPreset,in_Geography,lst_GeoState,B963)&gt;0,AND(in_Geography="Custom",ISNUMBER(SEARCH(B963,SUBSTITUTE(in_CustomStates," ",""))))),OR(AND(D963="Endowment",Inputs!$B$14="Y"),AND(D963="Foundation",Inputs!$B$15="Y"),AND(D963="Healthcare",Inputs!$B$16="Y"),AND(D963="Pension",Inputs!$B$17="Y"),AND(D963="OCIO",Inputs!$B$18="Y"),AND(D963="Other",Inputs!$B$19="Y")))),A963&lt;&gt;in_ClientOrg,NOT(AND(in_ExclHarvard="Y",ISNUMBER(SEARCH("Harvard",A963))))),$AD963="Y",K963&lt;&gt;"",S963&gt;0),"Y","")</f>
        <v/>
      </c>
      <c r="V963" s="30" t="n">
        <v>1</v>
      </c>
      <c r="W963" t="inlineStr"/>
      <c r="X963" s="28">
        <f>IF(L963+M963=0,"",L963+M963)</f>
        <v/>
      </c>
      <c r="Y963" s="38">
        <f>IF(L963=0,"",M963/L963)</f>
        <v/>
      </c>
      <c r="Z963" t="inlineStr">
        <is>
          <t>CIO - Top Investment Executive</t>
        </is>
      </c>
      <c r="AA963" t="inlineStr">
        <is>
          <t>Leadership</t>
        </is>
      </c>
      <c r="AB963" s="50" t="inlineStr">
        <is>
          <t>Y</t>
        </is>
      </c>
      <c r="AC963" s="43">
        <f>HYPERLINK("https://projects.propublica.org/nonprofits/organizations/226029397/202343139349100304/full","view filing")</f>
        <v/>
      </c>
      <c r="AD963" s="50" t="inlineStr"/>
    </row>
    <row r="964">
      <c r="A964" t="inlineStr">
        <is>
          <t>Robert Wood Johnson Foundation</t>
        </is>
      </c>
      <c r="B964" s="50" t="inlineStr">
        <is>
          <t>NJ</t>
        </is>
      </c>
      <c r="C964" s="52" t="n">
        <v>12.61</v>
      </c>
      <c r="D964" t="inlineStr">
        <is>
          <t>Foundation</t>
        </is>
      </c>
      <c r="E964" s="50" t="n">
        <v>2022</v>
      </c>
      <c r="F964" s="50" t="inlineStr">
        <is>
          <t>2023-11-09</t>
        </is>
      </c>
      <c r="G964" s="50" t="inlineStr">
        <is>
          <t>2022-12-31</t>
        </is>
      </c>
      <c r="H964" t="inlineStr">
        <is>
          <t>Michael Aswad</t>
        </is>
      </c>
      <c r="I964" t="inlineStr">
        <is>
          <t>MD PRIVATE INV</t>
        </is>
      </c>
      <c r="J964" t="inlineStr">
        <is>
          <t>Managing Director</t>
        </is>
      </c>
      <c r="K964" t="inlineStr">
        <is>
          <t>Sr Investment Professional</t>
        </is>
      </c>
      <c r="L964" s="28" t="n">
        <v>0</v>
      </c>
      <c r="M964" s="28" t="n">
        <v>0</v>
      </c>
      <c r="N964" s="28" t="n">
        <v>0</v>
      </c>
      <c r="O964" s="28" t="n">
        <v>0</v>
      </c>
      <c r="P964" s="28" t="n">
        <v>0</v>
      </c>
      <c r="Q964" s="28" t="n">
        <v>1124013</v>
      </c>
      <c r="R964" s="28" t="n">
        <v>0</v>
      </c>
      <c r="S964" s="28">
        <f>Q964-R964</f>
        <v/>
      </c>
      <c r="T964" s="28">
        <f>IF(S964="","",S964*(1+in_GrowthRate)^(YEARFRAC(DATE(2022,12,31),in_AgeToDate)*IF(in_AgeToDate&lt;DATE(2022,12,31),-1,1)+1))</f>
        <v/>
      </c>
      <c r="U964" s="50">
        <f>IF(AND(AND(OR(in_Mode="All Funds",AND(C964&gt;=in_BandFloor,C964&lt;=in_BandCeiling,OR(in_Geography="National",COUNTIFS(lst_GeoPreset,in_Geography,lst_GeoState,B964)&gt;0,AND(in_Geography="Custom",ISNUMBER(SEARCH(B964,SUBSTITUTE(in_CustomStates," ",""))))),OR(AND(D964="Endowment",Inputs!$B$14="Y"),AND(D964="Foundation",Inputs!$B$15="Y"),AND(D964="Healthcare",Inputs!$B$16="Y"),AND(D964="Pension",Inputs!$B$17="Y"),AND(D964="OCIO",Inputs!$B$18="Y"),AND(D964="Other",Inputs!$B$19="Y")))),A964&lt;&gt;in_ClientOrg,NOT(AND(in_ExclHarvard="Y",ISNUMBER(SEARCH("Harvard",A964))))),$AD964="Y",K964&lt;&gt;"",S964&gt;0),"Y","")</f>
        <v/>
      </c>
      <c r="V964" s="30" t="n">
        <v>0.3581464795787175</v>
      </c>
      <c r="W964" t="inlineStr"/>
      <c r="X964" s="28">
        <f>IF(L964+M964=0,"",L964+M964)</f>
        <v/>
      </c>
      <c r="Y964" s="38">
        <f>IF(L964=0,"",M964/L964)</f>
        <v/>
      </c>
      <c r="Z964" t="inlineStr">
        <is>
          <t>Managing Director</t>
        </is>
      </c>
      <c r="AA964" t="inlineStr">
        <is>
          <t>Investments</t>
        </is>
      </c>
      <c r="AB964" s="50" t="inlineStr"/>
      <c r="AC964" s="43">
        <f>HYPERLINK("https://projects.propublica.org/nonprofits/organizations/226029397/202343139349100304/full","view filing")</f>
        <v/>
      </c>
      <c r="AD964" s="50" t="inlineStr"/>
    </row>
    <row r="965">
      <c r="A965" t="inlineStr">
        <is>
          <t>Robert Wood Johnson Foundation</t>
        </is>
      </c>
      <c r="B965" s="50" t="inlineStr">
        <is>
          <t>NJ</t>
        </is>
      </c>
      <c r="C965" s="52" t="n">
        <v>12.61</v>
      </c>
      <c r="D965" t="inlineStr">
        <is>
          <t>Foundation</t>
        </is>
      </c>
      <c r="E965" s="50" t="n">
        <v>2022</v>
      </c>
      <c r="F965" s="50" t="inlineStr">
        <is>
          <t>2023-11-09</t>
        </is>
      </c>
      <c r="G965" s="50" t="inlineStr">
        <is>
          <t>2022-12-31</t>
        </is>
      </c>
      <c r="H965" t="inlineStr">
        <is>
          <t>Vanita Gaonkar</t>
        </is>
      </c>
      <c r="I965" t="inlineStr">
        <is>
          <t>MD PUBLIC INV</t>
        </is>
      </c>
      <c r="J965" t="inlineStr">
        <is>
          <t>Managing Director</t>
        </is>
      </c>
      <c r="K965" t="inlineStr">
        <is>
          <t>Sr Investment Professional</t>
        </is>
      </c>
      <c r="L965" s="28" t="n">
        <v>0</v>
      </c>
      <c r="M965" s="28" t="n">
        <v>0</v>
      </c>
      <c r="N965" s="28" t="n">
        <v>0</v>
      </c>
      <c r="O965" s="28" t="n">
        <v>0</v>
      </c>
      <c r="P965" s="28" t="n">
        <v>0</v>
      </c>
      <c r="Q965" s="28" t="n">
        <v>941980</v>
      </c>
      <c r="R965" s="28" t="n">
        <v>0</v>
      </c>
      <c r="S965" s="28">
        <f>Q965-R965</f>
        <v/>
      </c>
      <c r="T965" s="28">
        <f>IF(S965="","",S965*(1+in_GrowthRate)^(YEARFRAC(DATE(2022,12,31),in_AgeToDate)*IF(in_AgeToDate&lt;DATE(2022,12,31),-1,1)+1))</f>
        <v/>
      </c>
      <c r="U965" s="50">
        <f>IF(AND(AND(OR(in_Mode="All Funds",AND(C965&gt;=in_BandFloor,C965&lt;=in_BandCeiling,OR(in_Geography="National",COUNTIFS(lst_GeoPreset,in_Geography,lst_GeoState,B965)&gt;0,AND(in_Geography="Custom",ISNUMBER(SEARCH(B965,SUBSTITUTE(in_CustomStates," ",""))))),OR(AND(D965="Endowment",Inputs!$B$14="Y"),AND(D965="Foundation",Inputs!$B$15="Y"),AND(D965="Healthcare",Inputs!$B$16="Y"),AND(D965="Pension",Inputs!$B$17="Y"),AND(D965="OCIO",Inputs!$B$18="Y"),AND(D965="Other",Inputs!$B$19="Y")))),A965&lt;&gt;in_ClientOrg,NOT(AND(in_ExclHarvard="Y",ISNUMBER(SEARCH("Harvard",A965))))),$AD965="Y",K965&lt;&gt;"",S965&gt;0),"Y","")</f>
        <v/>
      </c>
      <c r="V965" s="30" t="n">
        <v>0.3001449456844008</v>
      </c>
      <c r="W965" t="inlineStr"/>
      <c r="X965" s="28">
        <f>IF(L965+M965=0,"",L965+M965)</f>
        <v/>
      </c>
      <c r="Y965" s="38">
        <f>IF(L965=0,"",M965/L965)</f>
        <v/>
      </c>
      <c r="Z965" t="inlineStr">
        <is>
          <t>Managing Director</t>
        </is>
      </c>
      <c r="AA965" t="inlineStr">
        <is>
          <t>Investments</t>
        </is>
      </c>
      <c r="AB965" s="50" t="inlineStr"/>
      <c r="AC965" s="43">
        <f>HYPERLINK("https://projects.propublica.org/nonprofits/organizations/226029397/202343139349100304/full","view filing")</f>
        <v/>
      </c>
      <c r="AD965" s="50" t="inlineStr"/>
    </row>
    <row r="966">
      <c r="A966" t="inlineStr">
        <is>
          <t>Robert Wood Johnson Foundation</t>
        </is>
      </c>
      <c r="B966" s="50" t="inlineStr">
        <is>
          <t>NJ</t>
        </is>
      </c>
      <c r="C966" s="52" t="n">
        <v>12.61</v>
      </c>
      <c r="D966" t="inlineStr">
        <is>
          <t>Foundation</t>
        </is>
      </c>
      <c r="E966" s="50" t="n">
        <v>2022</v>
      </c>
      <c r="F966" s="50" t="inlineStr">
        <is>
          <t>2023-11-09</t>
        </is>
      </c>
      <c r="G966" s="50" t="inlineStr">
        <is>
          <t>2022-12-31</t>
        </is>
      </c>
      <c r="H966" t="inlineStr">
        <is>
          <t>Warren Stock</t>
        </is>
      </c>
      <c r="I966" t="inlineStr">
        <is>
          <t>MD PUBLIC INV</t>
        </is>
      </c>
      <c r="J966" t="inlineStr">
        <is>
          <t>Managing Director</t>
        </is>
      </c>
      <c r="K966" t="inlineStr">
        <is>
          <t>Sr Investment Professional</t>
        </is>
      </c>
      <c r="L966" s="28" t="n">
        <v>0</v>
      </c>
      <c r="M966" s="28" t="n">
        <v>0</v>
      </c>
      <c r="N966" s="28" t="n">
        <v>0</v>
      </c>
      <c r="O966" s="28" t="n">
        <v>0</v>
      </c>
      <c r="P966" s="28" t="n">
        <v>0</v>
      </c>
      <c r="Q966" s="28" t="n">
        <v>1080819</v>
      </c>
      <c r="R966" s="28" t="n">
        <v>0</v>
      </c>
      <c r="S966" s="28">
        <f>Q966-R966</f>
        <v/>
      </c>
      <c r="T966" s="28">
        <f>IF(S966="","",S966*(1+in_GrowthRate)^(YEARFRAC(DATE(2022,12,31),in_AgeToDate)*IF(in_AgeToDate&lt;DATE(2022,12,31),-1,1)+1))</f>
        <v/>
      </c>
      <c r="U966" s="50">
        <f>IF(AND(AND(OR(in_Mode="All Funds",AND(C966&gt;=in_BandFloor,C966&lt;=in_BandCeiling,OR(in_Geography="National",COUNTIFS(lst_GeoPreset,in_Geography,lst_GeoState,B966)&gt;0,AND(in_Geography="Custom",ISNUMBER(SEARCH(B966,SUBSTITUTE(in_CustomStates," ",""))))),OR(AND(D966="Endowment",Inputs!$B$14="Y"),AND(D966="Foundation",Inputs!$B$15="Y"),AND(D966="Healthcare",Inputs!$B$16="Y"),AND(D966="Pension",Inputs!$B$17="Y"),AND(D966="OCIO",Inputs!$B$18="Y"),AND(D966="Other",Inputs!$B$19="Y")))),A966&lt;&gt;in_ClientOrg,NOT(AND(in_ExclHarvard="Y",ISNUMBER(SEARCH("Harvard",A966))))),$AD966="Y",K966&lt;&gt;"",S966&gt;0),"Y","")</f>
        <v/>
      </c>
      <c r="V966" s="30" t="n">
        <v>0.3443834901480587</v>
      </c>
      <c r="W966" t="inlineStr"/>
      <c r="X966" s="28">
        <f>IF(L966+M966=0,"",L966+M966)</f>
        <v/>
      </c>
      <c r="Y966" s="38">
        <f>IF(L966=0,"",M966/L966)</f>
        <v/>
      </c>
      <c r="Z966" t="inlineStr">
        <is>
          <t>Managing Director</t>
        </is>
      </c>
      <c r="AA966" t="inlineStr">
        <is>
          <t>Investments</t>
        </is>
      </c>
      <c r="AB966" s="50" t="inlineStr"/>
      <c r="AC966" s="43">
        <f>HYPERLINK("https://projects.propublica.org/nonprofits/organizations/226029397/202343139349100304/full","view filing")</f>
        <v/>
      </c>
      <c r="AD966" s="50" t="inlineStr"/>
    </row>
    <row r="967">
      <c r="A967" t="inlineStr">
        <is>
          <t>Rockefeller Foundation</t>
        </is>
      </c>
      <c r="B967" s="50" t="inlineStr">
        <is>
          <t>NY</t>
        </is>
      </c>
      <c r="C967" s="52" t="n">
        <v>5.4</v>
      </c>
      <c r="D967" t="inlineStr">
        <is>
          <t>Foundation</t>
        </is>
      </c>
      <c r="E967" s="50" t="n">
        <v>2024</v>
      </c>
      <c r="F967" s="50" t="inlineStr">
        <is>
          <t>2025-11-14</t>
        </is>
      </c>
      <c r="G967" s="50" t="inlineStr">
        <is>
          <t>2024-12-31</t>
        </is>
      </c>
      <c r="H967" t="inlineStr">
        <is>
          <t>Chun Lai</t>
        </is>
      </c>
      <c r="I967" t="inlineStr">
        <is>
          <t>CHIEF INVESTMENT OFFICER</t>
        </is>
      </c>
      <c r="J967" t="inlineStr">
        <is>
          <t>CIO</t>
        </is>
      </c>
      <c r="K967" t="inlineStr">
        <is>
          <t>CIO - Top Investment Executive</t>
        </is>
      </c>
      <c r="L967" s="28" t="n">
        <v>0</v>
      </c>
      <c r="M967" s="28" t="n">
        <v>0</v>
      </c>
      <c r="N967" s="28" t="n">
        <v>0</v>
      </c>
      <c r="O967" s="28" t="n">
        <v>0</v>
      </c>
      <c r="P967" s="28" t="n">
        <v>139184</v>
      </c>
      <c r="Q967" s="28" t="n">
        <v>1244679</v>
      </c>
      <c r="R967" s="28" t="n">
        <v>0</v>
      </c>
      <c r="S967" s="28">
        <f>Q967-R967</f>
        <v/>
      </c>
      <c r="T967" s="28">
        <f>IF(S967="","",S967*(1+in_GrowthRate)^(YEARFRAC(DATE(2024,12,31),in_AgeToDate)*IF(in_AgeToDate&lt;DATE(2024,12,31),-1,1)+1))</f>
        <v/>
      </c>
      <c r="U967" s="50">
        <f>IF(AND(AND(OR(in_Mode="All Funds",AND(C967&gt;=in_BandFloor,C967&lt;=in_BandCeiling,OR(in_Geography="National",COUNTIFS(lst_GeoPreset,in_Geography,lst_GeoState,B967)&gt;0,AND(in_Geography="Custom",ISNUMBER(SEARCH(B967,SUBSTITUTE(in_CustomStates," ",""))))),OR(AND(D967="Endowment",Inputs!$B$14="Y"),AND(D967="Foundation",Inputs!$B$15="Y"),AND(D967="Healthcare",Inputs!$B$16="Y"),AND(D967="Pension",Inputs!$B$17="Y"),AND(D967="OCIO",Inputs!$B$18="Y"),AND(D967="Other",Inputs!$B$19="Y")))),A967&lt;&gt;in_ClientOrg,NOT(AND(in_ExclHarvard="Y",ISNUMBER(SEARCH("Harvard",A967))))),$AD967="Y",K967&lt;&gt;"",S967&gt;0),"Y","")</f>
        <v/>
      </c>
      <c r="V967" s="30" t="n">
        <v>1</v>
      </c>
      <c r="W967" t="inlineStr"/>
      <c r="X967" s="28">
        <f>IF(L967+M967=0,"",L967+M967)</f>
        <v/>
      </c>
      <c r="Y967" s="38">
        <f>IF(L967=0,"",M967/L967)</f>
        <v/>
      </c>
      <c r="Z967" t="inlineStr">
        <is>
          <t>CIO - Top Investment Executive</t>
        </is>
      </c>
      <c r="AA967" t="inlineStr">
        <is>
          <t>Leadership</t>
        </is>
      </c>
      <c r="AB967" s="50" t="inlineStr">
        <is>
          <t>Y</t>
        </is>
      </c>
      <c r="AC967" s="43">
        <f>HYPERLINK("https://projects.propublica.org/nonprofits/organizations/131659629/202533189349104643/full","view filing")</f>
        <v/>
      </c>
      <c r="AD967" s="50" t="inlineStr">
        <is>
          <t>Y</t>
        </is>
      </c>
    </row>
    <row r="968">
      <c r="A968" t="inlineStr">
        <is>
          <t>Rockefeller Foundation</t>
        </is>
      </c>
      <c r="B968" s="50" t="inlineStr">
        <is>
          <t>NY</t>
        </is>
      </c>
      <c r="C968" s="52" t="n">
        <v>5.4</v>
      </c>
      <c r="D968" t="inlineStr">
        <is>
          <t>Foundation</t>
        </is>
      </c>
      <c r="E968" s="50" t="n">
        <v>2024</v>
      </c>
      <c r="F968" s="50" t="inlineStr">
        <is>
          <t>2025-11-14</t>
        </is>
      </c>
      <c r="G968" s="50" t="inlineStr">
        <is>
          <t>2024-12-31</t>
        </is>
      </c>
      <c r="H968" t="inlineStr">
        <is>
          <t>Douglass Coyle</t>
        </is>
      </c>
      <c r="I968" t="inlineStr">
        <is>
          <t>DEPUTY CHIEF INVESTM</t>
        </is>
      </c>
      <c r="J968" t="inlineStr">
        <is>
          <t>Deputy CIO</t>
        </is>
      </c>
      <c r="K968" t="inlineStr">
        <is>
          <t>Sr Investment Professional</t>
        </is>
      </c>
      <c r="L968" s="28" t="n">
        <v>0</v>
      </c>
      <c r="M968" s="28" t="n">
        <v>0</v>
      </c>
      <c r="N968" s="28" t="n">
        <v>0</v>
      </c>
      <c r="O968" s="28" t="n">
        <v>0</v>
      </c>
      <c r="P968" s="28" t="n">
        <v>0</v>
      </c>
      <c r="Q968" s="28" t="n">
        <v>766304</v>
      </c>
      <c r="R968" s="28" t="n">
        <v>0</v>
      </c>
      <c r="S968" s="28">
        <f>Q968-R968</f>
        <v/>
      </c>
      <c r="T968" s="28">
        <f>IF(S968="","",S968*(1+in_GrowthRate)^(YEARFRAC(DATE(2024,12,31),in_AgeToDate)*IF(in_AgeToDate&lt;DATE(2024,12,31),-1,1)+1))</f>
        <v/>
      </c>
      <c r="U968" s="50">
        <f>IF(AND(AND(OR(in_Mode="All Funds",AND(C968&gt;=in_BandFloor,C968&lt;=in_BandCeiling,OR(in_Geography="National",COUNTIFS(lst_GeoPreset,in_Geography,lst_GeoState,B968)&gt;0,AND(in_Geography="Custom",ISNUMBER(SEARCH(B968,SUBSTITUTE(in_CustomStates," ",""))))),OR(AND(D968="Endowment",Inputs!$B$14="Y"),AND(D968="Foundation",Inputs!$B$15="Y"),AND(D968="Healthcare",Inputs!$B$16="Y"),AND(D968="Pension",Inputs!$B$17="Y"),AND(D968="OCIO",Inputs!$B$18="Y"),AND(D968="Other",Inputs!$B$19="Y")))),A968&lt;&gt;in_ClientOrg,NOT(AND(in_ExclHarvard="Y",ISNUMBER(SEARCH("Harvard",A968))))),$AD968="Y",K968&lt;&gt;"",S968&gt;0),"Y","")</f>
        <v/>
      </c>
      <c r="V968" s="30" t="n">
        <v>0.6156639583378526</v>
      </c>
      <c r="W968" t="inlineStr"/>
      <c r="X968" s="28">
        <f>IF(L968+M968=0,"",L968+M968)</f>
        <v/>
      </c>
      <c r="Y968" s="38">
        <f>IF(L968=0,"",M968/L968)</f>
        <v/>
      </c>
      <c r="Z968" t="inlineStr">
        <is>
          <t>Deputy CIO</t>
        </is>
      </c>
      <c r="AA968" t="inlineStr">
        <is>
          <t>Leadership</t>
        </is>
      </c>
      <c r="AB968" s="50" t="inlineStr"/>
      <c r="AC968" s="43">
        <f>HYPERLINK("https://projects.propublica.org/nonprofits/organizations/131659629/202533189349104643/full","view filing")</f>
        <v/>
      </c>
      <c r="AD968" s="50" t="inlineStr">
        <is>
          <t>Y</t>
        </is>
      </c>
    </row>
    <row r="969">
      <c r="A969" t="inlineStr">
        <is>
          <t>Rockefeller Foundation</t>
        </is>
      </c>
      <c r="B969" s="50" t="inlineStr">
        <is>
          <t>NY</t>
        </is>
      </c>
      <c r="C969" s="52" t="n">
        <v>5.4</v>
      </c>
      <c r="D969" t="inlineStr">
        <is>
          <t>Foundation</t>
        </is>
      </c>
      <c r="E969" s="50" t="n">
        <v>2023</v>
      </c>
      <c r="F969" s="50" t="inlineStr">
        <is>
          <t>2024-11-08</t>
        </is>
      </c>
      <c r="G969" s="50" t="inlineStr">
        <is>
          <t>2023-12-31</t>
        </is>
      </c>
      <c r="H969" t="inlineStr">
        <is>
          <t>Chun Lai</t>
        </is>
      </c>
      <c r="I969" t="inlineStr">
        <is>
          <t>CHIEF INVESTMENT OFFICER</t>
        </is>
      </c>
      <c r="J969" t="inlineStr">
        <is>
          <t>CIO</t>
        </is>
      </c>
      <c r="K969" t="inlineStr">
        <is>
          <t>CIO - Top Investment Executive</t>
        </is>
      </c>
      <c r="L969" s="28" t="n">
        <v>0</v>
      </c>
      <c r="M969" s="28" t="n">
        <v>0</v>
      </c>
      <c r="N969" s="28" t="n">
        <v>0</v>
      </c>
      <c r="O969" s="28" t="n">
        <v>0</v>
      </c>
      <c r="P969" s="28" t="n">
        <v>127207</v>
      </c>
      <c r="Q969" s="28" t="n">
        <v>1815007</v>
      </c>
      <c r="R969" s="28" t="n">
        <v>0</v>
      </c>
      <c r="S969" s="28">
        <f>Q969-R969</f>
        <v/>
      </c>
      <c r="T969" s="28">
        <f>IF(S969="","",S969*(1+in_GrowthRate)^(YEARFRAC(DATE(2023,12,31),in_AgeToDate)*IF(in_AgeToDate&lt;DATE(2023,12,31),-1,1)+1))</f>
        <v/>
      </c>
      <c r="U969" s="50">
        <f>IF(AND(AND(OR(in_Mode="All Funds",AND(C969&gt;=in_BandFloor,C969&lt;=in_BandCeiling,OR(in_Geography="National",COUNTIFS(lst_GeoPreset,in_Geography,lst_GeoState,B969)&gt;0,AND(in_Geography="Custom",ISNUMBER(SEARCH(B969,SUBSTITUTE(in_CustomStates," ",""))))),OR(AND(D969="Endowment",Inputs!$B$14="Y"),AND(D969="Foundation",Inputs!$B$15="Y"),AND(D969="Healthcare",Inputs!$B$16="Y"),AND(D969="Pension",Inputs!$B$17="Y"),AND(D969="OCIO",Inputs!$B$18="Y"),AND(D969="Other",Inputs!$B$19="Y")))),A969&lt;&gt;in_ClientOrg,NOT(AND(in_ExclHarvard="Y",ISNUMBER(SEARCH("Harvard",A969))))),$AD969="Y",K969&lt;&gt;"",S969&gt;0),"Y","")</f>
        <v/>
      </c>
      <c r="V969" s="30" t="n">
        <v>1</v>
      </c>
      <c r="W969" t="inlineStr"/>
      <c r="X969" s="28">
        <f>IF(L969+M969=0,"",L969+M969)</f>
        <v/>
      </c>
      <c r="Y969" s="38">
        <f>IF(L969=0,"",M969/L969)</f>
        <v/>
      </c>
      <c r="Z969" t="inlineStr">
        <is>
          <t>CIO - Top Investment Executive</t>
        </is>
      </c>
      <c r="AA969" t="inlineStr">
        <is>
          <t>Leadership</t>
        </is>
      </c>
      <c r="AB969" s="50" t="inlineStr">
        <is>
          <t>Y</t>
        </is>
      </c>
      <c r="AC969" s="43">
        <f>HYPERLINK("https://projects.propublica.org/nonprofits/organizations/131659629/202403139349100635/full","view filing")</f>
        <v/>
      </c>
      <c r="AD969" s="50" t="inlineStr"/>
    </row>
    <row r="970">
      <c r="A970" t="inlineStr">
        <is>
          <t>Rockefeller Foundation</t>
        </is>
      </c>
      <c r="B970" s="50" t="inlineStr">
        <is>
          <t>NY</t>
        </is>
      </c>
      <c r="C970" s="52" t="n">
        <v>5.4</v>
      </c>
      <c r="D970" t="inlineStr">
        <is>
          <t>Foundation</t>
        </is>
      </c>
      <c r="E970" s="50" t="n">
        <v>2023</v>
      </c>
      <c r="F970" s="50" t="inlineStr">
        <is>
          <t>2024-11-08</t>
        </is>
      </c>
      <c r="G970" s="50" t="inlineStr">
        <is>
          <t>2023-12-31</t>
        </is>
      </c>
      <c r="H970" t="inlineStr">
        <is>
          <t>Douglass Coyle</t>
        </is>
      </c>
      <c r="I970" t="inlineStr">
        <is>
          <t>DEPUTY CHIEF INVESTM</t>
        </is>
      </c>
      <c r="J970" t="inlineStr">
        <is>
          <t>Deputy CIO</t>
        </is>
      </c>
      <c r="K970" t="inlineStr">
        <is>
          <t>Sr Investment Professional</t>
        </is>
      </c>
      <c r="L970" s="28" t="n">
        <v>0</v>
      </c>
      <c r="M970" s="28" t="n">
        <v>0</v>
      </c>
      <c r="N970" s="28" t="n">
        <v>0</v>
      </c>
      <c r="O970" s="28" t="n">
        <v>0</v>
      </c>
      <c r="P970" s="28" t="n">
        <v>0</v>
      </c>
      <c r="Q970" s="28" t="n">
        <v>1310944</v>
      </c>
      <c r="R970" s="28" t="n">
        <v>0</v>
      </c>
      <c r="S970" s="28">
        <f>Q970-R970</f>
        <v/>
      </c>
      <c r="T970" s="28">
        <f>IF(S970="","",S970*(1+in_GrowthRate)^(YEARFRAC(DATE(2023,12,31),in_AgeToDate)*IF(in_AgeToDate&lt;DATE(2023,12,31),-1,1)+1))</f>
        <v/>
      </c>
      <c r="U970" s="50">
        <f>IF(AND(AND(OR(in_Mode="All Funds",AND(C970&gt;=in_BandFloor,C970&lt;=in_BandCeiling,OR(in_Geography="National",COUNTIFS(lst_GeoPreset,in_Geography,lst_GeoState,B970)&gt;0,AND(in_Geography="Custom",ISNUMBER(SEARCH(B970,SUBSTITUTE(in_CustomStates," ",""))))),OR(AND(D970="Endowment",Inputs!$B$14="Y"),AND(D970="Foundation",Inputs!$B$15="Y"),AND(D970="Healthcare",Inputs!$B$16="Y"),AND(D970="Pension",Inputs!$B$17="Y"),AND(D970="OCIO",Inputs!$B$18="Y"),AND(D970="Other",Inputs!$B$19="Y")))),A970&lt;&gt;in_ClientOrg,NOT(AND(in_ExclHarvard="Y",ISNUMBER(SEARCH("Harvard",A970))))),$AD970="Y",K970&lt;&gt;"",S970&gt;0),"Y","")</f>
        <v/>
      </c>
      <c r="V970" s="30" t="n">
        <v>0.722280409937813</v>
      </c>
      <c r="W970" t="inlineStr"/>
      <c r="X970" s="28">
        <f>IF(L970+M970=0,"",L970+M970)</f>
        <v/>
      </c>
      <c r="Y970" s="38">
        <f>IF(L970=0,"",M970/L970)</f>
        <v/>
      </c>
      <c r="Z970" t="inlineStr">
        <is>
          <t>Deputy CIO</t>
        </is>
      </c>
      <c r="AA970" t="inlineStr">
        <is>
          <t>Leadership</t>
        </is>
      </c>
      <c r="AB970" s="50" t="inlineStr"/>
      <c r="AC970" s="43">
        <f>HYPERLINK("https://projects.propublica.org/nonprofits/organizations/131659629/202403139349100635/full","view filing")</f>
        <v/>
      </c>
      <c r="AD970" s="50" t="inlineStr"/>
    </row>
    <row r="971">
      <c r="A971" t="inlineStr">
        <is>
          <t>Rockefeller Foundation</t>
        </is>
      </c>
      <c r="B971" s="50" t="inlineStr">
        <is>
          <t>NY</t>
        </is>
      </c>
      <c r="C971" s="52" t="n">
        <v>5.4</v>
      </c>
      <c r="D971" t="inlineStr">
        <is>
          <t>Foundation</t>
        </is>
      </c>
      <c r="E971" s="50" t="n">
        <v>2023</v>
      </c>
      <c r="F971" s="50" t="inlineStr">
        <is>
          <t>2024-11-08</t>
        </is>
      </c>
      <c r="G971" s="50" t="inlineStr">
        <is>
          <t>2023-12-31</t>
        </is>
      </c>
      <c r="H971" t="inlineStr">
        <is>
          <t>Michelle Pak</t>
        </is>
      </c>
      <c r="I971" t="inlineStr">
        <is>
          <t>SR. MANAGING DIRECTO</t>
        </is>
      </c>
      <c r="J971" t="inlineStr">
        <is>
          <t>Senior Managing Director</t>
        </is>
      </c>
      <c r="K971" t="inlineStr">
        <is>
          <t>Sr Investment Professional</t>
        </is>
      </c>
      <c r="L971" s="28" t="n">
        <v>0</v>
      </c>
      <c r="M971" s="28" t="n">
        <v>0</v>
      </c>
      <c r="N971" s="28" t="n">
        <v>0</v>
      </c>
      <c r="O971" s="28" t="n">
        <v>0</v>
      </c>
      <c r="P971" s="28" t="n">
        <v>0</v>
      </c>
      <c r="Q971" s="28" t="n">
        <v>712101</v>
      </c>
      <c r="R971" s="28" t="n">
        <v>0</v>
      </c>
      <c r="S971" s="28">
        <f>Q971-R971</f>
        <v/>
      </c>
      <c r="T971" s="28">
        <f>IF(S971="","",S971*(1+in_GrowthRate)^(YEARFRAC(DATE(2023,12,31),in_AgeToDate)*IF(in_AgeToDate&lt;DATE(2023,12,31),-1,1)+1))</f>
        <v/>
      </c>
      <c r="U971" s="50">
        <f>IF(AND(AND(OR(in_Mode="All Funds",AND(C971&gt;=in_BandFloor,C971&lt;=in_BandCeiling,OR(in_Geography="National",COUNTIFS(lst_GeoPreset,in_Geography,lst_GeoState,B971)&gt;0,AND(in_Geography="Custom",ISNUMBER(SEARCH(B971,SUBSTITUTE(in_CustomStates," ",""))))),OR(AND(D971="Endowment",Inputs!$B$14="Y"),AND(D971="Foundation",Inputs!$B$15="Y"),AND(D971="Healthcare",Inputs!$B$16="Y"),AND(D971="Pension",Inputs!$B$17="Y"),AND(D971="OCIO",Inputs!$B$18="Y"),AND(D971="Other",Inputs!$B$19="Y")))),A971&lt;&gt;in_ClientOrg,NOT(AND(in_ExclHarvard="Y",ISNUMBER(SEARCH("Harvard",A971))))),$AD971="Y",K971&lt;&gt;"",S971&gt;0),"Y","")</f>
        <v/>
      </c>
      <c r="V971" s="30" t="n">
        <v>0.3923406356008544</v>
      </c>
      <c r="W971" t="inlineStr"/>
      <c r="X971" s="28">
        <f>IF(L971+M971=0,"",L971+M971)</f>
        <v/>
      </c>
      <c r="Y971" s="38">
        <f>IF(L971=0,"",M971/L971)</f>
        <v/>
      </c>
      <c r="Z971" t="inlineStr">
        <is>
          <t>Managing Director</t>
        </is>
      </c>
      <c r="AA971" t="inlineStr">
        <is>
          <t>Investments</t>
        </is>
      </c>
      <c r="AB971" s="50" t="inlineStr"/>
      <c r="AC971" s="43">
        <f>HYPERLINK("https://projects.propublica.org/nonprofits/organizations/131659629/202403139349100635/full","view filing")</f>
        <v/>
      </c>
      <c r="AD971" s="50" t="inlineStr"/>
    </row>
    <row r="972">
      <c r="A972" t="inlineStr">
        <is>
          <t>Rockefeller Foundation</t>
        </is>
      </c>
      <c r="B972" s="50" t="inlineStr">
        <is>
          <t>NY</t>
        </is>
      </c>
      <c r="C972" s="52" t="n">
        <v>5.4</v>
      </c>
      <c r="D972" t="inlineStr">
        <is>
          <t>Foundation</t>
        </is>
      </c>
      <c r="E972" s="50" t="n">
        <v>2022</v>
      </c>
      <c r="F972" s="50" t="inlineStr">
        <is>
          <t>2023-11-14</t>
        </is>
      </c>
      <c r="G972" s="50" t="inlineStr">
        <is>
          <t>2022-12-31</t>
        </is>
      </c>
      <c r="H972" t="inlineStr">
        <is>
          <t>Chun Lai</t>
        </is>
      </c>
      <c r="I972" t="inlineStr">
        <is>
          <t>CHIEF INVESTMENT OFFICER</t>
        </is>
      </c>
      <c r="J972" t="inlineStr">
        <is>
          <t>CIO</t>
        </is>
      </c>
      <c r="K972" t="inlineStr">
        <is>
          <t>CIO - Top Investment Executive</t>
        </is>
      </c>
      <c r="L972" s="28" t="n">
        <v>0</v>
      </c>
      <c r="M972" s="28" t="n">
        <v>0</v>
      </c>
      <c r="N972" s="28" t="n">
        <v>0</v>
      </c>
      <c r="O972" s="28" t="n">
        <v>0</v>
      </c>
      <c r="P972" s="28" t="n">
        <v>77316</v>
      </c>
      <c r="Q972" s="28" t="n">
        <v>1858370</v>
      </c>
      <c r="R972" s="28" t="n">
        <v>0</v>
      </c>
      <c r="S972" s="28">
        <f>Q972-R972</f>
        <v/>
      </c>
      <c r="T972" s="28">
        <f>IF(S972="","",S972*(1+in_GrowthRate)^(YEARFRAC(DATE(2022,12,31),in_AgeToDate)*IF(in_AgeToDate&lt;DATE(2022,12,31),-1,1)+1))</f>
        <v/>
      </c>
      <c r="U972" s="50">
        <f>IF(AND(AND(OR(in_Mode="All Funds",AND(C972&gt;=in_BandFloor,C972&lt;=in_BandCeiling,OR(in_Geography="National",COUNTIFS(lst_GeoPreset,in_Geography,lst_GeoState,B972)&gt;0,AND(in_Geography="Custom",ISNUMBER(SEARCH(B972,SUBSTITUTE(in_CustomStates," ",""))))),OR(AND(D972="Endowment",Inputs!$B$14="Y"),AND(D972="Foundation",Inputs!$B$15="Y"),AND(D972="Healthcare",Inputs!$B$16="Y"),AND(D972="Pension",Inputs!$B$17="Y"),AND(D972="OCIO",Inputs!$B$18="Y"),AND(D972="Other",Inputs!$B$19="Y")))),A972&lt;&gt;in_ClientOrg,NOT(AND(in_ExclHarvard="Y",ISNUMBER(SEARCH("Harvard",A972))))),$AD972="Y",K972&lt;&gt;"",S972&gt;0),"Y","")</f>
        <v/>
      </c>
      <c r="V972" s="30" t="n">
        <v>1</v>
      </c>
      <c r="W972" t="inlineStr"/>
      <c r="X972" s="28">
        <f>IF(L972+M972=0,"",L972+M972)</f>
        <v/>
      </c>
      <c r="Y972" s="38">
        <f>IF(L972=0,"",M972/L972)</f>
        <v/>
      </c>
      <c r="Z972" t="inlineStr">
        <is>
          <t>CIO - Top Investment Executive</t>
        </is>
      </c>
      <c r="AA972" t="inlineStr">
        <is>
          <t>Leadership</t>
        </is>
      </c>
      <c r="AB972" s="50" t="inlineStr">
        <is>
          <t>Y</t>
        </is>
      </c>
      <c r="AC972" s="43">
        <f>HYPERLINK("https://projects.propublica.org/nonprofits/organizations/131659629/202313189349101641/full","view filing")</f>
        <v/>
      </c>
      <c r="AD972" s="50" t="inlineStr"/>
    </row>
    <row r="973">
      <c r="A973" t="inlineStr">
        <is>
          <t>Rockefeller Foundation</t>
        </is>
      </c>
      <c r="B973" s="50" t="inlineStr">
        <is>
          <t>NY</t>
        </is>
      </c>
      <c r="C973" s="52" t="n">
        <v>5.4</v>
      </c>
      <c r="D973" t="inlineStr">
        <is>
          <t>Foundation</t>
        </is>
      </c>
      <c r="E973" s="50" t="n">
        <v>2022</v>
      </c>
      <c r="F973" s="50" t="inlineStr">
        <is>
          <t>2023-11-14</t>
        </is>
      </c>
      <c r="G973" s="50" t="inlineStr">
        <is>
          <t>2022-12-31</t>
        </is>
      </c>
      <c r="H973" t="inlineStr">
        <is>
          <t>Douglass Coyle</t>
        </is>
      </c>
      <c r="I973" t="inlineStr">
        <is>
          <t>DEPUTY CHIEF INVESTM</t>
        </is>
      </c>
      <c r="J973" t="inlineStr">
        <is>
          <t>Deputy CIO</t>
        </is>
      </c>
      <c r="K973" t="inlineStr">
        <is>
          <t>Sr Investment Professional</t>
        </is>
      </c>
      <c r="L973" s="28" t="n">
        <v>0</v>
      </c>
      <c r="M973" s="28" t="n">
        <v>0</v>
      </c>
      <c r="N973" s="28" t="n">
        <v>0</v>
      </c>
      <c r="O973" s="28" t="n">
        <v>0</v>
      </c>
      <c r="P973" s="28" t="n">
        <v>0</v>
      </c>
      <c r="Q973" s="28" t="n">
        <v>1372431</v>
      </c>
      <c r="R973" s="28" t="n">
        <v>0</v>
      </c>
      <c r="S973" s="28">
        <f>Q973-R973</f>
        <v/>
      </c>
      <c r="T973" s="28">
        <f>IF(S973="","",S973*(1+in_GrowthRate)^(YEARFRAC(DATE(2022,12,31),in_AgeToDate)*IF(in_AgeToDate&lt;DATE(2022,12,31),-1,1)+1))</f>
        <v/>
      </c>
      <c r="U973" s="50">
        <f>IF(AND(AND(OR(in_Mode="All Funds",AND(C973&gt;=in_BandFloor,C973&lt;=in_BandCeiling,OR(in_Geography="National",COUNTIFS(lst_GeoPreset,in_Geography,lst_GeoState,B973)&gt;0,AND(in_Geography="Custom",ISNUMBER(SEARCH(B973,SUBSTITUTE(in_CustomStates," ",""))))),OR(AND(D973="Endowment",Inputs!$B$14="Y"),AND(D973="Foundation",Inputs!$B$15="Y"),AND(D973="Healthcare",Inputs!$B$16="Y"),AND(D973="Pension",Inputs!$B$17="Y"),AND(D973="OCIO",Inputs!$B$18="Y"),AND(D973="Other",Inputs!$B$19="Y")))),A973&lt;&gt;in_ClientOrg,NOT(AND(in_ExclHarvard="Y",ISNUMBER(SEARCH("Harvard",A973))))),$AD973="Y",K973&lt;&gt;"",S973&gt;0),"Y","")</f>
        <v/>
      </c>
      <c r="V973" s="30" t="n">
        <v>0.738513320813401</v>
      </c>
      <c r="W973" t="inlineStr"/>
      <c r="X973" s="28">
        <f>IF(L973+M973=0,"",L973+M973)</f>
        <v/>
      </c>
      <c r="Y973" s="38">
        <f>IF(L973=0,"",M973/L973)</f>
        <v/>
      </c>
      <c r="Z973" t="inlineStr">
        <is>
          <t>Deputy CIO</t>
        </is>
      </c>
      <c r="AA973" t="inlineStr">
        <is>
          <t>Leadership</t>
        </is>
      </c>
      <c r="AB973" s="50" t="inlineStr"/>
      <c r="AC973" s="43">
        <f>HYPERLINK("https://projects.propublica.org/nonprofits/organizations/131659629/202313189349101641/full","view filing")</f>
        <v/>
      </c>
      <c r="AD973" s="50" t="inlineStr"/>
    </row>
    <row r="974">
      <c r="A974" t="inlineStr">
        <is>
          <t>Rockefeller Foundation</t>
        </is>
      </c>
      <c r="B974" s="50" t="inlineStr">
        <is>
          <t>NY</t>
        </is>
      </c>
      <c r="C974" s="52" t="n">
        <v>5.4</v>
      </c>
      <c r="D974" t="inlineStr">
        <is>
          <t>Foundation</t>
        </is>
      </c>
      <c r="E974" s="50" t="n">
        <v>2022</v>
      </c>
      <c r="F974" s="50" t="inlineStr">
        <is>
          <t>2023-11-14</t>
        </is>
      </c>
      <c r="G974" s="50" t="inlineStr">
        <is>
          <t>2022-12-31</t>
        </is>
      </c>
      <c r="H974" t="inlineStr">
        <is>
          <t>Michelle Pak</t>
        </is>
      </c>
      <c r="I974" t="inlineStr">
        <is>
          <t>SR. MANAGING DIRECTO</t>
        </is>
      </c>
      <c r="J974" t="inlineStr">
        <is>
          <t>Senior Managing Director</t>
        </is>
      </c>
      <c r="K974" t="inlineStr">
        <is>
          <t>Sr Investment Professional</t>
        </is>
      </c>
      <c r="L974" s="28" t="n">
        <v>0</v>
      </c>
      <c r="M974" s="28" t="n">
        <v>0</v>
      </c>
      <c r="N974" s="28" t="n">
        <v>0</v>
      </c>
      <c r="O974" s="28" t="n">
        <v>0</v>
      </c>
      <c r="P974" s="28" t="n">
        <v>0</v>
      </c>
      <c r="Q974" s="28" t="n">
        <v>772907</v>
      </c>
      <c r="R974" s="28" t="n">
        <v>0</v>
      </c>
      <c r="S974" s="28">
        <f>Q974-R974</f>
        <v/>
      </c>
      <c r="T974" s="28">
        <f>IF(S974="","",S974*(1+in_GrowthRate)^(YEARFRAC(DATE(2022,12,31),in_AgeToDate)*IF(in_AgeToDate&lt;DATE(2022,12,31),-1,1)+1))</f>
        <v/>
      </c>
      <c r="U974" s="50">
        <f>IF(AND(AND(OR(in_Mode="All Funds",AND(C974&gt;=in_BandFloor,C974&lt;=in_BandCeiling,OR(in_Geography="National",COUNTIFS(lst_GeoPreset,in_Geography,lst_GeoState,B974)&gt;0,AND(in_Geography="Custom",ISNUMBER(SEARCH(B974,SUBSTITUTE(in_CustomStates," ",""))))),OR(AND(D974="Endowment",Inputs!$B$14="Y"),AND(D974="Foundation",Inputs!$B$15="Y"),AND(D974="Healthcare",Inputs!$B$16="Y"),AND(D974="Pension",Inputs!$B$17="Y"),AND(D974="OCIO",Inputs!$B$18="Y"),AND(D974="Other",Inputs!$B$19="Y")))),A974&lt;&gt;in_ClientOrg,NOT(AND(in_ExclHarvard="Y",ISNUMBER(SEARCH("Harvard",A974))))),$AD974="Y",K974&lt;&gt;"",S974&gt;0),"Y","")</f>
        <v/>
      </c>
      <c r="V974" s="30" t="n">
        <v>0.4159058745029246</v>
      </c>
      <c r="W974" t="inlineStr"/>
      <c r="X974" s="28">
        <f>IF(L974+M974=0,"",L974+M974)</f>
        <v/>
      </c>
      <c r="Y974" s="38">
        <f>IF(L974=0,"",M974/L974)</f>
        <v/>
      </c>
      <c r="Z974" t="inlineStr">
        <is>
          <t>Managing Director</t>
        </is>
      </c>
      <c r="AA974" t="inlineStr">
        <is>
          <t>Investments</t>
        </is>
      </c>
      <c r="AB974" s="50" t="inlineStr"/>
      <c r="AC974" s="43">
        <f>HYPERLINK("https://projects.propublica.org/nonprofits/organizations/131659629/202313189349101641/full","view filing")</f>
        <v/>
      </c>
      <c r="AD974" s="50" t="inlineStr"/>
    </row>
    <row r="975">
      <c r="A975" t="inlineStr">
        <is>
          <t>Rockefeller University</t>
        </is>
      </c>
      <c r="B975" s="50" t="inlineStr">
        <is>
          <t>NY</t>
        </is>
      </c>
      <c r="C975" s="52" t="n">
        <v>2.61</v>
      </c>
      <c r="D975" t="inlineStr">
        <is>
          <t>Endowment</t>
        </is>
      </c>
      <c r="E975" s="50" t="n">
        <v>2025</v>
      </c>
      <c r="F975" s="50" t="inlineStr">
        <is>
          <t>2026-02-24</t>
        </is>
      </c>
      <c r="G975" s="50" t="inlineStr">
        <is>
          <t>2025-06-30</t>
        </is>
      </c>
      <c r="H975" t="inlineStr">
        <is>
          <t>Paula Volent</t>
        </is>
      </c>
      <c r="I975" t="inlineStr">
        <is>
          <t>CHIEF INVESTMENT OFFICER</t>
        </is>
      </c>
      <c r="J975" t="inlineStr">
        <is>
          <t>CIO</t>
        </is>
      </c>
      <c r="K975" t="inlineStr">
        <is>
          <t>CIO - Top Investment Executive</t>
        </is>
      </c>
      <c r="L975" s="28" t="n">
        <v>1078988</v>
      </c>
      <c r="M975" s="28" t="n">
        <v>695289</v>
      </c>
      <c r="N975" s="28" t="n">
        <v>154278</v>
      </c>
      <c r="O975" s="28" t="n">
        <v>297134</v>
      </c>
      <c r="P975" s="28" t="n">
        <v>31769</v>
      </c>
      <c r="Q975" s="28" t="n">
        <v>2257458</v>
      </c>
      <c r="R975" s="28" t="n">
        <v>229636</v>
      </c>
      <c r="S975" s="28">
        <f>Q975-R975</f>
        <v/>
      </c>
      <c r="T975" s="28">
        <f>IF(S975="","",S975*(1+in_GrowthRate)^(YEARFRAC(DATE(2025,6,30),in_AgeToDate)*IF(in_AgeToDate&lt;DATE(2025,6,30),-1,1)+1))</f>
        <v/>
      </c>
      <c r="U975" s="50">
        <f>IF(AND(AND(OR(in_Mode="All Funds",AND(C975&gt;=in_BandFloor,C975&lt;=in_BandCeiling,OR(in_Geography="National",COUNTIFS(lst_GeoPreset,in_Geography,lst_GeoState,B975)&gt;0,AND(in_Geography="Custom",ISNUMBER(SEARCH(B975,SUBSTITUTE(in_CustomStates," ",""))))),OR(AND(D975="Endowment",Inputs!$B$14="Y"),AND(D975="Foundation",Inputs!$B$15="Y"),AND(D975="Healthcare",Inputs!$B$16="Y"),AND(D975="Pension",Inputs!$B$17="Y"),AND(D975="OCIO",Inputs!$B$18="Y"),AND(D975="Other",Inputs!$B$19="Y")))),A975&lt;&gt;in_ClientOrg,NOT(AND(in_ExclHarvard="Y",ISNUMBER(SEARCH("Harvard",A975))))),$AD975="Y",K975&lt;&gt;"",S975&gt;0),"Y","")</f>
        <v/>
      </c>
      <c r="V975" s="30" t="n">
        <v>1</v>
      </c>
      <c r="W975" t="inlineStr"/>
      <c r="X975" s="28">
        <f>IF(L975+M975=0,"",L975+M975)</f>
        <v/>
      </c>
      <c r="Y975" s="38">
        <f>IF(L975=0,"",M975/L975)</f>
        <v/>
      </c>
      <c r="Z975" t="inlineStr">
        <is>
          <t>CIO - Top Investment Executive</t>
        </is>
      </c>
      <c r="AA975" t="inlineStr">
        <is>
          <t>Leadership</t>
        </is>
      </c>
      <c r="AB975" s="50" t="inlineStr">
        <is>
          <t>Y</t>
        </is>
      </c>
      <c r="AC975" s="43">
        <f>HYPERLINK("https://projects.propublica.org/nonprofits/organizations/131624158/202630559349300433/full","view filing")</f>
        <v/>
      </c>
      <c r="AD975" s="50" t="inlineStr">
        <is>
          <t>Y</t>
        </is>
      </c>
    </row>
    <row r="976">
      <c r="A976" t="inlineStr">
        <is>
          <t>Rockefeller University</t>
        </is>
      </c>
      <c r="B976" s="50" t="inlineStr">
        <is>
          <t>NY</t>
        </is>
      </c>
      <c r="C976" s="52" t="n">
        <v>2.61</v>
      </c>
      <c r="D976" t="inlineStr">
        <is>
          <t>Endowment</t>
        </is>
      </c>
      <c r="E976" s="50" t="n">
        <v>2024</v>
      </c>
      <c r="F976" s="50" t="inlineStr">
        <is>
          <t>2025-02-13</t>
        </is>
      </c>
      <c r="G976" s="50" t="inlineStr">
        <is>
          <t>2024-06-30</t>
        </is>
      </c>
      <c r="H976" t="inlineStr">
        <is>
          <t>Anouk Van Der Boor</t>
        </is>
      </c>
      <c r="I976" t="inlineStr">
        <is>
          <t>Managing Director, Private Partnerships</t>
        </is>
      </c>
      <c r="J976" t="inlineStr">
        <is>
          <t>Managing Director</t>
        </is>
      </c>
      <c r="K976" t="inlineStr">
        <is>
          <t>Sr Investment Professional</t>
        </is>
      </c>
      <c r="L976" s="28" t="n">
        <v>399113</v>
      </c>
      <c r="M976" s="28" t="n">
        <v>400000</v>
      </c>
      <c r="N976" s="28" t="n">
        <v>0</v>
      </c>
      <c r="O976" s="28" t="n">
        <v>0</v>
      </c>
      <c r="P976" s="28" t="n">
        <v>58373</v>
      </c>
      <c r="Q976" s="28" t="n">
        <v>857486</v>
      </c>
      <c r="R976" s="28" t="n">
        <v>0</v>
      </c>
      <c r="S976" s="28">
        <f>Q976-R976</f>
        <v/>
      </c>
      <c r="T976" s="28">
        <f>IF(S976="","",S976*(1+in_GrowthRate)^(YEARFRAC(DATE(2024,6,30),in_AgeToDate)*IF(in_AgeToDate&lt;DATE(2024,6,30),-1,1)+1))</f>
        <v/>
      </c>
      <c r="U976" s="50">
        <f>IF(AND(AND(OR(in_Mode="All Funds",AND(C976&gt;=in_BandFloor,C976&lt;=in_BandCeiling,OR(in_Geography="National",COUNTIFS(lst_GeoPreset,in_Geography,lst_GeoState,B976)&gt;0,AND(in_Geography="Custom",ISNUMBER(SEARCH(B976,SUBSTITUTE(in_CustomStates," ",""))))),OR(AND(D976="Endowment",Inputs!$B$14="Y"),AND(D976="Foundation",Inputs!$B$15="Y"),AND(D976="Healthcare",Inputs!$B$16="Y"),AND(D976="Pension",Inputs!$B$17="Y"),AND(D976="OCIO",Inputs!$B$18="Y"),AND(D976="Other",Inputs!$B$19="Y")))),A976&lt;&gt;in_ClientOrg,NOT(AND(in_ExclHarvard="Y",ISNUMBER(SEARCH("Harvard",A976))))),$AD976="Y",K976&lt;&gt;"",S976&gt;0),"Y","")</f>
        <v/>
      </c>
      <c r="V976" s="30" t="n">
        <v>0.4563362862187917</v>
      </c>
      <c r="W976" t="inlineStr"/>
      <c r="X976" s="28">
        <f>IF(L976+M976=0,"",L976+M976)</f>
        <v/>
      </c>
      <c r="Y976" s="38">
        <f>IF(L976=0,"",M976/L976)</f>
        <v/>
      </c>
      <c r="Z976" t="inlineStr">
        <is>
          <t>Managing Director</t>
        </is>
      </c>
      <c r="AA976" t="inlineStr">
        <is>
          <t>Investments</t>
        </is>
      </c>
      <c r="AB976" s="50" t="inlineStr"/>
      <c r="AC976" s="43">
        <f>HYPERLINK("https://projects.propublica.org/nonprofits/organizations/131624158/202530449349301203/full","view filing")</f>
        <v/>
      </c>
      <c r="AD976" s="50" t="inlineStr"/>
    </row>
    <row r="977">
      <c r="A977" t="inlineStr">
        <is>
          <t>Rockefeller University</t>
        </is>
      </c>
      <c r="B977" s="50" t="inlineStr">
        <is>
          <t>NY</t>
        </is>
      </c>
      <c r="C977" s="52" t="n">
        <v>2.61</v>
      </c>
      <c r="D977" t="inlineStr">
        <is>
          <t>Endowment</t>
        </is>
      </c>
      <c r="E977" s="50" t="n">
        <v>2024</v>
      </c>
      <c r="F977" s="50" t="inlineStr">
        <is>
          <t>2025-02-13</t>
        </is>
      </c>
      <c r="G977" s="50" t="inlineStr">
        <is>
          <t>2024-06-30</t>
        </is>
      </c>
      <c r="H977" t="inlineStr">
        <is>
          <t>Paula Volent</t>
        </is>
      </c>
      <c r="I977" t="inlineStr">
        <is>
          <t>Chief Investment Officer</t>
        </is>
      </c>
      <c r="J977" t="inlineStr">
        <is>
          <t>CIO</t>
        </is>
      </c>
      <c r="K977" t="inlineStr">
        <is>
          <t>CIO - Top Investment Executive</t>
        </is>
      </c>
      <c r="L977" s="28" t="n">
        <v>1047536</v>
      </c>
      <c r="M977" s="28" t="n">
        <v>607751</v>
      </c>
      <c r="N977" s="28" t="n">
        <v>150968</v>
      </c>
      <c r="O977" s="28" t="n">
        <v>195214</v>
      </c>
      <c r="P977" s="28" t="n">
        <v>31764</v>
      </c>
      <c r="Q977" s="28" t="n">
        <v>2033233</v>
      </c>
      <c r="R977" s="28" t="n">
        <v>154167</v>
      </c>
      <c r="S977" s="28">
        <f>Q977-R977</f>
        <v/>
      </c>
      <c r="T977" s="28">
        <f>IF(S977="","",S977*(1+in_GrowthRate)^(YEARFRAC(DATE(2024,6,30),in_AgeToDate)*IF(in_AgeToDate&lt;DATE(2024,6,30),-1,1)+1))</f>
        <v/>
      </c>
      <c r="U977" s="50">
        <f>IF(AND(AND(OR(in_Mode="All Funds",AND(C977&gt;=in_BandFloor,C977&lt;=in_BandCeiling,OR(in_Geography="National",COUNTIFS(lst_GeoPreset,in_Geography,lst_GeoState,B977)&gt;0,AND(in_Geography="Custom",ISNUMBER(SEARCH(B977,SUBSTITUTE(in_CustomStates," ",""))))),OR(AND(D977="Endowment",Inputs!$B$14="Y"),AND(D977="Foundation",Inputs!$B$15="Y"),AND(D977="Healthcare",Inputs!$B$16="Y"),AND(D977="Pension",Inputs!$B$17="Y"),AND(D977="OCIO",Inputs!$B$18="Y"),AND(D977="Other",Inputs!$B$19="Y")))),A977&lt;&gt;in_ClientOrg,NOT(AND(in_ExclHarvard="Y",ISNUMBER(SEARCH("Harvard",A977))))),$AD977="Y",K977&lt;&gt;"",S977&gt;0),"Y","")</f>
        <v/>
      </c>
      <c r="V977" s="30" t="n">
        <v>1</v>
      </c>
      <c r="W977" t="inlineStr"/>
      <c r="X977" s="28">
        <f>IF(L977+M977=0,"",L977+M977)</f>
        <v/>
      </c>
      <c r="Y977" s="38">
        <f>IF(L977=0,"",M977/L977)</f>
        <v/>
      </c>
      <c r="Z977" t="inlineStr">
        <is>
          <t>CIO - Top Investment Executive</t>
        </is>
      </c>
      <c r="AA977" t="inlineStr">
        <is>
          <t>Leadership</t>
        </is>
      </c>
      <c r="AB977" s="50" t="inlineStr">
        <is>
          <t>Y</t>
        </is>
      </c>
      <c r="AC977" s="43">
        <f>HYPERLINK("https://projects.propublica.org/nonprofits/organizations/131624158/202530449349301203/full","view filing")</f>
        <v/>
      </c>
      <c r="AD977" s="50" t="inlineStr"/>
    </row>
    <row r="978">
      <c r="A978" t="inlineStr">
        <is>
          <t>Rockefeller University</t>
        </is>
      </c>
      <c r="B978" s="50" t="inlineStr">
        <is>
          <t>NY</t>
        </is>
      </c>
      <c r="C978" s="52" t="n">
        <v>2.61</v>
      </c>
      <c r="D978" t="inlineStr">
        <is>
          <t>Endowment</t>
        </is>
      </c>
      <c r="E978" s="50" t="n">
        <v>2023</v>
      </c>
      <c r="F978" s="50" t="inlineStr">
        <is>
          <t>2024-02-22</t>
        </is>
      </c>
      <c r="G978" s="50" t="inlineStr">
        <is>
          <t>2023-06-30</t>
        </is>
      </c>
      <c r="H978" t="inlineStr">
        <is>
          <t>Paula Volent</t>
        </is>
      </c>
      <c r="I978" t="inlineStr">
        <is>
          <t>Chief Investment Officer</t>
        </is>
      </c>
      <c r="J978" t="inlineStr">
        <is>
          <t>CIO</t>
        </is>
      </c>
      <c r="K978" t="inlineStr">
        <is>
          <t>CIO - Top Investment Executive</t>
        </is>
      </c>
      <c r="L978" s="28" t="n">
        <v>1014625</v>
      </c>
      <c r="M978" s="28" t="n">
        <v>462500</v>
      </c>
      <c r="N978" s="28" t="n">
        <v>153828</v>
      </c>
      <c r="O978" s="28" t="n">
        <v>515107</v>
      </c>
      <c r="P978" s="28" t="n">
        <v>24876</v>
      </c>
      <c r="Q978" s="28" t="n">
        <v>2170936</v>
      </c>
      <c r="R978" s="28" t="n">
        <v>0</v>
      </c>
      <c r="S978" s="28">
        <f>Q978-R978</f>
        <v/>
      </c>
      <c r="T978" s="28">
        <f>IF(S978="","",S978*(1+in_GrowthRate)^(YEARFRAC(DATE(2023,6,30),in_AgeToDate)*IF(in_AgeToDate&lt;DATE(2023,6,30),-1,1)+1))</f>
        <v/>
      </c>
      <c r="U978" s="50">
        <f>IF(AND(AND(OR(in_Mode="All Funds",AND(C978&gt;=in_BandFloor,C978&lt;=in_BandCeiling,OR(in_Geography="National",COUNTIFS(lst_GeoPreset,in_Geography,lst_GeoState,B978)&gt;0,AND(in_Geography="Custom",ISNUMBER(SEARCH(B978,SUBSTITUTE(in_CustomStates," ",""))))),OR(AND(D978="Endowment",Inputs!$B$14="Y"),AND(D978="Foundation",Inputs!$B$15="Y"),AND(D978="Healthcare",Inputs!$B$16="Y"),AND(D978="Pension",Inputs!$B$17="Y"),AND(D978="OCIO",Inputs!$B$18="Y"),AND(D978="Other",Inputs!$B$19="Y")))),A978&lt;&gt;in_ClientOrg,NOT(AND(in_ExclHarvard="Y",ISNUMBER(SEARCH("Harvard",A978))))),$AD978="Y",K978&lt;&gt;"",S978&gt;0),"Y","")</f>
        <v/>
      </c>
      <c r="V978" s="30" t="n">
        <v>1</v>
      </c>
      <c r="W978" t="inlineStr"/>
      <c r="X978" s="28">
        <f>IF(L978+M978=0,"",L978+M978)</f>
        <v/>
      </c>
      <c r="Y978" s="38">
        <f>IF(L978=0,"",M978/L978)</f>
        <v/>
      </c>
      <c r="Z978" t="inlineStr">
        <is>
          <t>CIO - Top Investment Executive</t>
        </is>
      </c>
      <c r="AA978" t="inlineStr">
        <is>
          <t>Leadership</t>
        </is>
      </c>
      <c r="AB978" s="50" t="inlineStr">
        <is>
          <t>Y</t>
        </is>
      </c>
      <c r="AC978" s="43">
        <f>HYPERLINK("https://projects.propublica.org/nonprofits/organizations/131624158/202430539349300713/full","view filing")</f>
        <v/>
      </c>
      <c r="AD978" s="50" t="inlineStr"/>
    </row>
    <row r="979">
      <c r="A979" t="inlineStr">
        <is>
          <t>Rotary International</t>
        </is>
      </c>
      <c r="B979" s="50" t="inlineStr">
        <is>
          <t>IL</t>
        </is>
      </c>
      <c r="C979" s="52" t="n">
        <v>0.11</v>
      </c>
      <c r="D979" t="inlineStr">
        <is>
          <t>Other</t>
        </is>
      </c>
      <c r="E979" s="50" t="n">
        <v>2025</v>
      </c>
      <c r="F979" s="50" t="inlineStr">
        <is>
          <t>2026-03-23</t>
        </is>
      </c>
      <c r="G979" s="50" t="inlineStr">
        <is>
          <t>2025-06-30</t>
        </is>
      </c>
      <c r="H979" t="inlineStr">
        <is>
          <t>Eric Jones</t>
        </is>
      </c>
      <c r="I979" t="inlineStr">
        <is>
          <t>CHIEF INVESTMENT OFFICER</t>
        </is>
      </c>
      <c r="J979" t="inlineStr">
        <is>
          <t>CIO</t>
        </is>
      </c>
      <c r="K979" t="inlineStr">
        <is>
          <t>CIO - Top Investment Executive</t>
        </is>
      </c>
      <c r="L979" s="28" t="n">
        <v>27423</v>
      </c>
      <c r="M979" s="28" t="n">
        <v>0</v>
      </c>
      <c r="N979" s="28" t="n">
        <v>520</v>
      </c>
      <c r="O979" s="28" t="n">
        <v>2980</v>
      </c>
      <c r="P979" s="28" t="n">
        <v>2650</v>
      </c>
      <c r="Q979" s="28" t="n">
        <v>33573</v>
      </c>
      <c r="R979" s="28" t="n">
        <v>0</v>
      </c>
      <c r="S979" s="28">
        <f>Q979-R979</f>
        <v/>
      </c>
      <c r="T979" s="28">
        <f>IF(S979="","",S979*(1+in_GrowthRate)^(YEARFRAC(DATE(2025,6,30),in_AgeToDate)*IF(in_AgeToDate&lt;DATE(2025,6,30),-1,1)+1))</f>
        <v/>
      </c>
      <c r="U979" s="50">
        <f>IF(AND(AND(OR(in_Mode="All Funds",AND(C979&gt;=in_BandFloor,C979&lt;=in_BandCeiling,OR(in_Geography="National",COUNTIFS(lst_GeoPreset,in_Geography,lst_GeoState,B979)&gt;0,AND(in_Geography="Custom",ISNUMBER(SEARCH(B979,SUBSTITUTE(in_CustomStates," ",""))))),OR(AND(D979="Endowment",Inputs!$B$14="Y"),AND(D979="Foundation",Inputs!$B$15="Y"),AND(D979="Healthcare",Inputs!$B$16="Y"),AND(D979="Pension",Inputs!$B$17="Y"),AND(D979="OCIO",Inputs!$B$18="Y"),AND(D979="Other",Inputs!$B$19="Y")))),A979&lt;&gt;in_ClientOrg,NOT(AND(in_ExclHarvard="Y",ISNUMBER(SEARCH("Harvard",A979))))),$AD979="Y",K979&lt;&gt;"",S979&gt;0),"Y","")</f>
        <v/>
      </c>
      <c r="V979" s="30" t="n">
        <v>1</v>
      </c>
      <c r="W979" t="inlineStr"/>
      <c r="X979" s="28">
        <f>IF(L979+M979=0,"",L979+M979)</f>
        <v/>
      </c>
      <c r="Y979" s="38">
        <f>IF(L979=0,"",M979/L979)</f>
        <v/>
      </c>
      <c r="Z979" t="inlineStr">
        <is>
          <t>CIO - Top Investment Executive</t>
        </is>
      </c>
      <c r="AA979" t="inlineStr">
        <is>
          <t>Leadership</t>
        </is>
      </c>
      <c r="AB979" s="50" t="inlineStr">
        <is>
          <t>Y</t>
        </is>
      </c>
      <c r="AC979" s="43">
        <f>HYPERLINK("https://projects.propublica.org/nonprofits/organizations/361707667/202640829349300319/full","view filing")</f>
        <v/>
      </c>
      <c r="AD979" s="50" t="inlineStr">
        <is>
          <t>Y</t>
        </is>
      </c>
    </row>
    <row r="980">
      <c r="A980" t="inlineStr">
        <is>
          <t>Rotary International</t>
        </is>
      </c>
      <c r="B980" s="50" t="inlineStr">
        <is>
          <t>IL</t>
        </is>
      </c>
      <c r="C980" s="52" t="n">
        <v>0.11</v>
      </c>
      <c r="D980" t="inlineStr">
        <is>
          <t>Other</t>
        </is>
      </c>
      <c r="E980" s="50" t="n">
        <v>2025</v>
      </c>
      <c r="F980" s="50" t="inlineStr">
        <is>
          <t>2026-03-23</t>
        </is>
      </c>
      <c r="G980" s="50" t="inlineStr">
        <is>
          <t>2025-06-30</t>
        </is>
      </c>
      <c r="H980" t="inlineStr">
        <is>
          <t>Jonathan South</t>
        </is>
      </c>
      <c r="I980" t="inlineStr">
        <is>
          <t>INVESTMENT OFFICER</t>
        </is>
      </c>
      <c r="J980" t="inlineStr">
        <is>
          <t>Investment Officer</t>
        </is>
      </c>
      <c r="K980" t="inlineStr">
        <is>
          <t>Sr Investment Professional</t>
        </is>
      </c>
      <c r="L980" s="28" t="n">
        <v>15523</v>
      </c>
      <c r="M980" s="28" t="n">
        <v>0</v>
      </c>
      <c r="N980" s="28" t="n">
        <v>179</v>
      </c>
      <c r="O980" s="28" t="n">
        <v>1507</v>
      </c>
      <c r="P980" s="28" t="n">
        <v>550</v>
      </c>
      <c r="Q980" s="28" t="n">
        <v>17759</v>
      </c>
      <c r="R980" s="28" t="n">
        <v>0</v>
      </c>
      <c r="S980" s="28">
        <f>Q980-R980</f>
        <v/>
      </c>
      <c r="T980" s="28">
        <f>IF(S980="","",S980*(1+in_GrowthRate)^(YEARFRAC(DATE(2025,6,30),in_AgeToDate)*IF(in_AgeToDate&lt;DATE(2025,6,30),-1,1)+1))</f>
        <v/>
      </c>
      <c r="U980" s="50">
        <f>IF(AND(AND(OR(in_Mode="All Funds",AND(C980&gt;=in_BandFloor,C980&lt;=in_BandCeiling,OR(in_Geography="National",COUNTIFS(lst_GeoPreset,in_Geography,lst_GeoState,B980)&gt;0,AND(in_Geography="Custom",ISNUMBER(SEARCH(B980,SUBSTITUTE(in_CustomStates," ",""))))),OR(AND(D980="Endowment",Inputs!$B$14="Y"),AND(D980="Foundation",Inputs!$B$15="Y"),AND(D980="Healthcare",Inputs!$B$16="Y"),AND(D980="Pension",Inputs!$B$17="Y"),AND(D980="OCIO",Inputs!$B$18="Y"),AND(D980="Other",Inputs!$B$19="Y")))),A980&lt;&gt;in_ClientOrg,NOT(AND(in_ExclHarvard="Y",ISNUMBER(SEARCH("Harvard",A980))))),$AD980="Y",K980&lt;&gt;"",S980&gt;0),"Y","")</f>
        <v/>
      </c>
      <c r="V980" s="30" t="n">
        <v>0.5289667292169302</v>
      </c>
      <c r="W980" t="inlineStr"/>
      <c r="X980" s="28">
        <f>IF(L980+M980=0,"",L980+M980)</f>
        <v/>
      </c>
      <c r="Y980" s="38">
        <f>IF(L980=0,"",M980/L980)</f>
        <v/>
      </c>
      <c r="Z980" t="inlineStr">
        <is>
          <t>Director &amp; Investment Officer</t>
        </is>
      </c>
      <c r="AA980" t="inlineStr">
        <is>
          <t>Investments</t>
        </is>
      </c>
      <c r="AB980" s="50" t="inlineStr"/>
      <c r="AC980" s="43">
        <f>HYPERLINK("https://projects.propublica.org/nonprofits/organizations/361707667/202640829349300319/full","view filing")</f>
        <v/>
      </c>
      <c r="AD980" s="50" t="inlineStr">
        <is>
          <t>Y</t>
        </is>
      </c>
    </row>
    <row r="981">
      <c r="A981" t="inlineStr">
        <is>
          <t>Rotary International</t>
        </is>
      </c>
      <c r="B981" s="50" t="inlineStr">
        <is>
          <t>IL</t>
        </is>
      </c>
      <c r="C981" s="52" t="n">
        <v>0.11</v>
      </c>
      <c r="D981" t="inlineStr">
        <is>
          <t>Other</t>
        </is>
      </c>
      <c r="E981" s="50" t="n">
        <v>2025</v>
      </c>
      <c r="F981" s="50" t="inlineStr">
        <is>
          <t>2026-03-23</t>
        </is>
      </c>
      <c r="G981" s="50" t="inlineStr">
        <is>
          <t>2025-06-30</t>
        </is>
      </c>
      <c r="H981" t="inlineStr">
        <is>
          <t>Michael Patock</t>
        </is>
      </c>
      <c r="I981" t="inlineStr">
        <is>
          <t>INVESTMENT OFFICER</t>
        </is>
      </c>
      <c r="J981" t="inlineStr">
        <is>
          <t>Investment Officer</t>
        </is>
      </c>
      <c r="K981" t="inlineStr">
        <is>
          <t>Sr Investment Professional</t>
        </is>
      </c>
      <c r="L981" s="28" t="n">
        <v>16058</v>
      </c>
      <c r="M981" s="28" t="n">
        <v>0</v>
      </c>
      <c r="N981" s="28" t="n">
        <v>60</v>
      </c>
      <c r="O981" s="28" t="n">
        <v>2165</v>
      </c>
      <c r="P981" s="28" t="n">
        <v>0</v>
      </c>
      <c r="Q981" s="28" t="n">
        <v>18283</v>
      </c>
      <c r="R981" s="28" t="n">
        <v>0</v>
      </c>
      <c r="S981" s="28">
        <f>Q981-R981</f>
        <v/>
      </c>
      <c r="T981" s="28">
        <f>IF(S981="","",S981*(1+in_GrowthRate)^(YEARFRAC(DATE(2025,6,30),in_AgeToDate)*IF(in_AgeToDate&lt;DATE(2025,6,30),-1,1)+1))</f>
        <v/>
      </c>
      <c r="U981" s="50">
        <f>IF(AND(AND(OR(in_Mode="All Funds",AND(C981&gt;=in_BandFloor,C981&lt;=in_BandCeiling,OR(in_Geography="National",COUNTIFS(lst_GeoPreset,in_Geography,lst_GeoState,B981)&gt;0,AND(in_Geography="Custom",ISNUMBER(SEARCH(B981,SUBSTITUTE(in_CustomStates," ",""))))),OR(AND(D981="Endowment",Inputs!$B$14="Y"),AND(D981="Foundation",Inputs!$B$15="Y"),AND(D981="Healthcare",Inputs!$B$16="Y"),AND(D981="Pension",Inputs!$B$17="Y"),AND(D981="OCIO",Inputs!$B$18="Y"),AND(D981="Other",Inputs!$B$19="Y")))),A981&lt;&gt;in_ClientOrg,NOT(AND(in_ExclHarvard="Y",ISNUMBER(SEARCH("Harvard",A981))))),$AD981="Y",K981&lt;&gt;"",S981&gt;0),"Y","")</f>
        <v/>
      </c>
      <c r="V981" s="30" t="n">
        <v>0.5445745092782891</v>
      </c>
      <c r="W981" t="inlineStr"/>
      <c r="X981" s="28">
        <f>IF(L981+M981=0,"",L981+M981)</f>
        <v/>
      </c>
      <c r="Y981" s="38">
        <f>IF(L981=0,"",M981/L981)</f>
        <v/>
      </c>
      <c r="Z981" t="inlineStr">
        <is>
          <t>Director &amp; Investment Officer</t>
        </is>
      </c>
      <c r="AA981" t="inlineStr">
        <is>
          <t>Investments</t>
        </is>
      </c>
      <c r="AB981" s="50" t="inlineStr"/>
      <c r="AC981" s="43">
        <f>HYPERLINK("https://projects.propublica.org/nonprofits/organizations/361707667/202640829349300319/full","view filing")</f>
        <v/>
      </c>
      <c r="AD981" s="50" t="inlineStr">
        <is>
          <t>Y</t>
        </is>
      </c>
    </row>
    <row r="982">
      <c r="A982" t="inlineStr">
        <is>
          <t>Rotary International</t>
        </is>
      </c>
      <c r="B982" s="50" t="inlineStr">
        <is>
          <t>IL</t>
        </is>
      </c>
      <c r="C982" s="52" t="n">
        <v>0.11</v>
      </c>
      <c r="D982" t="inlineStr">
        <is>
          <t>Other</t>
        </is>
      </c>
      <c r="E982" s="50" t="n">
        <v>2024</v>
      </c>
      <c r="F982" s="50" t="inlineStr">
        <is>
          <t>2025-04-01</t>
        </is>
      </c>
      <c r="G982" s="50" t="inlineStr">
        <is>
          <t>2024-06-30</t>
        </is>
      </c>
      <c r="H982" t="inlineStr">
        <is>
          <t>Eric Jones</t>
        </is>
      </c>
      <c r="I982" t="inlineStr">
        <is>
          <t>CHIEF INVESTMENT OFFICER</t>
        </is>
      </c>
      <c r="J982" t="inlineStr">
        <is>
          <t>CIO</t>
        </is>
      </c>
      <c r="K982" t="inlineStr">
        <is>
          <t>CIO - Top Investment Executive</t>
        </is>
      </c>
      <c r="L982" s="28" t="n">
        <v>26192</v>
      </c>
      <c r="M982" s="28" t="n">
        <v>0</v>
      </c>
      <c r="N982" s="28" t="n">
        <v>495</v>
      </c>
      <c r="O982" s="28" t="n">
        <v>2909</v>
      </c>
      <c r="P982" s="28" t="n">
        <v>2386</v>
      </c>
      <c r="Q982" s="28" t="n">
        <v>31982</v>
      </c>
      <c r="R982" s="28" t="n">
        <v>0</v>
      </c>
      <c r="S982" s="28">
        <f>Q982-R982</f>
        <v/>
      </c>
      <c r="T982" s="28">
        <f>IF(S982="","",S982*(1+in_GrowthRate)^(YEARFRAC(DATE(2024,6,30),in_AgeToDate)*IF(in_AgeToDate&lt;DATE(2024,6,30),-1,1)+1))</f>
        <v/>
      </c>
      <c r="U982" s="50">
        <f>IF(AND(AND(OR(in_Mode="All Funds",AND(C982&gt;=in_BandFloor,C982&lt;=in_BandCeiling,OR(in_Geography="National",COUNTIFS(lst_GeoPreset,in_Geography,lst_GeoState,B982)&gt;0,AND(in_Geography="Custom",ISNUMBER(SEARCH(B982,SUBSTITUTE(in_CustomStates," ",""))))),OR(AND(D982="Endowment",Inputs!$B$14="Y"),AND(D982="Foundation",Inputs!$B$15="Y"),AND(D982="Healthcare",Inputs!$B$16="Y"),AND(D982="Pension",Inputs!$B$17="Y"),AND(D982="OCIO",Inputs!$B$18="Y"),AND(D982="Other",Inputs!$B$19="Y")))),A982&lt;&gt;in_ClientOrg,NOT(AND(in_ExclHarvard="Y",ISNUMBER(SEARCH("Harvard",A982))))),$AD982="Y",K982&lt;&gt;"",S982&gt;0),"Y","")</f>
        <v/>
      </c>
      <c r="V982" s="30" t="n">
        <v>1</v>
      </c>
      <c r="W982" t="inlineStr"/>
      <c r="X982" s="28">
        <f>IF(L982+M982=0,"",L982+M982)</f>
        <v/>
      </c>
      <c r="Y982" s="38">
        <f>IF(L982=0,"",M982/L982)</f>
        <v/>
      </c>
      <c r="Z982" t="inlineStr">
        <is>
          <t>CIO - Top Investment Executive</t>
        </is>
      </c>
      <c r="AA982" t="inlineStr">
        <is>
          <t>Leadership</t>
        </is>
      </c>
      <c r="AB982" s="50" t="inlineStr">
        <is>
          <t>Y</t>
        </is>
      </c>
      <c r="AC982" s="43">
        <f>HYPERLINK("https://projects.propublica.org/nonprofits/organizations/361707667/202500919349301100/full","view filing")</f>
        <v/>
      </c>
      <c r="AD982" s="50" t="inlineStr"/>
    </row>
    <row r="983">
      <c r="A983" t="inlineStr">
        <is>
          <t>Rotary International</t>
        </is>
      </c>
      <c r="B983" s="50" t="inlineStr">
        <is>
          <t>IL</t>
        </is>
      </c>
      <c r="C983" s="52" t="n">
        <v>0.11</v>
      </c>
      <c r="D983" t="inlineStr">
        <is>
          <t>Other</t>
        </is>
      </c>
      <c r="E983" s="50" t="n">
        <v>2024</v>
      </c>
      <c r="F983" s="50" t="inlineStr">
        <is>
          <t>2025-04-01</t>
        </is>
      </c>
      <c r="G983" s="50" t="inlineStr">
        <is>
          <t>2024-06-30</t>
        </is>
      </c>
      <c r="H983" t="inlineStr">
        <is>
          <t>Jonathan South</t>
        </is>
      </c>
      <c r="I983" t="inlineStr">
        <is>
          <t>INVESTMENT OFFICER</t>
        </is>
      </c>
      <c r="J983" t="inlineStr">
        <is>
          <t>Investment Officer</t>
        </is>
      </c>
      <c r="K983" t="inlineStr">
        <is>
          <t>Sr Investment Professional</t>
        </is>
      </c>
      <c r="L983" s="28" t="n">
        <v>14521</v>
      </c>
      <c r="M983" s="28" t="n">
        <v>0</v>
      </c>
      <c r="N983" s="28" t="n">
        <v>170</v>
      </c>
      <c r="O983" s="28" t="n">
        <v>1435</v>
      </c>
      <c r="P983" s="28" t="n">
        <v>1647</v>
      </c>
      <c r="Q983" s="28" t="n">
        <v>17773</v>
      </c>
      <c r="R983" s="28" t="n">
        <v>0</v>
      </c>
      <c r="S983" s="28">
        <f>Q983-R983</f>
        <v/>
      </c>
      <c r="T983" s="28">
        <f>IF(S983="","",S983*(1+in_GrowthRate)^(YEARFRAC(DATE(2024,6,30),in_AgeToDate)*IF(in_AgeToDate&lt;DATE(2024,6,30),-1,1)+1))</f>
        <v/>
      </c>
      <c r="U983" s="50">
        <f>IF(AND(AND(OR(in_Mode="All Funds",AND(C983&gt;=in_BandFloor,C983&lt;=in_BandCeiling,OR(in_Geography="National",COUNTIFS(lst_GeoPreset,in_Geography,lst_GeoState,B983)&gt;0,AND(in_Geography="Custom",ISNUMBER(SEARCH(B983,SUBSTITUTE(in_CustomStates," ",""))))),OR(AND(D983="Endowment",Inputs!$B$14="Y"),AND(D983="Foundation",Inputs!$B$15="Y"),AND(D983="Healthcare",Inputs!$B$16="Y"),AND(D983="Pension",Inputs!$B$17="Y"),AND(D983="OCIO",Inputs!$B$18="Y"),AND(D983="Other",Inputs!$B$19="Y")))),A983&lt;&gt;in_ClientOrg,NOT(AND(in_ExclHarvard="Y",ISNUMBER(SEARCH("Harvard",A983))))),$AD983="Y",K983&lt;&gt;"",S983&gt;0),"Y","")</f>
        <v/>
      </c>
      <c r="V983" s="30" t="n">
        <v>0.5557188418485398</v>
      </c>
      <c r="W983" t="inlineStr"/>
      <c r="X983" s="28">
        <f>IF(L983+M983=0,"",L983+M983)</f>
        <v/>
      </c>
      <c r="Y983" s="38">
        <f>IF(L983=0,"",M983/L983)</f>
        <v/>
      </c>
      <c r="Z983" t="inlineStr">
        <is>
          <t>Director &amp; Investment Officer</t>
        </is>
      </c>
      <c r="AA983" t="inlineStr">
        <is>
          <t>Investments</t>
        </is>
      </c>
      <c r="AB983" s="50" t="inlineStr"/>
      <c r="AC983" s="43">
        <f>HYPERLINK("https://projects.propublica.org/nonprofits/organizations/361707667/202500919349301100/full","view filing")</f>
        <v/>
      </c>
      <c r="AD983" s="50" t="inlineStr"/>
    </row>
    <row r="984">
      <c r="A984" t="inlineStr">
        <is>
          <t>Rotary International</t>
        </is>
      </c>
      <c r="B984" s="50" t="inlineStr">
        <is>
          <t>IL</t>
        </is>
      </c>
      <c r="C984" s="52" t="n">
        <v>0.11</v>
      </c>
      <c r="D984" t="inlineStr">
        <is>
          <t>Other</t>
        </is>
      </c>
      <c r="E984" s="50" t="n">
        <v>2024</v>
      </c>
      <c r="F984" s="50" t="inlineStr">
        <is>
          <t>2025-04-01</t>
        </is>
      </c>
      <c r="G984" s="50" t="inlineStr">
        <is>
          <t>2024-06-30</t>
        </is>
      </c>
      <c r="H984" t="inlineStr">
        <is>
          <t>Michael Patock</t>
        </is>
      </c>
      <c r="I984" t="inlineStr">
        <is>
          <t>INVESTMENT OFFICER</t>
        </is>
      </c>
      <c r="J984" t="inlineStr">
        <is>
          <t>Investment Officer</t>
        </is>
      </c>
      <c r="K984" t="inlineStr">
        <is>
          <t>Sr Investment Professional</t>
        </is>
      </c>
      <c r="L984" s="28" t="n">
        <v>15422</v>
      </c>
      <c r="M984" s="28" t="n">
        <v>0</v>
      </c>
      <c r="N984" s="28" t="n">
        <v>283</v>
      </c>
      <c r="O984" s="28" t="n">
        <v>2104</v>
      </c>
      <c r="P984" s="28" t="n">
        <v>0</v>
      </c>
      <c r="Q984" s="28" t="n">
        <v>17809</v>
      </c>
      <c r="R984" s="28" t="n">
        <v>0</v>
      </c>
      <c r="S984" s="28">
        <f>Q984-R984</f>
        <v/>
      </c>
      <c r="T984" s="28">
        <f>IF(S984="","",S984*(1+in_GrowthRate)^(YEARFRAC(DATE(2024,6,30),in_AgeToDate)*IF(in_AgeToDate&lt;DATE(2024,6,30),-1,1)+1))</f>
        <v/>
      </c>
      <c r="U984" s="50">
        <f>IF(AND(AND(OR(in_Mode="All Funds",AND(C984&gt;=in_BandFloor,C984&lt;=in_BandCeiling,OR(in_Geography="National",COUNTIFS(lst_GeoPreset,in_Geography,lst_GeoState,B984)&gt;0,AND(in_Geography="Custom",ISNUMBER(SEARCH(B984,SUBSTITUTE(in_CustomStates," ",""))))),OR(AND(D984="Endowment",Inputs!$B$14="Y"),AND(D984="Foundation",Inputs!$B$15="Y"),AND(D984="Healthcare",Inputs!$B$16="Y"),AND(D984="Pension",Inputs!$B$17="Y"),AND(D984="OCIO",Inputs!$B$18="Y"),AND(D984="Other",Inputs!$B$19="Y")))),A984&lt;&gt;in_ClientOrg,NOT(AND(in_ExclHarvard="Y",ISNUMBER(SEARCH("Harvard",A984))))),$AD984="Y",K984&lt;&gt;"",S984&gt;0),"Y","")</f>
        <v/>
      </c>
      <c r="V984" s="30" t="n">
        <v>0.5568444750171971</v>
      </c>
      <c r="W984" t="inlineStr"/>
      <c r="X984" s="28">
        <f>IF(L984+M984=0,"",L984+M984)</f>
        <v/>
      </c>
      <c r="Y984" s="38">
        <f>IF(L984=0,"",M984/L984)</f>
        <v/>
      </c>
      <c r="Z984" t="inlineStr">
        <is>
          <t>Director &amp; Investment Officer</t>
        </is>
      </c>
      <c r="AA984" t="inlineStr">
        <is>
          <t>Investments</t>
        </is>
      </c>
      <c r="AB984" s="50" t="inlineStr"/>
      <c r="AC984" s="43">
        <f>HYPERLINK("https://projects.propublica.org/nonprofits/organizations/361707667/202500919349301100/full","view filing")</f>
        <v/>
      </c>
      <c r="AD984" s="50" t="inlineStr"/>
    </row>
    <row r="985">
      <c r="A985" t="inlineStr">
        <is>
          <t>Rotary International</t>
        </is>
      </c>
      <c r="B985" s="50" t="inlineStr">
        <is>
          <t>IL</t>
        </is>
      </c>
      <c r="C985" s="52" t="n">
        <v>0.11</v>
      </c>
      <c r="D985" t="inlineStr">
        <is>
          <t>Other</t>
        </is>
      </c>
      <c r="E985" s="50" t="n">
        <v>2023</v>
      </c>
      <c r="F985" s="50" t="inlineStr">
        <is>
          <t>2024-03-18</t>
        </is>
      </c>
      <c r="G985" s="50" t="inlineStr">
        <is>
          <t>2023-06-30</t>
        </is>
      </c>
      <c r="H985" t="inlineStr">
        <is>
          <t>Eric Jones</t>
        </is>
      </c>
      <c r="I985" t="inlineStr">
        <is>
          <t>CHIEF INVESTMENT OFFICER</t>
        </is>
      </c>
      <c r="J985" t="inlineStr">
        <is>
          <t>CIO</t>
        </is>
      </c>
      <c r="K985" t="inlineStr">
        <is>
          <t>CIO - Top Investment Executive</t>
        </is>
      </c>
      <c r="L985" s="28" t="n">
        <v>24163</v>
      </c>
      <c r="M985" s="28" t="n">
        <v>0</v>
      </c>
      <c r="N985" s="28" t="n">
        <v>444</v>
      </c>
      <c r="O985" s="28" t="n">
        <v>2637</v>
      </c>
      <c r="P985" s="28" t="n">
        <v>2156</v>
      </c>
      <c r="Q985" s="28" t="n">
        <v>29400</v>
      </c>
      <c r="R985" s="28" t="n">
        <v>0</v>
      </c>
      <c r="S985" s="28">
        <f>Q985-R985</f>
        <v/>
      </c>
      <c r="T985" s="28">
        <f>IF(S985="","",S985*(1+in_GrowthRate)^(YEARFRAC(DATE(2023,6,30),in_AgeToDate)*IF(in_AgeToDate&lt;DATE(2023,6,30),-1,1)+1))</f>
        <v/>
      </c>
      <c r="U985" s="50">
        <f>IF(AND(AND(OR(in_Mode="All Funds",AND(C985&gt;=in_BandFloor,C985&lt;=in_BandCeiling,OR(in_Geography="National",COUNTIFS(lst_GeoPreset,in_Geography,lst_GeoState,B985)&gt;0,AND(in_Geography="Custom",ISNUMBER(SEARCH(B985,SUBSTITUTE(in_CustomStates," ",""))))),OR(AND(D985="Endowment",Inputs!$B$14="Y"),AND(D985="Foundation",Inputs!$B$15="Y"),AND(D985="Healthcare",Inputs!$B$16="Y"),AND(D985="Pension",Inputs!$B$17="Y"),AND(D985="OCIO",Inputs!$B$18="Y"),AND(D985="Other",Inputs!$B$19="Y")))),A985&lt;&gt;in_ClientOrg,NOT(AND(in_ExclHarvard="Y",ISNUMBER(SEARCH("Harvard",A985))))),$AD985="Y",K985&lt;&gt;"",S985&gt;0),"Y","")</f>
        <v/>
      </c>
      <c r="V985" s="30" t="n">
        <v>1</v>
      </c>
      <c r="W985" t="inlineStr"/>
      <c r="X985" s="28">
        <f>IF(L985+M985=0,"",L985+M985)</f>
        <v/>
      </c>
      <c r="Y985" s="38">
        <f>IF(L985=0,"",M985/L985)</f>
        <v/>
      </c>
      <c r="Z985" t="inlineStr">
        <is>
          <t>CIO - Top Investment Executive</t>
        </is>
      </c>
      <c r="AA985" t="inlineStr">
        <is>
          <t>Leadership</t>
        </is>
      </c>
      <c r="AB985" s="50" t="inlineStr">
        <is>
          <t>Y</t>
        </is>
      </c>
      <c r="AC985" s="43">
        <f>HYPERLINK("https://projects.propublica.org/nonprofits/organizations/361707667/202420789349300117/full","view filing")</f>
        <v/>
      </c>
      <c r="AD985" s="50" t="inlineStr"/>
    </row>
    <row r="986">
      <c r="A986" t="inlineStr">
        <is>
          <t>Rotary International</t>
        </is>
      </c>
      <c r="B986" s="50" t="inlineStr">
        <is>
          <t>IL</t>
        </is>
      </c>
      <c r="C986" s="52" t="n">
        <v>0.11</v>
      </c>
      <c r="D986" t="inlineStr">
        <is>
          <t>Other</t>
        </is>
      </c>
      <c r="E986" s="50" t="n">
        <v>2023</v>
      </c>
      <c r="F986" s="50" t="inlineStr">
        <is>
          <t>2024-03-18</t>
        </is>
      </c>
      <c r="G986" s="50" t="inlineStr">
        <is>
          <t>2023-06-30</t>
        </is>
      </c>
      <c r="H986" t="inlineStr">
        <is>
          <t>Jonathan South</t>
        </is>
      </c>
      <c r="I986" t="inlineStr">
        <is>
          <t>INVESTMENT OFFICER</t>
        </is>
      </c>
      <c r="J986" t="inlineStr">
        <is>
          <t>Investment Officer</t>
        </is>
      </c>
      <c r="K986" t="inlineStr">
        <is>
          <t>Sr Investment Professional</t>
        </is>
      </c>
      <c r="L986" s="28" t="n">
        <v>13546</v>
      </c>
      <c r="M986" s="28" t="n">
        <v>0</v>
      </c>
      <c r="N986" s="28" t="n">
        <v>0</v>
      </c>
      <c r="O986" s="28" t="n">
        <v>1372</v>
      </c>
      <c r="P986" s="28" t="n">
        <v>2645</v>
      </c>
      <c r="Q986" s="28" t="n">
        <v>17563</v>
      </c>
      <c r="R986" s="28" t="n">
        <v>0</v>
      </c>
      <c r="S986" s="28">
        <f>Q986-R986</f>
        <v/>
      </c>
      <c r="T986" s="28">
        <f>IF(S986="","",S986*(1+in_GrowthRate)^(YEARFRAC(DATE(2023,6,30),in_AgeToDate)*IF(in_AgeToDate&lt;DATE(2023,6,30),-1,1)+1))</f>
        <v/>
      </c>
      <c r="U986" s="50">
        <f>IF(AND(AND(OR(in_Mode="All Funds",AND(C986&gt;=in_BandFloor,C986&lt;=in_BandCeiling,OR(in_Geography="National",COUNTIFS(lst_GeoPreset,in_Geography,lst_GeoState,B986)&gt;0,AND(in_Geography="Custom",ISNUMBER(SEARCH(B986,SUBSTITUTE(in_CustomStates," ",""))))),OR(AND(D986="Endowment",Inputs!$B$14="Y"),AND(D986="Foundation",Inputs!$B$15="Y"),AND(D986="Healthcare",Inputs!$B$16="Y"),AND(D986="Pension",Inputs!$B$17="Y"),AND(D986="OCIO",Inputs!$B$18="Y"),AND(D986="Other",Inputs!$B$19="Y")))),A986&lt;&gt;in_ClientOrg,NOT(AND(in_ExclHarvard="Y",ISNUMBER(SEARCH("Harvard",A986))))),$AD986="Y",K986&lt;&gt;"",S986&gt;0),"Y","")</f>
        <v/>
      </c>
      <c r="V986" s="30" t="n">
        <v>0.5973809523809523</v>
      </c>
      <c r="W986" t="inlineStr"/>
      <c r="X986" s="28">
        <f>IF(L986+M986=0,"",L986+M986)</f>
        <v/>
      </c>
      <c r="Y986" s="38">
        <f>IF(L986=0,"",M986/L986)</f>
        <v/>
      </c>
      <c r="Z986" t="inlineStr">
        <is>
          <t>Director &amp; Investment Officer</t>
        </is>
      </c>
      <c r="AA986" t="inlineStr">
        <is>
          <t>Investments</t>
        </is>
      </c>
      <c r="AB986" s="50" t="inlineStr"/>
      <c r="AC986" s="43">
        <f>HYPERLINK("https://projects.propublica.org/nonprofits/organizations/361707667/202420789349300117/full","view filing")</f>
        <v/>
      </c>
      <c r="AD986" s="50" t="inlineStr"/>
    </row>
    <row r="987">
      <c r="A987" t="inlineStr">
        <is>
          <t>Rotary International</t>
        </is>
      </c>
      <c r="B987" s="50" t="inlineStr">
        <is>
          <t>IL</t>
        </is>
      </c>
      <c r="C987" s="52" t="n">
        <v>0.11</v>
      </c>
      <c r="D987" t="inlineStr">
        <is>
          <t>Other</t>
        </is>
      </c>
      <c r="E987" s="50" t="n">
        <v>2023</v>
      </c>
      <c r="F987" s="50" t="inlineStr">
        <is>
          <t>2024-03-18</t>
        </is>
      </c>
      <c r="G987" s="50" t="inlineStr">
        <is>
          <t>2023-06-30</t>
        </is>
      </c>
      <c r="H987" t="inlineStr">
        <is>
          <t>Michael Patock</t>
        </is>
      </c>
      <c r="I987" t="inlineStr">
        <is>
          <t>INVESTMENT OFFICER</t>
        </is>
      </c>
      <c r="J987" t="inlineStr">
        <is>
          <t>Investment Officer</t>
        </is>
      </c>
      <c r="K987" t="inlineStr">
        <is>
          <t>Sr Investment Professional</t>
        </is>
      </c>
      <c r="L987" s="28" t="n">
        <v>14681</v>
      </c>
      <c r="M987" s="28" t="n">
        <v>0</v>
      </c>
      <c r="N987" s="28" t="n">
        <v>272</v>
      </c>
      <c r="O987" s="28" t="n">
        <v>1940</v>
      </c>
      <c r="P987" s="28" t="n">
        <v>0</v>
      </c>
      <c r="Q987" s="28" t="n">
        <v>16893</v>
      </c>
      <c r="R987" s="28" t="n">
        <v>0</v>
      </c>
      <c r="S987" s="28">
        <f>Q987-R987</f>
        <v/>
      </c>
      <c r="T987" s="28">
        <f>IF(S987="","",S987*(1+in_GrowthRate)^(YEARFRAC(DATE(2023,6,30),in_AgeToDate)*IF(in_AgeToDate&lt;DATE(2023,6,30),-1,1)+1))</f>
        <v/>
      </c>
      <c r="U987" s="50">
        <f>IF(AND(AND(OR(in_Mode="All Funds",AND(C987&gt;=in_BandFloor,C987&lt;=in_BandCeiling,OR(in_Geography="National",COUNTIFS(lst_GeoPreset,in_Geography,lst_GeoState,B987)&gt;0,AND(in_Geography="Custom",ISNUMBER(SEARCH(B987,SUBSTITUTE(in_CustomStates," ",""))))),OR(AND(D987="Endowment",Inputs!$B$14="Y"),AND(D987="Foundation",Inputs!$B$15="Y"),AND(D987="Healthcare",Inputs!$B$16="Y"),AND(D987="Pension",Inputs!$B$17="Y"),AND(D987="OCIO",Inputs!$B$18="Y"),AND(D987="Other",Inputs!$B$19="Y")))),A987&lt;&gt;in_ClientOrg,NOT(AND(in_ExclHarvard="Y",ISNUMBER(SEARCH("Harvard",A987))))),$AD987="Y",K987&lt;&gt;"",S987&gt;0),"Y","")</f>
        <v/>
      </c>
      <c r="V987" s="30" t="n">
        <v>0.5745918367346938</v>
      </c>
      <c r="W987" t="inlineStr"/>
      <c r="X987" s="28">
        <f>IF(L987+M987=0,"",L987+M987)</f>
        <v/>
      </c>
      <c r="Y987" s="38">
        <f>IF(L987=0,"",M987/L987)</f>
        <v/>
      </c>
      <c r="Z987" t="inlineStr">
        <is>
          <t>Director &amp; Investment Officer</t>
        </is>
      </c>
      <c r="AA987" t="inlineStr">
        <is>
          <t>Investments</t>
        </is>
      </c>
      <c r="AB987" s="50" t="inlineStr"/>
      <c r="AC987" s="43">
        <f>HYPERLINK("https://projects.propublica.org/nonprofits/organizations/361707667/202420789349300117/full","view filing")</f>
        <v/>
      </c>
      <c r="AD987" s="50" t="inlineStr"/>
    </row>
    <row r="988">
      <c r="A988" t="inlineStr">
        <is>
          <t>Rotary International</t>
        </is>
      </c>
      <c r="B988" s="50" t="inlineStr">
        <is>
          <t>IL</t>
        </is>
      </c>
      <c r="C988" s="52" t="n">
        <v>0.11</v>
      </c>
      <c r="D988" t="inlineStr">
        <is>
          <t>Other</t>
        </is>
      </c>
      <c r="E988" s="50" t="n">
        <v>2022</v>
      </c>
      <c r="F988" s="50" t="inlineStr">
        <is>
          <t>2023-04-21</t>
        </is>
      </c>
      <c r="G988" s="50" t="inlineStr">
        <is>
          <t>2022-06-30</t>
        </is>
      </c>
      <c r="H988" t="inlineStr">
        <is>
          <t>Eric Jones</t>
        </is>
      </c>
      <c r="I988" t="inlineStr">
        <is>
          <t>CHIEF INVESTMENT OFFICER</t>
        </is>
      </c>
      <c r="J988" t="inlineStr">
        <is>
          <t>CIO</t>
        </is>
      </c>
      <c r="K988" t="inlineStr">
        <is>
          <t>CIO - Top Investment Executive</t>
        </is>
      </c>
      <c r="L988" s="28" t="n">
        <v>22654</v>
      </c>
      <c r="M988" s="28" t="n">
        <v>0</v>
      </c>
      <c r="N988" s="28" t="n">
        <v>86</v>
      </c>
      <c r="O988" s="28" t="n">
        <v>2531</v>
      </c>
      <c r="P988" s="28" t="n">
        <v>1997</v>
      </c>
      <c r="Q988" s="28" t="n">
        <v>27268</v>
      </c>
      <c r="R988" s="28" t="n">
        <v>0</v>
      </c>
      <c r="S988" s="28">
        <f>Q988-R988</f>
        <v/>
      </c>
      <c r="T988" s="28">
        <f>IF(S988="","",S988*(1+in_GrowthRate)^(YEARFRAC(DATE(2022,6,30),in_AgeToDate)*IF(in_AgeToDate&lt;DATE(2022,6,30),-1,1)+1))</f>
        <v/>
      </c>
      <c r="U988" s="50">
        <f>IF(AND(AND(OR(in_Mode="All Funds",AND(C988&gt;=in_BandFloor,C988&lt;=in_BandCeiling,OR(in_Geography="National",COUNTIFS(lst_GeoPreset,in_Geography,lst_GeoState,B988)&gt;0,AND(in_Geography="Custom",ISNUMBER(SEARCH(B988,SUBSTITUTE(in_CustomStates," ",""))))),OR(AND(D988="Endowment",Inputs!$B$14="Y"),AND(D988="Foundation",Inputs!$B$15="Y"),AND(D988="Healthcare",Inputs!$B$16="Y"),AND(D988="Pension",Inputs!$B$17="Y"),AND(D988="OCIO",Inputs!$B$18="Y"),AND(D988="Other",Inputs!$B$19="Y")))),A988&lt;&gt;in_ClientOrg,NOT(AND(in_ExclHarvard="Y",ISNUMBER(SEARCH("Harvard",A988))))),$AD988="Y",K988&lt;&gt;"",S988&gt;0),"Y","")</f>
        <v/>
      </c>
      <c r="V988" s="30" t="n">
        <v>1</v>
      </c>
      <c r="W988" t="inlineStr"/>
      <c r="X988" s="28">
        <f>IF(L988+M988=0,"",L988+M988)</f>
        <v/>
      </c>
      <c r="Y988" s="38">
        <f>IF(L988=0,"",M988/L988)</f>
        <v/>
      </c>
      <c r="Z988" t="inlineStr">
        <is>
          <t>CIO - Top Investment Executive</t>
        </is>
      </c>
      <c r="AA988" t="inlineStr">
        <is>
          <t>Leadership</t>
        </is>
      </c>
      <c r="AB988" s="50" t="inlineStr">
        <is>
          <t>Y</t>
        </is>
      </c>
      <c r="AC988" s="43">
        <f>HYPERLINK("https://projects.propublica.org/nonprofits/organizations/361707667/202301119349300100/full","view filing")</f>
        <v/>
      </c>
      <c r="AD988" s="50" t="inlineStr"/>
    </row>
    <row r="989">
      <c r="A989" t="inlineStr">
        <is>
          <t>Rotary International</t>
        </is>
      </c>
      <c r="B989" s="50" t="inlineStr">
        <is>
          <t>IL</t>
        </is>
      </c>
      <c r="C989" s="52" t="n">
        <v>0.11</v>
      </c>
      <c r="D989" t="inlineStr">
        <is>
          <t>Other</t>
        </is>
      </c>
      <c r="E989" s="50" t="n">
        <v>2022</v>
      </c>
      <c r="F989" s="50" t="inlineStr">
        <is>
          <t>2023-04-21</t>
        </is>
      </c>
      <c r="G989" s="50" t="inlineStr">
        <is>
          <t>2022-06-30</t>
        </is>
      </c>
      <c r="H989" t="inlineStr">
        <is>
          <t>Jonathan South</t>
        </is>
      </c>
      <c r="I989" t="inlineStr">
        <is>
          <t>INVESTMENT OFFICER</t>
        </is>
      </c>
      <c r="J989" t="inlineStr">
        <is>
          <t>Investment Officer</t>
        </is>
      </c>
      <c r="K989" t="inlineStr">
        <is>
          <t>Sr Investment Professional</t>
        </is>
      </c>
      <c r="L989" s="28" t="n">
        <v>13544</v>
      </c>
      <c r="M989" s="28" t="n">
        <v>0</v>
      </c>
      <c r="N989" s="28" t="n">
        <v>106</v>
      </c>
      <c r="O989" s="28" t="n">
        <v>1325</v>
      </c>
      <c r="P989" s="28" t="n">
        <v>2248</v>
      </c>
      <c r="Q989" s="28" t="n">
        <v>17223</v>
      </c>
      <c r="R989" s="28" t="n">
        <v>0</v>
      </c>
      <c r="S989" s="28">
        <f>Q989-R989</f>
        <v/>
      </c>
      <c r="T989" s="28">
        <f>IF(S989="","",S989*(1+in_GrowthRate)^(YEARFRAC(DATE(2022,6,30),in_AgeToDate)*IF(in_AgeToDate&lt;DATE(2022,6,30),-1,1)+1))</f>
        <v/>
      </c>
      <c r="U989" s="50">
        <f>IF(AND(AND(OR(in_Mode="All Funds",AND(C989&gt;=in_BandFloor,C989&lt;=in_BandCeiling,OR(in_Geography="National",COUNTIFS(lst_GeoPreset,in_Geography,lst_GeoState,B989)&gt;0,AND(in_Geography="Custom",ISNUMBER(SEARCH(B989,SUBSTITUTE(in_CustomStates," ",""))))),OR(AND(D989="Endowment",Inputs!$B$14="Y"),AND(D989="Foundation",Inputs!$B$15="Y"),AND(D989="Healthcare",Inputs!$B$16="Y"),AND(D989="Pension",Inputs!$B$17="Y"),AND(D989="OCIO",Inputs!$B$18="Y"),AND(D989="Other",Inputs!$B$19="Y")))),A989&lt;&gt;in_ClientOrg,NOT(AND(in_ExclHarvard="Y",ISNUMBER(SEARCH("Harvard",A989))))),$AD989="Y",K989&lt;&gt;"",S989&gt;0),"Y","")</f>
        <v/>
      </c>
      <c r="V989" s="30" t="n">
        <v>0.6316194807099897</v>
      </c>
      <c r="W989" t="inlineStr"/>
      <c r="X989" s="28">
        <f>IF(L989+M989=0,"",L989+M989)</f>
        <v/>
      </c>
      <c r="Y989" s="38">
        <f>IF(L989=0,"",M989/L989)</f>
        <v/>
      </c>
      <c r="Z989" t="inlineStr">
        <is>
          <t>Director &amp; Investment Officer</t>
        </is>
      </c>
      <c r="AA989" t="inlineStr">
        <is>
          <t>Investments</t>
        </is>
      </c>
      <c r="AB989" s="50" t="inlineStr"/>
      <c r="AC989" s="43">
        <f>HYPERLINK("https://projects.propublica.org/nonprofits/organizations/361707667/202301119349300100/full","view filing")</f>
        <v/>
      </c>
      <c r="AD989" s="50" t="inlineStr"/>
    </row>
    <row r="990">
      <c r="A990" t="inlineStr">
        <is>
          <t>Rotary International</t>
        </is>
      </c>
      <c r="B990" s="50" t="inlineStr">
        <is>
          <t>IL</t>
        </is>
      </c>
      <c r="C990" s="52" t="n">
        <v>0.11</v>
      </c>
      <c r="D990" t="inlineStr">
        <is>
          <t>Other</t>
        </is>
      </c>
      <c r="E990" s="50" t="n">
        <v>2022</v>
      </c>
      <c r="F990" s="50" t="inlineStr">
        <is>
          <t>2023-04-21</t>
        </is>
      </c>
      <c r="G990" s="50" t="inlineStr">
        <is>
          <t>2022-06-30</t>
        </is>
      </c>
      <c r="H990" t="inlineStr">
        <is>
          <t>Michael Patock</t>
        </is>
      </c>
      <c r="I990" t="inlineStr">
        <is>
          <t>INVESTMENT OFFICER</t>
        </is>
      </c>
      <c r="J990" t="inlineStr">
        <is>
          <t>Investment Officer</t>
        </is>
      </c>
      <c r="K990" t="inlineStr">
        <is>
          <t>Sr Investment Professional</t>
        </is>
      </c>
      <c r="L990" s="28" t="n">
        <v>14270</v>
      </c>
      <c r="M990" s="28" t="n">
        <v>0</v>
      </c>
      <c r="N990" s="28" t="n">
        <v>106</v>
      </c>
      <c r="O990" s="28" t="n">
        <v>1853</v>
      </c>
      <c r="P990" s="28" t="n">
        <v>0</v>
      </c>
      <c r="Q990" s="28" t="n">
        <v>16229</v>
      </c>
      <c r="R990" s="28" t="n">
        <v>0</v>
      </c>
      <c r="S990" s="28">
        <f>Q990-R990</f>
        <v/>
      </c>
      <c r="T990" s="28">
        <f>IF(S990="","",S990*(1+in_GrowthRate)^(YEARFRAC(DATE(2022,6,30),in_AgeToDate)*IF(in_AgeToDate&lt;DATE(2022,6,30),-1,1)+1))</f>
        <v/>
      </c>
      <c r="U990" s="50">
        <f>IF(AND(AND(OR(in_Mode="All Funds",AND(C990&gt;=in_BandFloor,C990&lt;=in_BandCeiling,OR(in_Geography="National",COUNTIFS(lst_GeoPreset,in_Geography,lst_GeoState,B990)&gt;0,AND(in_Geography="Custom",ISNUMBER(SEARCH(B990,SUBSTITUTE(in_CustomStates," ",""))))),OR(AND(D990="Endowment",Inputs!$B$14="Y"),AND(D990="Foundation",Inputs!$B$15="Y"),AND(D990="Healthcare",Inputs!$B$16="Y"),AND(D990="Pension",Inputs!$B$17="Y"),AND(D990="OCIO",Inputs!$B$18="Y"),AND(D990="Other",Inputs!$B$19="Y")))),A990&lt;&gt;in_ClientOrg,NOT(AND(in_ExclHarvard="Y",ISNUMBER(SEARCH("Harvard",A990))))),$AD990="Y",K990&lt;&gt;"",S990&gt;0),"Y","")</f>
        <v/>
      </c>
      <c r="V990" s="30" t="n">
        <v>0.5951664955258912</v>
      </c>
      <c r="W990" t="inlineStr"/>
      <c r="X990" s="28">
        <f>IF(L990+M990=0,"",L990+M990)</f>
        <v/>
      </c>
      <c r="Y990" s="38">
        <f>IF(L990=0,"",M990/L990)</f>
        <v/>
      </c>
      <c r="Z990" t="inlineStr">
        <is>
          <t>Director &amp; Investment Officer</t>
        </is>
      </c>
      <c r="AA990" t="inlineStr">
        <is>
          <t>Investments</t>
        </is>
      </c>
      <c r="AB990" s="50" t="inlineStr"/>
      <c r="AC990" s="43">
        <f>HYPERLINK("https://projects.propublica.org/nonprofits/organizations/361707667/202301119349300100/full","view filing")</f>
        <v/>
      </c>
      <c r="AD990" s="50" t="inlineStr"/>
    </row>
    <row r="991">
      <c r="A991" t="inlineStr">
        <is>
          <t>Rush University Medical Center</t>
        </is>
      </c>
      <c r="B991" s="50" t="inlineStr">
        <is>
          <t>IL</t>
        </is>
      </c>
      <c r="C991" s="52" t="n">
        <v>0.93</v>
      </c>
      <c r="D991" t="inlineStr">
        <is>
          <t>Healthcare</t>
        </is>
      </c>
      <c r="E991" s="50" t="n">
        <v>2025</v>
      </c>
      <c r="F991" s="50" t="inlineStr">
        <is>
          <t>2026-05-14</t>
        </is>
      </c>
      <c r="G991" s="50" t="inlineStr">
        <is>
          <t>2025-06-30</t>
        </is>
      </c>
      <c r="H991" t="inlineStr">
        <is>
          <t>Alex D Wiggins</t>
        </is>
      </c>
      <c r="I991" t="inlineStr">
        <is>
          <t>Chief Investment Officer, RUSH</t>
        </is>
      </c>
      <c r="J991" t="inlineStr">
        <is>
          <t>CIO</t>
        </is>
      </c>
      <c r="K991" t="inlineStr">
        <is>
          <t>CIO - Top Investment Executive</t>
        </is>
      </c>
      <c r="L991" s="28" t="n">
        <v>529446</v>
      </c>
      <c r="M991" s="28" t="n">
        <v>169180</v>
      </c>
      <c r="N991" s="28" t="n">
        <v>8528</v>
      </c>
      <c r="O991" s="28" t="n">
        <v>92023</v>
      </c>
      <c r="P991" s="28" t="n">
        <v>36547</v>
      </c>
      <c r="Q991" s="28" t="n">
        <v>835724</v>
      </c>
      <c r="R991" s="28" t="n">
        <v>0</v>
      </c>
      <c r="S991" s="28">
        <f>Q991-R991</f>
        <v/>
      </c>
      <c r="T991" s="28">
        <f>IF(S991="","",S991*(1+in_GrowthRate)^(YEARFRAC(DATE(2025,6,30),in_AgeToDate)*IF(in_AgeToDate&lt;DATE(2025,6,30),-1,1)+1))</f>
        <v/>
      </c>
      <c r="U991" s="50">
        <f>IF(AND(AND(OR(in_Mode="All Funds",AND(C991&gt;=in_BandFloor,C991&lt;=in_BandCeiling,OR(in_Geography="National",COUNTIFS(lst_GeoPreset,in_Geography,lst_GeoState,B991)&gt;0,AND(in_Geography="Custom",ISNUMBER(SEARCH(B991,SUBSTITUTE(in_CustomStates," ",""))))),OR(AND(D991="Endowment",Inputs!$B$14="Y"),AND(D991="Foundation",Inputs!$B$15="Y"),AND(D991="Healthcare",Inputs!$B$16="Y"),AND(D991="Pension",Inputs!$B$17="Y"),AND(D991="OCIO",Inputs!$B$18="Y"),AND(D991="Other",Inputs!$B$19="Y")))),A991&lt;&gt;in_ClientOrg,NOT(AND(in_ExclHarvard="Y",ISNUMBER(SEARCH("Harvard",A991))))),$AD991="Y",K991&lt;&gt;"",S991&gt;0),"Y","")</f>
        <v/>
      </c>
      <c r="V991" s="30" t="n">
        <v>1</v>
      </c>
      <c r="W991" t="inlineStr"/>
      <c r="X991" s="28">
        <f>IF(L991+M991=0,"",L991+M991)</f>
        <v/>
      </c>
      <c r="Y991" s="38">
        <f>IF(L991=0,"",M991/L991)</f>
        <v/>
      </c>
      <c r="Z991" t="inlineStr">
        <is>
          <t>CIO - Top Investment Executive</t>
        </is>
      </c>
      <c r="AA991" t="inlineStr">
        <is>
          <t>Leadership</t>
        </is>
      </c>
      <c r="AB991" s="50" t="inlineStr">
        <is>
          <t>Y</t>
        </is>
      </c>
      <c r="AC991" s="43">
        <f>HYPERLINK("https://projects.propublica.org/nonprofits/organizations/362174823/202631349349312808/full","view filing")</f>
        <v/>
      </c>
      <c r="AD991" s="50" t="inlineStr">
        <is>
          <t>Y</t>
        </is>
      </c>
    </row>
    <row r="992">
      <c r="A992" t="inlineStr">
        <is>
          <t>Rush University Medical Center</t>
        </is>
      </c>
      <c r="B992" s="50" t="inlineStr">
        <is>
          <t>IL</t>
        </is>
      </c>
      <c r="C992" s="52" t="n">
        <v>0.93</v>
      </c>
      <c r="D992" t="inlineStr">
        <is>
          <t>Healthcare</t>
        </is>
      </c>
      <c r="E992" s="50" t="n">
        <v>2024</v>
      </c>
      <c r="F992" s="50" t="inlineStr">
        <is>
          <t>2025-05-14</t>
        </is>
      </c>
      <c r="G992" s="50" t="inlineStr">
        <is>
          <t>2024-06-30</t>
        </is>
      </c>
      <c r="H992" t="inlineStr">
        <is>
          <t>Alex D Wiggins</t>
        </is>
      </c>
      <c r="I992" t="inlineStr">
        <is>
          <t>VP, Chief Investment Officer &amp; Treasurer</t>
        </is>
      </c>
      <c r="J992" t="inlineStr">
        <is>
          <t>CIO</t>
        </is>
      </c>
      <c r="K992" t="inlineStr">
        <is>
          <t>CIO - Top Investment Executive</t>
        </is>
      </c>
      <c r="L992" s="28" t="n">
        <v>544323</v>
      </c>
      <c r="M992" s="28" t="n">
        <v>104641</v>
      </c>
      <c r="N992" s="28" t="n">
        <v>1527</v>
      </c>
      <c r="O992" s="28" t="n">
        <v>92576</v>
      </c>
      <c r="P992" s="28" t="n">
        <v>35764</v>
      </c>
      <c r="Q992" s="28" t="n">
        <v>778831</v>
      </c>
      <c r="R992" s="28" t="n">
        <v>0</v>
      </c>
      <c r="S992" s="28">
        <f>Q992-R992</f>
        <v/>
      </c>
      <c r="T992" s="28">
        <f>IF(S992="","",S992*(1+in_GrowthRate)^(YEARFRAC(DATE(2024,6,30),in_AgeToDate)*IF(in_AgeToDate&lt;DATE(2024,6,30),-1,1)+1))</f>
        <v/>
      </c>
      <c r="U992" s="50">
        <f>IF(AND(AND(OR(in_Mode="All Funds",AND(C992&gt;=in_BandFloor,C992&lt;=in_BandCeiling,OR(in_Geography="National",COUNTIFS(lst_GeoPreset,in_Geography,lst_GeoState,B992)&gt;0,AND(in_Geography="Custom",ISNUMBER(SEARCH(B992,SUBSTITUTE(in_CustomStates," ",""))))),OR(AND(D992="Endowment",Inputs!$B$14="Y"),AND(D992="Foundation",Inputs!$B$15="Y"),AND(D992="Healthcare",Inputs!$B$16="Y"),AND(D992="Pension",Inputs!$B$17="Y"),AND(D992="OCIO",Inputs!$B$18="Y"),AND(D992="Other",Inputs!$B$19="Y")))),A992&lt;&gt;in_ClientOrg,NOT(AND(in_ExclHarvard="Y",ISNUMBER(SEARCH("Harvard",A992))))),$AD992="Y",K992&lt;&gt;"",S992&gt;0),"Y","")</f>
        <v/>
      </c>
      <c r="V992" s="30" t="n">
        <v>1</v>
      </c>
      <c r="W992" t="inlineStr"/>
      <c r="X992" s="28">
        <f>IF(L992+M992=0,"",L992+M992)</f>
        <v/>
      </c>
      <c r="Y992" s="38">
        <f>IF(L992=0,"",M992/L992)</f>
        <v/>
      </c>
      <c r="Z992" t="inlineStr">
        <is>
          <t>CIO - Top Investment Executive</t>
        </is>
      </c>
      <c r="AA992" t="inlineStr">
        <is>
          <t>Leadership</t>
        </is>
      </c>
      <c r="AB992" s="50" t="inlineStr">
        <is>
          <t>Y</t>
        </is>
      </c>
      <c r="AC992" s="43">
        <f>HYPERLINK("https://projects.propublica.org/nonprofits/organizations/362174823/202501349349309015/full","view filing")</f>
        <v/>
      </c>
      <c r="AD992" s="50" t="inlineStr"/>
    </row>
    <row r="993">
      <c r="A993" t="inlineStr">
        <is>
          <t>Rush University Medical Center</t>
        </is>
      </c>
      <c r="B993" s="50" t="inlineStr">
        <is>
          <t>IL</t>
        </is>
      </c>
      <c r="C993" s="52" t="n">
        <v>0.93</v>
      </c>
      <c r="D993" t="inlineStr">
        <is>
          <t>Healthcare</t>
        </is>
      </c>
      <c r="E993" s="50" t="n">
        <v>2023</v>
      </c>
      <c r="F993" s="50" t="inlineStr">
        <is>
          <t>2024-05-13</t>
        </is>
      </c>
      <c r="G993" s="50" t="inlineStr">
        <is>
          <t>2023-06-30</t>
        </is>
      </c>
      <c r="H993" t="inlineStr">
        <is>
          <t>Alex D Wiggins</t>
        </is>
      </c>
      <c r="I993" t="inlineStr">
        <is>
          <t>VP, Chief Investment Officer &amp; Treasurer</t>
        </is>
      </c>
      <c r="J993" t="inlineStr">
        <is>
          <t>CIO</t>
        </is>
      </c>
      <c r="K993" t="inlineStr">
        <is>
          <t>CIO - Top Investment Executive</t>
        </is>
      </c>
      <c r="L993" s="28" t="n">
        <v>508712</v>
      </c>
      <c r="M993" s="28" t="n">
        <v>140907</v>
      </c>
      <c r="N993" s="28" t="n">
        <v>1126</v>
      </c>
      <c r="O993" s="28" t="n">
        <v>94051</v>
      </c>
      <c r="P993" s="28" t="n">
        <v>35074</v>
      </c>
      <c r="Q993" s="28" t="n">
        <v>779870</v>
      </c>
      <c r="R993" s="28" t="n">
        <v>0</v>
      </c>
      <c r="S993" s="28">
        <f>Q993-R993</f>
        <v/>
      </c>
      <c r="T993" s="28">
        <f>IF(S993="","",S993*(1+in_GrowthRate)^(YEARFRAC(DATE(2023,6,30),in_AgeToDate)*IF(in_AgeToDate&lt;DATE(2023,6,30),-1,1)+1))</f>
        <v/>
      </c>
      <c r="U993" s="50">
        <f>IF(AND(AND(OR(in_Mode="All Funds",AND(C993&gt;=in_BandFloor,C993&lt;=in_BandCeiling,OR(in_Geography="National",COUNTIFS(lst_GeoPreset,in_Geography,lst_GeoState,B993)&gt;0,AND(in_Geography="Custom",ISNUMBER(SEARCH(B993,SUBSTITUTE(in_CustomStates," ",""))))),OR(AND(D993="Endowment",Inputs!$B$14="Y"),AND(D993="Foundation",Inputs!$B$15="Y"),AND(D993="Healthcare",Inputs!$B$16="Y"),AND(D993="Pension",Inputs!$B$17="Y"),AND(D993="OCIO",Inputs!$B$18="Y"),AND(D993="Other",Inputs!$B$19="Y")))),A993&lt;&gt;in_ClientOrg,NOT(AND(in_ExclHarvard="Y",ISNUMBER(SEARCH("Harvard",A993))))),$AD993="Y",K993&lt;&gt;"",S993&gt;0),"Y","")</f>
        <v/>
      </c>
      <c r="V993" s="30" t="n">
        <v>1</v>
      </c>
      <c r="W993" t="inlineStr"/>
      <c r="X993" s="28">
        <f>IF(L993+M993=0,"",L993+M993)</f>
        <v/>
      </c>
      <c r="Y993" s="38">
        <f>IF(L993=0,"",M993/L993)</f>
        <v/>
      </c>
      <c r="Z993" t="inlineStr">
        <is>
          <t>CIO - Top Investment Executive</t>
        </is>
      </c>
      <c r="AA993" t="inlineStr">
        <is>
          <t>Leadership</t>
        </is>
      </c>
      <c r="AB993" s="50" t="inlineStr">
        <is>
          <t>Y</t>
        </is>
      </c>
      <c r="AC993" s="43">
        <f>HYPERLINK("https://projects.propublica.org/nonprofits/organizations/362174823/202441349349305684/full","view filing")</f>
        <v/>
      </c>
      <c r="AD993" s="50" t="inlineStr"/>
    </row>
    <row r="994">
      <c r="A994" t="inlineStr">
        <is>
          <t>Rush University Medical Center</t>
        </is>
      </c>
      <c r="B994" s="50" t="inlineStr">
        <is>
          <t>IL</t>
        </is>
      </c>
      <c r="C994" s="52" t="n">
        <v>0.93</v>
      </c>
      <c r="D994" t="inlineStr">
        <is>
          <t>Healthcare</t>
        </is>
      </c>
      <c r="E994" s="50" t="n">
        <v>2023</v>
      </c>
      <c r="F994" s="50" t="inlineStr">
        <is>
          <t>2024-05-13</t>
        </is>
      </c>
      <c r="G994" s="50" t="inlineStr">
        <is>
          <t>2023-06-30</t>
        </is>
      </c>
      <c r="H994" t="inlineStr">
        <is>
          <t>Jeff Gautney</t>
        </is>
      </c>
      <c r="I994" t="inlineStr">
        <is>
          <t>VP &amp; CIO</t>
        </is>
      </c>
      <c r="J994" t="inlineStr">
        <is>
          <t>CIO</t>
        </is>
      </c>
      <c r="K994" t="inlineStr">
        <is>
          <t>Sr Investment Professional</t>
        </is>
      </c>
      <c r="L994" s="28" t="n">
        <v>531712</v>
      </c>
      <c r="M994" s="28" t="n">
        <v>115040</v>
      </c>
      <c r="N994" s="28" t="n">
        <v>3231</v>
      </c>
      <c r="O994" s="28" t="n">
        <v>87421</v>
      </c>
      <c r="P994" s="28" t="n">
        <v>29126</v>
      </c>
      <c r="Q994" s="28" t="n">
        <v>766531</v>
      </c>
      <c r="R994" s="28" t="n">
        <v>0</v>
      </c>
      <c r="S994" s="28">
        <f>Q994-R994</f>
        <v/>
      </c>
      <c r="T994" s="28">
        <f>IF(S994="","",S994*(1+in_GrowthRate)^(YEARFRAC(DATE(2023,6,30),in_AgeToDate)*IF(in_AgeToDate&lt;DATE(2023,6,30),-1,1)+1))</f>
        <v/>
      </c>
      <c r="U994" s="50">
        <f>IF(AND(AND(OR(in_Mode="All Funds",AND(C994&gt;=in_BandFloor,C994&lt;=in_BandCeiling,OR(in_Geography="National",COUNTIFS(lst_GeoPreset,in_Geography,lst_GeoState,B994)&gt;0,AND(in_Geography="Custom",ISNUMBER(SEARCH(B994,SUBSTITUTE(in_CustomStates," ",""))))),OR(AND(D994="Endowment",Inputs!$B$14="Y"),AND(D994="Foundation",Inputs!$B$15="Y"),AND(D994="Healthcare",Inputs!$B$16="Y"),AND(D994="Pension",Inputs!$B$17="Y"),AND(D994="OCIO",Inputs!$B$18="Y"),AND(D994="Other",Inputs!$B$19="Y")))),A994&lt;&gt;in_ClientOrg,NOT(AND(in_ExclHarvard="Y",ISNUMBER(SEARCH("Harvard",A994))))),$AD994="Y",K994&lt;&gt;"",S994&gt;0),"Y","")</f>
        <v/>
      </c>
      <c r="V994" s="30" t="n">
        <v>0.9828958672599279</v>
      </c>
      <c r="W994" t="inlineStr"/>
      <c r="X994" s="28">
        <f>IF(L994+M994=0,"",L994+M994)</f>
        <v/>
      </c>
      <c r="Y994" s="38">
        <f>IF(L994=0,"",M994/L994)</f>
        <v/>
      </c>
      <c r="Z994" t="inlineStr">
        <is>
          <t>Deputy CIO</t>
        </is>
      </c>
      <c r="AA994" t="inlineStr">
        <is>
          <t>Leadership</t>
        </is>
      </c>
      <c r="AB994" s="50" t="inlineStr"/>
      <c r="AC994" s="43">
        <f>HYPERLINK("https://projects.propublica.org/nonprofits/organizations/362174823/202441349349305684/full","view filing")</f>
        <v/>
      </c>
      <c r="AD994" s="50" t="inlineStr"/>
    </row>
    <row r="995">
      <c r="A995" t="inlineStr">
        <is>
          <t>Rush University Medical Center</t>
        </is>
      </c>
      <c r="B995" s="50" t="inlineStr">
        <is>
          <t>IL</t>
        </is>
      </c>
      <c r="C995" s="52" t="n">
        <v>0.93</v>
      </c>
      <c r="D995" t="inlineStr">
        <is>
          <t>Healthcare</t>
        </is>
      </c>
      <c r="E995" s="50" t="n">
        <v>2022</v>
      </c>
      <c r="F995" s="50" t="inlineStr">
        <is>
          <t>2023-05-12</t>
        </is>
      </c>
      <c r="G995" s="50" t="inlineStr">
        <is>
          <t>2022-06-30</t>
        </is>
      </c>
      <c r="H995" t="inlineStr">
        <is>
          <t>Jeff Gautney</t>
        </is>
      </c>
      <c r="I995" t="inlineStr">
        <is>
          <t>VP and CIO</t>
        </is>
      </c>
      <c r="J995" t="inlineStr">
        <is>
          <t>CIO</t>
        </is>
      </c>
      <c r="K995" t="inlineStr">
        <is>
          <t>CIO - Top Investment Executive</t>
        </is>
      </c>
      <c r="L995" s="28" t="n">
        <v>200069</v>
      </c>
      <c r="M995" s="28" t="n">
        <v>140000</v>
      </c>
      <c r="N995" s="28" t="n">
        <v>0</v>
      </c>
      <c r="O995" s="28" t="n">
        <v>22312</v>
      </c>
      <c r="P995" s="28" t="n">
        <v>6442</v>
      </c>
      <c r="Q995" s="28" t="n">
        <v>368824</v>
      </c>
      <c r="R995" s="28" t="n">
        <v>0</v>
      </c>
      <c r="S995" s="28">
        <f>Q995-R995</f>
        <v/>
      </c>
      <c r="T995" s="28">
        <f>IF(S995="","",S995*(1+in_GrowthRate)^(YEARFRAC(DATE(2022,6,30),in_AgeToDate)*IF(in_AgeToDate&lt;DATE(2022,6,30),-1,1)+1))</f>
        <v/>
      </c>
      <c r="U995" s="50">
        <f>IF(AND(AND(OR(in_Mode="All Funds",AND(C995&gt;=in_BandFloor,C995&lt;=in_BandCeiling,OR(in_Geography="National",COUNTIFS(lst_GeoPreset,in_Geography,lst_GeoState,B995)&gt;0,AND(in_Geography="Custom",ISNUMBER(SEARCH(B995,SUBSTITUTE(in_CustomStates," ",""))))),OR(AND(D995="Endowment",Inputs!$B$14="Y"),AND(D995="Foundation",Inputs!$B$15="Y"),AND(D995="Healthcare",Inputs!$B$16="Y"),AND(D995="Pension",Inputs!$B$17="Y"),AND(D995="OCIO",Inputs!$B$18="Y"),AND(D995="Other",Inputs!$B$19="Y")))),A995&lt;&gt;in_ClientOrg,NOT(AND(in_ExclHarvard="Y",ISNUMBER(SEARCH("Harvard",A995))))),$AD995="Y",K995&lt;&gt;"",S995&gt;0),"Y","")</f>
        <v/>
      </c>
      <c r="V995" s="30" t="n">
        <v>1</v>
      </c>
      <c r="W995" t="inlineStr"/>
      <c r="X995" s="28">
        <f>IF(L995+M995=0,"",L995+M995)</f>
        <v/>
      </c>
      <c r="Y995" s="38">
        <f>IF(L995=0,"",M995/L995)</f>
        <v/>
      </c>
      <c r="Z995" t="inlineStr">
        <is>
          <t>CIO - Top Investment Executive</t>
        </is>
      </c>
      <c r="AA995" t="inlineStr">
        <is>
          <t>Leadership</t>
        </is>
      </c>
      <c r="AB995" s="50" t="inlineStr">
        <is>
          <t>Y</t>
        </is>
      </c>
      <c r="AC995" s="43">
        <f>HYPERLINK("https://projects.propublica.org/nonprofits/organizations/362174823/202301329349301600/full","view filing")</f>
        <v/>
      </c>
      <c r="AD995" s="50" t="inlineStr"/>
    </row>
    <row r="996">
      <c r="A996" t="inlineStr">
        <is>
          <t>Saint Paul &amp; Minnesota Foundation</t>
        </is>
      </c>
      <c r="B996" s="50" t="inlineStr">
        <is>
          <t>MN</t>
        </is>
      </c>
      <c r="C996" s="52" t="n">
        <v>1.65</v>
      </c>
      <c r="D996" t="inlineStr">
        <is>
          <t>Foundation</t>
        </is>
      </c>
      <c r="E996" s="50" t="n">
        <v>2025</v>
      </c>
      <c r="F996" s="50" t="inlineStr">
        <is>
          <t>2026-08-27</t>
        </is>
      </c>
      <c r="G996" s="50" t="inlineStr">
        <is>
          <t>2025-12-31</t>
        </is>
      </c>
      <c r="H996" t="inlineStr">
        <is>
          <t>Ashley Gam</t>
        </is>
      </c>
      <c r="I996" t="inlineStr">
        <is>
          <t>DIRECTOR OF INVESTMENTS</t>
        </is>
      </c>
      <c r="J996" t="inlineStr">
        <is>
          <t>Director of Investments</t>
        </is>
      </c>
      <c r="K996" t="inlineStr">
        <is>
          <t>Sr Investment Professional</t>
        </is>
      </c>
      <c r="L996" s="28" t="n">
        <v>359377</v>
      </c>
      <c r="M996" s="28" t="n">
        <v>0</v>
      </c>
      <c r="N996" s="28" t="n">
        <v>0</v>
      </c>
      <c r="O996" s="28" t="n">
        <v>35000</v>
      </c>
      <c r="P996" s="28" t="n">
        <v>20390</v>
      </c>
      <c r="Q996" s="28" t="n">
        <v>414767</v>
      </c>
      <c r="R996" s="28" t="n">
        <v>0</v>
      </c>
      <c r="S996" s="28">
        <f>Q996-R996</f>
        <v/>
      </c>
      <c r="T996" s="28">
        <f>IF(S996="","",S996*(1+in_GrowthRate)^(YEARFRAC(DATE(2025,12,31),in_AgeToDate)*IF(in_AgeToDate&lt;DATE(2025,12,31),-1,1)+1))</f>
        <v/>
      </c>
      <c r="U996" s="50">
        <f>IF(AND(AND(OR(in_Mode="All Funds",AND(C996&gt;=in_BandFloor,C996&lt;=in_BandCeiling,OR(in_Geography="National",COUNTIFS(lst_GeoPreset,in_Geography,lst_GeoState,B996)&gt;0,AND(in_Geography="Custom",ISNUMBER(SEARCH(B996,SUBSTITUTE(in_CustomStates," ",""))))),OR(AND(D996="Endowment",Inputs!$B$14="Y"),AND(D996="Foundation",Inputs!$B$15="Y"),AND(D996="Healthcare",Inputs!$B$16="Y"),AND(D996="Pension",Inputs!$B$17="Y"),AND(D996="OCIO",Inputs!$B$18="Y"),AND(D996="Other",Inputs!$B$19="Y")))),A996&lt;&gt;in_ClientOrg,NOT(AND(in_ExclHarvard="Y",ISNUMBER(SEARCH("Harvard",A996))))),$AD996="Y",K996&lt;&gt;"",S996&gt;0),"Y","")</f>
        <v/>
      </c>
      <c r="V996" s="30" t="n">
        <v>0.6810914751697117</v>
      </c>
      <c r="W996" t="inlineStr"/>
      <c r="X996" s="28">
        <f>IF(L996+M996=0,"",L996+M996)</f>
        <v/>
      </c>
      <c r="Y996" s="38">
        <f>IF(L996=0,"",M996/L996)</f>
        <v/>
      </c>
      <c r="Z996" t="inlineStr">
        <is>
          <t>Director &amp; Investment Officer</t>
        </is>
      </c>
      <c r="AA996" t="inlineStr">
        <is>
          <t>Investments</t>
        </is>
      </c>
      <c r="AB996" s="50" t="inlineStr"/>
      <c r="AC996" s="43">
        <f>HYPERLINK("https://projects.propublica.org/nonprofits/organizations/416031510/202602399349301030/full","view filing")</f>
        <v/>
      </c>
      <c r="AD996" s="50" t="inlineStr">
        <is>
          <t>Y</t>
        </is>
      </c>
    </row>
    <row r="997">
      <c r="A997" t="inlineStr">
        <is>
          <t>Saint Paul &amp; Minnesota Foundation</t>
        </is>
      </c>
      <c r="B997" s="50" t="inlineStr">
        <is>
          <t>MN</t>
        </is>
      </c>
      <c r="C997" s="52" t="n">
        <v>1.65</v>
      </c>
      <c r="D997" t="inlineStr">
        <is>
          <t>Foundation</t>
        </is>
      </c>
      <c r="E997" s="50" t="n">
        <v>2025</v>
      </c>
      <c r="F997" s="50" t="inlineStr">
        <is>
          <t>2026-08-27</t>
        </is>
      </c>
      <c r="G997" s="50" t="inlineStr">
        <is>
          <t>2025-12-31</t>
        </is>
      </c>
      <c r="H997" t="inlineStr">
        <is>
          <t>Shannon Oleary</t>
        </is>
      </c>
      <c r="I997" t="inlineStr">
        <is>
          <t>CHIEF INVESTMENT OFFICER</t>
        </is>
      </c>
      <c r="J997" t="inlineStr">
        <is>
          <t>CIO</t>
        </is>
      </c>
      <c r="K997" t="inlineStr">
        <is>
          <t>CIO - Top Investment Executive</t>
        </is>
      </c>
      <c r="L997" s="28" t="n">
        <v>573806</v>
      </c>
      <c r="M997" s="28" t="n">
        <v>0</v>
      </c>
      <c r="N997" s="28" t="n">
        <v>0</v>
      </c>
      <c r="O997" s="28" t="n">
        <v>35000</v>
      </c>
      <c r="P997" s="28" t="n">
        <v>168</v>
      </c>
      <c r="Q997" s="28" t="n">
        <v>608974</v>
      </c>
      <c r="R997" s="28" t="n">
        <v>0</v>
      </c>
      <c r="S997" s="28">
        <f>Q997-R997</f>
        <v/>
      </c>
      <c r="T997" s="28">
        <f>IF(S997="","",S997*(1+in_GrowthRate)^(YEARFRAC(DATE(2025,12,31),in_AgeToDate)*IF(in_AgeToDate&lt;DATE(2025,12,31),-1,1)+1))</f>
        <v/>
      </c>
      <c r="U997" s="50">
        <f>IF(AND(AND(OR(in_Mode="All Funds",AND(C997&gt;=in_BandFloor,C997&lt;=in_BandCeiling,OR(in_Geography="National",COUNTIFS(lst_GeoPreset,in_Geography,lst_GeoState,B997)&gt;0,AND(in_Geography="Custom",ISNUMBER(SEARCH(B997,SUBSTITUTE(in_CustomStates," ",""))))),OR(AND(D997="Endowment",Inputs!$B$14="Y"),AND(D997="Foundation",Inputs!$B$15="Y"),AND(D997="Healthcare",Inputs!$B$16="Y"),AND(D997="Pension",Inputs!$B$17="Y"),AND(D997="OCIO",Inputs!$B$18="Y"),AND(D997="Other",Inputs!$B$19="Y")))),A997&lt;&gt;in_ClientOrg,NOT(AND(in_ExclHarvard="Y",ISNUMBER(SEARCH("Harvard",A997))))),$AD997="Y",K997&lt;&gt;"",S997&gt;0),"Y","")</f>
        <v/>
      </c>
      <c r="V997" s="30" t="n">
        <v>1</v>
      </c>
      <c r="W997" t="inlineStr"/>
      <c r="X997" s="28">
        <f>IF(L997+M997=0,"",L997+M997)</f>
        <v/>
      </c>
      <c r="Y997" s="38">
        <f>IF(L997=0,"",M997/L997)</f>
        <v/>
      </c>
      <c r="Z997" t="inlineStr">
        <is>
          <t>CIO - Top Investment Executive</t>
        </is>
      </c>
      <c r="AA997" t="inlineStr">
        <is>
          <t>Leadership</t>
        </is>
      </c>
      <c r="AB997" s="50" t="inlineStr">
        <is>
          <t>Y</t>
        </is>
      </c>
      <c r="AC997" s="43">
        <f>HYPERLINK("https://projects.propublica.org/nonprofits/organizations/416031510/202602399349301030/full","view filing")</f>
        <v/>
      </c>
      <c r="AD997" s="50" t="inlineStr">
        <is>
          <t>Y</t>
        </is>
      </c>
    </row>
    <row r="998">
      <c r="A998" t="inlineStr">
        <is>
          <t>Saint Paul &amp; Minnesota Foundation</t>
        </is>
      </c>
      <c r="B998" s="50" t="inlineStr">
        <is>
          <t>MN</t>
        </is>
      </c>
      <c r="C998" s="52" t="n">
        <v>1.65</v>
      </c>
      <c r="D998" t="inlineStr">
        <is>
          <t>Foundation</t>
        </is>
      </c>
      <c r="E998" s="50" t="n">
        <v>2024</v>
      </c>
      <c r="F998" s="50" t="inlineStr">
        <is>
          <t>2025-11-05</t>
        </is>
      </c>
      <c r="G998" s="50" t="inlineStr">
        <is>
          <t>2024-12-31</t>
        </is>
      </c>
      <c r="H998" t="inlineStr">
        <is>
          <t>Ashley Gam</t>
        </is>
      </c>
      <c r="I998" t="inlineStr">
        <is>
          <t>DIRECTOR OF INVESTMENTS</t>
        </is>
      </c>
      <c r="J998" t="inlineStr">
        <is>
          <t>Director of Investments</t>
        </is>
      </c>
      <c r="K998" t="inlineStr">
        <is>
          <t>Sr Investment Professional</t>
        </is>
      </c>
      <c r="L998" s="28" t="n">
        <v>337953</v>
      </c>
      <c r="M998" s="28" t="n">
        <v>0</v>
      </c>
      <c r="N998" s="28" t="n">
        <v>0</v>
      </c>
      <c r="O998" s="28" t="n">
        <v>20886</v>
      </c>
      <c r="P998" s="28" t="n">
        <v>18383</v>
      </c>
      <c r="Q998" s="28" t="n">
        <v>377222</v>
      </c>
      <c r="R998" s="28" t="n">
        <v>0</v>
      </c>
      <c r="S998" s="28">
        <f>Q998-R998</f>
        <v/>
      </c>
      <c r="T998" s="28">
        <f>IF(S998="","",S998*(1+in_GrowthRate)^(YEARFRAC(DATE(2024,12,31),in_AgeToDate)*IF(in_AgeToDate&lt;DATE(2024,12,31),-1,1)+1))</f>
        <v/>
      </c>
      <c r="U998" s="50">
        <f>IF(AND(AND(OR(in_Mode="All Funds",AND(C998&gt;=in_BandFloor,C998&lt;=in_BandCeiling,OR(in_Geography="National",COUNTIFS(lst_GeoPreset,in_Geography,lst_GeoState,B998)&gt;0,AND(in_Geography="Custom",ISNUMBER(SEARCH(B998,SUBSTITUTE(in_CustomStates," ",""))))),OR(AND(D998="Endowment",Inputs!$B$14="Y"),AND(D998="Foundation",Inputs!$B$15="Y"),AND(D998="Healthcare",Inputs!$B$16="Y"),AND(D998="Pension",Inputs!$B$17="Y"),AND(D998="OCIO",Inputs!$B$18="Y"),AND(D998="Other",Inputs!$B$19="Y")))),A998&lt;&gt;in_ClientOrg,NOT(AND(in_ExclHarvard="Y",ISNUMBER(SEARCH("Harvard",A998))))),$AD998="Y",K998&lt;&gt;"",S998&gt;0),"Y","")</f>
        <v/>
      </c>
      <c r="V998" s="30" t="n">
        <v>0.644736864594354</v>
      </c>
      <c r="W998" t="inlineStr"/>
      <c r="X998" s="28">
        <f>IF(L998+M998=0,"",L998+M998)</f>
        <v/>
      </c>
      <c r="Y998" s="38">
        <f>IF(L998=0,"",M998/L998)</f>
        <v/>
      </c>
      <c r="Z998" t="inlineStr">
        <is>
          <t>Director &amp; Investment Officer</t>
        </is>
      </c>
      <c r="AA998" t="inlineStr">
        <is>
          <t>Investments</t>
        </is>
      </c>
      <c r="AB998" s="50" t="inlineStr"/>
      <c r="AC998" s="43">
        <f>HYPERLINK("https://projects.propublica.org/nonprofits/organizations/416031510/202502379349301475/full","view filing")</f>
        <v/>
      </c>
      <c r="AD998" s="50" t="inlineStr"/>
    </row>
    <row r="999">
      <c r="A999" t="inlineStr">
        <is>
          <t>Saint Paul &amp; Minnesota Foundation</t>
        </is>
      </c>
      <c r="B999" s="50" t="inlineStr">
        <is>
          <t>MN</t>
        </is>
      </c>
      <c r="C999" s="52" t="n">
        <v>1.65</v>
      </c>
      <c r="D999" t="inlineStr">
        <is>
          <t>Foundation</t>
        </is>
      </c>
      <c r="E999" s="50" t="n">
        <v>2024</v>
      </c>
      <c r="F999" s="50" t="inlineStr">
        <is>
          <t>2025-11-05</t>
        </is>
      </c>
      <c r="G999" s="50" t="inlineStr">
        <is>
          <t>2024-12-31</t>
        </is>
      </c>
      <c r="H999" t="inlineStr">
        <is>
          <t>Shannon Oleary</t>
        </is>
      </c>
      <c r="I999" t="inlineStr">
        <is>
          <t>CHIEF INVESTMENT OFFICER</t>
        </is>
      </c>
      <c r="J999" t="inlineStr">
        <is>
          <t>CIO</t>
        </is>
      </c>
      <c r="K999" t="inlineStr">
        <is>
          <t>CIO - Top Investment Executive</t>
        </is>
      </c>
      <c r="L999" s="28" t="n">
        <v>550411</v>
      </c>
      <c r="M999" s="28" t="n">
        <v>0</v>
      </c>
      <c r="N999" s="28" t="n">
        <v>0</v>
      </c>
      <c r="O999" s="28" t="n">
        <v>34500</v>
      </c>
      <c r="P999" s="28" t="n">
        <v>168</v>
      </c>
      <c r="Q999" s="28" t="n">
        <v>585079</v>
      </c>
      <c r="R999" s="28" t="n">
        <v>0</v>
      </c>
      <c r="S999" s="28">
        <f>Q999-R999</f>
        <v/>
      </c>
      <c r="T999" s="28">
        <f>IF(S999="","",S999*(1+in_GrowthRate)^(YEARFRAC(DATE(2024,12,31),in_AgeToDate)*IF(in_AgeToDate&lt;DATE(2024,12,31),-1,1)+1))</f>
        <v/>
      </c>
      <c r="U999" s="50">
        <f>IF(AND(AND(OR(in_Mode="All Funds",AND(C999&gt;=in_BandFloor,C999&lt;=in_BandCeiling,OR(in_Geography="National",COUNTIFS(lst_GeoPreset,in_Geography,lst_GeoState,B999)&gt;0,AND(in_Geography="Custom",ISNUMBER(SEARCH(B999,SUBSTITUTE(in_CustomStates," ",""))))),OR(AND(D999="Endowment",Inputs!$B$14="Y"),AND(D999="Foundation",Inputs!$B$15="Y"),AND(D999="Healthcare",Inputs!$B$16="Y"),AND(D999="Pension",Inputs!$B$17="Y"),AND(D999="OCIO",Inputs!$B$18="Y"),AND(D999="Other",Inputs!$B$19="Y")))),A999&lt;&gt;in_ClientOrg,NOT(AND(in_ExclHarvard="Y",ISNUMBER(SEARCH("Harvard",A999))))),$AD999="Y",K999&lt;&gt;"",S999&gt;0),"Y","")</f>
        <v/>
      </c>
      <c r="V999" s="30" t="n">
        <v>1</v>
      </c>
      <c r="W999" t="inlineStr"/>
      <c r="X999" s="28">
        <f>IF(L999+M999=0,"",L999+M999)</f>
        <v/>
      </c>
      <c r="Y999" s="38">
        <f>IF(L999=0,"",M999/L999)</f>
        <v/>
      </c>
      <c r="Z999" t="inlineStr">
        <is>
          <t>CIO - Top Investment Executive</t>
        </is>
      </c>
      <c r="AA999" t="inlineStr">
        <is>
          <t>Leadership</t>
        </is>
      </c>
      <c r="AB999" s="50" t="inlineStr">
        <is>
          <t>Y</t>
        </is>
      </c>
      <c r="AC999" s="43">
        <f>HYPERLINK("https://projects.propublica.org/nonprofits/organizations/416031510/202502379349301475/full","view filing")</f>
        <v/>
      </c>
      <c r="AD999" s="50" t="inlineStr"/>
    </row>
    <row r="1000">
      <c r="A1000" t="inlineStr">
        <is>
          <t>Saint Paul &amp; Minnesota Foundation</t>
        </is>
      </c>
      <c r="B1000" s="50" t="inlineStr">
        <is>
          <t>MN</t>
        </is>
      </c>
      <c r="C1000" s="52" t="n">
        <v>1.65</v>
      </c>
      <c r="D1000" t="inlineStr">
        <is>
          <t>Foundation</t>
        </is>
      </c>
      <c r="E1000" s="50" t="n">
        <v>2023</v>
      </c>
      <c r="F1000" s="50" t="inlineStr">
        <is>
          <t>2024-10-23</t>
        </is>
      </c>
      <c r="G1000" s="50" t="inlineStr">
        <is>
          <t>2023-12-31</t>
        </is>
      </c>
      <c r="H1000" t="inlineStr">
        <is>
          <t>Shannon O'Leary</t>
        </is>
      </c>
      <c r="I1000" t="inlineStr">
        <is>
          <t>CHIEF INVESTMENT OFFICER</t>
        </is>
      </c>
      <c r="J1000" t="inlineStr">
        <is>
          <t>CIO</t>
        </is>
      </c>
      <c r="K1000" t="inlineStr">
        <is>
          <t>CIO - Top Investment Executive</t>
        </is>
      </c>
      <c r="L1000" s="28" t="n">
        <v>521303</v>
      </c>
      <c r="M1000" s="28" t="n">
        <v>0</v>
      </c>
      <c r="N1000" s="28" t="n">
        <v>0</v>
      </c>
      <c r="O1000" s="28" t="n">
        <v>33000</v>
      </c>
      <c r="P1000" s="28" t="n">
        <v>1955</v>
      </c>
      <c r="Q1000" s="28" t="n">
        <v>556258</v>
      </c>
      <c r="R1000" s="28" t="n">
        <v>0</v>
      </c>
      <c r="S1000" s="28">
        <f>Q1000-R1000</f>
        <v/>
      </c>
      <c r="T1000" s="28">
        <f>IF(S1000="","",S1000*(1+in_GrowthRate)^(YEARFRAC(DATE(2023,12,31),in_AgeToDate)*IF(in_AgeToDate&lt;DATE(2023,12,31),-1,1)+1))</f>
        <v/>
      </c>
      <c r="U1000" s="50">
        <f>IF(AND(AND(OR(in_Mode="All Funds",AND(C1000&gt;=in_BandFloor,C1000&lt;=in_BandCeiling,OR(in_Geography="National",COUNTIFS(lst_GeoPreset,in_Geography,lst_GeoState,B1000)&gt;0,AND(in_Geography="Custom",ISNUMBER(SEARCH(B1000,SUBSTITUTE(in_CustomStates," ",""))))),OR(AND(D1000="Endowment",Inputs!$B$14="Y"),AND(D1000="Foundation",Inputs!$B$15="Y"),AND(D1000="Healthcare",Inputs!$B$16="Y"),AND(D1000="Pension",Inputs!$B$17="Y"),AND(D1000="OCIO",Inputs!$B$18="Y"),AND(D1000="Other",Inputs!$B$19="Y")))),A1000&lt;&gt;in_ClientOrg,NOT(AND(in_ExclHarvard="Y",ISNUMBER(SEARCH("Harvard",A1000))))),$AD1000="Y",K1000&lt;&gt;"",S1000&gt;0),"Y","")</f>
        <v/>
      </c>
      <c r="V1000" s="30" t="n">
        <v>1</v>
      </c>
      <c r="W1000" t="inlineStr"/>
      <c r="X1000" s="28">
        <f>IF(L1000+M1000=0,"",L1000+M1000)</f>
        <v/>
      </c>
      <c r="Y1000" s="38">
        <f>IF(L1000=0,"",M1000/L1000)</f>
        <v/>
      </c>
      <c r="Z1000" t="inlineStr">
        <is>
          <t>CIO - Top Investment Executive</t>
        </is>
      </c>
      <c r="AA1000" t="inlineStr">
        <is>
          <t>Leadership</t>
        </is>
      </c>
      <c r="AB1000" s="50" t="inlineStr">
        <is>
          <t>Y</t>
        </is>
      </c>
      <c r="AC1000" s="43">
        <f>HYPERLINK("https://projects.propublica.org/nonprofits/organizations/416031510/202442349349300824/full","view filing")</f>
        <v/>
      </c>
      <c r="AD1000" s="50" t="inlineStr"/>
    </row>
    <row r="1001">
      <c r="A1001" t="inlineStr">
        <is>
          <t>Saint Paul &amp; Minnesota Foundation</t>
        </is>
      </c>
      <c r="B1001" s="50" t="inlineStr">
        <is>
          <t>MN</t>
        </is>
      </c>
      <c r="C1001" s="52" t="n">
        <v>1.65</v>
      </c>
      <c r="D1001" t="inlineStr">
        <is>
          <t>Foundation</t>
        </is>
      </c>
      <c r="E1001" s="50" t="n">
        <v>2022</v>
      </c>
      <c r="F1001" s="50" t="inlineStr">
        <is>
          <t>2024-03-20</t>
        </is>
      </c>
      <c r="G1001" s="50" t="inlineStr">
        <is>
          <t>2022-12-31</t>
        </is>
      </c>
      <c r="H1001" t="inlineStr">
        <is>
          <t>Shannon O'Leary</t>
        </is>
      </c>
      <c r="I1001" t="inlineStr">
        <is>
          <t>CHIEF INVESTMENT OFFICER</t>
        </is>
      </c>
      <c r="J1001" t="inlineStr">
        <is>
          <t>CIO</t>
        </is>
      </c>
      <c r="K1001" t="inlineStr">
        <is>
          <t>CIO - Top Investment Executive</t>
        </is>
      </c>
      <c r="L1001" s="28" t="n">
        <v>300626</v>
      </c>
      <c r="M1001" s="28" t="n">
        <v>0</v>
      </c>
      <c r="N1001" s="28" t="n">
        <v>0</v>
      </c>
      <c r="O1001" s="28" t="n">
        <v>28202</v>
      </c>
      <c r="P1001" s="28" t="n">
        <v>635</v>
      </c>
      <c r="Q1001" s="28" t="n">
        <v>329463</v>
      </c>
      <c r="R1001" s="28" t="n">
        <v>0</v>
      </c>
      <c r="S1001" s="28">
        <f>Q1001-R1001</f>
        <v/>
      </c>
      <c r="T1001" s="28">
        <f>IF(S1001="","",S1001*(1+in_GrowthRate)^(YEARFRAC(DATE(2022,12,31),in_AgeToDate)*IF(in_AgeToDate&lt;DATE(2022,12,31),-1,1)+1))</f>
        <v/>
      </c>
      <c r="U1001" s="50">
        <f>IF(AND(AND(OR(in_Mode="All Funds",AND(C1001&gt;=in_BandFloor,C1001&lt;=in_BandCeiling,OR(in_Geography="National",COUNTIFS(lst_GeoPreset,in_Geography,lst_GeoState,B1001)&gt;0,AND(in_Geography="Custom",ISNUMBER(SEARCH(B1001,SUBSTITUTE(in_CustomStates," ",""))))),OR(AND(D1001="Endowment",Inputs!$B$14="Y"),AND(D1001="Foundation",Inputs!$B$15="Y"),AND(D1001="Healthcare",Inputs!$B$16="Y"),AND(D1001="Pension",Inputs!$B$17="Y"),AND(D1001="OCIO",Inputs!$B$18="Y"),AND(D1001="Other",Inputs!$B$19="Y")))),A1001&lt;&gt;in_ClientOrg,NOT(AND(in_ExclHarvard="Y",ISNUMBER(SEARCH("Harvard",A1001))))),$AD1001="Y",K1001&lt;&gt;"",S1001&gt;0),"Y","")</f>
        <v/>
      </c>
      <c r="V1001" s="30" t="n">
        <v>1</v>
      </c>
      <c r="W1001" t="inlineStr"/>
      <c r="X1001" s="28">
        <f>IF(L1001+M1001=0,"",L1001+M1001)</f>
        <v/>
      </c>
      <c r="Y1001" s="38">
        <f>IF(L1001=0,"",M1001/L1001)</f>
        <v/>
      </c>
      <c r="Z1001" t="inlineStr">
        <is>
          <t>CIO - Top Investment Executive</t>
        </is>
      </c>
      <c r="AA1001" t="inlineStr">
        <is>
          <t>Leadership</t>
        </is>
      </c>
      <c r="AB1001" s="50" t="inlineStr">
        <is>
          <t>Y</t>
        </is>
      </c>
      <c r="AC1001" s="43">
        <f>HYPERLINK("https://projects.propublica.org/nonprofits/organizations/416031510/202312279349303531/full","view filing")</f>
        <v/>
      </c>
      <c r="AD1001" s="50" t="inlineStr"/>
    </row>
    <row r="1002">
      <c r="A1002" t="inlineStr">
        <is>
          <t>San Francisco Foundation</t>
        </is>
      </c>
      <c r="B1002" s="50" t="inlineStr">
        <is>
          <t>CA</t>
        </is>
      </c>
      <c r="C1002" s="52" t="n">
        <v>1.8</v>
      </c>
      <c r="D1002" t="inlineStr">
        <is>
          <t>Foundation</t>
        </is>
      </c>
      <c r="E1002" s="50" t="n">
        <v>2025</v>
      </c>
      <c r="F1002" s="50" t="inlineStr">
        <is>
          <t>2026-05-12</t>
        </is>
      </c>
      <c r="G1002" s="50" t="inlineStr">
        <is>
          <t>2025-06-30</t>
        </is>
      </c>
      <c r="H1002" t="inlineStr">
        <is>
          <t>Judith Bell</t>
        </is>
      </c>
      <c r="I1002" t="inlineStr">
        <is>
          <t>CIO</t>
        </is>
      </c>
      <c r="J1002" t="inlineStr">
        <is>
          <t>CIO</t>
        </is>
      </c>
      <c r="K1002" t="inlineStr">
        <is>
          <t>CIO - Top Investment Executive</t>
        </is>
      </c>
      <c r="L1002" s="28" t="n">
        <v>321806</v>
      </c>
      <c r="M1002" s="28" t="n">
        <v>0</v>
      </c>
      <c r="N1002" s="28" t="n">
        <v>0</v>
      </c>
      <c r="O1002" s="28" t="n">
        <v>35608</v>
      </c>
      <c r="P1002" s="28" t="n">
        <v>39731</v>
      </c>
      <c r="Q1002" s="28" t="n">
        <v>397145</v>
      </c>
      <c r="R1002" s="28" t="n">
        <v>0</v>
      </c>
      <c r="S1002" s="28">
        <f>Q1002-R1002</f>
        <v/>
      </c>
      <c r="T1002" s="28">
        <f>IF(S1002="","",S1002*(1+in_GrowthRate)^(YEARFRAC(DATE(2025,6,30),in_AgeToDate)*IF(in_AgeToDate&lt;DATE(2025,6,30),-1,1)+1))</f>
        <v/>
      </c>
      <c r="U1002" s="50">
        <f>IF(AND(AND(OR(in_Mode="All Funds",AND(C1002&gt;=in_BandFloor,C1002&lt;=in_BandCeiling,OR(in_Geography="National",COUNTIFS(lst_GeoPreset,in_Geography,lst_GeoState,B1002)&gt;0,AND(in_Geography="Custom",ISNUMBER(SEARCH(B1002,SUBSTITUTE(in_CustomStates," ",""))))),OR(AND(D1002="Endowment",Inputs!$B$14="Y"),AND(D1002="Foundation",Inputs!$B$15="Y"),AND(D1002="Healthcare",Inputs!$B$16="Y"),AND(D1002="Pension",Inputs!$B$17="Y"),AND(D1002="OCIO",Inputs!$B$18="Y"),AND(D1002="Other",Inputs!$B$19="Y")))),A1002&lt;&gt;in_ClientOrg,NOT(AND(in_ExclHarvard="Y",ISNUMBER(SEARCH("Harvard",A1002))))),$AD1002="Y",K1002&lt;&gt;"",S1002&gt;0),"Y","")</f>
        <v/>
      </c>
      <c r="V1002" s="30" t="n">
        <v>1</v>
      </c>
      <c r="W1002" t="inlineStr"/>
      <c r="X1002" s="28">
        <f>IF(L1002+M1002=0,"",L1002+M1002)</f>
        <v/>
      </c>
      <c r="Y1002" s="38">
        <f>IF(L1002=0,"",M1002/L1002)</f>
        <v/>
      </c>
      <c r="Z1002" t="inlineStr">
        <is>
          <t>CIO - Top Investment Executive</t>
        </is>
      </c>
      <c r="AA1002" t="inlineStr">
        <is>
          <t>Leadership</t>
        </is>
      </c>
      <c r="AB1002" s="50" t="inlineStr">
        <is>
          <t>Y</t>
        </is>
      </c>
      <c r="AC1002" s="43">
        <f>HYPERLINK("https://projects.propublica.org/nonprofits/organizations/10679337/202611329349304731/full","view filing")</f>
        <v/>
      </c>
      <c r="AD1002" s="50" t="inlineStr">
        <is>
          <t>Y</t>
        </is>
      </c>
    </row>
    <row r="1003">
      <c r="A1003" t="inlineStr">
        <is>
          <t>San Francisco Foundation</t>
        </is>
      </c>
      <c r="B1003" s="50" t="inlineStr">
        <is>
          <t>CA</t>
        </is>
      </c>
      <c r="C1003" s="52" t="n">
        <v>1.8</v>
      </c>
      <c r="D1003" t="inlineStr">
        <is>
          <t>Foundation</t>
        </is>
      </c>
      <c r="E1003" s="50" t="n">
        <v>2024</v>
      </c>
      <c r="F1003" s="50" t="inlineStr">
        <is>
          <t>2025-05-13</t>
        </is>
      </c>
      <c r="G1003" s="50" t="inlineStr">
        <is>
          <t>2024-06-30</t>
        </is>
      </c>
      <c r="H1003" t="inlineStr">
        <is>
          <t>Judith Bell</t>
        </is>
      </c>
      <c r="I1003" t="inlineStr">
        <is>
          <t>CIO</t>
        </is>
      </c>
      <c r="J1003" t="inlineStr">
        <is>
          <t>CIO</t>
        </is>
      </c>
      <c r="K1003" t="inlineStr">
        <is>
          <t>CIO - Top Investment Executive</t>
        </is>
      </c>
      <c r="L1003" s="28" t="n">
        <v>310417</v>
      </c>
      <c r="M1003" s="28" t="n">
        <v>0</v>
      </c>
      <c r="N1003" s="28" t="n">
        <v>0</v>
      </c>
      <c r="O1003" s="28" t="n">
        <v>37461</v>
      </c>
      <c r="P1003" s="28" t="n">
        <v>32084</v>
      </c>
      <c r="Q1003" s="28" t="n">
        <v>379962</v>
      </c>
      <c r="R1003" s="28" t="n">
        <v>0</v>
      </c>
      <c r="S1003" s="28">
        <f>Q1003-R1003</f>
        <v/>
      </c>
      <c r="T1003" s="28">
        <f>IF(S1003="","",S1003*(1+in_GrowthRate)^(YEARFRAC(DATE(2024,6,30),in_AgeToDate)*IF(in_AgeToDate&lt;DATE(2024,6,30),-1,1)+1))</f>
        <v/>
      </c>
      <c r="U1003" s="50">
        <f>IF(AND(AND(OR(in_Mode="All Funds",AND(C1003&gt;=in_BandFloor,C1003&lt;=in_BandCeiling,OR(in_Geography="National",COUNTIFS(lst_GeoPreset,in_Geography,lst_GeoState,B1003)&gt;0,AND(in_Geography="Custom",ISNUMBER(SEARCH(B1003,SUBSTITUTE(in_CustomStates," ",""))))),OR(AND(D1003="Endowment",Inputs!$B$14="Y"),AND(D1003="Foundation",Inputs!$B$15="Y"),AND(D1003="Healthcare",Inputs!$B$16="Y"),AND(D1003="Pension",Inputs!$B$17="Y"),AND(D1003="OCIO",Inputs!$B$18="Y"),AND(D1003="Other",Inputs!$B$19="Y")))),A1003&lt;&gt;in_ClientOrg,NOT(AND(in_ExclHarvard="Y",ISNUMBER(SEARCH("Harvard",A1003))))),$AD1003="Y",K1003&lt;&gt;"",S1003&gt;0),"Y","")</f>
        <v/>
      </c>
      <c r="V1003" s="30" t="n">
        <v>1</v>
      </c>
      <c r="W1003" t="inlineStr"/>
      <c r="X1003" s="28">
        <f>IF(L1003+M1003=0,"",L1003+M1003)</f>
        <v/>
      </c>
      <c r="Y1003" s="38">
        <f>IF(L1003=0,"",M1003/L1003)</f>
        <v/>
      </c>
      <c r="Z1003" t="inlineStr">
        <is>
          <t>CIO - Top Investment Executive</t>
        </is>
      </c>
      <c r="AA1003" t="inlineStr">
        <is>
          <t>Leadership</t>
        </is>
      </c>
      <c r="AB1003" s="50" t="inlineStr">
        <is>
          <t>Y</t>
        </is>
      </c>
      <c r="AC1003" s="43">
        <f>HYPERLINK("https://projects.propublica.org/nonprofits/organizations/10679337/202541339349302554/full","view filing")</f>
        <v/>
      </c>
      <c r="AD1003" s="50" t="inlineStr"/>
    </row>
    <row r="1004">
      <c r="A1004" t="inlineStr">
        <is>
          <t>San Francisco Foundation</t>
        </is>
      </c>
      <c r="B1004" s="50" t="inlineStr">
        <is>
          <t>CA</t>
        </is>
      </c>
      <c r="C1004" s="52" t="n">
        <v>1.8</v>
      </c>
      <c r="D1004" t="inlineStr">
        <is>
          <t>Foundation</t>
        </is>
      </c>
      <c r="E1004" s="50" t="n">
        <v>2024</v>
      </c>
      <c r="F1004" s="50" t="inlineStr">
        <is>
          <t>2025-05-13</t>
        </is>
      </c>
      <c r="G1004" s="50" t="inlineStr">
        <is>
          <t>2024-06-30</t>
        </is>
      </c>
      <c r="H1004" t="inlineStr">
        <is>
          <t>Mark Doherty</t>
        </is>
      </c>
      <c r="I1004" t="inlineStr">
        <is>
          <t>SENIOR DIRECTOR OF INVESTMENTS</t>
        </is>
      </c>
      <c r="J1004" t="inlineStr">
        <is>
          <t>Director of Investments</t>
        </is>
      </c>
      <c r="K1004" t="inlineStr">
        <is>
          <t>Sr Investment Professional</t>
        </is>
      </c>
      <c r="L1004" s="28" t="n">
        <v>189631</v>
      </c>
      <c r="M1004" s="28" t="n">
        <v>0</v>
      </c>
      <c r="N1004" s="28" t="n">
        <v>0</v>
      </c>
      <c r="O1004" s="28" t="n">
        <v>22637</v>
      </c>
      <c r="P1004" s="28" t="n">
        <v>861</v>
      </c>
      <c r="Q1004" s="28" t="n">
        <v>213129</v>
      </c>
      <c r="R1004" s="28" t="n">
        <v>0</v>
      </c>
      <c r="S1004" s="28">
        <f>Q1004-R1004</f>
        <v/>
      </c>
      <c r="T1004" s="28">
        <f>IF(S1004="","",S1004*(1+in_GrowthRate)^(YEARFRAC(DATE(2024,6,30),in_AgeToDate)*IF(in_AgeToDate&lt;DATE(2024,6,30),-1,1)+1))</f>
        <v/>
      </c>
      <c r="U1004" s="50">
        <f>IF(AND(AND(OR(in_Mode="All Funds",AND(C1004&gt;=in_BandFloor,C1004&lt;=in_BandCeiling,OR(in_Geography="National",COUNTIFS(lst_GeoPreset,in_Geography,lst_GeoState,B1004)&gt;0,AND(in_Geography="Custom",ISNUMBER(SEARCH(B1004,SUBSTITUTE(in_CustomStates," ",""))))),OR(AND(D1004="Endowment",Inputs!$B$14="Y"),AND(D1004="Foundation",Inputs!$B$15="Y"),AND(D1004="Healthcare",Inputs!$B$16="Y"),AND(D1004="Pension",Inputs!$B$17="Y"),AND(D1004="OCIO",Inputs!$B$18="Y"),AND(D1004="Other",Inputs!$B$19="Y")))),A1004&lt;&gt;in_ClientOrg,NOT(AND(in_ExclHarvard="Y",ISNUMBER(SEARCH("Harvard",A1004))))),$AD1004="Y",K1004&lt;&gt;"",S1004&gt;0),"Y","")</f>
        <v/>
      </c>
      <c r="V1004" s="30" t="n">
        <v>0.5609218816618504</v>
      </c>
      <c r="W1004" t="inlineStr"/>
      <c r="X1004" s="28">
        <f>IF(L1004+M1004=0,"",L1004+M1004)</f>
        <v/>
      </c>
      <c r="Y1004" s="38">
        <f>IF(L1004=0,"",M1004/L1004)</f>
        <v/>
      </c>
      <c r="Z1004" t="inlineStr">
        <is>
          <t>Director &amp; Investment Officer</t>
        </is>
      </c>
      <c r="AA1004" t="inlineStr">
        <is>
          <t>Investments</t>
        </is>
      </c>
      <c r="AB1004" s="50" t="inlineStr"/>
      <c r="AC1004" s="43">
        <f>HYPERLINK("https://projects.propublica.org/nonprofits/organizations/10679337/202541339349302554/full","view filing")</f>
        <v/>
      </c>
      <c r="AD1004" s="50" t="inlineStr"/>
    </row>
    <row r="1005">
      <c r="A1005" t="inlineStr">
        <is>
          <t>San Francisco Foundation</t>
        </is>
      </c>
      <c r="B1005" s="50" t="inlineStr">
        <is>
          <t>CA</t>
        </is>
      </c>
      <c r="C1005" s="52" t="n">
        <v>1.8</v>
      </c>
      <c r="D1005" t="inlineStr">
        <is>
          <t>Foundation</t>
        </is>
      </c>
      <c r="E1005" s="50" t="n">
        <v>2023</v>
      </c>
      <c r="F1005" s="50" t="inlineStr">
        <is>
          <t>2024-05-14</t>
        </is>
      </c>
      <c r="G1005" s="50" t="inlineStr">
        <is>
          <t>2023-06-30</t>
        </is>
      </c>
      <c r="H1005" t="inlineStr">
        <is>
          <t>Judith Bell</t>
        </is>
      </c>
      <c r="I1005" t="inlineStr">
        <is>
          <t>CIO</t>
        </is>
      </c>
      <c r="J1005" t="inlineStr">
        <is>
          <t>CIO</t>
        </is>
      </c>
      <c r="K1005" t="inlineStr">
        <is>
          <t>CIO - Top Investment Executive</t>
        </is>
      </c>
      <c r="L1005" s="28" t="n">
        <v>303739</v>
      </c>
      <c r="M1005" s="28" t="n">
        <v>0</v>
      </c>
      <c r="N1005" s="28" t="n">
        <v>0</v>
      </c>
      <c r="O1005" s="28" t="n">
        <v>37005</v>
      </c>
      <c r="P1005" s="28" t="n">
        <v>29225</v>
      </c>
      <c r="Q1005" s="28" t="n">
        <v>369969</v>
      </c>
      <c r="R1005" s="28" t="n">
        <v>0</v>
      </c>
      <c r="S1005" s="28">
        <f>Q1005-R1005</f>
        <v/>
      </c>
      <c r="T1005" s="28">
        <f>IF(S1005="","",S1005*(1+in_GrowthRate)^(YEARFRAC(DATE(2023,6,30),in_AgeToDate)*IF(in_AgeToDate&lt;DATE(2023,6,30),-1,1)+1))</f>
        <v/>
      </c>
      <c r="U1005" s="50">
        <f>IF(AND(AND(OR(in_Mode="All Funds",AND(C1005&gt;=in_BandFloor,C1005&lt;=in_BandCeiling,OR(in_Geography="National",COUNTIFS(lst_GeoPreset,in_Geography,lst_GeoState,B1005)&gt;0,AND(in_Geography="Custom",ISNUMBER(SEARCH(B1005,SUBSTITUTE(in_CustomStates," ",""))))),OR(AND(D1005="Endowment",Inputs!$B$14="Y"),AND(D1005="Foundation",Inputs!$B$15="Y"),AND(D1005="Healthcare",Inputs!$B$16="Y"),AND(D1005="Pension",Inputs!$B$17="Y"),AND(D1005="OCIO",Inputs!$B$18="Y"),AND(D1005="Other",Inputs!$B$19="Y")))),A1005&lt;&gt;in_ClientOrg,NOT(AND(in_ExclHarvard="Y",ISNUMBER(SEARCH("Harvard",A1005))))),$AD1005="Y",K1005&lt;&gt;"",S1005&gt;0),"Y","")</f>
        <v/>
      </c>
      <c r="V1005" s="30" t="n">
        <v>1</v>
      </c>
      <c r="W1005" t="inlineStr"/>
      <c r="X1005" s="28">
        <f>IF(L1005+M1005=0,"",L1005+M1005)</f>
        <v/>
      </c>
      <c r="Y1005" s="38">
        <f>IF(L1005=0,"",M1005/L1005)</f>
        <v/>
      </c>
      <c r="Z1005" t="inlineStr">
        <is>
          <t>CIO - Top Investment Executive</t>
        </is>
      </c>
      <c r="AA1005" t="inlineStr">
        <is>
          <t>Leadership</t>
        </is>
      </c>
      <c r="AB1005" s="50" t="inlineStr">
        <is>
          <t>Y</t>
        </is>
      </c>
      <c r="AC1005" s="43">
        <f>HYPERLINK("https://projects.propublica.org/nonprofits/organizations/10679337/202431359349311628/full","view filing")</f>
        <v/>
      </c>
      <c r="AD1005" s="50" t="inlineStr"/>
    </row>
    <row r="1006">
      <c r="A1006" t="inlineStr">
        <is>
          <t>San Francisco Foundation</t>
        </is>
      </c>
      <c r="B1006" s="50" t="inlineStr">
        <is>
          <t>CA</t>
        </is>
      </c>
      <c r="C1006" s="52" t="n">
        <v>1.8</v>
      </c>
      <c r="D1006" t="inlineStr">
        <is>
          <t>Foundation</t>
        </is>
      </c>
      <c r="E1006" s="50" t="n">
        <v>2023</v>
      </c>
      <c r="F1006" s="50" t="inlineStr">
        <is>
          <t>2024-05-14</t>
        </is>
      </c>
      <c r="G1006" s="50" t="inlineStr">
        <is>
          <t>2023-06-30</t>
        </is>
      </c>
      <c r="H1006" t="inlineStr">
        <is>
          <t>Mark Doherty</t>
        </is>
      </c>
      <c r="I1006" t="inlineStr">
        <is>
          <t>SENIOR DIRECTOR OF INVESTMENTS</t>
        </is>
      </c>
      <c r="J1006" t="inlineStr">
        <is>
          <t>Director of Investments</t>
        </is>
      </c>
      <c r="K1006" t="inlineStr">
        <is>
          <t>Sr Investment Professional</t>
        </is>
      </c>
      <c r="L1006" s="28" t="n">
        <v>182065</v>
      </c>
      <c r="M1006" s="28" t="n">
        <v>0</v>
      </c>
      <c r="N1006" s="28" t="n">
        <v>0</v>
      </c>
      <c r="O1006" s="28" t="n">
        <v>21786</v>
      </c>
      <c r="P1006" s="28" t="n">
        <v>1170</v>
      </c>
      <c r="Q1006" s="28" t="n">
        <v>205021</v>
      </c>
      <c r="R1006" s="28" t="n">
        <v>0</v>
      </c>
      <c r="S1006" s="28">
        <f>Q1006-R1006</f>
        <v/>
      </c>
      <c r="T1006" s="28">
        <f>IF(S1006="","",S1006*(1+in_GrowthRate)^(YEARFRAC(DATE(2023,6,30),in_AgeToDate)*IF(in_AgeToDate&lt;DATE(2023,6,30),-1,1)+1))</f>
        <v/>
      </c>
      <c r="U1006" s="50">
        <f>IF(AND(AND(OR(in_Mode="All Funds",AND(C1006&gt;=in_BandFloor,C1006&lt;=in_BandCeiling,OR(in_Geography="National",COUNTIFS(lst_GeoPreset,in_Geography,lst_GeoState,B1006)&gt;0,AND(in_Geography="Custom",ISNUMBER(SEARCH(B1006,SUBSTITUTE(in_CustomStates," ",""))))),OR(AND(D1006="Endowment",Inputs!$B$14="Y"),AND(D1006="Foundation",Inputs!$B$15="Y"),AND(D1006="Healthcare",Inputs!$B$16="Y"),AND(D1006="Pension",Inputs!$B$17="Y"),AND(D1006="OCIO",Inputs!$B$18="Y"),AND(D1006="Other",Inputs!$B$19="Y")))),A1006&lt;&gt;in_ClientOrg,NOT(AND(in_ExclHarvard="Y",ISNUMBER(SEARCH("Harvard",A1006))))),$AD1006="Y",K1006&lt;&gt;"",S1006&gt;0),"Y","")</f>
        <v/>
      </c>
      <c r="V1006" s="30" t="n">
        <v>0.554157240201206</v>
      </c>
      <c r="W1006" t="inlineStr"/>
      <c r="X1006" s="28">
        <f>IF(L1006+M1006=0,"",L1006+M1006)</f>
        <v/>
      </c>
      <c r="Y1006" s="38">
        <f>IF(L1006=0,"",M1006/L1006)</f>
        <v/>
      </c>
      <c r="Z1006" t="inlineStr">
        <is>
          <t>Director &amp; Investment Officer</t>
        </is>
      </c>
      <c r="AA1006" t="inlineStr">
        <is>
          <t>Investments</t>
        </is>
      </c>
      <c r="AB1006" s="50" t="inlineStr"/>
      <c r="AC1006" s="43">
        <f>HYPERLINK("https://projects.propublica.org/nonprofits/organizations/10679337/202431359349311628/full","view filing")</f>
        <v/>
      </c>
      <c r="AD1006" s="50" t="inlineStr"/>
    </row>
    <row r="1007">
      <c r="A1007" t="inlineStr">
        <is>
          <t>San Francisco Foundation</t>
        </is>
      </c>
      <c r="B1007" s="50" t="inlineStr">
        <is>
          <t>CA</t>
        </is>
      </c>
      <c r="C1007" s="52" t="n">
        <v>1.8</v>
      </c>
      <c r="D1007" t="inlineStr">
        <is>
          <t>Foundation</t>
        </is>
      </c>
      <c r="E1007" s="50" t="n">
        <v>2022</v>
      </c>
      <c r="F1007" s="50" t="inlineStr">
        <is>
          <t>2023-05-10</t>
        </is>
      </c>
      <c r="G1007" s="50" t="inlineStr">
        <is>
          <t>2022-06-30</t>
        </is>
      </c>
      <c r="H1007" t="inlineStr">
        <is>
          <t>Judith Bell</t>
        </is>
      </c>
      <c r="I1007" t="inlineStr">
        <is>
          <t>CIO</t>
        </is>
      </c>
      <c r="J1007" t="inlineStr">
        <is>
          <t>CIO</t>
        </is>
      </c>
      <c r="K1007" t="inlineStr">
        <is>
          <t>CIO - Top Investment Executive</t>
        </is>
      </c>
      <c r="L1007" s="28" t="n">
        <v>300219</v>
      </c>
      <c r="M1007" s="28" t="n">
        <v>0</v>
      </c>
      <c r="N1007" s="28" t="n">
        <v>0</v>
      </c>
      <c r="O1007" s="28" t="n">
        <v>36557</v>
      </c>
      <c r="P1007" s="28" t="n">
        <v>27615</v>
      </c>
      <c r="Q1007" s="28" t="n">
        <v>364391</v>
      </c>
      <c r="R1007" s="28" t="n">
        <v>0</v>
      </c>
      <c r="S1007" s="28">
        <f>Q1007-R1007</f>
        <v/>
      </c>
      <c r="T1007" s="28">
        <f>IF(S1007="","",S1007*(1+in_GrowthRate)^(YEARFRAC(DATE(2022,6,30),in_AgeToDate)*IF(in_AgeToDate&lt;DATE(2022,6,30),-1,1)+1))</f>
        <v/>
      </c>
      <c r="U1007" s="50">
        <f>IF(AND(AND(OR(in_Mode="All Funds",AND(C1007&gt;=in_BandFloor,C1007&lt;=in_BandCeiling,OR(in_Geography="National",COUNTIFS(lst_GeoPreset,in_Geography,lst_GeoState,B1007)&gt;0,AND(in_Geography="Custom",ISNUMBER(SEARCH(B1007,SUBSTITUTE(in_CustomStates," ",""))))),OR(AND(D1007="Endowment",Inputs!$B$14="Y"),AND(D1007="Foundation",Inputs!$B$15="Y"),AND(D1007="Healthcare",Inputs!$B$16="Y"),AND(D1007="Pension",Inputs!$B$17="Y"),AND(D1007="OCIO",Inputs!$B$18="Y"),AND(D1007="Other",Inputs!$B$19="Y")))),A1007&lt;&gt;in_ClientOrg,NOT(AND(in_ExclHarvard="Y",ISNUMBER(SEARCH("Harvard",A1007))))),$AD1007="Y",K1007&lt;&gt;"",S1007&gt;0),"Y","")</f>
        <v/>
      </c>
      <c r="V1007" s="30" t="n">
        <v>1</v>
      </c>
      <c r="W1007" t="inlineStr"/>
      <c r="X1007" s="28">
        <f>IF(L1007+M1007=0,"",L1007+M1007)</f>
        <v/>
      </c>
      <c r="Y1007" s="38">
        <f>IF(L1007=0,"",M1007/L1007)</f>
        <v/>
      </c>
      <c r="Z1007" t="inlineStr">
        <is>
          <t>CIO - Top Investment Executive</t>
        </is>
      </c>
      <c r="AA1007" t="inlineStr">
        <is>
          <t>Leadership</t>
        </is>
      </c>
      <c r="AB1007" s="50" t="inlineStr">
        <is>
          <t>Y</t>
        </is>
      </c>
      <c r="AC1007" s="43">
        <f>HYPERLINK("https://projects.propublica.org/nonprofits/organizations/10679337/202301309349301545/full","view filing")</f>
        <v/>
      </c>
      <c r="AD1007" s="50" t="inlineStr"/>
    </row>
    <row r="1008">
      <c r="A1008" t="inlineStr">
        <is>
          <t>San Francisco Foundation</t>
        </is>
      </c>
      <c r="B1008" s="50" t="inlineStr">
        <is>
          <t>CA</t>
        </is>
      </c>
      <c r="C1008" s="52" t="n">
        <v>1.8</v>
      </c>
      <c r="D1008" t="inlineStr">
        <is>
          <t>Foundation</t>
        </is>
      </c>
      <c r="E1008" s="50" t="n">
        <v>2022</v>
      </c>
      <c r="F1008" s="50" t="inlineStr">
        <is>
          <t>2023-05-10</t>
        </is>
      </c>
      <c r="G1008" s="50" t="inlineStr">
        <is>
          <t>2022-06-30</t>
        </is>
      </c>
      <c r="H1008" t="inlineStr">
        <is>
          <t>Mark Doherty</t>
        </is>
      </c>
      <c r="I1008" t="inlineStr">
        <is>
          <t>SENIOR DIRECTOR OF INVESTMENTS</t>
        </is>
      </c>
      <c r="J1008" t="inlineStr">
        <is>
          <t>Director of Investments</t>
        </is>
      </c>
      <c r="K1008" t="inlineStr">
        <is>
          <t>Sr Investment Professional</t>
        </is>
      </c>
      <c r="L1008" s="28" t="n">
        <v>174982</v>
      </c>
      <c r="M1008" s="28" t="n">
        <v>0</v>
      </c>
      <c r="N1008" s="28" t="n">
        <v>0</v>
      </c>
      <c r="O1008" s="28" t="n">
        <v>20901</v>
      </c>
      <c r="P1008" s="28" t="n">
        <v>993</v>
      </c>
      <c r="Q1008" s="28" t="n">
        <v>196876</v>
      </c>
      <c r="R1008" s="28" t="n">
        <v>0</v>
      </c>
      <c r="S1008" s="28">
        <f>Q1008-R1008</f>
        <v/>
      </c>
      <c r="T1008" s="28">
        <f>IF(S1008="","",S1008*(1+in_GrowthRate)^(YEARFRAC(DATE(2022,6,30),in_AgeToDate)*IF(in_AgeToDate&lt;DATE(2022,6,30),-1,1)+1))</f>
        <v/>
      </c>
      <c r="U1008" s="50">
        <f>IF(AND(AND(OR(in_Mode="All Funds",AND(C1008&gt;=in_BandFloor,C1008&lt;=in_BandCeiling,OR(in_Geography="National",COUNTIFS(lst_GeoPreset,in_Geography,lst_GeoState,B1008)&gt;0,AND(in_Geography="Custom",ISNUMBER(SEARCH(B1008,SUBSTITUTE(in_CustomStates," ",""))))),OR(AND(D1008="Endowment",Inputs!$B$14="Y"),AND(D1008="Foundation",Inputs!$B$15="Y"),AND(D1008="Healthcare",Inputs!$B$16="Y"),AND(D1008="Pension",Inputs!$B$17="Y"),AND(D1008="OCIO",Inputs!$B$18="Y"),AND(D1008="Other",Inputs!$B$19="Y")))),A1008&lt;&gt;in_ClientOrg,NOT(AND(in_ExclHarvard="Y",ISNUMBER(SEARCH("Harvard",A1008))))),$AD1008="Y",K1008&lt;&gt;"",S1008&gt;0),"Y","")</f>
        <v/>
      </c>
      <c r="V1008" s="30" t="n">
        <v>0.5402877678098525</v>
      </c>
      <c r="W1008" t="inlineStr"/>
      <c r="X1008" s="28">
        <f>IF(L1008+M1008=0,"",L1008+M1008)</f>
        <v/>
      </c>
      <c r="Y1008" s="38">
        <f>IF(L1008=0,"",M1008/L1008)</f>
        <v/>
      </c>
      <c r="Z1008" t="inlineStr">
        <is>
          <t>Director &amp; Investment Officer</t>
        </is>
      </c>
      <c r="AA1008" t="inlineStr">
        <is>
          <t>Investments</t>
        </is>
      </c>
      <c r="AB1008" s="50" t="inlineStr"/>
      <c r="AC1008" s="43">
        <f>HYPERLINK("https://projects.propublica.org/nonprofits/organizations/10679337/202301309349301545/full","view filing")</f>
        <v/>
      </c>
      <c r="AD1008" s="50" t="inlineStr"/>
    </row>
    <row r="1009">
      <c r="A1009" t="inlineStr">
        <is>
          <t>Seattle Childrens Healthcare System</t>
        </is>
      </c>
      <c r="B1009" s="50" t="inlineStr">
        <is>
          <t>WA</t>
        </is>
      </c>
      <c r="C1009" s="52" t="n">
        <v>1.16</v>
      </c>
      <c r="D1009" t="inlineStr">
        <is>
          <t>Healthcare</t>
        </is>
      </c>
      <c r="E1009" s="50" t="n">
        <v>2025</v>
      </c>
      <c r="F1009" s="50" t="inlineStr">
        <is>
          <t>2026-08-14</t>
        </is>
      </c>
      <c r="G1009" s="50" t="inlineStr">
        <is>
          <t>2025-09-30</t>
        </is>
      </c>
      <c r="H1009" t="inlineStr">
        <is>
          <t>James Olson</t>
        </is>
      </c>
      <c r="I1009" t="inlineStr">
        <is>
          <t>INVESTMENT DIRECTOR</t>
        </is>
      </c>
      <c r="J1009" t="inlineStr">
        <is>
          <t>Director of Investments</t>
        </is>
      </c>
      <c r="K1009" t="inlineStr">
        <is>
          <t>Sr Investment Professional</t>
        </is>
      </c>
      <c r="L1009" s="28" t="n">
        <v>259859</v>
      </c>
      <c r="M1009" s="28" t="n">
        <v>133493</v>
      </c>
      <c r="N1009" s="28" t="n">
        <v>0</v>
      </c>
      <c r="O1009" s="28" t="n">
        <v>26660</v>
      </c>
      <c r="P1009" s="28" t="n">
        <v>34906</v>
      </c>
      <c r="Q1009" s="28" t="n">
        <v>454918</v>
      </c>
      <c r="R1009" s="28" t="n">
        <v>0</v>
      </c>
      <c r="S1009" s="28">
        <f>Q1009-R1009</f>
        <v/>
      </c>
      <c r="T1009" s="28">
        <f>IF(S1009="","",S1009*(1+in_GrowthRate)^(YEARFRAC(DATE(2025,9,30),in_AgeToDate)*IF(in_AgeToDate&lt;DATE(2025,9,30),-1,1)+1))</f>
        <v/>
      </c>
      <c r="U1009" s="50">
        <f>IF(AND(AND(OR(in_Mode="All Funds",AND(C1009&gt;=in_BandFloor,C1009&lt;=in_BandCeiling,OR(in_Geography="National",COUNTIFS(lst_GeoPreset,in_Geography,lst_GeoState,B1009)&gt;0,AND(in_Geography="Custom",ISNUMBER(SEARCH(B1009,SUBSTITUTE(in_CustomStates," ",""))))),OR(AND(D1009="Endowment",Inputs!$B$14="Y"),AND(D1009="Foundation",Inputs!$B$15="Y"),AND(D1009="Healthcare",Inputs!$B$16="Y"),AND(D1009="Pension",Inputs!$B$17="Y"),AND(D1009="OCIO",Inputs!$B$18="Y"),AND(D1009="Other",Inputs!$B$19="Y")))),A1009&lt;&gt;in_ClientOrg,NOT(AND(in_ExclHarvard="Y",ISNUMBER(SEARCH("Harvard",A1009))))),$AD1009="Y",K1009&lt;&gt;"",S1009&gt;0),"Y","")</f>
        <v/>
      </c>
      <c r="V1009" s="30" t="n">
        <v>0.5510951204147889</v>
      </c>
      <c r="W1009" t="inlineStr"/>
      <c r="X1009" s="28">
        <f>IF(L1009+M1009=0,"",L1009+M1009)</f>
        <v/>
      </c>
      <c r="Y1009" s="38">
        <f>IF(L1009=0,"",M1009/L1009)</f>
        <v/>
      </c>
      <c r="Z1009" t="inlineStr">
        <is>
          <t>Director &amp; Investment Officer</t>
        </is>
      </c>
      <c r="AA1009" t="inlineStr">
        <is>
          <t>Investments</t>
        </is>
      </c>
      <c r="AB1009" s="50" t="inlineStr"/>
      <c r="AC1009" s="43">
        <f>HYPERLINK("https://projects.propublica.org/nonprofits/organizations/911250116/202612269349303751/full","view filing")</f>
        <v/>
      </c>
      <c r="AD1009" s="50" t="inlineStr">
        <is>
          <t>Y</t>
        </is>
      </c>
    </row>
    <row r="1010">
      <c r="A1010" t="inlineStr">
        <is>
          <t>Seattle Childrens Healthcare System</t>
        </is>
      </c>
      <c r="B1010" s="50" t="inlineStr">
        <is>
          <t>WA</t>
        </is>
      </c>
      <c r="C1010" s="52" t="n">
        <v>1.16</v>
      </c>
      <c r="D1010" t="inlineStr">
        <is>
          <t>Healthcare</t>
        </is>
      </c>
      <c r="E1010" s="50" t="n">
        <v>2025</v>
      </c>
      <c r="F1010" s="50" t="inlineStr">
        <is>
          <t>2026-08-14</t>
        </is>
      </c>
      <c r="G1010" s="50" t="inlineStr">
        <is>
          <t>2025-09-30</t>
        </is>
      </c>
      <c r="H1010" t="inlineStr">
        <is>
          <t>Stan Ra</t>
        </is>
      </c>
      <c r="I1010" t="inlineStr">
        <is>
          <t>CHIEF INVESTMENT OFFICER</t>
        </is>
      </c>
      <c r="J1010" t="inlineStr">
        <is>
          <t>CIO</t>
        </is>
      </c>
      <c r="K1010" t="inlineStr">
        <is>
          <t>CIO - Top Investment Executive</t>
        </is>
      </c>
      <c r="L1010" s="28" t="n">
        <v>519397</v>
      </c>
      <c r="M1010" s="28" t="n">
        <v>260742</v>
      </c>
      <c r="N1010" s="28" t="n">
        <v>0</v>
      </c>
      <c r="O1010" s="28" t="n">
        <v>24319</v>
      </c>
      <c r="P1010" s="28" t="n">
        <v>21022</v>
      </c>
      <c r="Q1010" s="28" t="n">
        <v>825480</v>
      </c>
      <c r="R1010" s="28" t="n">
        <v>0</v>
      </c>
      <c r="S1010" s="28">
        <f>Q1010-R1010</f>
        <v/>
      </c>
      <c r="T1010" s="28">
        <f>IF(S1010="","",S1010*(1+in_GrowthRate)^(YEARFRAC(DATE(2025,9,30),in_AgeToDate)*IF(in_AgeToDate&lt;DATE(2025,9,30),-1,1)+1))</f>
        <v/>
      </c>
      <c r="U1010" s="50">
        <f>IF(AND(AND(OR(in_Mode="All Funds",AND(C1010&gt;=in_BandFloor,C1010&lt;=in_BandCeiling,OR(in_Geography="National",COUNTIFS(lst_GeoPreset,in_Geography,lst_GeoState,B1010)&gt;0,AND(in_Geography="Custom",ISNUMBER(SEARCH(B1010,SUBSTITUTE(in_CustomStates," ",""))))),OR(AND(D1010="Endowment",Inputs!$B$14="Y"),AND(D1010="Foundation",Inputs!$B$15="Y"),AND(D1010="Healthcare",Inputs!$B$16="Y"),AND(D1010="Pension",Inputs!$B$17="Y"),AND(D1010="OCIO",Inputs!$B$18="Y"),AND(D1010="Other",Inputs!$B$19="Y")))),A1010&lt;&gt;in_ClientOrg,NOT(AND(in_ExclHarvard="Y",ISNUMBER(SEARCH("Harvard",A1010))))),$AD1010="Y",K1010&lt;&gt;"",S1010&gt;0),"Y","")</f>
        <v/>
      </c>
      <c r="V1010" s="30" t="n">
        <v>1</v>
      </c>
      <c r="W1010" t="inlineStr"/>
      <c r="X1010" s="28">
        <f>IF(L1010+M1010=0,"",L1010+M1010)</f>
        <v/>
      </c>
      <c r="Y1010" s="38">
        <f>IF(L1010=0,"",M1010/L1010)</f>
        <v/>
      </c>
      <c r="Z1010" t="inlineStr">
        <is>
          <t>CIO - Top Investment Executive</t>
        </is>
      </c>
      <c r="AA1010" t="inlineStr">
        <is>
          <t>Leadership</t>
        </is>
      </c>
      <c r="AB1010" s="50" t="inlineStr">
        <is>
          <t>Y</t>
        </is>
      </c>
      <c r="AC1010" s="43">
        <f>HYPERLINK("https://projects.propublica.org/nonprofits/organizations/911250116/202612269349303751/full","view filing")</f>
        <v/>
      </c>
      <c r="AD1010" s="50" t="inlineStr">
        <is>
          <t>Y</t>
        </is>
      </c>
    </row>
    <row r="1011">
      <c r="A1011" t="inlineStr">
        <is>
          <t>Seattle Childrens Healthcare System</t>
        </is>
      </c>
      <c r="B1011" s="50" t="inlineStr">
        <is>
          <t>WA</t>
        </is>
      </c>
      <c r="C1011" s="52" t="n">
        <v>1.16</v>
      </c>
      <c r="D1011" t="inlineStr">
        <is>
          <t>Healthcare</t>
        </is>
      </c>
      <c r="E1011" s="50" t="n">
        <v>2024</v>
      </c>
      <c r="F1011" s="50" t="inlineStr">
        <is>
          <t>2025-09-30</t>
        </is>
      </c>
      <c r="G1011" s="50" t="inlineStr">
        <is>
          <t>2024-09-30</t>
        </is>
      </c>
      <c r="H1011" t="inlineStr">
        <is>
          <t>James Olson</t>
        </is>
      </c>
      <c r="I1011" t="inlineStr">
        <is>
          <t>INVESTMENT DIRECTOR</t>
        </is>
      </c>
      <c r="J1011" t="inlineStr">
        <is>
          <t>Director of Investments</t>
        </is>
      </c>
      <c r="K1011" t="inlineStr">
        <is>
          <t>Sr Investment Professional</t>
        </is>
      </c>
      <c r="L1011" s="28" t="n">
        <v>245058</v>
      </c>
      <c r="M1011" s="28" t="n">
        <v>125937</v>
      </c>
      <c r="N1011" s="28" t="n">
        <v>0</v>
      </c>
      <c r="O1011" s="28" t="n">
        <v>22852</v>
      </c>
      <c r="P1011" s="28" t="n">
        <v>32817</v>
      </c>
      <c r="Q1011" s="28" t="n">
        <v>426664</v>
      </c>
      <c r="R1011" s="28" t="n">
        <v>0</v>
      </c>
      <c r="S1011" s="28">
        <f>Q1011-R1011</f>
        <v/>
      </c>
      <c r="T1011" s="28">
        <f>IF(S1011="","",S1011*(1+in_GrowthRate)^(YEARFRAC(DATE(2024,9,30),in_AgeToDate)*IF(in_AgeToDate&lt;DATE(2024,9,30),-1,1)+1))</f>
        <v/>
      </c>
      <c r="U1011" s="50">
        <f>IF(AND(AND(OR(in_Mode="All Funds",AND(C1011&gt;=in_BandFloor,C1011&lt;=in_BandCeiling,OR(in_Geography="National",COUNTIFS(lst_GeoPreset,in_Geography,lst_GeoState,B1011)&gt;0,AND(in_Geography="Custom",ISNUMBER(SEARCH(B1011,SUBSTITUTE(in_CustomStates," ",""))))),OR(AND(D1011="Endowment",Inputs!$B$14="Y"),AND(D1011="Foundation",Inputs!$B$15="Y"),AND(D1011="Healthcare",Inputs!$B$16="Y"),AND(D1011="Pension",Inputs!$B$17="Y"),AND(D1011="OCIO",Inputs!$B$18="Y"),AND(D1011="Other",Inputs!$B$19="Y")))),A1011&lt;&gt;in_ClientOrg,NOT(AND(in_ExclHarvard="Y",ISNUMBER(SEARCH("Harvard",A1011))))),$AD1011="Y",K1011&lt;&gt;"",S1011&gt;0),"Y","")</f>
        <v/>
      </c>
      <c r="V1011" s="30" t="n">
        <v>0.5430492234771829</v>
      </c>
      <c r="W1011" t="inlineStr"/>
      <c r="X1011" s="28">
        <f>IF(L1011+M1011=0,"",L1011+M1011)</f>
        <v/>
      </c>
      <c r="Y1011" s="38">
        <f>IF(L1011=0,"",M1011/L1011)</f>
        <v/>
      </c>
      <c r="Z1011" t="inlineStr">
        <is>
          <t>Director &amp; Investment Officer</t>
        </is>
      </c>
      <c r="AA1011" t="inlineStr">
        <is>
          <t>Investments</t>
        </is>
      </c>
      <c r="AB1011" s="50" t="inlineStr"/>
      <c r="AC1011" s="43">
        <f>HYPERLINK("https://projects.propublica.org/nonprofits/organizations/911250116/202542739349302109/full","view filing")</f>
        <v/>
      </c>
      <c r="AD1011" s="50" t="inlineStr"/>
    </row>
    <row r="1012">
      <c r="A1012" t="inlineStr">
        <is>
          <t>Seattle Childrens Healthcare System</t>
        </is>
      </c>
      <c r="B1012" s="50" t="inlineStr">
        <is>
          <t>WA</t>
        </is>
      </c>
      <c r="C1012" s="52" t="n">
        <v>1.16</v>
      </c>
      <c r="D1012" t="inlineStr">
        <is>
          <t>Healthcare</t>
        </is>
      </c>
      <c r="E1012" s="50" t="n">
        <v>2024</v>
      </c>
      <c r="F1012" s="50" t="inlineStr">
        <is>
          <t>2025-09-30</t>
        </is>
      </c>
      <c r="G1012" s="50" t="inlineStr">
        <is>
          <t>2024-09-30</t>
        </is>
      </c>
      <c r="H1012" t="inlineStr">
        <is>
          <t>Stanley Ra</t>
        </is>
      </c>
      <c r="I1012" t="inlineStr">
        <is>
          <t>CHIEF INVESTMENT OFFICER</t>
        </is>
      </c>
      <c r="J1012" t="inlineStr">
        <is>
          <t>CIO</t>
        </is>
      </c>
      <c r="K1012" t="inlineStr">
        <is>
          <t>CIO - Top Investment Executive</t>
        </is>
      </c>
      <c r="L1012" s="28" t="n">
        <v>494833</v>
      </c>
      <c r="M1012" s="28" t="n">
        <v>248325</v>
      </c>
      <c r="N1012" s="28" t="n">
        <v>0</v>
      </c>
      <c r="O1012" s="28" t="n">
        <v>22742</v>
      </c>
      <c r="P1012" s="28" t="n">
        <v>19782</v>
      </c>
      <c r="Q1012" s="28" t="n">
        <v>785682</v>
      </c>
      <c r="R1012" s="28" t="n">
        <v>0</v>
      </c>
      <c r="S1012" s="28">
        <f>Q1012-R1012</f>
        <v/>
      </c>
      <c r="T1012" s="28">
        <f>IF(S1012="","",S1012*(1+in_GrowthRate)^(YEARFRAC(DATE(2024,9,30),in_AgeToDate)*IF(in_AgeToDate&lt;DATE(2024,9,30),-1,1)+1))</f>
        <v/>
      </c>
      <c r="U1012" s="50">
        <f>IF(AND(AND(OR(in_Mode="All Funds",AND(C1012&gt;=in_BandFloor,C1012&lt;=in_BandCeiling,OR(in_Geography="National",COUNTIFS(lst_GeoPreset,in_Geography,lst_GeoState,B1012)&gt;0,AND(in_Geography="Custom",ISNUMBER(SEARCH(B1012,SUBSTITUTE(in_CustomStates," ",""))))),OR(AND(D1012="Endowment",Inputs!$B$14="Y"),AND(D1012="Foundation",Inputs!$B$15="Y"),AND(D1012="Healthcare",Inputs!$B$16="Y"),AND(D1012="Pension",Inputs!$B$17="Y"),AND(D1012="OCIO",Inputs!$B$18="Y"),AND(D1012="Other",Inputs!$B$19="Y")))),A1012&lt;&gt;in_ClientOrg,NOT(AND(in_ExclHarvard="Y",ISNUMBER(SEARCH("Harvard",A1012))))),$AD1012="Y",K1012&lt;&gt;"",S1012&gt;0),"Y","")</f>
        <v/>
      </c>
      <c r="V1012" s="30" t="n">
        <v>1</v>
      </c>
      <c r="W1012" t="inlineStr"/>
      <c r="X1012" s="28">
        <f>IF(L1012+M1012=0,"",L1012+M1012)</f>
        <v/>
      </c>
      <c r="Y1012" s="38">
        <f>IF(L1012=0,"",M1012/L1012)</f>
        <v/>
      </c>
      <c r="Z1012" t="inlineStr">
        <is>
          <t>CIO - Top Investment Executive</t>
        </is>
      </c>
      <c r="AA1012" t="inlineStr">
        <is>
          <t>Leadership</t>
        </is>
      </c>
      <c r="AB1012" s="50" t="inlineStr">
        <is>
          <t>Y</t>
        </is>
      </c>
      <c r="AC1012" s="43">
        <f>HYPERLINK("https://projects.propublica.org/nonprofits/organizations/911250116/202542739349302109/full","view filing")</f>
        <v/>
      </c>
      <c r="AD1012" s="50" t="inlineStr"/>
    </row>
    <row r="1013">
      <c r="A1013" t="inlineStr">
        <is>
          <t>Seattle Childrens Healthcare System</t>
        </is>
      </c>
      <c r="B1013" s="50" t="inlineStr">
        <is>
          <t>WA</t>
        </is>
      </c>
      <c r="C1013" s="52" t="n">
        <v>1.16</v>
      </c>
      <c r="D1013" t="inlineStr">
        <is>
          <t>Healthcare</t>
        </is>
      </c>
      <c r="E1013" s="50" t="n">
        <v>2023</v>
      </c>
      <c r="F1013" s="50" t="inlineStr">
        <is>
          <t>2024-08-14</t>
        </is>
      </c>
      <c r="G1013" s="50" t="inlineStr">
        <is>
          <t>2023-09-30</t>
        </is>
      </c>
      <c r="H1013" t="inlineStr">
        <is>
          <t>James Olson</t>
        </is>
      </c>
      <c r="I1013" t="inlineStr">
        <is>
          <t>DIRECTOR OF INVESTMENTS</t>
        </is>
      </c>
      <c r="J1013" t="inlineStr">
        <is>
          <t>Director of Investments</t>
        </is>
      </c>
      <c r="K1013" t="inlineStr">
        <is>
          <t>Sr Investment Professional</t>
        </is>
      </c>
      <c r="L1013" s="28" t="n">
        <v>60721</v>
      </c>
      <c r="M1013" s="28" t="n">
        <v>114488</v>
      </c>
      <c r="N1013" s="28" t="n">
        <v>0</v>
      </c>
      <c r="O1013" s="28" t="n">
        <v>9068</v>
      </c>
      <c r="P1013" s="28" t="n">
        <v>7655</v>
      </c>
      <c r="Q1013" s="28" t="n">
        <v>191932</v>
      </c>
      <c r="R1013" s="28" t="n">
        <v>0</v>
      </c>
      <c r="S1013" s="28">
        <f>Q1013-R1013</f>
        <v/>
      </c>
      <c r="T1013" s="28">
        <f>IF(S1013="","",S1013*(1+in_GrowthRate)^(YEARFRAC(DATE(2023,9,30),in_AgeToDate)*IF(in_AgeToDate&lt;DATE(2023,9,30),-1,1)+1))</f>
        <v/>
      </c>
      <c r="U1013" s="50">
        <f>IF(AND(AND(OR(in_Mode="All Funds",AND(C1013&gt;=in_BandFloor,C1013&lt;=in_BandCeiling,OR(in_Geography="National",COUNTIFS(lst_GeoPreset,in_Geography,lst_GeoState,B1013)&gt;0,AND(in_Geography="Custom",ISNUMBER(SEARCH(B1013,SUBSTITUTE(in_CustomStates," ",""))))),OR(AND(D1013="Endowment",Inputs!$B$14="Y"),AND(D1013="Foundation",Inputs!$B$15="Y"),AND(D1013="Healthcare",Inputs!$B$16="Y"),AND(D1013="Pension",Inputs!$B$17="Y"),AND(D1013="OCIO",Inputs!$B$18="Y"),AND(D1013="Other",Inputs!$B$19="Y")))),A1013&lt;&gt;in_ClientOrg,NOT(AND(in_ExclHarvard="Y",ISNUMBER(SEARCH("Harvard",A1013))))),$AD1013="Y",K1013&lt;&gt;"",S1013&gt;0),"Y","")</f>
        <v/>
      </c>
      <c r="V1013" s="30" t="n">
        <v>0.5433211514563052</v>
      </c>
      <c r="W1013" t="inlineStr"/>
      <c r="X1013" s="28">
        <f>IF(L1013+M1013=0,"",L1013+M1013)</f>
        <v/>
      </c>
      <c r="Y1013" s="38">
        <f>IF(L1013=0,"",M1013/L1013)</f>
        <v/>
      </c>
      <c r="Z1013" t="inlineStr">
        <is>
          <t>Director &amp; Investment Officer</t>
        </is>
      </c>
      <c r="AA1013" t="inlineStr">
        <is>
          <t>Investments</t>
        </is>
      </c>
      <c r="AB1013" s="50" t="inlineStr"/>
      <c r="AC1013" s="43">
        <f>HYPERLINK("https://projects.propublica.org/nonprofits/organizations/911250116/202442279349301039/full","view filing")</f>
        <v/>
      </c>
      <c r="AD1013" s="50" t="inlineStr"/>
    </row>
    <row r="1014">
      <c r="A1014" t="inlineStr">
        <is>
          <t>Seattle Childrens Healthcare System</t>
        </is>
      </c>
      <c r="B1014" s="50" t="inlineStr">
        <is>
          <t>WA</t>
        </is>
      </c>
      <c r="C1014" s="52" t="n">
        <v>1.16</v>
      </c>
      <c r="D1014" t="inlineStr">
        <is>
          <t>Healthcare</t>
        </is>
      </c>
      <c r="E1014" s="50" t="n">
        <v>2023</v>
      </c>
      <c r="F1014" s="50" t="inlineStr">
        <is>
          <t>2024-08-14</t>
        </is>
      </c>
      <c r="G1014" s="50" t="inlineStr">
        <is>
          <t>2023-09-30</t>
        </is>
      </c>
      <c r="H1014" t="inlineStr">
        <is>
          <t>Stanley Ra</t>
        </is>
      </c>
      <c r="I1014" t="inlineStr">
        <is>
          <t>CHIEF INVESTMENT OFFICER</t>
        </is>
      </c>
      <c r="J1014" t="inlineStr">
        <is>
          <t>CIO</t>
        </is>
      </c>
      <c r="K1014" t="inlineStr">
        <is>
          <t>CIO - Top Investment Executive</t>
        </is>
      </c>
      <c r="L1014" s="28" t="n">
        <v>122664</v>
      </c>
      <c r="M1014" s="28" t="n">
        <v>225750</v>
      </c>
      <c r="N1014" s="28" t="n">
        <v>0</v>
      </c>
      <c r="O1014" s="28" t="n">
        <v>0</v>
      </c>
      <c r="P1014" s="28" t="n">
        <v>4843</v>
      </c>
      <c r="Q1014" s="28" t="n">
        <v>353257</v>
      </c>
      <c r="R1014" s="28" t="n">
        <v>0</v>
      </c>
      <c r="S1014" s="28">
        <f>Q1014-R1014</f>
        <v/>
      </c>
      <c r="T1014" s="28">
        <f>IF(S1014="","",S1014*(1+in_GrowthRate)^(YEARFRAC(DATE(2023,9,30),in_AgeToDate)*IF(in_AgeToDate&lt;DATE(2023,9,30),-1,1)+1))</f>
        <v/>
      </c>
      <c r="U1014" s="50">
        <f>IF(AND(AND(OR(in_Mode="All Funds",AND(C1014&gt;=in_BandFloor,C1014&lt;=in_BandCeiling,OR(in_Geography="National",COUNTIFS(lst_GeoPreset,in_Geography,lst_GeoState,B1014)&gt;0,AND(in_Geography="Custom",ISNUMBER(SEARCH(B1014,SUBSTITUTE(in_CustomStates," ",""))))),OR(AND(D1014="Endowment",Inputs!$B$14="Y"),AND(D1014="Foundation",Inputs!$B$15="Y"),AND(D1014="Healthcare",Inputs!$B$16="Y"),AND(D1014="Pension",Inputs!$B$17="Y"),AND(D1014="OCIO",Inputs!$B$18="Y"),AND(D1014="Other",Inputs!$B$19="Y")))),A1014&lt;&gt;in_ClientOrg,NOT(AND(in_ExclHarvard="Y",ISNUMBER(SEARCH("Harvard",A1014))))),$AD1014="Y",K1014&lt;&gt;"",S1014&gt;0),"Y","")</f>
        <v/>
      </c>
      <c r="V1014" s="30" t="n">
        <v>1</v>
      </c>
      <c r="W1014" t="inlineStr"/>
      <c r="X1014" s="28">
        <f>IF(L1014+M1014=0,"",L1014+M1014)</f>
        <v/>
      </c>
      <c r="Y1014" s="38">
        <f>IF(L1014=0,"",M1014/L1014)</f>
        <v/>
      </c>
      <c r="Z1014" t="inlineStr">
        <is>
          <t>CIO - Top Investment Executive</t>
        </is>
      </c>
      <c r="AA1014" t="inlineStr">
        <is>
          <t>Leadership</t>
        </is>
      </c>
      <c r="AB1014" s="50" t="inlineStr">
        <is>
          <t>Y</t>
        </is>
      </c>
      <c r="AC1014" s="43">
        <f>HYPERLINK("https://projects.propublica.org/nonprofits/organizations/911250116/202442279349301039/full","view filing")</f>
        <v/>
      </c>
      <c r="AD1014" s="50" t="inlineStr"/>
    </row>
    <row r="1015">
      <c r="A1015" t="inlineStr">
        <is>
          <t>Sherman Fairchild Foundation Inc</t>
        </is>
      </c>
      <c r="B1015" s="50" t="inlineStr">
        <is>
          <t>MD</t>
        </is>
      </c>
      <c r="C1015" s="52" t="n">
        <v>0.95</v>
      </c>
      <c r="D1015" t="inlineStr">
        <is>
          <t>Foundation</t>
        </is>
      </c>
      <c r="E1015" s="50" t="n">
        <v>2024</v>
      </c>
      <c r="F1015" s="50" t="inlineStr">
        <is>
          <t>2025-11-17</t>
        </is>
      </c>
      <c r="G1015" s="50" t="inlineStr">
        <is>
          <t>2024-12-31</t>
        </is>
      </c>
      <c r="H1015" t="inlineStr">
        <is>
          <t>Walter Burke Iii</t>
        </is>
      </c>
      <c r="I1015" t="inlineStr">
        <is>
          <t>CHIEF INVEST. OFFICER/DIRECTOR</t>
        </is>
      </c>
      <c r="J1015" t="inlineStr">
        <is>
          <t>CIO</t>
        </is>
      </c>
      <c r="K1015" t="inlineStr">
        <is>
          <t>CIO - Top Investment Executive</t>
        </is>
      </c>
      <c r="L1015" s="28" t="n">
        <v>0</v>
      </c>
      <c r="M1015" s="28" t="n">
        <v>0</v>
      </c>
      <c r="N1015" s="28" t="n">
        <v>0</v>
      </c>
      <c r="O1015" s="28" t="n">
        <v>0</v>
      </c>
      <c r="P1015" s="28" t="n">
        <v>85095</v>
      </c>
      <c r="Q1015" s="28" t="n">
        <v>563495</v>
      </c>
      <c r="R1015" s="28" t="n">
        <v>0</v>
      </c>
      <c r="S1015" s="28">
        <f>Q1015-R1015</f>
        <v/>
      </c>
      <c r="T1015" s="28">
        <f>IF(S1015="","",S1015*(1+in_GrowthRate)^(YEARFRAC(DATE(2024,12,31),in_AgeToDate)*IF(in_AgeToDate&lt;DATE(2024,12,31),-1,1)+1))</f>
        <v/>
      </c>
      <c r="U1015" s="50">
        <f>IF(AND(AND(OR(in_Mode="All Funds",AND(C1015&gt;=in_BandFloor,C1015&lt;=in_BandCeiling,OR(in_Geography="National",COUNTIFS(lst_GeoPreset,in_Geography,lst_GeoState,B1015)&gt;0,AND(in_Geography="Custom",ISNUMBER(SEARCH(B1015,SUBSTITUTE(in_CustomStates," ",""))))),OR(AND(D1015="Endowment",Inputs!$B$14="Y"),AND(D1015="Foundation",Inputs!$B$15="Y"),AND(D1015="Healthcare",Inputs!$B$16="Y"),AND(D1015="Pension",Inputs!$B$17="Y"),AND(D1015="OCIO",Inputs!$B$18="Y"),AND(D1015="Other",Inputs!$B$19="Y")))),A1015&lt;&gt;in_ClientOrg,NOT(AND(in_ExclHarvard="Y",ISNUMBER(SEARCH("Harvard",A1015))))),$AD1015="Y",K1015&lt;&gt;"",S1015&gt;0),"Y","")</f>
        <v/>
      </c>
      <c r="V1015" s="30" t="n">
        <v>1</v>
      </c>
      <c r="W1015" t="inlineStr"/>
      <c r="X1015" s="28">
        <f>IF(L1015+M1015=0,"",L1015+M1015)</f>
        <v/>
      </c>
      <c r="Y1015" s="38">
        <f>IF(L1015=0,"",M1015/L1015)</f>
        <v/>
      </c>
      <c r="Z1015" t="inlineStr">
        <is>
          <t>CIO - Top Investment Executive</t>
        </is>
      </c>
      <c r="AA1015" t="inlineStr">
        <is>
          <t>Leadership</t>
        </is>
      </c>
      <c r="AB1015" s="50" t="inlineStr">
        <is>
          <t>Y</t>
        </is>
      </c>
      <c r="AC1015" s="43">
        <f>HYPERLINK("https://projects.propublica.org/nonprofits/organizations/131951698/202513219349108701/full","view filing")</f>
        <v/>
      </c>
      <c r="AD1015" s="50" t="inlineStr">
        <is>
          <t>Y</t>
        </is>
      </c>
    </row>
    <row r="1016">
      <c r="A1016" t="inlineStr">
        <is>
          <t>Sherman Fairchild Foundation Inc</t>
        </is>
      </c>
      <c r="B1016" s="50" t="inlineStr">
        <is>
          <t>MD</t>
        </is>
      </c>
      <c r="C1016" s="52" t="n">
        <v>0.95</v>
      </c>
      <c r="D1016" t="inlineStr">
        <is>
          <t>Foundation</t>
        </is>
      </c>
      <c r="E1016" s="50" t="n">
        <v>2023</v>
      </c>
      <c r="F1016" s="50" t="inlineStr">
        <is>
          <t>2024-11-15</t>
        </is>
      </c>
      <c r="G1016" s="50" t="inlineStr">
        <is>
          <t>2023-12-31</t>
        </is>
      </c>
      <c r="H1016" t="inlineStr">
        <is>
          <t>Walter F Burke Iii</t>
        </is>
      </c>
      <c r="I1016" t="inlineStr">
        <is>
          <t>Chief Invest. Officer/Chairman</t>
        </is>
      </c>
      <c r="J1016" t="inlineStr">
        <is>
          <t>CIO</t>
        </is>
      </c>
      <c r="K1016" t="inlineStr">
        <is>
          <t>CIO - Top Investment Executive</t>
        </is>
      </c>
      <c r="L1016" s="28" t="n">
        <v>0</v>
      </c>
      <c r="M1016" s="28" t="n">
        <v>0</v>
      </c>
      <c r="N1016" s="28" t="n">
        <v>0</v>
      </c>
      <c r="O1016" s="28" t="n">
        <v>0</v>
      </c>
      <c r="P1016" s="28" t="n">
        <v>85026</v>
      </c>
      <c r="Q1016" s="28" t="n">
        <v>563426</v>
      </c>
      <c r="R1016" s="28" t="n">
        <v>0</v>
      </c>
      <c r="S1016" s="28">
        <f>Q1016-R1016</f>
        <v/>
      </c>
      <c r="T1016" s="28">
        <f>IF(S1016="","",S1016*(1+in_GrowthRate)^(YEARFRAC(DATE(2023,12,31),in_AgeToDate)*IF(in_AgeToDate&lt;DATE(2023,12,31),-1,1)+1))</f>
        <v/>
      </c>
      <c r="U1016" s="50">
        <f>IF(AND(AND(OR(in_Mode="All Funds",AND(C1016&gt;=in_BandFloor,C1016&lt;=in_BandCeiling,OR(in_Geography="National",COUNTIFS(lst_GeoPreset,in_Geography,lst_GeoState,B1016)&gt;0,AND(in_Geography="Custom",ISNUMBER(SEARCH(B1016,SUBSTITUTE(in_CustomStates," ",""))))),OR(AND(D1016="Endowment",Inputs!$B$14="Y"),AND(D1016="Foundation",Inputs!$B$15="Y"),AND(D1016="Healthcare",Inputs!$B$16="Y"),AND(D1016="Pension",Inputs!$B$17="Y"),AND(D1016="OCIO",Inputs!$B$18="Y"),AND(D1016="Other",Inputs!$B$19="Y")))),A1016&lt;&gt;in_ClientOrg,NOT(AND(in_ExclHarvard="Y",ISNUMBER(SEARCH("Harvard",A1016))))),$AD1016="Y",K1016&lt;&gt;"",S1016&gt;0),"Y","")</f>
        <v/>
      </c>
      <c r="V1016" s="30" t="n">
        <v>1</v>
      </c>
      <c r="W1016" t="inlineStr"/>
      <c r="X1016" s="28">
        <f>IF(L1016+M1016=0,"",L1016+M1016)</f>
        <v/>
      </c>
      <c r="Y1016" s="38">
        <f>IF(L1016=0,"",M1016/L1016)</f>
        <v/>
      </c>
      <c r="Z1016" t="inlineStr">
        <is>
          <t>CIO - Top Investment Executive</t>
        </is>
      </c>
      <c r="AA1016" t="inlineStr">
        <is>
          <t>Leadership</t>
        </is>
      </c>
      <c r="AB1016" s="50" t="inlineStr">
        <is>
          <t>Y</t>
        </is>
      </c>
      <c r="AC1016" s="43">
        <f>HYPERLINK("https://projects.propublica.org/nonprofits/organizations/131951698/202403209349108500/full","view filing")</f>
        <v/>
      </c>
      <c r="AD1016" s="50" t="inlineStr"/>
    </row>
    <row r="1017">
      <c r="A1017" t="inlineStr">
        <is>
          <t>Sherman Fairchild Foundation Inc</t>
        </is>
      </c>
      <c r="B1017" s="50" t="inlineStr">
        <is>
          <t>MD</t>
        </is>
      </c>
      <c r="C1017" s="52" t="n">
        <v>0.95</v>
      </c>
      <c r="D1017" t="inlineStr">
        <is>
          <t>Foundation</t>
        </is>
      </c>
      <c r="E1017" s="50" t="n">
        <v>2022</v>
      </c>
      <c r="F1017" s="50" t="inlineStr">
        <is>
          <t>2023-11-10</t>
        </is>
      </c>
      <c r="G1017" s="50" t="inlineStr">
        <is>
          <t>2022-12-31</t>
        </is>
      </c>
      <c r="H1017" t="inlineStr">
        <is>
          <t>Walter F Burke Iii</t>
        </is>
      </c>
      <c r="I1017" t="inlineStr">
        <is>
          <t>Chief Invest. Officer/Chairman</t>
        </is>
      </c>
      <c r="J1017" t="inlineStr">
        <is>
          <t>CIO</t>
        </is>
      </c>
      <c r="K1017" t="inlineStr">
        <is>
          <t>CIO - Top Investment Executive</t>
        </is>
      </c>
      <c r="L1017" s="28" t="n">
        <v>0</v>
      </c>
      <c r="M1017" s="28" t="n">
        <v>0</v>
      </c>
      <c r="N1017" s="28" t="n">
        <v>0</v>
      </c>
      <c r="O1017" s="28" t="n">
        <v>0</v>
      </c>
      <c r="P1017" s="28" t="n">
        <v>84999</v>
      </c>
      <c r="Q1017" s="28" t="n">
        <v>563399</v>
      </c>
      <c r="R1017" s="28" t="n">
        <v>0</v>
      </c>
      <c r="S1017" s="28">
        <f>Q1017-R1017</f>
        <v/>
      </c>
      <c r="T1017" s="28">
        <f>IF(S1017="","",S1017*(1+in_GrowthRate)^(YEARFRAC(DATE(2022,12,31),in_AgeToDate)*IF(in_AgeToDate&lt;DATE(2022,12,31),-1,1)+1))</f>
        <v/>
      </c>
      <c r="U1017" s="50">
        <f>IF(AND(AND(OR(in_Mode="All Funds",AND(C1017&gt;=in_BandFloor,C1017&lt;=in_BandCeiling,OR(in_Geography="National",COUNTIFS(lst_GeoPreset,in_Geography,lst_GeoState,B1017)&gt;0,AND(in_Geography="Custom",ISNUMBER(SEARCH(B1017,SUBSTITUTE(in_CustomStates," ",""))))),OR(AND(D1017="Endowment",Inputs!$B$14="Y"),AND(D1017="Foundation",Inputs!$B$15="Y"),AND(D1017="Healthcare",Inputs!$B$16="Y"),AND(D1017="Pension",Inputs!$B$17="Y"),AND(D1017="OCIO",Inputs!$B$18="Y"),AND(D1017="Other",Inputs!$B$19="Y")))),A1017&lt;&gt;in_ClientOrg,NOT(AND(in_ExclHarvard="Y",ISNUMBER(SEARCH("Harvard",A1017))))),$AD1017="Y",K1017&lt;&gt;"",S1017&gt;0),"Y","")</f>
        <v/>
      </c>
      <c r="V1017" s="30" t="n">
        <v>1</v>
      </c>
      <c r="W1017" t="inlineStr"/>
      <c r="X1017" s="28">
        <f>IF(L1017+M1017=0,"",L1017+M1017)</f>
        <v/>
      </c>
      <c r="Y1017" s="38">
        <f>IF(L1017=0,"",M1017/L1017)</f>
        <v/>
      </c>
      <c r="Z1017" t="inlineStr">
        <is>
          <t>CIO - Top Investment Executive</t>
        </is>
      </c>
      <c r="AA1017" t="inlineStr">
        <is>
          <t>Leadership</t>
        </is>
      </c>
      <c r="AB1017" s="50" t="inlineStr">
        <is>
          <t>Y</t>
        </is>
      </c>
      <c r="AC1017" s="43">
        <f>HYPERLINK("https://projects.propublica.org/nonprofits/organizations/131951698/202323149349101012/full","view filing")</f>
        <v/>
      </c>
      <c r="AD1017" s="50" t="inlineStr"/>
    </row>
    <row r="1018">
      <c r="A1018" t="inlineStr">
        <is>
          <t>Smithsonian Institute</t>
        </is>
      </c>
      <c r="B1018" s="50" t="inlineStr">
        <is>
          <t>DC</t>
        </is>
      </c>
      <c r="C1018" s="52" t="n">
        <v>3.63</v>
      </c>
      <c r="D1018" t="inlineStr">
        <is>
          <t>Other</t>
        </is>
      </c>
      <c r="E1018" s="50" t="n">
        <v>2025</v>
      </c>
      <c r="F1018" s="50" t="inlineStr">
        <is>
          <t>2026-08-11</t>
        </is>
      </c>
      <c r="G1018" s="50" t="inlineStr">
        <is>
          <t>2025-09-30</t>
        </is>
      </c>
      <c r="H1018" t="inlineStr">
        <is>
          <t>Amy Chen</t>
        </is>
      </c>
      <c r="I1018" t="inlineStr">
        <is>
          <t>CHIEF INVESTMENT OFFICER</t>
        </is>
      </c>
      <c r="J1018" t="inlineStr">
        <is>
          <t>CIO</t>
        </is>
      </c>
      <c r="K1018" t="inlineStr">
        <is>
          <t>CIO - Top Investment Executive</t>
        </is>
      </c>
      <c r="L1018" s="28" t="n">
        <v>469130</v>
      </c>
      <c r="M1018" s="28" t="n">
        <v>264447</v>
      </c>
      <c r="N1018" s="28" t="n">
        <v>5334</v>
      </c>
      <c r="O1018" s="28" t="n">
        <v>50220</v>
      </c>
      <c r="P1018" s="28" t="n">
        <v>2020</v>
      </c>
      <c r="Q1018" s="28" t="n">
        <v>791151</v>
      </c>
      <c r="R1018" s="28" t="n">
        <v>0</v>
      </c>
      <c r="S1018" s="28">
        <f>Q1018-R1018</f>
        <v/>
      </c>
      <c r="T1018" s="28">
        <f>IF(S1018="","",S1018*(1+in_GrowthRate)^(YEARFRAC(DATE(2025,9,30),in_AgeToDate)*IF(in_AgeToDate&lt;DATE(2025,9,30),-1,1)+1))</f>
        <v/>
      </c>
      <c r="U1018" s="50">
        <f>IF(AND(AND(OR(in_Mode="All Funds",AND(C1018&gt;=in_BandFloor,C1018&lt;=in_BandCeiling,OR(in_Geography="National",COUNTIFS(lst_GeoPreset,in_Geography,lst_GeoState,B1018)&gt;0,AND(in_Geography="Custom",ISNUMBER(SEARCH(B1018,SUBSTITUTE(in_CustomStates," ",""))))),OR(AND(D1018="Endowment",Inputs!$B$14="Y"),AND(D1018="Foundation",Inputs!$B$15="Y"),AND(D1018="Healthcare",Inputs!$B$16="Y"),AND(D1018="Pension",Inputs!$B$17="Y"),AND(D1018="OCIO",Inputs!$B$18="Y"),AND(D1018="Other",Inputs!$B$19="Y")))),A1018&lt;&gt;in_ClientOrg,NOT(AND(in_ExclHarvard="Y",ISNUMBER(SEARCH("Harvard",A1018))))),$AD1018="Y",K1018&lt;&gt;"",S1018&gt;0),"Y","")</f>
        <v/>
      </c>
      <c r="V1018" s="30" t="n">
        <v>1</v>
      </c>
      <c r="W1018" t="inlineStr"/>
      <c r="X1018" s="28">
        <f>IF(L1018+M1018=0,"",L1018+M1018)</f>
        <v/>
      </c>
      <c r="Y1018" s="38">
        <f>IF(L1018=0,"",M1018/L1018)</f>
        <v/>
      </c>
      <c r="Z1018" t="inlineStr">
        <is>
          <t>CIO - Top Investment Executive</t>
        </is>
      </c>
      <c r="AA1018" t="inlineStr">
        <is>
          <t>Leadership</t>
        </is>
      </c>
      <c r="AB1018" s="50" t="inlineStr">
        <is>
          <t>Y</t>
        </is>
      </c>
      <c r="AC1018" s="43">
        <f>HYPERLINK("https://projects.propublica.org/nonprofits/organizations/530206027/202602239349300630/full","view filing")</f>
        <v/>
      </c>
      <c r="AD1018" s="50" t="inlineStr">
        <is>
          <t>Y</t>
        </is>
      </c>
    </row>
    <row r="1019">
      <c r="A1019" t="inlineStr">
        <is>
          <t>Smithsonian Institute</t>
        </is>
      </c>
      <c r="B1019" s="50" t="inlineStr">
        <is>
          <t>DC</t>
        </is>
      </c>
      <c r="C1019" s="52" t="n">
        <v>3.63</v>
      </c>
      <c r="D1019" t="inlineStr">
        <is>
          <t>Other</t>
        </is>
      </c>
      <c r="E1019" s="50" t="n">
        <v>2025</v>
      </c>
      <c r="F1019" s="50" t="inlineStr">
        <is>
          <t>2026-08-11</t>
        </is>
      </c>
      <c r="G1019" s="50" t="inlineStr">
        <is>
          <t>2025-09-30</t>
        </is>
      </c>
      <c r="H1019" t="inlineStr">
        <is>
          <t>Jeffrey Smith</t>
        </is>
      </c>
      <c r="I1019" t="inlineStr">
        <is>
          <t>MANAGING DIR, OFFICE OF INVESTMENTS</t>
        </is>
      </c>
      <c r="J1019" t="inlineStr">
        <is>
          <t>Managing Director</t>
        </is>
      </c>
      <c r="K1019" t="inlineStr">
        <is>
          <t>Sr Investment Professional</t>
        </is>
      </c>
      <c r="L1019" s="28" t="n">
        <v>291931</v>
      </c>
      <c r="M1019" s="28" t="n">
        <v>157074</v>
      </c>
      <c r="N1019" s="28" t="n">
        <v>712</v>
      </c>
      <c r="O1019" s="28" t="n">
        <v>43697</v>
      </c>
      <c r="P1019" s="28" t="n">
        <v>40774</v>
      </c>
      <c r="Q1019" s="28" t="n">
        <v>534188</v>
      </c>
      <c r="R1019" s="28" t="n">
        <v>0</v>
      </c>
      <c r="S1019" s="28">
        <f>Q1019-R1019</f>
        <v/>
      </c>
      <c r="T1019" s="28">
        <f>IF(S1019="","",S1019*(1+in_GrowthRate)^(YEARFRAC(DATE(2025,9,30),in_AgeToDate)*IF(in_AgeToDate&lt;DATE(2025,9,30),-1,1)+1))</f>
        <v/>
      </c>
      <c r="U1019" s="50">
        <f>IF(AND(AND(OR(in_Mode="All Funds",AND(C1019&gt;=in_BandFloor,C1019&lt;=in_BandCeiling,OR(in_Geography="National",COUNTIFS(lst_GeoPreset,in_Geography,lst_GeoState,B1019)&gt;0,AND(in_Geography="Custom",ISNUMBER(SEARCH(B1019,SUBSTITUTE(in_CustomStates," ",""))))),OR(AND(D1019="Endowment",Inputs!$B$14="Y"),AND(D1019="Foundation",Inputs!$B$15="Y"),AND(D1019="Healthcare",Inputs!$B$16="Y"),AND(D1019="Pension",Inputs!$B$17="Y"),AND(D1019="OCIO",Inputs!$B$18="Y"),AND(D1019="Other",Inputs!$B$19="Y")))),A1019&lt;&gt;in_ClientOrg,NOT(AND(in_ExclHarvard="Y",ISNUMBER(SEARCH("Harvard",A1019))))),$AD1019="Y",K1019&lt;&gt;"",S1019&gt;0),"Y","")</f>
        <v/>
      </c>
      <c r="V1019" s="30" t="n">
        <v>0.6752035957737524</v>
      </c>
      <c r="W1019" t="inlineStr"/>
      <c r="X1019" s="28">
        <f>IF(L1019+M1019=0,"",L1019+M1019)</f>
        <v/>
      </c>
      <c r="Y1019" s="38">
        <f>IF(L1019=0,"",M1019/L1019)</f>
        <v/>
      </c>
      <c r="Z1019" t="inlineStr">
        <is>
          <t>Managing Director</t>
        </is>
      </c>
      <c r="AA1019" t="inlineStr">
        <is>
          <t>Investments</t>
        </is>
      </c>
      <c r="AB1019" s="50" t="inlineStr"/>
      <c r="AC1019" s="43">
        <f>HYPERLINK("https://projects.propublica.org/nonprofits/organizations/530206027/202602239349300630/full","view filing")</f>
        <v/>
      </c>
      <c r="AD1019" s="50" t="inlineStr">
        <is>
          <t>Y</t>
        </is>
      </c>
    </row>
    <row r="1020">
      <c r="A1020" t="inlineStr">
        <is>
          <t>Smithsonian Institute</t>
        </is>
      </c>
      <c r="B1020" s="50" t="inlineStr">
        <is>
          <t>DC</t>
        </is>
      </c>
      <c r="C1020" s="52" t="n">
        <v>3.63</v>
      </c>
      <c r="D1020" t="inlineStr">
        <is>
          <t>Other</t>
        </is>
      </c>
      <c r="E1020" s="50" t="n">
        <v>2024</v>
      </c>
      <c r="F1020" s="50" t="inlineStr">
        <is>
          <t>2025-08-11</t>
        </is>
      </c>
      <c r="G1020" s="50" t="inlineStr">
        <is>
          <t>2024-09-30</t>
        </is>
      </c>
      <c r="H1020" t="inlineStr">
        <is>
          <t>Amy Chen</t>
        </is>
      </c>
      <c r="I1020" t="inlineStr">
        <is>
          <t>CHIEF INVESTMENT OFFICER</t>
        </is>
      </c>
      <c r="J1020" t="inlineStr">
        <is>
          <t>CIO</t>
        </is>
      </c>
      <c r="K1020" t="inlineStr">
        <is>
          <t>CIO - Top Investment Executive</t>
        </is>
      </c>
      <c r="L1020" s="28" t="n">
        <v>448943</v>
      </c>
      <c r="M1020" s="28" t="n">
        <v>693600</v>
      </c>
      <c r="N1020" s="28" t="n">
        <v>5334</v>
      </c>
      <c r="O1020" s="28" t="n">
        <v>48090</v>
      </c>
      <c r="P1020" s="28" t="n">
        <v>2050</v>
      </c>
      <c r="Q1020" s="28" t="n">
        <v>1198017</v>
      </c>
      <c r="R1020" s="28" t="n">
        <v>0</v>
      </c>
      <c r="S1020" s="28">
        <f>Q1020-R1020</f>
        <v/>
      </c>
      <c r="T1020" s="28">
        <f>IF(S1020="","",S1020*(1+in_GrowthRate)^(YEARFRAC(DATE(2024,9,30),in_AgeToDate)*IF(in_AgeToDate&lt;DATE(2024,9,30),-1,1)+1))</f>
        <v/>
      </c>
      <c r="U1020" s="50">
        <f>IF(AND(AND(OR(in_Mode="All Funds",AND(C1020&gt;=in_BandFloor,C1020&lt;=in_BandCeiling,OR(in_Geography="National",COUNTIFS(lst_GeoPreset,in_Geography,lst_GeoState,B1020)&gt;0,AND(in_Geography="Custom",ISNUMBER(SEARCH(B1020,SUBSTITUTE(in_CustomStates," ",""))))),OR(AND(D1020="Endowment",Inputs!$B$14="Y"),AND(D1020="Foundation",Inputs!$B$15="Y"),AND(D1020="Healthcare",Inputs!$B$16="Y"),AND(D1020="Pension",Inputs!$B$17="Y"),AND(D1020="OCIO",Inputs!$B$18="Y"),AND(D1020="Other",Inputs!$B$19="Y")))),A1020&lt;&gt;in_ClientOrg,NOT(AND(in_ExclHarvard="Y",ISNUMBER(SEARCH("Harvard",A1020))))),$AD1020="Y",K1020&lt;&gt;"",S1020&gt;0),"Y","")</f>
        <v/>
      </c>
      <c r="V1020" s="30" t="n">
        <v>1</v>
      </c>
      <c r="W1020" t="inlineStr"/>
      <c r="X1020" s="28">
        <f>IF(L1020+M1020=0,"",L1020+M1020)</f>
        <v/>
      </c>
      <c r="Y1020" s="38">
        <f>IF(L1020=0,"",M1020/L1020)</f>
        <v/>
      </c>
      <c r="Z1020" t="inlineStr">
        <is>
          <t>CIO - Top Investment Executive</t>
        </is>
      </c>
      <c r="AA1020" t="inlineStr">
        <is>
          <t>Leadership</t>
        </is>
      </c>
      <c r="AB1020" s="50" t="inlineStr">
        <is>
          <t>Y</t>
        </is>
      </c>
      <c r="AC1020" s="43">
        <f>HYPERLINK("https://projects.propublica.org/nonprofits/organizations/530206027/202542239349300544/full","view filing")</f>
        <v/>
      </c>
      <c r="AD1020" s="50" t="inlineStr"/>
    </row>
    <row r="1021">
      <c r="A1021" t="inlineStr">
        <is>
          <t>Smithsonian Institute</t>
        </is>
      </c>
      <c r="B1021" s="50" t="inlineStr">
        <is>
          <t>DC</t>
        </is>
      </c>
      <c r="C1021" s="52" t="n">
        <v>3.63</v>
      </c>
      <c r="D1021" t="inlineStr">
        <is>
          <t>Other</t>
        </is>
      </c>
      <c r="E1021" s="50" t="n">
        <v>2024</v>
      </c>
      <c r="F1021" s="50" t="inlineStr">
        <is>
          <t>2025-08-11</t>
        </is>
      </c>
      <c r="G1021" s="50" t="inlineStr">
        <is>
          <t>2024-09-30</t>
        </is>
      </c>
      <c r="H1021" t="inlineStr">
        <is>
          <t>Jeffrey Smith</t>
        </is>
      </c>
      <c r="I1021" t="inlineStr">
        <is>
          <t>INVESTMENT OFFICER</t>
        </is>
      </c>
      <c r="J1021" t="inlineStr">
        <is>
          <t>Investment Officer</t>
        </is>
      </c>
      <c r="K1021" t="inlineStr">
        <is>
          <t>Sr Investment Professional</t>
        </is>
      </c>
      <c r="L1021" s="28" t="n">
        <v>276560</v>
      </c>
      <c r="M1021" s="28" t="n">
        <v>422892</v>
      </c>
      <c r="N1021" s="28" t="n">
        <v>440</v>
      </c>
      <c r="O1021" s="28" t="n">
        <v>41874</v>
      </c>
      <c r="P1021" s="28" t="n">
        <v>41171</v>
      </c>
      <c r="Q1021" s="28" t="n">
        <v>782937</v>
      </c>
      <c r="R1021" s="28" t="n">
        <v>0</v>
      </c>
      <c r="S1021" s="28">
        <f>Q1021-R1021</f>
        <v/>
      </c>
      <c r="T1021" s="28">
        <f>IF(S1021="","",S1021*(1+in_GrowthRate)^(YEARFRAC(DATE(2024,9,30),in_AgeToDate)*IF(in_AgeToDate&lt;DATE(2024,9,30),-1,1)+1))</f>
        <v/>
      </c>
      <c r="U1021" s="50">
        <f>IF(AND(AND(OR(in_Mode="All Funds",AND(C1021&gt;=in_BandFloor,C1021&lt;=in_BandCeiling,OR(in_Geography="National",COUNTIFS(lst_GeoPreset,in_Geography,lst_GeoState,B1021)&gt;0,AND(in_Geography="Custom",ISNUMBER(SEARCH(B1021,SUBSTITUTE(in_CustomStates," ",""))))),OR(AND(D1021="Endowment",Inputs!$B$14="Y"),AND(D1021="Foundation",Inputs!$B$15="Y"),AND(D1021="Healthcare",Inputs!$B$16="Y"),AND(D1021="Pension",Inputs!$B$17="Y"),AND(D1021="OCIO",Inputs!$B$18="Y"),AND(D1021="Other",Inputs!$B$19="Y")))),A1021&lt;&gt;in_ClientOrg,NOT(AND(in_ExclHarvard="Y",ISNUMBER(SEARCH("Harvard",A1021))))),$AD1021="Y",K1021&lt;&gt;"",S1021&gt;0),"Y","")</f>
        <v/>
      </c>
      <c r="V1021" s="30" t="n">
        <v>0.6535274541179299</v>
      </c>
      <c r="W1021" t="inlineStr"/>
      <c r="X1021" s="28">
        <f>IF(L1021+M1021=0,"",L1021+M1021)</f>
        <v/>
      </c>
      <c r="Y1021" s="38">
        <f>IF(L1021=0,"",M1021/L1021)</f>
        <v/>
      </c>
      <c r="Z1021" t="inlineStr">
        <is>
          <t>Director &amp; Investment Officer</t>
        </is>
      </c>
      <c r="AA1021" t="inlineStr">
        <is>
          <t>Investments</t>
        </is>
      </c>
      <c r="AB1021" s="50" t="inlineStr"/>
      <c r="AC1021" s="43">
        <f>HYPERLINK("https://projects.propublica.org/nonprofits/organizations/530206027/202542239349300544/full","view filing")</f>
        <v/>
      </c>
      <c r="AD1021" s="50" t="inlineStr"/>
    </row>
    <row r="1022">
      <c r="A1022" t="inlineStr">
        <is>
          <t>Smithsonian Institute</t>
        </is>
      </c>
      <c r="B1022" s="50" t="inlineStr">
        <is>
          <t>DC</t>
        </is>
      </c>
      <c r="C1022" s="52" t="n">
        <v>3.63</v>
      </c>
      <c r="D1022" t="inlineStr">
        <is>
          <t>Other</t>
        </is>
      </c>
      <c r="E1022" s="50" t="n">
        <v>2024</v>
      </c>
      <c r="F1022" s="50" t="inlineStr">
        <is>
          <t>2025-08-11</t>
        </is>
      </c>
      <c r="G1022" s="50" t="inlineStr">
        <is>
          <t>2024-09-30</t>
        </is>
      </c>
      <c r="H1022" t="inlineStr">
        <is>
          <t>Michael Giovenco</t>
        </is>
      </c>
      <c r="I1022" t="inlineStr">
        <is>
          <t>INVESTMENT OFFICER</t>
        </is>
      </c>
      <c r="J1022" t="inlineStr">
        <is>
          <t>Investment Officer</t>
        </is>
      </c>
      <c r="K1022" t="inlineStr">
        <is>
          <t>Sr Investment Professional</t>
        </is>
      </c>
      <c r="L1022" s="28" t="n">
        <v>263828</v>
      </c>
      <c r="M1022" s="28" t="n">
        <v>383547</v>
      </c>
      <c r="N1022" s="28" t="n">
        <v>603</v>
      </c>
      <c r="O1022" s="28" t="n">
        <v>37661</v>
      </c>
      <c r="P1022" s="28" t="n">
        <v>12787</v>
      </c>
      <c r="Q1022" s="28" t="n">
        <v>698426</v>
      </c>
      <c r="R1022" s="28" t="n">
        <v>0</v>
      </c>
      <c r="S1022" s="28">
        <f>Q1022-R1022</f>
        <v/>
      </c>
      <c r="T1022" s="28">
        <f>IF(S1022="","",S1022*(1+in_GrowthRate)^(YEARFRAC(DATE(2024,9,30),in_AgeToDate)*IF(in_AgeToDate&lt;DATE(2024,9,30),-1,1)+1))</f>
        <v/>
      </c>
      <c r="U1022" s="50">
        <f>IF(AND(AND(OR(in_Mode="All Funds",AND(C1022&gt;=in_BandFloor,C1022&lt;=in_BandCeiling,OR(in_Geography="National",COUNTIFS(lst_GeoPreset,in_Geography,lst_GeoState,B1022)&gt;0,AND(in_Geography="Custom",ISNUMBER(SEARCH(B1022,SUBSTITUTE(in_CustomStates," ",""))))),OR(AND(D1022="Endowment",Inputs!$B$14="Y"),AND(D1022="Foundation",Inputs!$B$15="Y"),AND(D1022="Healthcare",Inputs!$B$16="Y"),AND(D1022="Pension",Inputs!$B$17="Y"),AND(D1022="OCIO",Inputs!$B$18="Y"),AND(D1022="Other",Inputs!$B$19="Y")))),A1022&lt;&gt;in_ClientOrg,NOT(AND(in_ExclHarvard="Y",ISNUMBER(SEARCH("Harvard",A1022))))),$AD1022="Y",K1022&lt;&gt;"",S1022&gt;0),"Y","")</f>
        <v/>
      </c>
      <c r="V1022" s="30" t="n">
        <v>0.5829850494609008</v>
      </c>
      <c r="W1022" t="inlineStr"/>
      <c r="X1022" s="28">
        <f>IF(L1022+M1022=0,"",L1022+M1022)</f>
        <v/>
      </c>
      <c r="Y1022" s="38">
        <f>IF(L1022=0,"",M1022/L1022)</f>
        <v/>
      </c>
      <c r="Z1022" t="inlineStr">
        <is>
          <t>Director &amp; Investment Officer</t>
        </is>
      </c>
      <c r="AA1022" t="inlineStr">
        <is>
          <t>Investments</t>
        </is>
      </c>
      <c r="AB1022" s="50" t="inlineStr"/>
      <c r="AC1022" s="43">
        <f>HYPERLINK("https://projects.propublica.org/nonprofits/organizations/530206027/202542239349300544/full","view filing")</f>
        <v/>
      </c>
      <c r="AD1022" s="50" t="inlineStr"/>
    </row>
    <row r="1023">
      <c r="A1023" t="inlineStr">
        <is>
          <t>Smithsonian Institute</t>
        </is>
      </c>
      <c r="B1023" s="50" t="inlineStr">
        <is>
          <t>DC</t>
        </is>
      </c>
      <c r="C1023" s="52" t="n">
        <v>3.63</v>
      </c>
      <c r="D1023" t="inlineStr">
        <is>
          <t>Other</t>
        </is>
      </c>
      <c r="E1023" s="50" t="n">
        <v>2024</v>
      </c>
      <c r="F1023" s="50" t="inlineStr">
        <is>
          <t>2025-08-11</t>
        </is>
      </c>
      <c r="G1023" s="50" t="inlineStr">
        <is>
          <t>2024-09-30</t>
        </is>
      </c>
      <c r="H1023" t="inlineStr">
        <is>
          <t>Ryan Dotson</t>
        </is>
      </c>
      <c r="I1023" t="inlineStr">
        <is>
          <t>INVESTMENT OFFICER</t>
        </is>
      </c>
      <c r="J1023" t="inlineStr">
        <is>
          <t>Investment Officer</t>
        </is>
      </c>
      <c r="K1023" t="inlineStr">
        <is>
          <t>Sr Investment Professional</t>
        </is>
      </c>
      <c r="L1023" s="28" t="n">
        <v>241086</v>
      </c>
      <c r="M1023" s="28" t="n">
        <v>332073</v>
      </c>
      <c r="N1023" s="28" t="n">
        <v>257</v>
      </c>
      <c r="O1023" s="28" t="n">
        <v>37102</v>
      </c>
      <c r="P1023" s="28" t="n">
        <v>46194</v>
      </c>
      <c r="Q1023" s="28" t="n">
        <v>656712</v>
      </c>
      <c r="R1023" s="28" t="n">
        <v>0</v>
      </c>
      <c r="S1023" s="28">
        <f>Q1023-R1023</f>
        <v/>
      </c>
      <c r="T1023" s="28">
        <f>IF(S1023="","",S1023*(1+in_GrowthRate)^(YEARFRAC(DATE(2024,9,30),in_AgeToDate)*IF(in_AgeToDate&lt;DATE(2024,9,30),-1,1)+1))</f>
        <v/>
      </c>
      <c r="U1023" s="50">
        <f>IF(AND(AND(OR(in_Mode="All Funds",AND(C1023&gt;=in_BandFloor,C1023&lt;=in_BandCeiling,OR(in_Geography="National",COUNTIFS(lst_GeoPreset,in_Geography,lst_GeoState,B1023)&gt;0,AND(in_Geography="Custom",ISNUMBER(SEARCH(B1023,SUBSTITUTE(in_CustomStates," ",""))))),OR(AND(D1023="Endowment",Inputs!$B$14="Y"),AND(D1023="Foundation",Inputs!$B$15="Y"),AND(D1023="Healthcare",Inputs!$B$16="Y"),AND(D1023="Pension",Inputs!$B$17="Y"),AND(D1023="OCIO",Inputs!$B$18="Y"),AND(D1023="Other",Inputs!$B$19="Y")))),A1023&lt;&gt;in_ClientOrg,NOT(AND(in_ExclHarvard="Y",ISNUMBER(SEARCH("Harvard",A1023))))),$AD1023="Y",K1023&lt;&gt;"",S1023&gt;0),"Y","")</f>
        <v/>
      </c>
      <c r="V1023" s="30" t="n">
        <v>0.5481658440573047</v>
      </c>
      <c r="W1023" t="inlineStr"/>
      <c r="X1023" s="28">
        <f>IF(L1023+M1023=0,"",L1023+M1023)</f>
        <v/>
      </c>
      <c r="Y1023" s="38">
        <f>IF(L1023=0,"",M1023/L1023)</f>
        <v/>
      </c>
      <c r="Z1023" t="inlineStr">
        <is>
          <t>Director &amp; Investment Officer</t>
        </is>
      </c>
      <c r="AA1023" t="inlineStr">
        <is>
          <t>Investments</t>
        </is>
      </c>
      <c r="AB1023" s="50" t="inlineStr"/>
      <c r="AC1023" s="43">
        <f>HYPERLINK("https://projects.propublica.org/nonprofits/organizations/530206027/202542239349300544/full","view filing")</f>
        <v/>
      </c>
      <c r="AD1023" s="50" t="inlineStr"/>
    </row>
    <row r="1024">
      <c r="A1024" t="inlineStr">
        <is>
          <t>Smithsonian Institute</t>
        </is>
      </c>
      <c r="B1024" s="50" t="inlineStr">
        <is>
          <t>DC</t>
        </is>
      </c>
      <c r="C1024" s="52" t="n">
        <v>3.63</v>
      </c>
      <c r="D1024" t="inlineStr">
        <is>
          <t>Other</t>
        </is>
      </c>
      <c r="E1024" s="50" t="n">
        <v>2023</v>
      </c>
      <c r="F1024" s="50" t="inlineStr">
        <is>
          <t>2024-09-23</t>
        </is>
      </c>
      <c r="G1024" s="50" t="inlineStr">
        <is>
          <t>2023-09-30</t>
        </is>
      </c>
      <c r="H1024" t="inlineStr">
        <is>
          <t>Amy Chen</t>
        </is>
      </c>
      <c r="I1024" t="inlineStr">
        <is>
          <t>CHIEF INVESTMENT OFFICER</t>
        </is>
      </c>
      <c r="J1024" t="inlineStr">
        <is>
          <t>CIO</t>
        </is>
      </c>
      <c r="K1024" t="inlineStr">
        <is>
          <t>CIO - Top Investment Executive</t>
        </is>
      </c>
      <c r="L1024" s="28" t="n">
        <v>431578</v>
      </c>
      <c r="M1024" s="28" t="n">
        <v>673880</v>
      </c>
      <c r="N1024" s="28" t="n">
        <v>5334</v>
      </c>
      <c r="O1024" s="28" t="n">
        <v>44500</v>
      </c>
      <c r="P1024" s="28" t="n">
        <v>2020</v>
      </c>
      <c r="Q1024" s="28" t="n">
        <v>1157312</v>
      </c>
      <c r="R1024" s="28" t="n">
        <v>0</v>
      </c>
      <c r="S1024" s="28">
        <f>Q1024-R1024</f>
        <v/>
      </c>
      <c r="T1024" s="28">
        <f>IF(S1024="","",S1024*(1+in_GrowthRate)^(YEARFRAC(DATE(2023,9,30),in_AgeToDate)*IF(in_AgeToDate&lt;DATE(2023,9,30),-1,1)+1))</f>
        <v/>
      </c>
      <c r="U1024" s="50">
        <f>IF(AND(AND(OR(in_Mode="All Funds",AND(C1024&gt;=in_BandFloor,C1024&lt;=in_BandCeiling,OR(in_Geography="National",COUNTIFS(lst_GeoPreset,in_Geography,lst_GeoState,B1024)&gt;0,AND(in_Geography="Custom",ISNUMBER(SEARCH(B1024,SUBSTITUTE(in_CustomStates," ",""))))),OR(AND(D1024="Endowment",Inputs!$B$14="Y"),AND(D1024="Foundation",Inputs!$B$15="Y"),AND(D1024="Healthcare",Inputs!$B$16="Y"),AND(D1024="Pension",Inputs!$B$17="Y"),AND(D1024="OCIO",Inputs!$B$18="Y"),AND(D1024="Other",Inputs!$B$19="Y")))),A1024&lt;&gt;in_ClientOrg,NOT(AND(in_ExclHarvard="Y",ISNUMBER(SEARCH("Harvard",A1024))))),$AD1024="Y",K1024&lt;&gt;"",S1024&gt;0),"Y","")</f>
        <v/>
      </c>
      <c r="V1024" s="30" t="n">
        <v>1</v>
      </c>
      <c r="W1024" t="inlineStr"/>
      <c r="X1024" s="28">
        <f>IF(L1024+M1024=0,"",L1024+M1024)</f>
        <v/>
      </c>
      <c r="Y1024" s="38">
        <f>IF(L1024=0,"",M1024/L1024)</f>
        <v/>
      </c>
      <c r="Z1024" t="inlineStr">
        <is>
          <t>CIO - Top Investment Executive</t>
        </is>
      </c>
      <c r="AA1024" t="inlineStr">
        <is>
          <t>Leadership</t>
        </is>
      </c>
      <c r="AB1024" s="50" t="inlineStr">
        <is>
          <t>Y</t>
        </is>
      </c>
      <c r="AC1024" s="43">
        <f>HYPERLINK("https://projects.propublica.org/nonprofits/organizations/530206027/202442289349302354/full","view filing")</f>
        <v/>
      </c>
      <c r="AD1024" s="50" t="inlineStr"/>
    </row>
    <row r="1025">
      <c r="A1025" t="inlineStr">
        <is>
          <t>Smithsonian Institute</t>
        </is>
      </c>
      <c r="B1025" s="50" t="inlineStr">
        <is>
          <t>DC</t>
        </is>
      </c>
      <c r="C1025" s="52" t="n">
        <v>3.63</v>
      </c>
      <c r="D1025" t="inlineStr">
        <is>
          <t>Other</t>
        </is>
      </c>
      <c r="E1025" s="50" t="n">
        <v>2023</v>
      </c>
      <c r="F1025" s="50" t="inlineStr">
        <is>
          <t>2024-09-23</t>
        </is>
      </c>
      <c r="G1025" s="50" t="inlineStr">
        <is>
          <t>2023-09-30</t>
        </is>
      </c>
      <c r="H1025" t="inlineStr">
        <is>
          <t>Jeffrey Smith</t>
        </is>
      </c>
      <c r="I1025" t="inlineStr">
        <is>
          <t>INVESTMENT OFFICER</t>
        </is>
      </c>
      <c r="J1025" t="inlineStr">
        <is>
          <t>Investment Officer</t>
        </is>
      </c>
      <c r="K1025" t="inlineStr">
        <is>
          <t>Sr Investment Professional</t>
        </is>
      </c>
      <c r="L1025" s="28" t="n">
        <v>267171</v>
      </c>
      <c r="M1025" s="28" t="n">
        <v>412500</v>
      </c>
      <c r="N1025" s="28" t="n">
        <v>421</v>
      </c>
      <c r="O1025" s="28" t="n">
        <v>40587</v>
      </c>
      <c r="P1025" s="28" t="n">
        <v>37327</v>
      </c>
      <c r="Q1025" s="28" t="n">
        <v>758006</v>
      </c>
      <c r="R1025" s="28" t="n">
        <v>0</v>
      </c>
      <c r="S1025" s="28">
        <f>Q1025-R1025</f>
        <v/>
      </c>
      <c r="T1025" s="28">
        <f>IF(S1025="","",S1025*(1+in_GrowthRate)^(YEARFRAC(DATE(2023,9,30),in_AgeToDate)*IF(in_AgeToDate&lt;DATE(2023,9,30),-1,1)+1))</f>
        <v/>
      </c>
      <c r="U1025" s="50">
        <f>IF(AND(AND(OR(in_Mode="All Funds",AND(C1025&gt;=in_BandFloor,C1025&lt;=in_BandCeiling,OR(in_Geography="National",COUNTIFS(lst_GeoPreset,in_Geography,lst_GeoState,B1025)&gt;0,AND(in_Geography="Custom",ISNUMBER(SEARCH(B1025,SUBSTITUTE(in_CustomStates," ",""))))),OR(AND(D1025="Endowment",Inputs!$B$14="Y"),AND(D1025="Foundation",Inputs!$B$15="Y"),AND(D1025="Healthcare",Inputs!$B$16="Y"),AND(D1025="Pension",Inputs!$B$17="Y"),AND(D1025="OCIO",Inputs!$B$18="Y"),AND(D1025="Other",Inputs!$B$19="Y")))),A1025&lt;&gt;in_ClientOrg,NOT(AND(in_ExclHarvard="Y",ISNUMBER(SEARCH("Harvard",A1025))))),$AD1025="Y",K1025&lt;&gt;"",S1025&gt;0),"Y","")</f>
        <v/>
      </c>
      <c r="V1025" s="30" t="n">
        <v>0.6549711745838633</v>
      </c>
      <c r="W1025" t="inlineStr"/>
      <c r="X1025" s="28">
        <f>IF(L1025+M1025=0,"",L1025+M1025)</f>
        <v/>
      </c>
      <c r="Y1025" s="38">
        <f>IF(L1025=0,"",M1025/L1025)</f>
        <v/>
      </c>
      <c r="Z1025" t="inlineStr">
        <is>
          <t>Director &amp; Investment Officer</t>
        </is>
      </c>
      <c r="AA1025" t="inlineStr">
        <is>
          <t>Investments</t>
        </is>
      </c>
      <c r="AB1025" s="50" t="inlineStr"/>
      <c r="AC1025" s="43">
        <f>HYPERLINK("https://projects.propublica.org/nonprofits/organizations/530206027/202442289349302354/full","view filing")</f>
        <v/>
      </c>
      <c r="AD1025" s="50" t="inlineStr"/>
    </row>
    <row r="1026">
      <c r="A1026" t="inlineStr">
        <is>
          <t>Smithsonian Institute</t>
        </is>
      </c>
      <c r="B1026" s="50" t="inlineStr">
        <is>
          <t>DC</t>
        </is>
      </c>
      <c r="C1026" s="52" t="n">
        <v>3.63</v>
      </c>
      <c r="D1026" t="inlineStr">
        <is>
          <t>Other</t>
        </is>
      </c>
      <c r="E1026" s="50" t="n">
        <v>2023</v>
      </c>
      <c r="F1026" s="50" t="inlineStr">
        <is>
          <t>2024-09-23</t>
        </is>
      </c>
      <c r="G1026" s="50" t="inlineStr">
        <is>
          <t>2023-09-30</t>
        </is>
      </c>
      <c r="H1026" t="inlineStr">
        <is>
          <t>Michael Giovenco</t>
        </is>
      </c>
      <c r="I1026" t="inlineStr">
        <is>
          <t>INVESTMENT OFFICER</t>
        </is>
      </c>
      <c r="J1026" t="inlineStr">
        <is>
          <t>Investment Officer</t>
        </is>
      </c>
      <c r="K1026" t="inlineStr">
        <is>
          <t>Sr Investment Professional</t>
        </is>
      </c>
      <c r="L1026" s="28" t="n">
        <v>253671</v>
      </c>
      <c r="M1026" s="28" t="n">
        <v>371250</v>
      </c>
      <c r="N1026" s="28" t="n">
        <v>573</v>
      </c>
      <c r="O1026" s="28" t="n">
        <v>36228</v>
      </c>
      <c r="P1026" s="28" t="n">
        <v>11763</v>
      </c>
      <c r="Q1026" s="28" t="n">
        <v>673485</v>
      </c>
      <c r="R1026" s="28" t="n">
        <v>0</v>
      </c>
      <c r="S1026" s="28">
        <f>Q1026-R1026</f>
        <v/>
      </c>
      <c r="T1026" s="28">
        <f>IF(S1026="","",S1026*(1+in_GrowthRate)^(YEARFRAC(DATE(2023,9,30),in_AgeToDate)*IF(in_AgeToDate&lt;DATE(2023,9,30),-1,1)+1))</f>
        <v/>
      </c>
      <c r="U1026" s="50">
        <f>IF(AND(AND(OR(in_Mode="All Funds",AND(C1026&gt;=in_BandFloor,C1026&lt;=in_BandCeiling,OR(in_Geography="National",COUNTIFS(lst_GeoPreset,in_Geography,lst_GeoState,B1026)&gt;0,AND(in_Geography="Custom",ISNUMBER(SEARCH(B1026,SUBSTITUTE(in_CustomStates," ",""))))),OR(AND(D1026="Endowment",Inputs!$B$14="Y"),AND(D1026="Foundation",Inputs!$B$15="Y"),AND(D1026="Healthcare",Inputs!$B$16="Y"),AND(D1026="Pension",Inputs!$B$17="Y"),AND(D1026="OCIO",Inputs!$B$18="Y"),AND(D1026="Other",Inputs!$B$19="Y")))),A1026&lt;&gt;in_ClientOrg,NOT(AND(in_ExclHarvard="Y",ISNUMBER(SEARCH("Harvard",A1026))))),$AD1026="Y",K1026&lt;&gt;"",S1026&gt;0),"Y","")</f>
        <v/>
      </c>
      <c r="V1026" s="30" t="n">
        <v>0.581939010396505</v>
      </c>
      <c r="W1026" t="inlineStr"/>
      <c r="X1026" s="28">
        <f>IF(L1026+M1026=0,"",L1026+M1026)</f>
        <v/>
      </c>
      <c r="Y1026" s="38">
        <f>IF(L1026=0,"",M1026/L1026)</f>
        <v/>
      </c>
      <c r="Z1026" t="inlineStr">
        <is>
          <t>Director &amp; Investment Officer</t>
        </is>
      </c>
      <c r="AA1026" t="inlineStr">
        <is>
          <t>Investments</t>
        </is>
      </c>
      <c r="AB1026" s="50" t="inlineStr"/>
      <c r="AC1026" s="43">
        <f>HYPERLINK("https://projects.propublica.org/nonprofits/organizations/530206027/202442289349302354/full","view filing")</f>
        <v/>
      </c>
      <c r="AD1026" s="50" t="inlineStr"/>
    </row>
    <row r="1027">
      <c r="A1027" t="inlineStr">
        <is>
          <t>Smithsonian Institute</t>
        </is>
      </c>
      <c r="B1027" s="50" t="inlineStr">
        <is>
          <t>DC</t>
        </is>
      </c>
      <c r="C1027" s="52" t="n">
        <v>3.63</v>
      </c>
      <c r="D1027" t="inlineStr">
        <is>
          <t>Other</t>
        </is>
      </c>
      <c r="E1027" s="50" t="n">
        <v>2023</v>
      </c>
      <c r="F1027" s="50" t="inlineStr">
        <is>
          <t>2024-09-23</t>
        </is>
      </c>
      <c r="G1027" s="50" t="inlineStr">
        <is>
          <t>2023-09-30</t>
        </is>
      </c>
      <c r="H1027" t="inlineStr">
        <is>
          <t>Ryan Dotson</t>
        </is>
      </c>
      <c r="I1027" t="inlineStr">
        <is>
          <t>INVESTMENT OFFICER</t>
        </is>
      </c>
      <c r="J1027" t="inlineStr">
        <is>
          <t>Investment Officer</t>
        </is>
      </c>
      <c r="K1027" t="inlineStr">
        <is>
          <t>Sr Investment Professional</t>
        </is>
      </c>
      <c r="L1027" s="28" t="n">
        <v>240992</v>
      </c>
      <c r="M1027" s="28" t="n">
        <v>371250</v>
      </c>
      <c r="N1027" s="28" t="n">
        <v>249</v>
      </c>
      <c r="O1027" s="28" t="n">
        <v>36229</v>
      </c>
      <c r="P1027" s="28" t="n">
        <v>36641</v>
      </c>
      <c r="Q1027" s="28" t="n">
        <v>685361</v>
      </c>
      <c r="R1027" s="28" t="n">
        <v>0</v>
      </c>
      <c r="S1027" s="28">
        <f>Q1027-R1027</f>
        <v/>
      </c>
      <c r="T1027" s="28">
        <f>IF(S1027="","",S1027*(1+in_GrowthRate)^(YEARFRAC(DATE(2023,9,30),in_AgeToDate)*IF(in_AgeToDate&lt;DATE(2023,9,30),-1,1)+1))</f>
        <v/>
      </c>
      <c r="U1027" s="50">
        <f>IF(AND(AND(OR(in_Mode="All Funds",AND(C1027&gt;=in_BandFloor,C1027&lt;=in_BandCeiling,OR(in_Geography="National",COUNTIFS(lst_GeoPreset,in_Geography,lst_GeoState,B1027)&gt;0,AND(in_Geography="Custom",ISNUMBER(SEARCH(B1027,SUBSTITUTE(in_CustomStates," ",""))))),OR(AND(D1027="Endowment",Inputs!$B$14="Y"),AND(D1027="Foundation",Inputs!$B$15="Y"),AND(D1027="Healthcare",Inputs!$B$16="Y"),AND(D1027="Pension",Inputs!$B$17="Y"),AND(D1027="OCIO",Inputs!$B$18="Y"),AND(D1027="Other",Inputs!$B$19="Y")))),A1027&lt;&gt;in_ClientOrg,NOT(AND(in_ExclHarvard="Y",ISNUMBER(SEARCH("Harvard",A1027))))),$AD1027="Y",K1027&lt;&gt;"",S1027&gt;0),"Y","")</f>
        <v/>
      </c>
      <c r="V1027" s="30" t="n">
        <v>0.5922007202897749</v>
      </c>
      <c r="W1027" t="inlineStr"/>
      <c r="X1027" s="28">
        <f>IF(L1027+M1027=0,"",L1027+M1027)</f>
        <v/>
      </c>
      <c r="Y1027" s="38">
        <f>IF(L1027=0,"",M1027/L1027)</f>
        <v/>
      </c>
      <c r="Z1027" t="inlineStr">
        <is>
          <t>Director &amp; Investment Officer</t>
        </is>
      </c>
      <c r="AA1027" t="inlineStr">
        <is>
          <t>Investments</t>
        </is>
      </c>
      <c r="AB1027" s="50" t="inlineStr"/>
      <c r="AC1027" s="43">
        <f>HYPERLINK("https://projects.propublica.org/nonprofits/organizations/530206027/202442289349302354/full","view filing")</f>
        <v/>
      </c>
      <c r="AD1027" s="50" t="inlineStr"/>
    </row>
    <row r="1028">
      <c r="A1028" t="inlineStr">
        <is>
          <t>Smithsonian Institute</t>
        </is>
      </c>
      <c r="B1028" s="50" t="inlineStr">
        <is>
          <t>DC</t>
        </is>
      </c>
      <c r="C1028" s="52" t="n">
        <v>3.63</v>
      </c>
      <c r="D1028" t="inlineStr">
        <is>
          <t>Other</t>
        </is>
      </c>
      <c r="E1028" s="50" t="n">
        <v>2022</v>
      </c>
      <c r="F1028" s="50" t="inlineStr">
        <is>
          <t>2023-08-14</t>
        </is>
      </c>
      <c r="G1028" s="50" t="inlineStr">
        <is>
          <t>2022-09-30</t>
        </is>
      </c>
      <c r="H1028" t="inlineStr">
        <is>
          <t>Amy Chen</t>
        </is>
      </c>
      <c r="I1028" t="inlineStr">
        <is>
          <t>CHIEF INVESTMENT OFFICER</t>
        </is>
      </c>
      <c r="J1028" t="inlineStr">
        <is>
          <t>CIO</t>
        </is>
      </c>
      <c r="K1028" t="inlineStr">
        <is>
          <t>CIO - Top Investment Executive</t>
        </is>
      </c>
      <c r="L1028" s="28" t="n">
        <v>343907</v>
      </c>
      <c r="M1028" s="28" t="n">
        <v>434855</v>
      </c>
      <c r="N1028" s="28" t="n">
        <v>0</v>
      </c>
      <c r="O1028" s="28" t="n">
        <v>44399</v>
      </c>
      <c r="P1028" s="28" t="n">
        <v>1889</v>
      </c>
      <c r="Q1028" s="28" t="n">
        <v>825050</v>
      </c>
      <c r="R1028" s="28" t="n">
        <v>0</v>
      </c>
      <c r="S1028" s="28">
        <f>Q1028-R1028</f>
        <v/>
      </c>
      <c r="T1028" s="28">
        <f>IF(S1028="","",S1028*(1+in_GrowthRate)^(YEARFRAC(DATE(2022,9,30),in_AgeToDate)*IF(in_AgeToDate&lt;DATE(2022,9,30),-1,1)+1))</f>
        <v/>
      </c>
      <c r="U1028" s="50">
        <f>IF(AND(AND(OR(in_Mode="All Funds",AND(C1028&gt;=in_BandFloor,C1028&lt;=in_BandCeiling,OR(in_Geography="National",COUNTIFS(lst_GeoPreset,in_Geography,lst_GeoState,B1028)&gt;0,AND(in_Geography="Custom",ISNUMBER(SEARCH(B1028,SUBSTITUTE(in_CustomStates," ",""))))),OR(AND(D1028="Endowment",Inputs!$B$14="Y"),AND(D1028="Foundation",Inputs!$B$15="Y"),AND(D1028="Healthcare",Inputs!$B$16="Y"),AND(D1028="Pension",Inputs!$B$17="Y"),AND(D1028="OCIO",Inputs!$B$18="Y"),AND(D1028="Other",Inputs!$B$19="Y")))),A1028&lt;&gt;in_ClientOrg,NOT(AND(in_ExclHarvard="Y",ISNUMBER(SEARCH("Harvard",A1028))))),$AD1028="Y",K1028&lt;&gt;"",S1028&gt;0),"Y","")</f>
        <v/>
      </c>
      <c r="V1028" s="30" t="n">
        <v>1</v>
      </c>
      <c r="W1028" t="inlineStr"/>
      <c r="X1028" s="28">
        <f>IF(L1028+M1028=0,"",L1028+M1028)</f>
        <v/>
      </c>
      <c r="Y1028" s="38">
        <f>IF(L1028=0,"",M1028/L1028)</f>
        <v/>
      </c>
      <c r="Z1028" t="inlineStr">
        <is>
          <t>CIO - Top Investment Executive</t>
        </is>
      </c>
      <c r="AA1028" t="inlineStr">
        <is>
          <t>Leadership</t>
        </is>
      </c>
      <c r="AB1028" s="50" t="inlineStr">
        <is>
          <t>Y</t>
        </is>
      </c>
      <c r="AC1028" s="43">
        <f>HYPERLINK("https://projects.propublica.org/nonprofits/organizations/530206027/202302269349301205/full","view filing")</f>
        <v/>
      </c>
      <c r="AD1028" s="50" t="inlineStr"/>
    </row>
    <row r="1029">
      <c r="A1029" t="inlineStr">
        <is>
          <t>Soka University Of America</t>
        </is>
      </c>
      <c r="B1029" s="50" t="inlineStr">
        <is>
          <t>CA</t>
        </is>
      </c>
      <c r="C1029" s="52" t="n">
        <v>1.61</v>
      </c>
      <c r="D1029" t="inlineStr">
        <is>
          <t>Endowment</t>
        </is>
      </c>
      <c r="E1029" s="50" t="n">
        <v>2025</v>
      </c>
      <c r="F1029" s="50" t="inlineStr">
        <is>
          <t>2026-05-14</t>
        </is>
      </c>
      <c r="G1029" s="50" t="inlineStr">
        <is>
          <t>2025-06-30</t>
        </is>
      </c>
      <c r="H1029" t="inlineStr">
        <is>
          <t>Archibald E Asawa</t>
        </is>
      </c>
      <c r="I1029" t="inlineStr">
        <is>
          <t>FIN &amp; ADM/CFO/CHIEF INVEST OFFCR</t>
        </is>
      </c>
      <c r="J1029" t="inlineStr">
        <is>
          <t>CIO</t>
        </is>
      </c>
      <c r="K1029" t="inlineStr">
        <is>
          <t>CIO - Top Investment Executive</t>
        </is>
      </c>
      <c r="L1029" s="28" t="n">
        <v>367224</v>
      </c>
      <c r="M1029" s="28" t="n">
        <v>0</v>
      </c>
      <c r="N1029" s="28" t="n">
        <v>0</v>
      </c>
      <c r="O1029" s="28" t="n">
        <v>37162</v>
      </c>
      <c r="P1029" s="28" t="n">
        <v>6651</v>
      </c>
      <c r="Q1029" s="28" t="n">
        <v>411037</v>
      </c>
      <c r="R1029" s="28" t="n">
        <v>0</v>
      </c>
      <c r="S1029" s="28">
        <f>Q1029-R1029</f>
        <v/>
      </c>
      <c r="T1029" s="28">
        <f>IF(S1029="","",S1029*(1+in_GrowthRate)^(YEARFRAC(DATE(2025,6,30),in_AgeToDate)*IF(in_AgeToDate&lt;DATE(2025,6,30),-1,1)+1))</f>
        <v/>
      </c>
      <c r="U1029" s="50">
        <f>IF(AND(AND(OR(in_Mode="All Funds",AND(C1029&gt;=in_BandFloor,C1029&lt;=in_BandCeiling,OR(in_Geography="National",COUNTIFS(lst_GeoPreset,in_Geography,lst_GeoState,B1029)&gt;0,AND(in_Geography="Custom",ISNUMBER(SEARCH(B1029,SUBSTITUTE(in_CustomStates," ",""))))),OR(AND(D1029="Endowment",Inputs!$B$14="Y"),AND(D1029="Foundation",Inputs!$B$15="Y"),AND(D1029="Healthcare",Inputs!$B$16="Y"),AND(D1029="Pension",Inputs!$B$17="Y"),AND(D1029="OCIO",Inputs!$B$18="Y"),AND(D1029="Other",Inputs!$B$19="Y")))),A1029&lt;&gt;in_ClientOrg,NOT(AND(in_ExclHarvard="Y",ISNUMBER(SEARCH("Harvard",A1029))))),$AD1029="Y",K1029&lt;&gt;"",S1029&gt;0),"Y","")</f>
        <v/>
      </c>
      <c r="V1029" s="30" t="n">
        <v>1</v>
      </c>
      <c r="W1029" t="inlineStr"/>
      <c r="X1029" s="28">
        <f>IF(L1029+M1029=0,"",L1029+M1029)</f>
        <v/>
      </c>
      <c r="Y1029" s="38">
        <f>IF(L1029=0,"",M1029/L1029)</f>
        <v/>
      </c>
      <c r="Z1029" t="inlineStr">
        <is>
          <t>CIO - Top Investment Executive</t>
        </is>
      </c>
      <c r="AA1029" t="inlineStr">
        <is>
          <t>Leadership</t>
        </is>
      </c>
      <c r="AB1029" s="50" t="inlineStr">
        <is>
          <t>Y</t>
        </is>
      </c>
      <c r="AC1029" s="43">
        <f>HYPERLINK("https://projects.propublica.org/nonprofits/organizations/953909672/202601349349313510/full","view filing")</f>
        <v/>
      </c>
      <c r="AD1029" s="50" t="inlineStr">
        <is>
          <t>Y</t>
        </is>
      </c>
    </row>
    <row r="1030">
      <c r="A1030" t="inlineStr">
        <is>
          <t>Soka University Of America</t>
        </is>
      </c>
      <c r="B1030" s="50" t="inlineStr">
        <is>
          <t>CA</t>
        </is>
      </c>
      <c r="C1030" s="52" t="n">
        <v>1.61</v>
      </c>
      <c r="D1030" t="inlineStr">
        <is>
          <t>Endowment</t>
        </is>
      </c>
      <c r="E1030" s="50" t="n">
        <v>2024</v>
      </c>
      <c r="F1030" s="50" t="inlineStr">
        <is>
          <t>2025-05-14</t>
        </is>
      </c>
      <c r="G1030" s="50" t="inlineStr">
        <is>
          <t>2024-06-30</t>
        </is>
      </c>
      <c r="H1030" t="inlineStr">
        <is>
          <t>Archibald E Asawa</t>
        </is>
      </c>
      <c r="I1030" t="inlineStr">
        <is>
          <t>EVP FIN &amp; ADM/CFO/CHIEF INVEST OFFCR</t>
        </is>
      </c>
      <c r="J1030" t="inlineStr">
        <is>
          <t>CIO</t>
        </is>
      </c>
      <c r="K1030" t="inlineStr">
        <is>
          <t>CIO - Top Investment Executive</t>
        </is>
      </c>
      <c r="L1030" s="28" t="n">
        <v>357280</v>
      </c>
      <c r="M1030" s="28" t="n">
        <v>0</v>
      </c>
      <c r="N1030" s="28" t="n">
        <v>0</v>
      </c>
      <c r="O1030" s="28" t="n">
        <v>35728</v>
      </c>
      <c r="P1030" s="28" t="n">
        <v>13442</v>
      </c>
      <c r="Q1030" s="28" t="n">
        <v>406450</v>
      </c>
      <c r="R1030" s="28" t="n">
        <v>0</v>
      </c>
      <c r="S1030" s="28">
        <f>Q1030-R1030</f>
        <v/>
      </c>
      <c r="T1030" s="28">
        <f>IF(S1030="","",S1030*(1+in_GrowthRate)^(YEARFRAC(DATE(2024,6,30),in_AgeToDate)*IF(in_AgeToDate&lt;DATE(2024,6,30),-1,1)+1))</f>
        <v/>
      </c>
      <c r="U1030" s="50">
        <f>IF(AND(AND(OR(in_Mode="All Funds",AND(C1030&gt;=in_BandFloor,C1030&lt;=in_BandCeiling,OR(in_Geography="National",COUNTIFS(lst_GeoPreset,in_Geography,lst_GeoState,B1030)&gt;0,AND(in_Geography="Custom",ISNUMBER(SEARCH(B1030,SUBSTITUTE(in_CustomStates," ",""))))),OR(AND(D1030="Endowment",Inputs!$B$14="Y"),AND(D1030="Foundation",Inputs!$B$15="Y"),AND(D1030="Healthcare",Inputs!$B$16="Y"),AND(D1030="Pension",Inputs!$B$17="Y"),AND(D1030="OCIO",Inputs!$B$18="Y"),AND(D1030="Other",Inputs!$B$19="Y")))),A1030&lt;&gt;in_ClientOrg,NOT(AND(in_ExclHarvard="Y",ISNUMBER(SEARCH("Harvard",A1030))))),$AD1030="Y",K1030&lt;&gt;"",S1030&gt;0),"Y","")</f>
        <v/>
      </c>
      <c r="V1030" s="30" t="n">
        <v>1</v>
      </c>
      <c r="W1030" t="inlineStr"/>
      <c r="X1030" s="28">
        <f>IF(L1030+M1030=0,"",L1030+M1030)</f>
        <v/>
      </c>
      <c r="Y1030" s="38">
        <f>IF(L1030=0,"",M1030/L1030)</f>
        <v/>
      </c>
      <c r="Z1030" t="inlineStr">
        <is>
          <t>CIO - Top Investment Executive</t>
        </is>
      </c>
      <c r="AA1030" t="inlineStr">
        <is>
          <t>Leadership</t>
        </is>
      </c>
      <c r="AB1030" s="50" t="inlineStr">
        <is>
          <t>Y</t>
        </is>
      </c>
      <c r="AC1030" s="43">
        <f>HYPERLINK("https://projects.propublica.org/nonprofits/organizations/953909672/202521349349308457/full","view filing")</f>
        <v/>
      </c>
      <c r="AD1030" s="50" t="inlineStr"/>
    </row>
    <row r="1031">
      <c r="A1031" t="inlineStr">
        <is>
          <t>Soka University Of America</t>
        </is>
      </c>
      <c r="B1031" s="50" t="inlineStr">
        <is>
          <t>CA</t>
        </is>
      </c>
      <c r="C1031" s="52" t="n">
        <v>1.61</v>
      </c>
      <c r="D1031" t="inlineStr">
        <is>
          <t>Endowment</t>
        </is>
      </c>
      <c r="E1031" s="50" t="n">
        <v>2023</v>
      </c>
      <c r="F1031" s="50" t="inlineStr">
        <is>
          <t>2024-05-10</t>
        </is>
      </c>
      <c r="G1031" s="50" t="inlineStr">
        <is>
          <t>2023-06-30</t>
        </is>
      </c>
      <c r="H1031" t="inlineStr">
        <is>
          <t>Archibald E Asawa</t>
        </is>
      </c>
      <c r="I1031" t="inlineStr">
        <is>
          <t>EVP FIN &amp; ADM/CFO/CHIEF INVEST OFFCR</t>
        </is>
      </c>
      <c r="J1031" t="inlineStr">
        <is>
          <t>CIO</t>
        </is>
      </c>
      <c r="K1031" t="inlineStr">
        <is>
          <t>CIO - Top Investment Executive</t>
        </is>
      </c>
      <c r="L1031" s="28" t="n">
        <v>332797</v>
      </c>
      <c r="M1031" s="28" t="n">
        <v>0</v>
      </c>
      <c r="N1031" s="28" t="n">
        <v>0</v>
      </c>
      <c r="O1031" s="28" t="n">
        <v>33685</v>
      </c>
      <c r="P1031" s="28" t="n">
        <v>27748</v>
      </c>
      <c r="Q1031" s="28" t="n">
        <v>394230</v>
      </c>
      <c r="R1031" s="28" t="n">
        <v>0</v>
      </c>
      <c r="S1031" s="28">
        <f>Q1031-R1031</f>
        <v/>
      </c>
      <c r="T1031" s="28">
        <f>IF(S1031="","",S1031*(1+in_GrowthRate)^(YEARFRAC(DATE(2023,6,30),in_AgeToDate)*IF(in_AgeToDate&lt;DATE(2023,6,30),-1,1)+1))</f>
        <v/>
      </c>
      <c r="U1031" s="50">
        <f>IF(AND(AND(OR(in_Mode="All Funds",AND(C1031&gt;=in_BandFloor,C1031&lt;=in_BandCeiling,OR(in_Geography="National",COUNTIFS(lst_GeoPreset,in_Geography,lst_GeoState,B1031)&gt;0,AND(in_Geography="Custom",ISNUMBER(SEARCH(B1031,SUBSTITUTE(in_CustomStates," ",""))))),OR(AND(D1031="Endowment",Inputs!$B$14="Y"),AND(D1031="Foundation",Inputs!$B$15="Y"),AND(D1031="Healthcare",Inputs!$B$16="Y"),AND(D1031="Pension",Inputs!$B$17="Y"),AND(D1031="OCIO",Inputs!$B$18="Y"),AND(D1031="Other",Inputs!$B$19="Y")))),A1031&lt;&gt;in_ClientOrg,NOT(AND(in_ExclHarvard="Y",ISNUMBER(SEARCH("Harvard",A1031))))),$AD1031="Y",K1031&lt;&gt;"",S1031&gt;0),"Y","")</f>
        <v/>
      </c>
      <c r="V1031" s="30" t="n">
        <v>1</v>
      </c>
      <c r="W1031" t="inlineStr"/>
      <c r="X1031" s="28">
        <f>IF(L1031+M1031=0,"",L1031+M1031)</f>
        <v/>
      </c>
      <c r="Y1031" s="38">
        <f>IF(L1031=0,"",M1031/L1031)</f>
        <v/>
      </c>
      <c r="Z1031" t="inlineStr">
        <is>
          <t>CIO - Top Investment Executive</t>
        </is>
      </c>
      <c r="AA1031" t="inlineStr">
        <is>
          <t>Leadership</t>
        </is>
      </c>
      <c r="AB1031" s="50" t="inlineStr">
        <is>
          <t>Y</t>
        </is>
      </c>
      <c r="AC1031" s="43">
        <f>HYPERLINK("https://projects.propublica.org/nonprofits/organizations/953909672/202441319349302669/full","view filing")</f>
        <v/>
      </c>
      <c r="AD1031" s="50" t="inlineStr"/>
    </row>
    <row r="1032">
      <c r="A1032" t="inlineStr">
        <is>
          <t>Soka University Of America</t>
        </is>
      </c>
      <c r="B1032" s="50" t="inlineStr">
        <is>
          <t>CA</t>
        </is>
      </c>
      <c r="C1032" s="52" t="n">
        <v>1.61</v>
      </c>
      <c r="D1032" t="inlineStr">
        <is>
          <t>Endowment</t>
        </is>
      </c>
      <c r="E1032" s="50" t="n">
        <v>2022</v>
      </c>
      <c r="F1032" s="50" t="inlineStr">
        <is>
          <t>2023-05-15</t>
        </is>
      </c>
      <c r="G1032" s="50" t="inlineStr">
        <is>
          <t>2022-06-30</t>
        </is>
      </c>
      <c r="H1032" t="inlineStr">
        <is>
          <t>Archibald E Asawa</t>
        </is>
      </c>
      <c r="I1032" t="inlineStr">
        <is>
          <t>VP FIN &amp; ADM/CFO/CHIEF INVEST OFFCR</t>
        </is>
      </c>
      <c r="J1032" t="inlineStr">
        <is>
          <t>CIO</t>
        </is>
      </c>
      <c r="K1032" t="inlineStr">
        <is>
          <t>CIO - Top Investment Executive</t>
        </is>
      </c>
      <c r="L1032" s="28" t="n">
        <v>319317</v>
      </c>
      <c r="M1032" s="28" t="n">
        <v>0</v>
      </c>
      <c r="N1032" s="28" t="n">
        <v>0</v>
      </c>
      <c r="O1032" s="28" t="n">
        <v>31932</v>
      </c>
      <c r="P1032" s="28" t="n">
        <v>13104</v>
      </c>
      <c r="Q1032" s="28" t="n">
        <v>364353</v>
      </c>
      <c r="R1032" s="28" t="n">
        <v>0</v>
      </c>
      <c r="S1032" s="28">
        <f>Q1032-R1032</f>
        <v/>
      </c>
      <c r="T1032" s="28">
        <f>IF(S1032="","",S1032*(1+in_GrowthRate)^(YEARFRAC(DATE(2022,6,30),in_AgeToDate)*IF(in_AgeToDate&lt;DATE(2022,6,30),-1,1)+1))</f>
        <v/>
      </c>
      <c r="U1032" s="50">
        <f>IF(AND(AND(OR(in_Mode="All Funds",AND(C1032&gt;=in_BandFloor,C1032&lt;=in_BandCeiling,OR(in_Geography="National",COUNTIFS(lst_GeoPreset,in_Geography,lst_GeoState,B1032)&gt;0,AND(in_Geography="Custom",ISNUMBER(SEARCH(B1032,SUBSTITUTE(in_CustomStates," ",""))))),OR(AND(D1032="Endowment",Inputs!$B$14="Y"),AND(D1032="Foundation",Inputs!$B$15="Y"),AND(D1032="Healthcare",Inputs!$B$16="Y"),AND(D1032="Pension",Inputs!$B$17="Y"),AND(D1032="OCIO",Inputs!$B$18="Y"),AND(D1032="Other",Inputs!$B$19="Y")))),A1032&lt;&gt;in_ClientOrg,NOT(AND(in_ExclHarvard="Y",ISNUMBER(SEARCH("Harvard",A1032))))),$AD1032="Y",K1032&lt;&gt;"",S1032&gt;0),"Y","")</f>
        <v/>
      </c>
      <c r="V1032" s="30" t="n">
        <v>1</v>
      </c>
      <c r="W1032" t="inlineStr"/>
      <c r="X1032" s="28">
        <f>IF(L1032+M1032=0,"",L1032+M1032)</f>
        <v/>
      </c>
      <c r="Y1032" s="38">
        <f>IF(L1032=0,"",M1032/L1032)</f>
        <v/>
      </c>
      <c r="Z1032" t="inlineStr">
        <is>
          <t>CIO - Top Investment Executive</t>
        </is>
      </c>
      <c r="AA1032" t="inlineStr">
        <is>
          <t>Leadership</t>
        </is>
      </c>
      <c r="AB1032" s="50" t="inlineStr">
        <is>
          <t>Y</t>
        </is>
      </c>
      <c r="AC1032" s="43">
        <f>HYPERLINK("https://projects.propublica.org/nonprofits/organizations/953909672/202301359349307765/full","view filing")</f>
        <v/>
      </c>
      <c r="AD1032" s="50" t="inlineStr"/>
    </row>
    <row r="1033">
      <c r="A1033" t="inlineStr">
        <is>
          <t>Southern Methodist University</t>
        </is>
      </c>
      <c r="B1033" s="50" t="inlineStr">
        <is>
          <t>TX</t>
        </is>
      </c>
      <c r="C1033" s="52" t="n">
        <v>2.34</v>
      </c>
      <c r="D1033" t="inlineStr">
        <is>
          <t>Endowment</t>
        </is>
      </c>
      <c r="E1033" s="50" t="n">
        <v>2025</v>
      </c>
      <c r="F1033" s="50" t="inlineStr">
        <is>
          <t>2026-04-10</t>
        </is>
      </c>
      <c r="G1033" s="50" t="inlineStr">
        <is>
          <t>2025-05-31</t>
        </is>
      </c>
      <c r="H1033" t="inlineStr">
        <is>
          <t>Rakesh Dahiya</t>
        </is>
      </c>
      <c r="I1033" t="inlineStr">
        <is>
          <t>Chief Investment Officer</t>
        </is>
      </c>
      <c r="J1033" t="inlineStr">
        <is>
          <t>CIO</t>
        </is>
      </c>
      <c r="K1033" t="inlineStr">
        <is>
          <t>CIO - Top Investment Executive</t>
        </is>
      </c>
      <c r="L1033" s="28" t="n">
        <v>596286</v>
      </c>
      <c r="M1033" s="28" t="n">
        <v>149990</v>
      </c>
      <c r="N1033" s="28" t="n">
        <v>12680</v>
      </c>
      <c r="O1033" s="28" t="n">
        <v>34500</v>
      </c>
      <c r="P1033" s="28" t="n">
        <v>157343</v>
      </c>
      <c r="Q1033" s="28" t="n">
        <v>950799</v>
      </c>
      <c r="R1033" s="28" t="n">
        <v>0</v>
      </c>
      <c r="S1033" s="28">
        <f>Q1033-R1033</f>
        <v/>
      </c>
      <c r="T1033" s="28">
        <f>IF(S1033="","",S1033*(1+in_GrowthRate)^(YEARFRAC(DATE(2025,5,31),in_AgeToDate)*IF(in_AgeToDate&lt;DATE(2025,5,31),-1,1)+1))</f>
        <v/>
      </c>
      <c r="U1033" s="50">
        <f>IF(AND(AND(OR(in_Mode="All Funds",AND(C1033&gt;=in_BandFloor,C1033&lt;=in_BandCeiling,OR(in_Geography="National",COUNTIFS(lst_GeoPreset,in_Geography,lst_GeoState,B1033)&gt;0,AND(in_Geography="Custom",ISNUMBER(SEARCH(B1033,SUBSTITUTE(in_CustomStates," ",""))))),OR(AND(D1033="Endowment",Inputs!$B$14="Y"),AND(D1033="Foundation",Inputs!$B$15="Y"),AND(D1033="Healthcare",Inputs!$B$16="Y"),AND(D1033="Pension",Inputs!$B$17="Y"),AND(D1033="OCIO",Inputs!$B$18="Y"),AND(D1033="Other",Inputs!$B$19="Y")))),A1033&lt;&gt;in_ClientOrg,NOT(AND(in_ExclHarvard="Y",ISNUMBER(SEARCH("Harvard",A1033))))),$AD1033="Y",K1033&lt;&gt;"",S1033&gt;0),"Y","")</f>
        <v/>
      </c>
      <c r="V1033" s="30" t="n">
        <v>1</v>
      </c>
      <c r="W1033" t="inlineStr"/>
      <c r="X1033" s="28">
        <f>IF(L1033+M1033=0,"",L1033+M1033)</f>
        <v/>
      </c>
      <c r="Y1033" s="38">
        <f>IF(L1033=0,"",M1033/L1033)</f>
        <v/>
      </c>
      <c r="Z1033" t="inlineStr">
        <is>
          <t>CIO - Top Investment Executive</t>
        </is>
      </c>
      <c r="AA1033" t="inlineStr">
        <is>
          <t>Leadership</t>
        </is>
      </c>
      <c r="AB1033" s="50" t="inlineStr">
        <is>
          <t>Y</t>
        </is>
      </c>
      <c r="AC1033" s="43">
        <f>HYPERLINK("https://projects.propublica.org/nonprofits/organizations/750800689/202601009349301025/full","view filing")</f>
        <v/>
      </c>
      <c r="AD1033" s="50" t="inlineStr">
        <is>
          <t>Y</t>
        </is>
      </c>
    </row>
    <row r="1034">
      <c r="A1034" t="inlineStr">
        <is>
          <t>Southern Methodist University</t>
        </is>
      </c>
      <c r="B1034" s="50" t="inlineStr">
        <is>
          <t>TX</t>
        </is>
      </c>
      <c r="C1034" s="52" t="n">
        <v>2.34</v>
      </c>
      <c r="D1034" t="inlineStr">
        <is>
          <t>Endowment</t>
        </is>
      </c>
      <c r="E1034" s="50" t="n">
        <v>2024</v>
      </c>
      <c r="F1034" s="50" t="inlineStr">
        <is>
          <t>2025-04-10</t>
        </is>
      </c>
      <c r="G1034" s="50" t="inlineStr">
        <is>
          <t>2024-05-31</t>
        </is>
      </c>
      <c r="H1034" t="inlineStr">
        <is>
          <t>Rakesh Dahiya</t>
        </is>
      </c>
      <c r="I1034" t="inlineStr">
        <is>
          <t>Chief Investment Officer</t>
        </is>
      </c>
      <c r="J1034" t="inlineStr">
        <is>
          <t>CIO</t>
        </is>
      </c>
      <c r="K1034" t="inlineStr">
        <is>
          <t>CIO - Top Investment Executive</t>
        </is>
      </c>
      <c r="L1034" s="28" t="n">
        <v>570973</v>
      </c>
      <c r="M1034" s="28" t="n">
        <v>131790</v>
      </c>
      <c r="N1034" s="28" t="n">
        <v>12654</v>
      </c>
      <c r="O1034" s="28" t="n">
        <v>33000</v>
      </c>
      <c r="P1034" s="28" t="n">
        <v>171590</v>
      </c>
      <c r="Q1034" s="28" t="n">
        <v>920007</v>
      </c>
      <c r="R1034" s="28" t="n">
        <v>0</v>
      </c>
      <c r="S1034" s="28">
        <f>Q1034-R1034</f>
        <v/>
      </c>
      <c r="T1034" s="28">
        <f>IF(S1034="","",S1034*(1+in_GrowthRate)^(YEARFRAC(DATE(2024,5,31),in_AgeToDate)*IF(in_AgeToDate&lt;DATE(2024,5,31),-1,1)+1))</f>
        <v/>
      </c>
      <c r="U1034" s="50">
        <f>IF(AND(AND(OR(in_Mode="All Funds",AND(C1034&gt;=in_BandFloor,C1034&lt;=in_BandCeiling,OR(in_Geography="National",COUNTIFS(lst_GeoPreset,in_Geography,lst_GeoState,B1034)&gt;0,AND(in_Geography="Custom",ISNUMBER(SEARCH(B1034,SUBSTITUTE(in_CustomStates," ",""))))),OR(AND(D1034="Endowment",Inputs!$B$14="Y"),AND(D1034="Foundation",Inputs!$B$15="Y"),AND(D1034="Healthcare",Inputs!$B$16="Y"),AND(D1034="Pension",Inputs!$B$17="Y"),AND(D1034="OCIO",Inputs!$B$18="Y"),AND(D1034="Other",Inputs!$B$19="Y")))),A1034&lt;&gt;in_ClientOrg,NOT(AND(in_ExclHarvard="Y",ISNUMBER(SEARCH("Harvard",A1034))))),$AD1034="Y",K1034&lt;&gt;"",S1034&gt;0),"Y","")</f>
        <v/>
      </c>
      <c r="V1034" s="30" t="n">
        <v>1</v>
      </c>
      <c r="W1034" t="inlineStr"/>
      <c r="X1034" s="28">
        <f>IF(L1034+M1034=0,"",L1034+M1034)</f>
        <v/>
      </c>
      <c r="Y1034" s="38">
        <f>IF(L1034=0,"",M1034/L1034)</f>
        <v/>
      </c>
      <c r="Z1034" t="inlineStr">
        <is>
          <t>CIO - Top Investment Executive</t>
        </is>
      </c>
      <c r="AA1034" t="inlineStr">
        <is>
          <t>Leadership</t>
        </is>
      </c>
      <c r="AB1034" s="50" t="inlineStr">
        <is>
          <t>Y</t>
        </is>
      </c>
      <c r="AC1034" s="43">
        <f>HYPERLINK("https://projects.propublica.org/nonprofits/organizations/750800689/202501009349301230/full","view filing")</f>
        <v/>
      </c>
      <c r="AD1034" s="50" t="inlineStr"/>
    </row>
    <row r="1035">
      <c r="A1035" t="inlineStr">
        <is>
          <t>Southern Methodist University</t>
        </is>
      </c>
      <c r="B1035" s="50" t="inlineStr">
        <is>
          <t>TX</t>
        </is>
      </c>
      <c r="C1035" s="52" t="n">
        <v>2.34</v>
      </c>
      <c r="D1035" t="inlineStr">
        <is>
          <t>Endowment</t>
        </is>
      </c>
      <c r="E1035" s="50" t="n">
        <v>2023</v>
      </c>
      <c r="F1035" s="50" t="inlineStr">
        <is>
          <t>2024-04-12</t>
        </is>
      </c>
      <c r="G1035" s="50" t="inlineStr">
        <is>
          <t>2023-05-31</t>
        </is>
      </c>
      <c r="H1035" t="inlineStr">
        <is>
          <t>Rakesh Dahiya</t>
        </is>
      </c>
      <c r="I1035" t="inlineStr">
        <is>
          <t>Chief Investment Officer</t>
        </is>
      </c>
      <c r="J1035" t="inlineStr">
        <is>
          <t>CIO</t>
        </is>
      </c>
      <c r="K1035" t="inlineStr">
        <is>
          <t>CIO - Top Investment Executive</t>
        </is>
      </c>
      <c r="L1035" s="28" t="n">
        <v>550633</v>
      </c>
      <c r="M1035" s="28" t="n">
        <v>147622</v>
      </c>
      <c r="N1035" s="28" t="n">
        <v>15766</v>
      </c>
      <c r="O1035" s="28" t="n">
        <v>30500</v>
      </c>
      <c r="P1035" s="28" t="n">
        <v>145452</v>
      </c>
      <c r="Q1035" s="28" t="n">
        <v>889973</v>
      </c>
      <c r="R1035" s="28" t="n">
        <v>0</v>
      </c>
      <c r="S1035" s="28">
        <f>Q1035-R1035</f>
        <v/>
      </c>
      <c r="T1035" s="28">
        <f>IF(S1035="","",S1035*(1+in_GrowthRate)^(YEARFRAC(DATE(2023,5,31),in_AgeToDate)*IF(in_AgeToDate&lt;DATE(2023,5,31),-1,1)+1))</f>
        <v/>
      </c>
      <c r="U1035" s="50">
        <f>IF(AND(AND(OR(in_Mode="All Funds",AND(C1035&gt;=in_BandFloor,C1035&lt;=in_BandCeiling,OR(in_Geography="National",COUNTIFS(lst_GeoPreset,in_Geography,lst_GeoState,B1035)&gt;0,AND(in_Geography="Custom",ISNUMBER(SEARCH(B1035,SUBSTITUTE(in_CustomStates," ",""))))),OR(AND(D1035="Endowment",Inputs!$B$14="Y"),AND(D1035="Foundation",Inputs!$B$15="Y"),AND(D1035="Healthcare",Inputs!$B$16="Y"),AND(D1035="Pension",Inputs!$B$17="Y"),AND(D1035="OCIO",Inputs!$B$18="Y"),AND(D1035="Other",Inputs!$B$19="Y")))),A1035&lt;&gt;in_ClientOrg,NOT(AND(in_ExclHarvard="Y",ISNUMBER(SEARCH("Harvard",A1035))))),$AD1035="Y",K1035&lt;&gt;"",S1035&gt;0),"Y","")</f>
        <v/>
      </c>
      <c r="V1035" s="30" t="n">
        <v>1</v>
      </c>
      <c r="W1035" t="inlineStr"/>
      <c r="X1035" s="28">
        <f>IF(L1035+M1035=0,"",L1035+M1035)</f>
        <v/>
      </c>
      <c r="Y1035" s="38">
        <f>IF(L1035=0,"",M1035/L1035)</f>
        <v/>
      </c>
      <c r="Z1035" t="inlineStr">
        <is>
          <t>CIO - Top Investment Executive</t>
        </is>
      </c>
      <c r="AA1035" t="inlineStr">
        <is>
          <t>Leadership</t>
        </is>
      </c>
      <c r="AB1035" s="50" t="inlineStr">
        <is>
          <t>Y</t>
        </is>
      </c>
      <c r="AC1035" s="43">
        <f>HYPERLINK("https://projects.propublica.org/nonprofits/organizations/750800689/202411039349301961/full","view filing")</f>
        <v/>
      </c>
      <c r="AD1035" s="50" t="inlineStr"/>
    </row>
    <row r="1036">
      <c r="A1036" t="inlineStr">
        <is>
          <t>Southern Methodist University</t>
        </is>
      </c>
      <c r="B1036" s="50" t="inlineStr">
        <is>
          <t>TX</t>
        </is>
      </c>
      <c r="C1036" s="52" t="n">
        <v>2.34</v>
      </c>
      <c r="D1036" t="inlineStr">
        <is>
          <t>Endowment</t>
        </is>
      </c>
      <c r="E1036" s="50" t="n">
        <v>2022</v>
      </c>
      <c r="F1036" s="50" t="inlineStr">
        <is>
          <t>2023-04-18</t>
        </is>
      </c>
      <c r="G1036" s="50" t="inlineStr">
        <is>
          <t>2022-05-31</t>
        </is>
      </c>
      <c r="H1036" t="inlineStr">
        <is>
          <t>Rakesh Dahiya</t>
        </is>
      </c>
      <c r="I1036" t="inlineStr">
        <is>
          <t>Chief Investment Officer</t>
        </is>
      </c>
      <c r="J1036" t="inlineStr">
        <is>
          <t>CIO</t>
        </is>
      </c>
      <c r="K1036" t="inlineStr">
        <is>
          <t>CIO - Top Investment Executive</t>
        </is>
      </c>
      <c r="L1036" s="28" t="n">
        <v>490620</v>
      </c>
      <c r="M1036" s="28" t="n">
        <v>172458</v>
      </c>
      <c r="N1036" s="28" t="n">
        <v>13060</v>
      </c>
      <c r="O1036" s="28" t="n">
        <v>29000</v>
      </c>
      <c r="P1036" s="28" t="n">
        <v>35486</v>
      </c>
      <c r="Q1036" s="28" t="n">
        <v>740624</v>
      </c>
      <c r="R1036" s="28" t="n">
        <v>0</v>
      </c>
      <c r="S1036" s="28">
        <f>Q1036-R1036</f>
        <v/>
      </c>
      <c r="T1036" s="28">
        <f>IF(S1036="","",S1036*(1+in_GrowthRate)^(YEARFRAC(DATE(2022,5,31),in_AgeToDate)*IF(in_AgeToDate&lt;DATE(2022,5,31),-1,1)+1))</f>
        <v/>
      </c>
      <c r="U1036" s="50">
        <f>IF(AND(AND(OR(in_Mode="All Funds",AND(C1036&gt;=in_BandFloor,C1036&lt;=in_BandCeiling,OR(in_Geography="National",COUNTIFS(lst_GeoPreset,in_Geography,lst_GeoState,B1036)&gt;0,AND(in_Geography="Custom",ISNUMBER(SEARCH(B1036,SUBSTITUTE(in_CustomStates," ",""))))),OR(AND(D1036="Endowment",Inputs!$B$14="Y"),AND(D1036="Foundation",Inputs!$B$15="Y"),AND(D1036="Healthcare",Inputs!$B$16="Y"),AND(D1036="Pension",Inputs!$B$17="Y"),AND(D1036="OCIO",Inputs!$B$18="Y"),AND(D1036="Other",Inputs!$B$19="Y")))),A1036&lt;&gt;in_ClientOrg,NOT(AND(in_ExclHarvard="Y",ISNUMBER(SEARCH("Harvard",A1036))))),$AD1036="Y",K1036&lt;&gt;"",S1036&gt;0),"Y","")</f>
        <v/>
      </c>
      <c r="V1036" s="30" t="n">
        <v>1</v>
      </c>
      <c r="W1036" t="inlineStr"/>
      <c r="X1036" s="28">
        <f>IF(L1036+M1036=0,"",L1036+M1036)</f>
        <v/>
      </c>
      <c r="Y1036" s="38">
        <f>IF(L1036=0,"",M1036/L1036)</f>
        <v/>
      </c>
      <c r="Z1036" t="inlineStr">
        <is>
          <t>CIO - Top Investment Executive</t>
        </is>
      </c>
      <c r="AA1036" t="inlineStr">
        <is>
          <t>Leadership</t>
        </is>
      </c>
      <c r="AB1036" s="50" t="inlineStr">
        <is>
          <t>Y</t>
        </is>
      </c>
      <c r="AC1036" s="43">
        <f>HYPERLINK("https://projects.propublica.org/nonprofits/organizations/750800689/202341089349301929/full","view filing")</f>
        <v/>
      </c>
      <c r="AD1036" s="50" t="inlineStr"/>
    </row>
    <row r="1037">
      <c r="A1037" t="inlineStr">
        <is>
          <t>Spelman College</t>
        </is>
      </c>
      <c r="B1037" s="50" t="inlineStr">
        <is>
          <t>GA</t>
        </is>
      </c>
      <c r="C1037" s="52" t="n">
        <v>0.57</v>
      </c>
      <c r="D1037" t="inlineStr">
        <is>
          <t>Endowment</t>
        </is>
      </c>
      <c r="E1037" s="50" t="n">
        <v>2025</v>
      </c>
      <c r="F1037" s="50" t="inlineStr">
        <is>
          <t>2026-05-15</t>
        </is>
      </c>
      <c r="G1037" s="50" t="inlineStr">
        <is>
          <t>2025-06-30</t>
        </is>
      </c>
      <c r="H1037" t="inlineStr">
        <is>
          <t>Rhonda Honegan</t>
        </is>
      </c>
      <c r="I1037" t="inlineStr">
        <is>
          <t>Senior Advisor of Investment Operations</t>
        </is>
      </c>
      <c r="J1037" t="inlineStr">
        <is>
          <t>Investment Operations (Inv Entity)</t>
        </is>
      </c>
      <c r="K1037" t="inlineStr">
        <is>
          <t>Other disclosed professionals</t>
        </is>
      </c>
      <c r="L1037" s="28" t="n">
        <v>187973</v>
      </c>
      <c r="M1037" s="28" t="n">
        <v>0</v>
      </c>
      <c r="N1037" s="28" t="n">
        <v>0</v>
      </c>
      <c r="O1037" s="28" t="n">
        <v>5677</v>
      </c>
      <c r="P1037" s="28" t="n">
        <v>0</v>
      </c>
      <c r="Q1037" s="28" t="n">
        <v>193650</v>
      </c>
      <c r="R1037" s="28" t="n">
        <v>0</v>
      </c>
      <c r="S1037" s="28">
        <f>Q1037-R1037</f>
        <v/>
      </c>
      <c r="T1037" s="28">
        <f>IF(S1037="","",S1037*(1+in_GrowthRate)^(YEARFRAC(DATE(2025,6,30),in_AgeToDate)*IF(in_AgeToDate&lt;DATE(2025,6,30),-1,1)+1))</f>
        <v/>
      </c>
      <c r="U1037" s="50">
        <f>IF(AND(AND(OR(in_Mode="All Funds",AND(C1037&gt;=in_BandFloor,C1037&lt;=in_BandCeiling,OR(in_Geography="National",COUNTIFS(lst_GeoPreset,in_Geography,lst_GeoState,B1037)&gt;0,AND(in_Geography="Custom",ISNUMBER(SEARCH(B1037,SUBSTITUTE(in_CustomStates," ",""))))),OR(AND(D1037="Endowment",Inputs!$B$14="Y"),AND(D1037="Foundation",Inputs!$B$15="Y"),AND(D1037="Healthcare",Inputs!$B$16="Y"),AND(D1037="Pension",Inputs!$B$17="Y"),AND(D1037="OCIO",Inputs!$B$18="Y"),AND(D1037="Other",Inputs!$B$19="Y")))),A1037&lt;&gt;in_ClientOrg,NOT(AND(in_ExclHarvard="Y",ISNUMBER(SEARCH("Harvard",A1037))))),$AD1037="Y",K1037&lt;&gt;"",S1037&gt;0),"Y","")</f>
        <v/>
      </c>
      <c r="V1037" s="30" t="n"/>
      <c r="W1037" t="inlineStr">
        <is>
          <t>Other disclosed professionals</t>
        </is>
      </c>
      <c r="X1037" s="28">
        <f>IF(L1037+M1037=0,"",L1037+M1037)</f>
        <v/>
      </c>
      <c r="Y1037" s="38">
        <f>IF(L1037=0,"",M1037/L1037)</f>
        <v/>
      </c>
      <c r="Z1037" t="inlineStr">
        <is>
          <t>Other disclosed professionals</t>
        </is>
      </c>
      <c r="AA1037" t="inlineStr">
        <is>
          <t>Operations &amp; Control</t>
        </is>
      </c>
      <c r="AB1037" s="50" t="inlineStr"/>
      <c r="AC1037" s="43">
        <f>HYPERLINK("https://projects.propublica.org/nonprofits/organizations/580566243/202631359349315368/full","view filing")</f>
        <v/>
      </c>
      <c r="AD1037" s="50" t="inlineStr">
        <is>
          <t>Y</t>
        </is>
      </c>
    </row>
    <row r="1038">
      <c r="A1038" t="inlineStr">
        <is>
          <t>Spelman College</t>
        </is>
      </c>
      <c r="B1038" s="50" t="inlineStr">
        <is>
          <t>GA</t>
        </is>
      </c>
      <c r="C1038" s="52" t="n">
        <v>0.57</v>
      </c>
      <c r="D1038" t="inlineStr">
        <is>
          <t>Endowment</t>
        </is>
      </c>
      <c r="E1038" s="50" t="n">
        <v>2023</v>
      </c>
      <c r="F1038" s="50" t="inlineStr">
        <is>
          <t>2024-05-15</t>
        </is>
      </c>
      <c r="G1038" s="50" t="inlineStr">
        <is>
          <t>2023-06-30</t>
        </is>
      </c>
      <c r="H1038" t="inlineStr">
        <is>
          <t>Rhonda Honegan</t>
        </is>
      </c>
      <c r="I1038" t="inlineStr">
        <is>
          <t>Executive Director of Investments</t>
        </is>
      </c>
      <c r="J1038" t="inlineStr">
        <is>
          <t>Director of Investments</t>
        </is>
      </c>
      <c r="K1038" t="inlineStr">
        <is>
          <t>Sr Investment Professional</t>
        </is>
      </c>
      <c r="L1038" s="28" t="n">
        <v>198114</v>
      </c>
      <c r="M1038" s="28" t="n">
        <v>0</v>
      </c>
      <c r="N1038" s="28" t="n">
        <v>0</v>
      </c>
      <c r="O1038" s="28" t="n">
        <v>8382</v>
      </c>
      <c r="P1038" s="28" t="n">
        <v>15758</v>
      </c>
      <c r="Q1038" s="28" t="n">
        <v>222254</v>
      </c>
      <c r="R1038" s="28" t="n">
        <v>0</v>
      </c>
      <c r="S1038" s="28">
        <f>Q1038-R1038</f>
        <v/>
      </c>
      <c r="T1038" s="28">
        <f>IF(S1038="","",S1038*(1+in_GrowthRate)^(YEARFRAC(DATE(2023,6,30),in_AgeToDate)*IF(in_AgeToDate&lt;DATE(2023,6,30),-1,1)+1))</f>
        <v/>
      </c>
      <c r="U1038" s="50">
        <f>IF(AND(AND(OR(in_Mode="All Funds",AND(C1038&gt;=in_BandFloor,C1038&lt;=in_BandCeiling,OR(in_Geography="National",COUNTIFS(lst_GeoPreset,in_Geography,lst_GeoState,B1038)&gt;0,AND(in_Geography="Custom",ISNUMBER(SEARCH(B1038,SUBSTITUTE(in_CustomStates," ",""))))),OR(AND(D1038="Endowment",Inputs!$B$14="Y"),AND(D1038="Foundation",Inputs!$B$15="Y"),AND(D1038="Healthcare",Inputs!$B$16="Y"),AND(D1038="Pension",Inputs!$B$17="Y"),AND(D1038="OCIO",Inputs!$B$18="Y"),AND(D1038="Other",Inputs!$B$19="Y")))),A1038&lt;&gt;in_ClientOrg,NOT(AND(in_ExclHarvard="Y",ISNUMBER(SEARCH("Harvard",A1038))))),$AD1038="Y",K1038&lt;&gt;"",S1038&gt;0),"Y","")</f>
        <v/>
      </c>
      <c r="V1038" s="30" t="n"/>
      <c r="W1038" t="inlineStr"/>
      <c r="X1038" s="28">
        <f>IF(L1038+M1038=0,"",L1038+M1038)</f>
        <v/>
      </c>
      <c r="Y1038" s="38">
        <f>IF(L1038=0,"",M1038/L1038)</f>
        <v/>
      </c>
      <c r="Z1038" t="inlineStr">
        <is>
          <t>Director &amp; Investment Officer</t>
        </is>
      </c>
      <c r="AA1038" t="inlineStr">
        <is>
          <t>Investments</t>
        </is>
      </c>
      <c r="AB1038" s="50" t="inlineStr"/>
      <c r="AC1038" s="43">
        <f>HYPERLINK("https://projects.propublica.org/nonprofits/organizations/580566243/202411369349312021/full","view filing")</f>
        <v/>
      </c>
      <c r="AD1038" s="50" t="inlineStr"/>
    </row>
    <row r="1039">
      <c r="A1039" t="inlineStr">
        <is>
          <t>Spelman College</t>
        </is>
      </c>
      <c r="B1039" s="50" t="inlineStr">
        <is>
          <t>GA</t>
        </is>
      </c>
      <c r="C1039" s="52" t="n">
        <v>0.57</v>
      </c>
      <c r="D1039" t="inlineStr">
        <is>
          <t>Endowment</t>
        </is>
      </c>
      <c r="E1039" s="50" t="n">
        <v>2022</v>
      </c>
      <c r="F1039" s="50" t="inlineStr">
        <is>
          <t>2023-05-16</t>
        </is>
      </c>
      <c r="G1039" s="50" t="inlineStr">
        <is>
          <t>2022-06-30</t>
        </is>
      </c>
      <c r="H1039" t="inlineStr">
        <is>
          <t>Rhonda Honegan</t>
        </is>
      </c>
      <c r="I1039" t="inlineStr">
        <is>
          <t>Director of Investment</t>
        </is>
      </c>
      <c r="J1039" t="inlineStr">
        <is>
          <t>Director of Investments</t>
        </is>
      </c>
      <c r="K1039" t="inlineStr">
        <is>
          <t>Sr Investment Professional</t>
        </is>
      </c>
      <c r="L1039" s="28" t="n">
        <v>234946</v>
      </c>
      <c r="M1039" s="28" t="n">
        <v>0</v>
      </c>
      <c r="N1039" s="28" t="n">
        <v>0</v>
      </c>
      <c r="O1039" s="28" t="n">
        <v>16773</v>
      </c>
      <c r="P1039" s="28" t="n">
        <v>22936</v>
      </c>
      <c r="Q1039" s="28" t="n">
        <v>274655</v>
      </c>
      <c r="R1039" s="28" t="n">
        <v>0</v>
      </c>
      <c r="S1039" s="28">
        <f>Q1039-R1039</f>
        <v/>
      </c>
      <c r="T1039" s="28">
        <f>IF(S1039="","",S1039*(1+in_GrowthRate)^(YEARFRAC(DATE(2022,6,30),in_AgeToDate)*IF(in_AgeToDate&lt;DATE(2022,6,30),-1,1)+1))</f>
        <v/>
      </c>
      <c r="U1039" s="50">
        <f>IF(AND(AND(OR(in_Mode="All Funds",AND(C1039&gt;=in_BandFloor,C1039&lt;=in_BandCeiling,OR(in_Geography="National",COUNTIFS(lst_GeoPreset,in_Geography,lst_GeoState,B1039)&gt;0,AND(in_Geography="Custom",ISNUMBER(SEARCH(B1039,SUBSTITUTE(in_CustomStates," ",""))))),OR(AND(D1039="Endowment",Inputs!$B$14="Y"),AND(D1039="Foundation",Inputs!$B$15="Y"),AND(D1039="Healthcare",Inputs!$B$16="Y"),AND(D1039="Pension",Inputs!$B$17="Y"),AND(D1039="OCIO",Inputs!$B$18="Y"),AND(D1039="Other",Inputs!$B$19="Y")))),A1039&lt;&gt;in_ClientOrg,NOT(AND(in_ExclHarvard="Y",ISNUMBER(SEARCH("Harvard",A1039))))),$AD1039="Y",K1039&lt;&gt;"",S1039&gt;0),"Y","")</f>
        <v/>
      </c>
      <c r="V1039" s="30" t="n">
        <v>0.6666577667310698</v>
      </c>
      <c r="W1039" t="inlineStr"/>
      <c r="X1039" s="28">
        <f>IF(L1039+M1039=0,"",L1039+M1039)</f>
        <v/>
      </c>
      <c r="Y1039" s="38">
        <f>IF(L1039=0,"",M1039/L1039)</f>
        <v/>
      </c>
      <c r="Z1039" t="inlineStr">
        <is>
          <t>Director &amp; Investment Officer</t>
        </is>
      </c>
      <c r="AA1039" t="inlineStr">
        <is>
          <t>Investments</t>
        </is>
      </c>
      <c r="AB1039" s="50" t="inlineStr"/>
      <c r="AC1039" s="43">
        <f>HYPERLINK("https://projects.propublica.org/nonprofits/organizations/580566243/202311359349320406/full","view filing")</f>
        <v/>
      </c>
      <c r="AD1039" s="50" t="inlineStr"/>
    </row>
    <row r="1040">
      <c r="A1040" t="inlineStr">
        <is>
          <t>Spelman College</t>
        </is>
      </c>
      <c r="B1040" s="50" t="inlineStr">
        <is>
          <t>GA</t>
        </is>
      </c>
      <c r="C1040" s="52" t="n">
        <v>0.57</v>
      </c>
      <c r="D1040" t="inlineStr">
        <is>
          <t>Endowment</t>
        </is>
      </c>
      <c r="E1040" s="50" t="n">
        <v>2022</v>
      </c>
      <c r="F1040" s="50" t="inlineStr">
        <is>
          <t>2023-05-16</t>
        </is>
      </c>
      <c r="G1040" s="50" t="inlineStr">
        <is>
          <t>2022-06-30</t>
        </is>
      </c>
      <c r="H1040" t="inlineStr">
        <is>
          <t>Robert D Flanigan Jr</t>
        </is>
      </c>
      <c r="I1040" t="inlineStr">
        <is>
          <t>Chief Investment Officer &amp; Treasurer</t>
        </is>
      </c>
      <c r="J1040" t="inlineStr">
        <is>
          <t>CIO</t>
        </is>
      </c>
      <c r="K1040" t="inlineStr">
        <is>
          <t>CIO - Top Investment Executive</t>
        </is>
      </c>
      <c r="L1040" s="28" t="n">
        <v>388756</v>
      </c>
      <c r="M1040" s="28" t="n">
        <v>0</v>
      </c>
      <c r="N1040" s="28" t="n">
        <v>0</v>
      </c>
      <c r="O1040" s="28" t="n">
        <v>18266</v>
      </c>
      <c r="P1040" s="28" t="n">
        <v>4966</v>
      </c>
      <c r="Q1040" s="28" t="n">
        <v>411988</v>
      </c>
      <c r="R1040" s="28" t="n">
        <v>0</v>
      </c>
      <c r="S1040" s="28">
        <f>Q1040-R1040</f>
        <v/>
      </c>
      <c r="T1040" s="28">
        <f>IF(S1040="","",S1040*(1+in_GrowthRate)^(YEARFRAC(DATE(2022,6,30),in_AgeToDate)*IF(in_AgeToDate&lt;DATE(2022,6,30),-1,1)+1))</f>
        <v/>
      </c>
      <c r="U1040" s="50">
        <f>IF(AND(AND(OR(in_Mode="All Funds",AND(C1040&gt;=in_BandFloor,C1040&lt;=in_BandCeiling,OR(in_Geography="National",COUNTIFS(lst_GeoPreset,in_Geography,lst_GeoState,B1040)&gt;0,AND(in_Geography="Custom",ISNUMBER(SEARCH(B1040,SUBSTITUTE(in_CustomStates," ",""))))),OR(AND(D1040="Endowment",Inputs!$B$14="Y"),AND(D1040="Foundation",Inputs!$B$15="Y"),AND(D1040="Healthcare",Inputs!$B$16="Y"),AND(D1040="Pension",Inputs!$B$17="Y"),AND(D1040="OCIO",Inputs!$B$18="Y"),AND(D1040="Other",Inputs!$B$19="Y")))),A1040&lt;&gt;in_ClientOrg,NOT(AND(in_ExclHarvard="Y",ISNUMBER(SEARCH("Harvard",A1040))))),$AD1040="Y",K1040&lt;&gt;"",S1040&gt;0),"Y","")</f>
        <v/>
      </c>
      <c r="V1040" s="30" t="n">
        <v>1</v>
      </c>
      <c r="W1040" t="inlineStr"/>
      <c r="X1040" s="28">
        <f>IF(L1040+M1040=0,"",L1040+M1040)</f>
        <v/>
      </c>
      <c r="Y1040" s="38">
        <f>IF(L1040=0,"",M1040/L1040)</f>
        <v/>
      </c>
      <c r="Z1040" t="inlineStr">
        <is>
          <t>CIO - Top Investment Executive</t>
        </is>
      </c>
      <c r="AA1040" t="inlineStr">
        <is>
          <t>Leadership</t>
        </is>
      </c>
      <c r="AB1040" s="50" t="inlineStr">
        <is>
          <t>Y</t>
        </is>
      </c>
      <c r="AC1040" s="43">
        <f>HYPERLINK("https://projects.propublica.org/nonprofits/organizations/580566243/202311359349320406/full","view filing")</f>
        <v/>
      </c>
      <c r="AD1040" s="50" t="inlineStr"/>
    </row>
    <row r="1041">
      <c r="A1041" t="inlineStr">
        <is>
          <t>State University Of Iowa Foundation</t>
        </is>
      </c>
      <c r="B1041" s="50" t="inlineStr">
        <is>
          <t>IA</t>
        </is>
      </c>
      <c r="C1041" s="52" t="n">
        <v>3.77</v>
      </c>
      <c r="D1041" t="inlineStr">
        <is>
          <t>Endowment</t>
        </is>
      </c>
      <c r="E1041" s="50" t="n">
        <v>2025</v>
      </c>
      <c r="F1041" s="50" t="inlineStr">
        <is>
          <t>2025-11-12</t>
        </is>
      </c>
      <c r="G1041" s="50" t="inlineStr">
        <is>
          <t>2025-06-30</t>
        </is>
      </c>
      <c r="H1041" t="inlineStr">
        <is>
          <t>Jim Bethea</t>
        </is>
      </c>
      <c r="I1041" t="inlineStr">
        <is>
          <t>CHIEF INVESTMENT OFFICER</t>
        </is>
      </c>
      <c r="J1041" t="inlineStr">
        <is>
          <t>CIO</t>
        </is>
      </c>
      <c r="K1041" t="inlineStr">
        <is>
          <t>CIO - Top Investment Executive</t>
        </is>
      </c>
      <c r="L1041" s="28" t="n">
        <v>336505</v>
      </c>
      <c r="M1041" s="28" t="n">
        <v>10757</v>
      </c>
      <c r="N1041" s="28" t="n">
        <v>1146</v>
      </c>
      <c r="O1041" s="28" t="n">
        <v>34500</v>
      </c>
      <c r="P1041" s="28" t="n">
        <v>29889</v>
      </c>
      <c r="Q1041" s="28" t="n">
        <v>412797</v>
      </c>
      <c r="R1041" s="28" t="n">
        <v>0</v>
      </c>
      <c r="S1041" s="28">
        <f>Q1041-R1041</f>
        <v/>
      </c>
      <c r="T1041" s="28">
        <f>IF(S1041="","",S1041*(1+in_GrowthRate)^(YEARFRAC(DATE(2025,6,30),in_AgeToDate)*IF(in_AgeToDate&lt;DATE(2025,6,30),-1,1)+1))</f>
        <v/>
      </c>
      <c r="U1041" s="50">
        <f>IF(AND(AND(OR(in_Mode="All Funds",AND(C1041&gt;=in_BandFloor,C1041&lt;=in_BandCeiling,OR(in_Geography="National",COUNTIFS(lst_GeoPreset,in_Geography,lst_GeoState,B1041)&gt;0,AND(in_Geography="Custom",ISNUMBER(SEARCH(B1041,SUBSTITUTE(in_CustomStates," ",""))))),OR(AND(D1041="Endowment",Inputs!$B$14="Y"),AND(D1041="Foundation",Inputs!$B$15="Y"),AND(D1041="Healthcare",Inputs!$B$16="Y"),AND(D1041="Pension",Inputs!$B$17="Y"),AND(D1041="OCIO",Inputs!$B$18="Y"),AND(D1041="Other",Inputs!$B$19="Y")))),A1041&lt;&gt;in_ClientOrg,NOT(AND(in_ExclHarvard="Y",ISNUMBER(SEARCH("Harvard",A1041))))),$AD1041="Y",K1041&lt;&gt;"",S1041&gt;0),"Y","")</f>
        <v/>
      </c>
      <c r="V1041" s="30" t="n">
        <v>1</v>
      </c>
      <c r="W1041" t="inlineStr"/>
      <c r="X1041" s="28">
        <f>IF(L1041+M1041=0,"",L1041+M1041)</f>
        <v/>
      </c>
      <c r="Y1041" s="38">
        <f>IF(L1041=0,"",M1041/L1041)</f>
        <v/>
      </c>
      <c r="Z1041" t="inlineStr">
        <is>
          <t>CIO - Top Investment Executive</t>
        </is>
      </c>
      <c r="AA1041" t="inlineStr">
        <is>
          <t>Leadership</t>
        </is>
      </c>
      <c r="AB1041" s="50" t="inlineStr">
        <is>
          <t>Y</t>
        </is>
      </c>
      <c r="AC1041" s="43">
        <f>HYPERLINK("https://projects.propublica.org/nonprofits/organizations/420796760/202513169349302496/full","view filing")</f>
        <v/>
      </c>
      <c r="AD1041" s="50" t="inlineStr">
        <is>
          <t>Y</t>
        </is>
      </c>
    </row>
    <row r="1042">
      <c r="A1042" t="inlineStr">
        <is>
          <t>State University Of Iowa Foundation</t>
        </is>
      </c>
      <c r="B1042" s="50" t="inlineStr">
        <is>
          <t>IA</t>
        </is>
      </c>
      <c r="C1042" s="52" t="n">
        <v>3.77</v>
      </c>
      <c r="D1042" t="inlineStr">
        <is>
          <t>Endowment</t>
        </is>
      </c>
      <c r="E1042" s="50" t="n">
        <v>2024</v>
      </c>
      <c r="F1042" s="50" t="inlineStr">
        <is>
          <t>2024-11-14</t>
        </is>
      </c>
      <c r="G1042" s="50" t="inlineStr">
        <is>
          <t>2024-06-30</t>
        </is>
      </c>
      <c r="H1042" t="inlineStr">
        <is>
          <t>Jim Bethea</t>
        </is>
      </c>
      <c r="I1042" t="inlineStr">
        <is>
          <t>CHIEF INVESTMENT OFFICER</t>
        </is>
      </c>
      <c r="J1042" t="inlineStr">
        <is>
          <t>CIO</t>
        </is>
      </c>
      <c r="K1042" t="inlineStr">
        <is>
          <t>CIO - Top Investment Executive</t>
        </is>
      </c>
      <c r="L1042" s="28" t="n">
        <v>311113</v>
      </c>
      <c r="M1042" s="28" t="n">
        <v>13287</v>
      </c>
      <c r="N1042" s="28" t="n">
        <v>1146</v>
      </c>
      <c r="O1042" s="28" t="n">
        <v>32435</v>
      </c>
      <c r="P1042" s="28" t="n">
        <v>29339</v>
      </c>
      <c r="Q1042" s="28" t="n">
        <v>387320</v>
      </c>
      <c r="R1042" s="28" t="n">
        <v>0</v>
      </c>
      <c r="S1042" s="28">
        <f>Q1042-R1042</f>
        <v/>
      </c>
      <c r="T1042" s="28">
        <f>IF(S1042="","",S1042*(1+in_GrowthRate)^(YEARFRAC(DATE(2024,6,30),in_AgeToDate)*IF(in_AgeToDate&lt;DATE(2024,6,30),-1,1)+1))</f>
        <v/>
      </c>
      <c r="U1042" s="50">
        <f>IF(AND(AND(OR(in_Mode="All Funds",AND(C1042&gt;=in_BandFloor,C1042&lt;=in_BandCeiling,OR(in_Geography="National",COUNTIFS(lst_GeoPreset,in_Geography,lst_GeoState,B1042)&gt;0,AND(in_Geography="Custom",ISNUMBER(SEARCH(B1042,SUBSTITUTE(in_CustomStates," ",""))))),OR(AND(D1042="Endowment",Inputs!$B$14="Y"),AND(D1042="Foundation",Inputs!$B$15="Y"),AND(D1042="Healthcare",Inputs!$B$16="Y"),AND(D1042="Pension",Inputs!$B$17="Y"),AND(D1042="OCIO",Inputs!$B$18="Y"),AND(D1042="Other",Inputs!$B$19="Y")))),A1042&lt;&gt;in_ClientOrg,NOT(AND(in_ExclHarvard="Y",ISNUMBER(SEARCH("Harvard",A1042))))),$AD1042="Y",K1042&lt;&gt;"",S1042&gt;0),"Y","")</f>
        <v/>
      </c>
      <c r="V1042" s="30" t="n">
        <v>1</v>
      </c>
      <c r="W1042" t="inlineStr"/>
      <c r="X1042" s="28">
        <f>IF(L1042+M1042=0,"",L1042+M1042)</f>
        <v/>
      </c>
      <c r="Y1042" s="38">
        <f>IF(L1042=0,"",M1042/L1042)</f>
        <v/>
      </c>
      <c r="Z1042" t="inlineStr">
        <is>
          <t>CIO - Top Investment Executive</t>
        </is>
      </c>
      <c r="AA1042" t="inlineStr">
        <is>
          <t>Leadership</t>
        </is>
      </c>
      <c r="AB1042" s="50" t="inlineStr">
        <is>
          <t>Y</t>
        </is>
      </c>
      <c r="AC1042" s="43">
        <f>HYPERLINK("https://projects.propublica.org/nonprofits/organizations/420796760/202443199349315844/full","view filing")</f>
        <v/>
      </c>
      <c r="AD1042" s="50" t="inlineStr"/>
    </row>
    <row r="1043">
      <c r="A1043" t="inlineStr">
        <is>
          <t>State University Of Iowa Foundation</t>
        </is>
      </c>
      <c r="B1043" s="50" t="inlineStr">
        <is>
          <t>IA</t>
        </is>
      </c>
      <c r="C1043" s="52" t="n">
        <v>3.77</v>
      </c>
      <c r="D1043" t="inlineStr">
        <is>
          <t>Endowment</t>
        </is>
      </c>
      <c r="E1043" s="50" t="n">
        <v>2023</v>
      </c>
      <c r="F1043" s="50" t="inlineStr">
        <is>
          <t>2024-03-18</t>
        </is>
      </c>
      <c r="G1043" s="50" t="inlineStr">
        <is>
          <t>2023-06-30</t>
        </is>
      </c>
      <c r="H1043" t="inlineStr">
        <is>
          <t>Jim Bethea</t>
        </is>
      </c>
      <c r="I1043" t="inlineStr">
        <is>
          <t>CHIEF INVESTMENT OFFICER</t>
        </is>
      </c>
      <c r="J1043" t="inlineStr">
        <is>
          <t>CIO</t>
        </is>
      </c>
      <c r="K1043" t="inlineStr">
        <is>
          <t>CIO - Top Investment Executive</t>
        </is>
      </c>
      <c r="L1043" s="28" t="n">
        <v>295007</v>
      </c>
      <c r="M1043" s="28" t="n">
        <v>16071</v>
      </c>
      <c r="N1043" s="28" t="n">
        <v>748</v>
      </c>
      <c r="O1043" s="28" t="n">
        <v>29000</v>
      </c>
      <c r="P1043" s="28" t="n">
        <v>26608</v>
      </c>
      <c r="Q1043" s="28" t="n">
        <v>367434</v>
      </c>
      <c r="R1043" s="28" t="n">
        <v>0</v>
      </c>
      <c r="S1043" s="28">
        <f>Q1043-R1043</f>
        <v/>
      </c>
      <c r="T1043" s="28">
        <f>IF(S1043="","",S1043*(1+in_GrowthRate)^(YEARFRAC(DATE(2023,6,30),in_AgeToDate)*IF(in_AgeToDate&lt;DATE(2023,6,30),-1,1)+1))</f>
        <v/>
      </c>
      <c r="U1043" s="50">
        <f>IF(AND(AND(OR(in_Mode="All Funds",AND(C1043&gt;=in_BandFloor,C1043&lt;=in_BandCeiling,OR(in_Geography="National",COUNTIFS(lst_GeoPreset,in_Geography,lst_GeoState,B1043)&gt;0,AND(in_Geography="Custom",ISNUMBER(SEARCH(B1043,SUBSTITUTE(in_CustomStates," ",""))))),OR(AND(D1043="Endowment",Inputs!$B$14="Y"),AND(D1043="Foundation",Inputs!$B$15="Y"),AND(D1043="Healthcare",Inputs!$B$16="Y"),AND(D1043="Pension",Inputs!$B$17="Y"),AND(D1043="OCIO",Inputs!$B$18="Y"),AND(D1043="Other",Inputs!$B$19="Y")))),A1043&lt;&gt;in_ClientOrg,NOT(AND(in_ExclHarvard="Y",ISNUMBER(SEARCH("Harvard",A1043))))),$AD1043="Y",K1043&lt;&gt;"",S1043&gt;0),"Y","")</f>
        <v/>
      </c>
      <c r="V1043" s="30" t="n">
        <v>1</v>
      </c>
      <c r="W1043" t="inlineStr"/>
      <c r="X1043" s="28">
        <f>IF(L1043+M1043=0,"",L1043+M1043)</f>
        <v/>
      </c>
      <c r="Y1043" s="38">
        <f>IF(L1043=0,"",M1043/L1043)</f>
        <v/>
      </c>
      <c r="Z1043" t="inlineStr">
        <is>
          <t>CIO - Top Investment Executive</t>
        </is>
      </c>
      <c r="AA1043" t="inlineStr">
        <is>
          <t>Leadership</t>
        </is>
      </c>
      <c r="AB1043" s="50" t="inlineStr">
        <is>
          <t>Y</t>
        </is>
      </c>
      <c r="AC1043" s="43">
        <f>HYPERLINK("https://projects.propublica.org/nonprofits/organizations/420796760/202400469349300935/full","view filing")</f>
        <v/>
      </c>
      <c r="AD1043" s="50" t="inlineStr"/>
    </row>
    <row r="1044">
      <c r="A1044" t="inlineStr">
        <is>
          <t>State University Of Iowa Foundation</t>
        </is>
      </c>
      <c r="B1044" s="50" t="inlineStr">
        <is>
          <t>IA</t>
        </is>
      </c>
      <c r="C1044" s="52" t="n">
        <v>3.77</v>
      </c>
      <c r="D1044" t="inlineStr">
        <is>
          <t>Endowment</t>
        </is>
      </c>
      <c r="E1044" s="50" t="n">
        <v>2022</v>
      </c>
      <c r="F1044" s="50" t="inlineStr">
        <is>
          <t>2023-05-02</t>
        </is>
      </c>
      <c r="G1044" s="50" t="inlineStr">
        <is>
          <t>2022-06-30</t>
        </is>
      </c>
      <c r="H1044" t="inlineStr">
        <is>
          <t>Jim Bethea</t>
        </is>
      </c>
      <c r="I1044" t="inlineStr">
        <is>
          <t>CHIEF INVESTMENT OFFICER</t>
        </is>
      </c>
      <c r="J1044" t="inlineStr">
        <is>
          <t>CIO</t>
        </is>
      </c>
      <c r="K1044" t="inlineStr">
        <is>
          <t>CIO - Top Investment Executive</t>
        </is>
      </c>
      <c r="L1044" s="28" t="n">
        <v>285965</v>
      </c>
      <c r="M1044" s="28" t="n">
        <v>13491</v>
      </c>
      <c r="N1044" s="28" t="n">
        <v>748</v>
      </c>
      <c r="O1044" s="28" t="n">
        <v>29000</v>
      </c>
      <c r="P1044" s="28" t="n">
        <v>20910</v>
      </c>
      <c r="Q1044" s="28" t="n">
        <v>350114</v>
      </c>
      <c r="R1044" s="28" t="n">
        <v>0</v>
      </c>
      <c r="S1044" s="28">
        <f>Q1044-R1044</f>
        <v/>
      </c>
      <c r="T1044" s="28">
        <f>IF(S1044="","",S1044*(1+in_GrowthRate)^(YEARFRAC(DATE(2022,6,30),in_AgeToDate)*IF(in_AgeToDate&lt;DATE(2022,6,30),-1,1)+1))</f>
        <v/>
      </c>
      <c r="U1044" s="50">
        <f>IF(AND(AND(OR(in_Mode="All Funds",AND(C1044&gt;=in_BandFloor,C1044&lt;=in_BandCeiling,OR(in_Geography="National",COUNTIFS(lst_GeoPreset,in_Geography,lst_GeoState,B1044)&gt;0,AND(in_Geography="Custom",ISNUMBER(SEARCH(B1044,SUBSTITUTE(in_CustomStates," ",""))))),OR(AND(D1044="Endowment",Inputs!$B$14="Y"),AND(D1044="Foundation",Inputs!$B$15="Y"),AND(D1044="Healthcare",Inputs!$B$16="Y"),AND(D1044="Pension",Inputs!$B$17="Y"),AND(D1044="OCIO",Inputs!$B$18="Y"),AND(D1044="Other",Inputs!$B$19="Y")))),A1044&lt;&gt;in_ClientOrg,NOT(AND(in_ExclHarvard="Y",ISNUMBER(SEARCH("Harvard",A1044))))),$AD1044="Y",K1044&lt;&gt;"",S1044&gt;0),"Y","")</f>
        <v/>
      </c>
      <c r="V1044" s="30" t="n">
        <v>1</v>
      </c>
      <c r="W1044" t="inlineStr"/>
      <c r="X1044" s="28">
        <f>IF(L1044+M1044=0,"",L1044+M1044)</f>
        <v/>
      </c>
      <c r="Y1044" s="38">
        <f>IF(L1044=0,"",M1044/L1044)</f>
        <v/>
      </c>
      <c r="Z1044" t="inlineStr">
        <is>
          <t>CIO - Top Investment Executive</t>
        </is>
      </c>
      <c r="AA1044" t="inlineStr">
        <is>
          <t>Leadership</t>
        </is>
      </c>
      <c r="AB1044" s="50" t="inlineStr">
        <is>
          <t>Y</t>
        </is>
      </c>
      <c r="AC1044" s="43">
        <f>HYPERLINK("https://projects.propublica.org/nonprofits/organizations/420796760/202331229349301813/full","view filing")</f>
        <v/>
      </c>
      <c r="AD1044" s="50" t="inlineStr"/>
    </row>
    <row r="1045">
      <c r="A1045" t="inlineStr">
        <is>
          <t>Swarthmore College</t>
        </is>
      </c>
      <c r="B1045" s="50" t="inlineStr">
        <is>
          <t>PA</t>
        </is>
      </c>
      <c r="C1045" s="52" t="n">
        <v>2.84</v>
      </c>
      <c r="D1045" t="inlineStr">
        <is>
          <t>Endowment</t>
        </is>
      </c>
      <c r="E1045" s="50" t="n">
        <v>2025</v>
      </c>
      <c r="F1045" s="50" t="inlineStr">
        <is>
          <t>2026-05-11</t>
        </is>
      </c>
      <c r="G1045" s="50" t="inlineStr">
        <is>
          <t>2025-06-30</t>
        </is>
      </c>
      <c r="H1045" t="inlineStr">
        <is>
          <t>Frank C Grunseich</t>
        </is>
      </c>
      <c r="I1045" t="inlineStr">
        <is>
          <t>CHIEF INVESTMENT OFFICER</t>
        </is>
      </c>
      <c r="J1045" t="inlineStr">
        <is>
          <t>CIO</t>
        </is>
      </c>
      <c r="K1045" t="inlineStr">
        <is>
          <t>CIO - Top Investment Executive</t>
        </is>
      </c>
      <c r="L1045" s="28" t="n">
        <v>551123</v>
      </c>
      <c r="M1045" s="28" t="n">
        <v>0</v>
      </c>
      <c r="N1045" s="28" t="n">
        <v>0</v>
      </c>
      <c r="O1045" s="28" t="n">
        <v>34500</v>
      </c>
      <c r="P1045" s="28" t="n">
        <v>46946</v>
      </c>
      <c r="Q1045" s="28" t="n">
        <v>632569</v>
      </c>
      <c r="R1045" s="28" t="n">
        <v>0</v>
      </c>
      <c r="S1045" s="28">
        <f>Q1045-R1045</f>
        <v/>
      </c>
      <c r="T1045" s="28">
        <f>IF(S1045="","",S1045*(1+in_GrowthRate)^(YEARFRAC(DATE(2025,6,30),in_AgeToDate)*IF(in_AgeToDate&lt;DATE(2025,6,30),-1,1)+1))</f>
        <v/>
      </c>
      <c r="U1045" s="50">
        <f>IF(AND(AND(OR(in_Mode="All Funds",AND(C1045&gt;=in_BandFloor,C1045&lt;=in_BandCeiling,OR(in_Geography="National",COUNTIFS(lst_GeoPreset,in_Geography,lst_GeoState,B1045)&gt;0,AND(in_Geography="Custom",ISNUMBER(SEARCH(B1045,SUBSTITUTE(in_CustomStates," ",""))))),OR(AND(D1045="Endowment",Inputs!$B$14="Y"),AND(D1045="Foundation",Inputs!$B$15="Y"),AND(D1045="Healthcare",Inputs!$B$16="Y"),AND(D1045="Pension",Inputs!$B$17="Y"),AND(D1045="OCIO",Inputs!$B$18="Y"),AND(D1045="Other",Inputs!$B$19="Y")))),A1045&lt;&gt;in_ClientOrg,NOT(AND(in_ExclHarvard="Y",ISNUMBER(SEARCH("Harvard",A1045))))),$AD1045="Y",K1045&lt;&gt;"",S1045&gt;0),"Y","")</f>
        <v/>
      </c>
      <c r="V1045" s="30" t="n">
        <v>1</v>
      </c>
      <c r="W1045" t="inlineStr"/>
      <c r="X1045" s="28">
        <f>IF(L1045+M1045=0,"",L1045+M1045)</f>
        <v/>
      </c>
      <c r="Y1045" s="38">
        <f>IF(L1045=0,"",M1045/L1045)</f>
        <v/>
      </c>
      <c r="Z1045" t="inlineStr">
        <is>
          <t>CIO - Top Investment Executive</t>
        </is>
      </c>
      <c r="AA1045" t="inlineStr">
        <is>
          <t>Leadership</t>
        </is>
      </c>
      <c r="AB1045" s="50" t="inlineStr">
        <is>
          <t>Y</t>
        </is>
      </c>
      <c r="AC1045" s="43">
        <f>HYPERLINK("https://projects.propublica.org/nonprofits/organizations/231352683/202621319349304407/full","view filing")</f>
        <v/>
      </c>
      <c r="AD1045" s="50" t="inlineStr">
        <is>
          <t>Y</t>
        </is>
      </c>
    </row>
    <row r="1046">
      <c r="A1046" t="inlineStr">
        <is>
          <t>Swarthmore College</t>
        </is>
      </c>
      <c r="B1046" s="50" t="inlineStr">
        <is>
          <t>PA</t>
        </is>
      </c>
      <c r="C1046" s="52" t="n">
        <v>2.84</v>
      </c>
      <c r="D1046" t="inlineStr">
        <is>
          <t>Endowment</t>
        </is>
      </c>
      <c r="E1046" s="50" t="n">
        <v>2025</v>
      </c>
      <c r="F1046" s="50" t="inlineStr">
        <is>
          <t>2026-05-11</t>
        </is>
      </c>
      <c r="G1046" s="50" t="inlineStr">
        <is>
          <t>2025-06-30</t>
        </is>
      </c>
      <c r="H1046" t="inlineStr">
        <is>
          <t>Ying Han</t>
        </is>
      </c>
      <c r="I1046" t="inlineStr">
        <is>
          <t>DIRECTOR OF INVESTMENTS</t>
        </is>
      </c>
      <c r="J1046" t="inlineStr">
        <is>
          <t>Director of Investments</t>
        </is>
      </c>
      <c r="K1046" t="inlineStr">
        <is>
          <t>Sr Investment Professional</t>
        </is>
      </c>
      <c r="L1046" s="28" t="n">
        <v>300444</v>
      </c>
      <c r="M1046" s="28" t="n">
        <v>0</v>
      </c>
      <c r="N1046" s="28" t="n">
        <v>0</v>
      </c>
      <c r="O1046" s="28" t="n">
        <v>0</v>
      </c>
      <c r="P1046" s="28" t="n">
        <v>29597</v>
      </c>
      <c r="Q1046" s="28" t="n">
        <v>330041</v>
      </c>
      <c r="R1046" s="28" t="n">
        <v>0</v>
      </c>
      <c r="S1046" s="28">
        <f>Q1046-R1046</f>
        <v/>
      </c>
      <c r="T1046" s="28">
        <f>IF(S1046="","",S1046*(1+in_GrowthRate)^(YEARFRAC(DATE(2025,6,30),in_AgeToDate)*IF(in_AgeToDate&lt;DATE(2025,6,30),-1,1)+1))</f>
        <v/>
      </c>
      <c r="U1046" s="50">
        <f>IF(AND(AND(OR(in_Mode="All Funds",AND(C1046&gt;=in_BandFloor,C1046&lt;=in_BandCeiling,OR(in_Geography="National",COUNTIFS(lst_GeoPreset,in_Geography,lst_GeoState,B1046)&gt;0,AND(in_Geography="Custom",ISNUMBER(SEARCH(B1046,SUBSTITUTE(in_CustomStates," ",""))))),OR(AND(D1046="Endowment",Inputs!$B$14="Y"),AND(D1046="Foundation",Inputs!$B$15="Y"),AND(D1046="Healthcare",Inputs!$B$16="Y"),AND(D1046="Pension",Inputs!$B$17="Y"),AND(D1046="OCIO",Inputs!$B$18="Y"),AND(D1046="Other",Inputs!$B$19="Y")))),A1046&lt;&gt;in_ClientOrg,NOT(AND(in_ExclHarvard="Y",ISNUMBER(SEARCH("Harvard",A1046))))),$AD1046="Y",K1046&lt;&gt;"",S1046&gt;0),"Y","")</f>
        <v/>
      </c>
      <c r="V1046" s="30" t="n">
        <v>0.5217470347108378</v>
      </c>
      <c r="W1046" t="inlineStr"/>
      <c r="X1046" s="28">
        <f>IF(L1046+M1046=0,"",L1046+M1046)</f>
        <v/>
      </c>
      <c r="Y1046" s="38">
        <f>IF(L1046=0,"",M1046/L1046)</f>
        <v/>
      </c>
      <c r="Z1046" t="inlineStr">
        <is>
          <t>Director &amp; Investment Officer</t>
        </is>
      </c>
      <c r="AA1046" t="inlineStr">
        <is>
          <t>Investments</t>
        </is>
      </c>
      <c r="AB1046" s="50" t="inlineStr"/>
      <c r="AC1046" s="43">
        <f>HYPERLINK("https://projects.propublica.org/nonprofits/organizations/231352683/202621319349304407/full","view filing")</f>
        <v/>
      </c>
      <c r="AD1046" s="50" t="inlineStr">
        <is>
          <t>Y</t>
        </is>
      </c>
    </row>
    <row r="1047">
      <c r="A1047" t="inlineStr">
        <is>
          <t>Swarthmore College</t>
        </is>
      </c>
      <c r="B1047" s="50" t="inlineStr">
        <is>
          <t>PA</t>
        </is>
      </c>
      <c r="C1047" s="52" t="n">
        <v>2.84</v>
      </c>
      <c r="D1047" t="inlineStr">
        <is>
          <t>Endowment</t>
        </is>
      </c>
      <c r="E1047" s="50" t="n">
        <v>2023</v>
      </c>
      <c r="F1047" s="50" t="inlineStr">
        <is>
          <t>2024-05-08</t>
        </is>
      </c>
      <c r="G1047" s="50" t="inlineStr">
        <is>
          <t>2023-06-30</t>
        </is>
      </c>
      <c r="H1047" t="inlineStr">
        <is>
          <t>Frank C Grunseich</t>
        </is>
      </c>
      <c r="I1047" t="inlineStr">
        <is>
          <t>DIRECTOR OF INVESTMENTS</t>
        </is>
      </c>
      <c r="J1047" t="inlineStr">
        <is>
          <t>Director of Investments</t>
        </is>
      </c>
      <c r="K1047" t="inlineStr">
        <is>
          <t>Sr Investment Professional</t>
        </is>
      </c>
      <c r="L1047" s="28" t="n">
        <v>360383</v>
      </c>
      <c r="M1047" s="28" t="n">
        <v>0</v>
      </c>
      <c r="N1047" s="28" t="n">
        <v>0</v>
      </c>
      <c r="O1047" s="28" t="n">
        <v>30500</v>
      </c>
      <c r="P1047" s="28" t="n">
        <v>27857</v>
      </c>
      <c r="Q1047" s="28" t="n">
        <v>418740</v>
      </c>
      <c r="R1047" s="28" t="n">
        <v>0</v>
      </c>
      <c r="S1047" s="28">
        <f>Q1047-R1047</f>
        <v/>
      </c>
      <c r="T1047" s="28">
        <f>IF(S1047="","",S1047*(1+in_GrowthRate)^(YEARFRAC(DATE(2023,6,30),in_AgeToDate)*IF(in_AgeToDate&lt;DATE(2023,6,30),-1,1)+1))</f>
        <v/>
      </c>
      <c r="U1047" s="50">
        <f>IF(AND(AND(OR(in_Mode="All Funds",AND(C1047&gt;=in_BandFloor,C1047&lt;=in_BandCeiling,OR(in_Geography="National",COUNTIFS(lst_GeoPreset,in_Geography,lst_GeoState,B1047)&gt;0,AND(in_Geography="Custom",ISNUMBER(SEARCH(B1047,SUBSTITUTE(in_CustomStates," ",""))))),OR(AND(D1047="Endowment",Inputs!$B$14="Y"),AND(D1047="Foundation",Inputs!$B$15="Y"),AND(D1047="Healthcare",Inputs!$B$16="Y"),AND(D1047="Pension",Inputs!$B$17="Y"),AND(D1047="OCIO",Inputs!$B$18="Y"),AND(D1047="Other",Inputs!$B$19="Y")))),A1047&lt;&gt;in_ClientOrg,NOT(AND(in_ExclHarvard="Y",ISNUMBER(SEARCH("Harvard",A1047))))),$AD1047="Y",K1047&lt;&gt;"",S1047&gt;0),"Y","")</f>
        <v/>
      </c>
      <c r="V1047" s="30" t="n">
        <v>0.840834931376191</v>
      </c>
      <c r="W1047" t="inlineStr"/>
      <c r="X1047" s="28">
        <f>IF(L1047+M1047=0,"",L1047+M1047)</f>
        <v/>
      </c>
      <c r="Y1047" s="38">
        <f>IF(L1047=0,"",M1047/L1047)</f>
        <v/>
      </c>
      <c r="Z1047" t="inlineStr">
        <is>
          <t>Director &amp; Investment Officer</t>
        </is>
      </c>
      <c r="AA1047" t="inlineStr">
        <is>
          <t>Investments</t>
        </is>
      </c>
      <c r="AB1047" s="50" t="inlineStr"/>
      <c r="AC1047" s="43">
        <f>HYPERLINK("https://projects.propublica.org/nonprofits/organizations/231352683/202401299349304150/full","view filing")</f>
        <v/>
      </c>
      <c r="AD1047" s="50" t="inlineStr"/>
    </row>
    <row r="1048">
      <c r="A1048" t="inlineStr">
        <is>
          <t>Swarthmore College</t>
        </is>
      </c>
      <c r="B1048" s="50" t="inlineStr">
        <is>
          <t>PA</t>
        </is>
      </c>
      <c r="C1048" s="52" t="n">
        <v>2.84</v>
      </c>
      <c r="D1048" t="inlineStr">
        <is>
          <t>Endowment</t>
        </is>
      </c>
      <c r="E1048" s="50" t="n">
        <v>2023</v>
      </c>
      <c r="F1048" s="50" t="inlineStr">
        <is>
          <t>2024-05-08</t>
        </is>
      </c>
      <c r="G1048" s="50" t="inlineStr">
        <is>
          <t>2023-06-30</t>
        </is>
      </c>
      <c r="H1048" t="inlineStr">
        <is>
          <t>Mark C Amstutz</t>
        </is>
      </c>
      <c r="I1048" t="inlineStr">
        <is>
          <t>CHIEF INVESTMENT OFFICER</t>
        </is>
      </c>
      <c r="J1048" t="inlineStr">
        <is>
          <t>CIO</t>
        </is>
      </c>
      <c r="K1048" t="inlineStr">
        <is>
          <t>CIO - Top Investment Executive</t>
        </is>
      </c>
      <c r="L1048" s="28" t="n">
        <v>445115</v>
      </c>
      <c r="M1048" s="28" t="n">
        <v>0</v>
      </c>
      <c r="N1048" s="28" t="n">
        <v>0</v>
      </c>
      <c r="O1048" s="28" t="n">
        <v>30500</v>
      </c>
      <c r="P1048" s="28" t="n">
        <v>22390</v>
      </c>
      <c r="Q1048" s="28" t="n">
        <v>498005</v>
      </c>
      <c r="R1048" s="28" t="n">
        <v>0</v>
      </c>
      <c r="S1048" s="28">
        <f>Q1048-R1048</f>
        <v/>
      </c>
      <c r="T1048" s="28">
        <f>IF(S1048="","",S1048*(1+in_GrowthRate)^(YEARFRAC(DATE(2023,6,30),in_AgeToDate)*IF(in_AgeToDate&lt;DATE(2023,6,30),-1,1)+1))</f>
        <v/>
      </c>
      <c r="U1048" s="50">
        <f>IF(AND(AND(OR(in_Mode="All Funds",AND(C1048&gt;=in_BandFloor,C1048&lt;=in_BandCeiling,OR(in_Geography="National",COUNTIFS(lst_GeoPreset,in_Geography,lst_GeoState,B1048)&gt;0,AND(in_Geography="Custom",ISNUMBER(SEARCH(B1048,SUBSTITUTE(in_CustomStates," ",""))))),OR(AND(D1048="Endowment",Inputs!$B$14="Y"),AND(D1048="Foundation",Inputs!$B$15="Y"),AND(D1048="Healthcare",Inputs!$B$16="Y"),AND(D1048="Pension",Inputs!$B$17="Y"),AND(D1048="OCIO",Inputs!$B$18="Y"),AND(D1048="Other",Inputs!$B$19="Y")))),A1048&lt;&gt;in_ClientOrg,NOT(AND(in_ExclHarvard="Y",ISNUMBER(SEARCH("Harvard",A1048))))),$AD1048="Y",K1048&lt;&gt;"",S1048&gt;0),"Y","")</f>
        <v/>
      </c>
      <c r="V1048" s="30" t="n">
        <v>1</v>
      </c>
      <c r="W1048" t="inlineStr"/>
      <c r="X1048" s="28">
        <f>IF(L1048+M1048=0,"",L1048+M1048)</f>
        <v/>
      </c>
      <c r="Y1048" s="38">
        <f>IF(L1048=0,"",M1048/L1048)</f>
        <v/>
      </c>
      <c r="Z1048" t="inlineStr">
        <is>
          <t>CIO - Top Investment Executive</t>
        </is>
      </c>
      <c r="AA1048" t="inlineStr">
        <is>
          <t>Leadership</t>
        </is>
      </c>
      <c r="AB1048" s="50" t="inlineStr">
        <is>
          <t>Y</t>
        </is>
      </c>
      <c r="AC1048" s="43">
        <f>HYPERLINK("https://projects.propublica.org/nonprofits/organizations/231352683/202401299349304150/full","view filing")</f>
        <v/>
      </c>
      <c r="AD1048" s="50" t="inlineStr"/>
    </row>
    <row r="1049">
      <c r="A1049" t="inlineStr">
        <is>
          <t>Swarthmore College</t>
        </is>
      </c>
      <c r="B1049" s="50" t="inlineStr">
        <is>
          <t>PA</t>
        </is>
      </c>
      <c r="C1049" s="52" t="n">
        <v>2.84</v>
      </c>
      <c r="D1049" t="inlineStr">
        <is>
          <t>Endowment</t>
        </is>
      </c>
      <c r="E1049" s="50" t="n">
        <v>2022</v>
      </c>
      <c r="F1049" s="50" t="inlineStr">
        <is>
          <t>2023-05-11</t>
        </is>
      </c>
      <c r="G1049" s="50" t="inlineStr">
        <is>
          <t>2022-06-30</t>
        </is>
      </c>
      <c r="H1049" t="inlineStr">
        <is>
          <t>Frank C Grunseich</t>
        </is>
      </c>
      <c r="I1049" t="inlineStr">
        <is>
          <t>DIRECTOR OF INVESTMENTS</t>
        </is>
      </c>
      <c r="J1049" t="inlineStr">
        <is>
          <t>Director of Investments</t>
        </is>
      </c>
      <c r="K1049" t="inlineStr">
        <is>
          <t>Sr Investment Professional</t>
        </is>
      </c>
      <c r="L1049" s="28" t="n">
        <v>294640</v>
      </c>
      <c r="M1049" s="28" t="n">
        <v>0</v>
      </c>
      <c r="N1049" s="28" t="n">
        <v>0</v>
      </c>
      <c r="O1049" s="28" t="n">
        <v>28250</v>
      </c>
      <c r="P1049" s="28" t="n">
        <v>27148</v>
      </c>
      <c r="Q1049" s="28" t="n">
        <v>350038</v>
      </c>
      <c r="R1049" s="28" t="n">
        <v>0</v>
      </c>
      <c r="S1049" s="28">
        <f>Q1049-R1049</f>
        <v/>
      </c>
      <c r="T1049" s="28">
        <f>IF(S1049="","",S1049*(1+in_GrowthRate)^(YEARFRAC(DATE(2022,6,30),in_AgeToDate)*IF(in_AgeToDate&lt;DATE(2022,6,30),-1,1)+1))</f>
        <v/>
      </c>
      <c r="U1049" s="50">
        <f>IF(AND(AND(OR(in_Mode="All Funds",AND(C1049&gt;=in_BandFloor,C1049&lt;=in_BandCeiling,OR(in_Geography="National",COUNTIFS(lst_GeoPreset,in_Geography,lst_GeoState,B1049)&gt;0,AND(in_Geography="Custom",ISNUMBER(SEARCH(B1049,SUBSTITUTE(in_CustomStates," ",""))))),OR(AND(D1049="Endowment",Inputs!$B$14="Y"),AND(D1049="Foundation",Inputs!$B$15="Y"),AND(D1049="Healthcare",Inputs!$B$16="Y"),AND(D1049="Pension",Inputs!$B$17="Y"),AND(D1049="OCIO",Inputs!$B$18="Y"),AND(D1049="Other",Inputs!$B$19="Y")))),A1049&lt;&gt;in_ClientOrg,NOT(AND(in_ExclHarvard="Y",ISNUMBER(SEARCH("Harvard",A1049))))),$AD1049="Y",K1049&lt;&gt;"",S1049&gt;0),"Y","")</f>
        <v/>
      </c>
      <c r="V1049" s="30" t="n">
        <v>0.8577449637458312</v>
      </c>
      <c r="W1049" t="inlineStr"/>
      <c r="X1049" s="28">
        <f>IF(L1049+M1049=0,"",L1049+M1049)</f>
        <v/>
      </c>
      <c r="Y1049" s="38">
        <f>IF(L1049=0,"",M1049/L1049)</f>
        <v/>
      </c>
      <c r="Z1049" t="inlineStr">
        <is>
          <t>Director &amp; Investment Officer</t>
        </is>
      </c>
      <c r="AA1049" t="inlineStr">
        <is>
          <t>Investments</t>
        </is>
      </c>
      <c r="AB1049" s="50" t="inlineStr"/>
      <c r="AC1049" s="43">
        <f>HYPERLINK("https://projects.propublica.org/nonprofits/organizations/231352683/202301319349301635/full","view filing")</f>
        <v/>
      </c>
      <c r="AD1049" s="50" t="inlineStr"/>
    </row>
    <row r="1050">
      <c r="A1050" t="inlineStr">
        <is>
          <t>Swarthmore College</t>
        </is>
      </c>
      <c r="B1050" s="50" t="inlineStr">
        <is>
          <t>PA</t>
        </is>
      </c>
      <c r="C1050" s="52" t="n">
        <v>2.84</v>
      </c>
      <c r="D1050" t="inlineStr">
        <is>
          <t>Endowment</t>
        </is>
      </c>
      <c r="E1050" s="50" t="n">
        <v>2022</v>
      </c>
      <c r="F1050" s="50" t="inlineStr">
        <is>
          <t>2023-05-11</t>
        </is>
      </c>
      <c r="G1050" s="50" t="inlineStr">
        <is>
          <t>2022-06-30</t>
        </is>
      </c>
      <c r="H1050" t="inlineStr">
        <is>
          <t>Mark C Amstutz</t>
        </is>
      </c>
      <c r="I1050" t="inlineStr">
        <is>
          <t>CHIEF INVESTMENT OFFICER</t>
        </is>
      </c>
      <c r="J1050" t="inlineStr">
        <is>
          <t>CIO</t>
        </is>
      </c>
      <c r="K1050" t="inlineStr">
        <is>
          <t>CIO - Top Investment Executive</t>
        </is>
      </c>
      <c r="L1050" s="28" t="n">
        <v>357262</v>
      </c>
      <c r="M1050" s="28" t="n">
        <v>0</v>
      </c>
      <c r="N1050" s="28" t="n">
        <v>0</v>
      </c>
      <c r="O1050" s="28" t="n">
        <v>29000</v>
      </c>
      <c r="P1050" s="28" t="n">
        <v>21829</v>
      </c>
      <c r="Q1050" s="28" t="n">
        <v>408091</v>
      </c>
      <c r="R1050" s="28" t="n">
        <v>0</v>
      </c>
      <c r="S1050" s="28">
        <f>Q1050-R1050</f>
        <v/>
      </c>
      <c r="T1050" s="28">
        <f>IF(S1050="","",S1050*(1+in_GrowthRate)^(YEARFRAC(DATE(2022,6,30),in_AgeToDate)*IF(in_AgeToDate&lt;DATE(2022,6,30),-1,1)+1))</f>
        <v/>
      </c>
      <c r="U1050" s="50">
        <f>IF(AND(AND(OR(in_Mode="All Funds",AND(C1050&gt;=in_BandFloor,C1050&lt;=in_BandCeiling,OR(in_Geography="National",COUNTIFS(lst_GeoPreset,in_Geography,lst_GeoState,B1050)&gt;0,AND(in_Geography="Custom",ISNUMBER(SEARCH(B1050,SUBSTITUTE(in_CustomStates," ",""))))),OR(AND(D1050="Endowment",Inputs!$B$14="Y"),AND(D1050="Foundation",Inputs!$B$15="Y"),AND(D1050="Healthcare",Inputs!$B$16="Y"),AND(D1050="Pension",Inputs!$B$17="Y"),AND(D1050="OCIO",Inputs!$B$18="Y"),AND(D1050="Other",Inputs!$B$19="Y")))),A1050&lt;&gt;in_ClientOrg,NOT(AND(in_ExclHarvard="Y",ISNUMBER(SEARCH("Harvard",A1050))))),$AD1050="Y",K1050&lt;&gt;"",S1050&gt;0),"Y","")</f>
        <v/>
      </c>
      <c r="V1050" s="30" t="n">
        <v>1</v>
      </c>
      <c r="W1050" t="inlineStr"/>
      <c r="X1050" s="28">
        <f>IF(L1050+M1050=0,"",L1050+M1050)</f>
        <v/>
      </c>
      <c r="Y1050" s="38">
        <f>IF(L1050=0,"",M1050/L1050)</f>
        <v/>
      </c>
      <c r="Z1050" t="inlineStr">
        <is>
          <t>CIO - Top Investment Executive</t>
        </is>
      </c>
      <c r="AA1050" t="inlineStr">
        <is>
          <t>Leadership</t>
        </is>
      </c>
      <c r="AB1050" s="50" t="inlineStr">
        <is>
          <t>Y</t>
        </is>
      </c>
      <c r="AC1050" s="43">
        <f>HYPERLINK("https://projects.propublica.org/nonprofits/organizations/231352683/202301319349301635/full","view filing")</f>
        <v/>
      </c>
      <c r="AD1050" s="50" t="inlineStr"/>
    </row>
    <row r="1051">
      <c r="A1051" t="inlineStr">
        <is>
          <t>Texas A&amp;M Foundation</t>
        </is>
      </c>
      <c r="B1051" s="50" t="inlineStr">
        <is>
          <t>TX</t>
        </is>
      </c>
      <c r="C1051" s="52" t="n">
        <v>3.43</v>
      </c>
      <c r="D1051" t="inlineStr">
        <is>
          <t>Foundation</t>
        </is>
      </c>
      <c r="E1051" s="50" t="n">
        <v>2025</v>
      </c>
      <c r="F1051" s="50" t="inlineStr">
        <is>
          <t>2026-05-11</t>
        </is>
      </c>
      <c r="G1051" s="50" t="inlineStr">
        <is>
          <t>2025-06-30</t>
        </is>
      </c>
      <c r="H1051" t="inlineStr">
        <is>
          <t>Andrew Hill</t>
        </is>
      </c>
      <c r="I1051" t="inlineStr">
        <is>
          <t>ASST DIRECTOR INVESTMENTS</t>
        </is>
      </c>
      <c r="J1051" t="inlineStr">
        <is>
          <t>Director of Investments</t>
        </is>
      </c>
      <c r="K1051" t="inlineStr">
        <is>
          <t>Sr Investment Professional</t>
        </is>
      </c>
      <c r="L1051" s="28" t="n">
        <v>201793</v>
      </c>
      <c r="M1051" s="28" t="n">
        <v>92813</v>
      </c>
      <c r="N1051" s="28" t="n">
        <v>810</v>
      </c>
      <c r="O1051" s="28" t="n">
        <v>34057</v>
      </c>
      <c r="P1051" s="28" t="n">
        <v>10647</v>
      </c>
      <c r="Q1051" s="28" t="n">
        <v>340120</v>
      </c>
      <c r="R1051" s="28" t="n">
        <v>0</v>
      </c>
      <c r="S1051" s="28">
        <f>Q1051-R1051</f>
        <v/>
      </c>
      <c r="T1051" s="28">
        <f>IF(S1051="","",S1051*(1+in_GrowthRate)^(YEARFRAC(DATE(2025,6,30),in_AgeToDate)*IF(in_AgeToDate&lt;DATE(2025,6,30),-1,1)+1))</f>
        <v/>
      </c>
      <c r="U1051" s="50">
        <f>IF(AND(AND(OR(in_Mode="All Funds",AND(C1051&gt;=in_BandFloor,C1051&lt;=in_BandCeiling,OR(in_Geography="National",COUNTIFS(lst_GeoPreset,in_Geography,lst_GeoState,B1051)&gt;0,AND(in_Geography="Custom",ISNUMBER(SEARCH(B1051,SUBSTITUTE(in_CustomStates," ",""))))),OR(AND(D1051="Endowment",Inputs!$B$14="Y"),AND(D1051="Foundation",Inputs!$B$15="Y"),AND(D1051="Healthcare",Inputs!$B$16="Y"),AND(D1051="Pension",Inputs!$B$17="Y"),AND(D1051="OCIO",Inputs!$B$18="Y"),AND(D1051="Other",Inputs!$B$19="Y")))),A1051&lt;&gt;in_ClientOrg,NOT(AND(in_ExclHarvard="Y",ISNUMBER(SEARCH("Harvard",A1051))))),$AD1051="Y",K1051&lt;&gt;"",S1051&gt;0),"Y","")</f>
        <v/>
      </c>
      <c r="V1051" s="30" t="n">
        <v>0.2570581010864431</v>
      </c>
      <c r="W1051" t="inlineStr"/>
      <c r="X1051" s="28">
        <f>IF(L1051+M1051=0,"",L1051+M1051)</f>
        <v/>
      </c>
      <c r="Y1051" s="38">
        <f>IF(L1051=0,"",M1051/L1051)</f>
        <v/>
      </c>
      <c r="Z1051" t="inlineStr">
        <is>
          <t>Director &amp; Investment Officer</t>
        </is>
      </c>
      <c r="AA1051" t="inlineStr">
        <is>
          <t>Investments</t>
        </is>
      </c>
      <c r="AB1051" s="50" t="inlineStr"/>
      <c r="AC1051" s="43">
        <f>HYPERLINK("https://projects.propublica.org/nonprofits/organizations/742245072/202601319349304565/full","view filing")</f>
        <v/>
      </c>
      <c r="AD1051" s="50" t="inlineStr">
        <is>
          <t>Y</t>
        </is>
      </c>
    </row>
    <row r="1052">
      <c r="A1052" t="inlineStr">
        <is>
          <t>Texas A&amp;M Foundation</t>
        </is>
      </c>
      <c r="B1052" s="50" t="inlineStr">
        <is>
          <t>TX</t>
        </is>
      </c>
      <c r="C1052" s="52" t="n">
        <v>3.43</v>
      </c>
      <c r="D1052" t="inlineStr">
        <is>
          <t>Foundation</t>
        </is>
      </c>
      <c r="E1052" s="50" t="n">
        <v>2025</v>
      </c>
      <c r="F1052" s="50" t="inlineStr">
        <is>
          <t>2026-05-11</t>
        </is>
      </c>
      <c r="G1052" s="50" t="inlineStr">
        <is>
          <t>2025-06-30</t>
        </is>
      </c>
      <c r="H1052" t="inlineStr">
        <is>
          <t>Blake Mcdonald</t>
        </is>
      </c>
      <c r="I1052" t="inlineStr">
        <is>
          <t>ASST DIRECTOR INVESTMENTS</t>
        </is>
      </c>
      <c r="J1052" t="inlineStr">
        <is>
          <t>Director of Investments</t>
        </is>
      </c>
      <c r="K1052" t="inlineStr">
        <is>
          <t>Sr Investment Professional</t>
        </is>
      </c>
      <c r="L1052" s="28" t="n">
        <v>193313</v>
      </c>
      <c r="M1052" s="28" t="n">
        <v>91200</v>
      </c>
      <c r="N1052" s="28" t="n">
        <v>432</v>
      </c>
      <c r="O1052" s="28" t="n">
        <v>33377</v>
      </c>
      <c r="P1052" s="28" t="n">
        <v>11790</v>
      </c>
      <c r="Q1052" s="28" t="n">
        <v>330112</v>
      </c>
      <c r="R1052" s="28" t="n">
        <v>0</v>
      </c>
      <c r="S1052" s="28">
        <f>Q1052-R1052</f>
        <v/>
      </c>
      <c r="T1052" s="28">
        <f>IF(S1052="","",S1052*(1+in_GrowthRate)^(YEARFRAC(DATE(2025,6,30),in_AgeToDate)*IF(in_AgeToDate&lt;DATE(2025,6,30),-1,1)+1))</f>
        <v/>
      </c>
      <c r="U1052" s="50">
        <f>IF(AND(AND(OR(in_Mode="All Funds",AND(C1052&gt;=in_BandFloor,C1052&lt;=in_BandCeiling,OR(in_Geography="National",COUNTIFS(lst_GeoPreset,in_Geography,lst_GeoState,B1052)&gt;0,AND(in_Geography="Custom",ISNUMBER(SEARCH(B1052,SUBSTITUTE(in_CustomStates," ",""))))),OR(AND(D1052="Endowment",Inputs!$B$14="Y"),AND(D1052="Foundation",Inputs!$B$15="Y"),AND(D1052="Healthcare",Inputs!$B$16="Y"),AND(D1052="Pension",Inputs!$B$17="Y"),AND(D1052="OCIO",Inputs!$B$18="Y"),AND(D1052="Other",Inputs!$B$19="Y")))),A1052&lt;&gt;in_ClientOrg,NOT(AND(in_ExclHarvard="Y",ISNUMBER(SEARCH("Harvard",A1052))))),$AD1052="Y",K1052&lt;&gt;"",S1052&gt;0),"Y","")</f>
        <v/>
      </c>
      <c r="V1052" s="30" t="n">
        <v>0.2494941898913557</v>
      </c>
      <c r="W1052" t="inlineStr"/>
      <c r="X1052" s="28">
        <f>IF(L1052+M1052=0,"",L1052+M1052)</f>
        <v/>
      </c>
      <c r="Y1052" s="38">
        <f>IF(L1052=0,"",M1052/L1052)</f>
        <v/>
      </c>
      <c r="Z1052" t="inlineStr">
        <is>
          <t>Director &amp; Investment Officer</t>
        </is>
      </c>
      <c r="AA1052" t="inlineStr">
        <is>
          <t>Investments</t>
        </is>
      </c>
      <c r="AB1052" s="50" t="inlineStr"/>
      <c r="AC1052" s="43">
        <f>HYPERLINK("https://projects.propublica.org/nonprofits/organizations/742245072/202601319349304565/full","view filing")</f>
        <v/>
      </c>
      <c r="AD1052" s="50" t="inlineStr">
        <is>
          <t>Y</t>
        </is>
      </c>
    </row>
    <row r="1053">
      <c r="A1053" t="inlineStr">
        <is>
          <t>Texas A&amp;M Foundation</t>
        </is>
      </c>
      <c r="B1053" s="50" t="inlineStr">
        <is>
          <t>TX</t>
        </is>
      </c>
      <c r="C1053" s="52" t="n">
        <v>3.43</v>
      </c>
      <c r="D1053" t="inlineStr">
        <is>
          <t>Foundation</t>
        </is>
      </c>
      <c r="E1053" s="50" t="n">
        <v>2025</v>
      </c>
      <c r="F1053" s="50" t="inlineStr">
        <is>
          <t>2026-05-11</t>
        </is>
      </c>
      <c r="G1053" s="50" t="inlineStr">
        <is>
          <t>2025-06-30</t>
        </is>
      </c>
      <c r="H1053" t="inlineStr">
        <is>
          <t>Michael D Pia</t>
        </is>
      </c>
      <c r="I1053" t="inlineStr">
        <is>
          <t>CHIEF INVESTMENT OFFICER</t>
        </is>
      </c>
      <c r="J1053" t="inlineStr">
        <is>
          <t>CIO</t>
        </is>
      </c>
      <c r="K1053" t="inlineStr">
        <is>
          <t>CIO - Top Investment Executive</t>
        </is>
      </c>
      <c r="L1053" s="28" t="n">
        <v>546759</v>
      </c>
      <c r="M1053" s="28" t="n">
        <v>689063</v>
      </c>
      <c r="N1053" s="28" t="n">
        <v>5141</v>
      </c>
      <c r="O1053" s="28" t="n">
        <v>58260</v>
      </c>
      <c r="P1053" s="28" t="n">
        <v>23902</v>
      </c>
      <c r="Q1053" s="28" t="n">
        <v>1323125</v>
      </c>
      <c r="R1053" s="28" t="n">
        <v>0</v>
      </c>
      <c r="S1053" s="28">
        <f>Q1053-R1053</f>
        <v/>
      </c>
      <c r="T1053" s="28">
        <f>IF(S1053="","",S1053*(1+in_GrowthRate)^(YEARFRAC(DATE(2025,6,30),in_AgeToDate)*IF(in_AgeToDate&lt;DATE(2025,6,30),-1,1)+1))</f>
        <v/>
      </c>
      <c r="U1053" s="50">
        <f>IF(AND(AND(OR(in_Mode="All Funds",AND(C1053&gt;=in_BandFloor,C1053&lt;=in_BandCeiling,OR(in_Geography="National",COUNTIFS(lst_GeoPreset,in_Geography,lst_GeoState,B1053)&gt;0,AND(in_Geography="Custom",ISNUMBER(SEARCH(B1053,SUBSTITUTE(in_CustomStates," ",""))))),OR(AND(D1053="Endowment",Inputs!$B$14="Y"),AND(D1053="Foundation",Inputs!$B$15="Y"),AND(D1053="Healthcare",Inputs!$B$16="Y"),AND(D1053="Pension",Inputs!$B$17="Y"),AND(D1053="OCIO",Inputs!$B$18="Y"),AND(D1053="Other",Inputs!$B$19="Y")))),A1053&lt;&gt;in_ClientOrg,NOT(AND(in_ExclHarvard="Y",ISNUMBER(SEARCH("Harvard",A1053))))),$AD1053="Y",K1053&lt;&gt;"",S1053&gt;0),"Y","")</f>
        <v/>
      </c>
      <c r="V1053" s="30" t="n">
        <v>1</v>
      </c>
      <c r="W1053" t="inlineStr"/>
      <c r="X1053" s="28">
        <f>IF(L1053+M1053=0,"",L1053+M1053)</f>
        <v/>
      </c>
      <c r="Y1053" s="38">
        <f>IF(L1053=0,"",M1053/L1053)</f>
        <v/>
      </c>
      <c r="Z1053" t="inlineStr">
        <is>
          <t>CIO - Top Investment Executive</t>
        </is>
      </c>
      <c r="AA1053" t="inlineStr">
        <is>
          <t>Leadership</t>
        </is>
      </c>
      <c r="AB1053" s="50" t="inlineStr">
        <is>
          <t>Y</t>
        </is>
      </c>
      <c r="AC1053" s="43">
        <f>HYPERLINK("https://projects.propublica.org/nonprofits/organizations/742245072/202601319349304565/full","view filing")</f>
        <v/>
      </c>
      <c r="AD1053" s="50" t="inlineStr">
        <is>
          <t>Y</t>
        </is>
      </c>
    </row>
    <row r="1054">
      <c r="A1054" t="inlineStr">
        <is>
          <t>Texas A&amp;M Foundation</t>
        </is>
      </c>
      <c r="B1054" s="50" t="inlineStr">
        <is>
          <t>TX</t>
        </is>
      </c>
      <c r="C1054" s="52" t="n">
        <v>3.43</v>
      </c>
      <c r="D1054" t="inlineStr">
        <is>
          <t>Foundation</t>
        </is>
      </c>
      <c r="E1054" s="50" t="n">
        <v>2025</v>
      </c>
      <c r="F1054" s="50" t="inlineStr">
        <is>
          <t>2026-05-11</t>
        </is>
      </c>
      <c r="G1054" s="50" t="inlineStr">
        <is>
          <t>2025-06-30</t>
        </is>
      </c>
      <c r="H1054" t="inlineStr">
        <is>
          <t>Ross Willmann</t>
        </is>
      </c>
      <c r="I1054" t="inlineStr">
        <is>
          <t>INVESTMENT DIRECTOR</t>
        </is>
      </c>
      <c r="J1054" t="inlineStr">
        <is>
          <t>Director of Investments</t>
        </is>
      </c>
      <c r="K1054" t="inlineStr">
        <is>
          <t>Sr Investment Professional</t>
        </is>
      </c>
      <c r="L1054" s="28" t="n">
        <v>282949</v>
      </c>
      <c r="M1054" s="28" t="n">
        <v>165900</v>
      </c>
      <c r="N1054" s="28" t="n">
        <v>7551</v>
      </c>
      <c r="O1054" s="28" t="n">
        <v>48450</v>
      </c>
      <c r="P1054" s="28" t="n">
        <v>10530</v>
      </c>
      <c r="Q1054" s="28" t="n">
        <v>515380</v>
      </c>
      <c r="R1054" s="28" t="n">
        <v>0</v>
      </c>
      <c r="S1054" s="28">
        <f>Q1054-R1054</f>
        <v/>
      </c>
      <c r="T1054" s="28">
        <f>IF(S1054="","",S1054*(1+in_GrowthRate)^(YEARFRAC(DATE(2025,6,30),in_AgeToDate)*IF(in_AgeToDate&lt;DATE(2025,6,30),-1,1)+1))</f>
        <v/>
      </c>
      <c r="U1054" s="50">
        <f>IF(AND(AND(OR(in_Mode="All Funds",AND(C1054&gt;=in_BandFloor,C1054&lt;=in_BandCeiling,OR(in_Geography="National",COUNTIFS(lst_GeoPreset,in_Geography,lst_GeoState,B1054)&gt;0,AND(in_Geography="Custom",ISNUMBER(SEARCH(B1054,SUBSTITUTE(in_CustomStates," ",""))))),OR(AND(D1054="Endowment",Inputs!$B$14="Y"),AND(D1054="Foundation",Inputs!$B$15="Y"),AND(D1054="Healthcare",Inputs!$B$16="Y"),AND(D1054="Pension",Inputs!$B$17="Y"),AND(D1054="OCIO",Inputs!$B$18="Y"),AND(D1054="Other",Inputs!$B$19="Y")))),A1054&lt;&gt;in_ClientOrg,NOT(AND(in_ExclHarvard="Y",ISNUMBER(SEARCH("Harvard",A1054))))),$AD1054="Y",K1054&lt;&gt;"",S1054&gt;0),"Y","")</f>
        <v/>
      </c>
      <c r="V1054" s="30" t="n">
        <v>0.3895172413793103</v>
      </c>
      <c r="W1054" t="inlineStr"/>
      <c r="X1054" s="28">
        <f>IF(L1054+M1054=0,"",L1054+M1054)</f>
        <v/>
      </c>
      <c r="Y1054" s="38">
        <f>IF(L1054=0,"",M1054/L1054)</f>
        <v/>
      </c>
      <c r="Z1054" t="inlineStr">
        <is>
          <t>Director &amp; Investment Officer</t>
        </is>
      </c>
      <c r="AA1054" t="inlineStr">
        <is>
          <t>Investments</t>
        </is>
      </c>
      <c r="AB1054" s="50" t="inlineStr"/>
      <c r="AC1054" s="43">
        <f>HYPERLINK("https://projects.propublica.org/nonprofits/organizations/742245072/202601319349304565/full","view filing")</f>
        <v/>
      </c>
      <c r="AD1054" s="50" t="inlineStr">
        <is>
          <t>Y</t>
        </is>
      </c>
    </row>
    <row r="1055">
      <c r="A1055" t="inlineStr">
        <is>
          <t>Texas A&amp;M Foundation</t>
        </is>
      </c>
      <c r="B1055" s="50" t="inlineStr">
        <is>
          <t>TX</t>
        </is>
      </c>
      <c r="C1055" s="52" t="n">
        <v>3.43</v>
      </c>
      <c r="D1055" t="inlineStr">
        <is>
          <t>Foundation</t>
        </is>
      </c>
      <c r="E1055" s="50" t="n">
        <v>2024</v>
      </c>
      <c r="F1055" s="50" t="inlineStr">
        <is>
          <t>2025-05-01</t>
        </is>
      </c>
      <c r="G1055" s="50" t="inlineStr">
        <is>
          <t>2024-06-30</t>
        </is>
      </c>
      <c r="H1055" t="inlineStr">
        <is>
          <t>Andrew Hill</t>
        </is>
      </c>
      <c r="I1055" t="inlineStr">
        <is>
          <t>ASST DIRECTOR OF INVESTMENTS</t>
        </is>
      </c>
      <c r="J1055" t="inlineStr">
        <is>
          <t>Director of Investments</t>
        </is>
      </c>
      <c r="K1055" t="inlineStr">
        <is>
          <t>Sr Investment Professional</t>
        </is>
      </c>
      <c r="L1055" s="28" t="n">
        <v>193726</v>
      </c>
      <c r="M1055" s="28" t="n">
        <v>86688</v>
      </c>
      <c r="N1055" s="28" t="n">
        <v>810</v>
      </c>
      <c r="O1055" s="28" t="n">
        <v>32753</v>
      </c>
      <c r="P1055" s="28" t="n">
        <v>10194</v>
      </c>
      <c r="Q1055" s="28" t="n">
        <v>324171</v>
      </c>
      <c r="R1055" s="28" t="n">
        <v>0</v>
      </c>
      <c r="S1055" s="28">
        <f>Q1055-R1055</f>
        <v/>
      </c>
      <c r="T1055" s="28">
        <f>IF(S1055="","",S1055*(1+in_GrowthRate)^(YEARFRAC(DATE(2024,6,30),in_AgeToDate)*IF(in_AgeToDate&lt;DATE(2024,6,30),-1,1)+1))</f>
        <v/>
      </c>
      <c r="U1055" s="50">
        <f>IF(AND(AND(OR(in_Mode="All Funds",AND(C1055&gt;=in_BandFloor,C1055&lt;=in_BandCeiling,OR(in_Geography="National",COUNTIFS(lst_GeoPreset,in_Geography,lst_GeoState,B1055)&gt;0,AND(in_Geography="Custom",ISNUMBER(SEARCH(B1055,SUBSTITUTE(in_CustomStates," ",""))))),OR(AND(D1055="Endowment",Inputs!$B$14="Y"),AND(D1055="Foundation",Inputs!$B$15="Y"),AND(D1055="Healthcare",Inputs!$B$16="Y"),AND(D1055="Pension",Inputs!$B$17="Y"),AND(D1055="OCIO",Inputs!$B$18="Y"),AND(D1055="Other",Inputs!$B$19="Y")))),A1055&lt;&gt;in_ClientOrg,NOT(AND(in_ExclHarvard="Y",ISNUMBER(SEARCH("Harvard",A1055))))),$AD1055="Y",K1055&lt;&gt;"",S1055&gt;0),"Y","")</f>
        <v/>
      </c>
      <c r="V1055" s="30" t="n">
        <v>0.2573384128213942</v>
      </c>
      <c r="W1055" t="inlineStr"/>
      <c r="X1055" s="28">
        <f>IF(L1055+M1055=0,"",L1055+M1055)</f>
        <v/>
      </c>
      <c r="Y1055" s="38">
        <f>IF(L1055=0,"",M1055/L1055)</f>
        <v/>
      </c>
      <c r="Z1055" t="inlineStr">
        <is>
          <t>Director &amp; Investment Officer</t>
        </is>
      </c>
      <c r="AA1055" t="inlineStr">
        <is>
          <t>Investments</t>
        </is>
      </c>
      <c r="AB1055" s="50" t="inlineStr"/>
      <c r="AC1055" s="43">
        <f>HYPERLINK("https://projects.propublica.org/nonprofits/organizations/742245072/202521219349302817/full","view filing")</f>
        <v/>
      </c>
      <c r="AD1055" s="50" t="inlineStr"/>
    </row>
    <row r="1056">
      <c r="A1056" t="inlineStr">
        <is>
          <t>Texas A&amp;M Foundation</t>
        </is>
      </c>
      <c r="B1056" s="50" t="inlineStr">
        <is>
          <t>TX</t>
        </is>
      </c>
      <c r="C1056" s="52" t="n">
        <v>3.43</v>
      </c>
      <c r="D1056" t="inlineStr">
        <is>
          <t>Foundation</t>
        </is>
      </c>
      <c r="E1056" s="50" t="n">
        <v>2024</v>
      </c>
      <c r="F1056" s="50" t="inlineStr">
        <is>
          <t>2025-05-01</t>
        </is>
      </c>
      <c r="G1056" s="50" t="inlineStr">
        <is>
          <t>2024-06-30</t>
        </is>
      </c>
      <c r="H1056" t="inlineStr">
        <is>
          <t>Blake Mcdonald</t>
        </is>
      </c>
      <c r="I1056" t="inlineStr">
        <is>
          <t>ASST DIRECTOR OF INVESTMENTS</t>
        </is>
      </c>
      <c r="J1056" t="inlineStr">
        <is>
          <t>Director of Investments</t>
        </is>
      </c>
      <c r="K1056" t="inlineStr">
        <is>
          <t>Sr Investment Professional</t>
        </is>
      </c>
      <c r="L1056" s="28" t="n">
        <v>177465</v>
      </c>
      <c r="M1056" s="28" t="n">
        <v>85313</v>
      </c>
      <c r="N1056" s="28" t="n">
        <v>432</v>
      </c>
      <c r="O1056" s="28" t="n">
        <v>30713</v>
      </c>
      <c r="P1056" s="28" t="n">
        <v>10209</v>
      </c>
      <c r="Q1056" s="28" t="n">
        <v>304132</v>
      </c>
      <c r="R1056" s="28" t="n">
        <v>0</v>
      </c>
      <c r="S1056" s="28">
        <f>Q1056-R1056</f>
        <v/>
      </c>
      <c r="T1056" s="28">
        <f>IF(S1056="","",S1056*(1+in_GrowthRate)^(YEARFRAC(DATE(2024,6,30),in_AgeToDate)*IF(in_AgeToDate&lt;DATE(2024,6,30),-1,1)+1))</f>
        <v/>
      </c>
      <c r="U1056" s="50">
        <f>IF(AND(AND(OR(in_Mode="All Funds",AND(C1056&gt;=in_BandFloor,C1056&lt;=in_BandCeiling,OR(in_Geography="National",COUNTIFS(lst_GeoPreset,in_Geography,lst_GeoState,B1056)&gt;0,AND(in_Geography="Custom",ISNUMBER(SEARCH(B1056,SUBSTITUTE(in_CustomStates," ",""))))),OR(AND(D1056="Endowment",Inputs!$B$14="Y"),AND(D1056="Foundation",Inputs!$B$15="Y"),AND(D1056="Healthcare",Inputs!$B$16="Y"),AND(D1056="Pension",Inputs!$B$17="Y"),AND(D1056="OCIO",Inputs!$B$18="Y"),AND(D1056="Other",Inputs!$B$19="Y")))),A1056&lt;&gt;in_ClientOrg,NOT(AND(in_ExclHarvard="Y",ISNUMBER(SEARCH("Harvard",A1056))))),$AD1056="Y",K1056&lt;&gt;"",S1056&gt;0),"Y","")</f>
        <v/>
      </c>
      <c r="V1056" s="30" t="n">
        <v>0.2414307454034946</v>
      </c>
      <c r="W1056" t="inlineStr"/>
      <c r="X1056" s="28">
        <f>IF(L1056+M1056=0,"",L1056+M1056)</f>
        <v/>
      </c>
      <c r="Y1056" s="38">
        <f>IF(L1056=0,"",M1056/L1056)</f>
        <v/>
      </c>
      <c r="Z1056" t="inlineStr">
        <is>
          <t>Director &amp; Investment Officer</t>
        </is>
      </c>
      <c r="AA1056" t="inlineStr">
        <is>
          <t>Investments</t>
        </is>
      </c>
      <c r="AB1056" s="50" t="inlineStr"/>
      <c r="AC1056" s="43">
        <f>HYPERLINK("https://projects.propublica.org/nonprofits/organizations/742245072/202521219349302817/full","view filing")</f>
        <v/>
      </c>
      <c r="AD1056" s="50" t="inlineStr"/>
    </row>
    <row r="1057">
      <c r="A1057" t="inlineStr">
        <is>
          <t>Texas A&amp;M Foundation</t>
        </is>
      </c>
      <c r="B1057" s="50" t="inlineStr">
        <is>
          <t>TX</t>
        </is>
      </c>
      <c r="C1057" s="52" t="n">
        <v>3.43</v>
      </c>
      <c r="D1057" t="inlineStr">
        <is>
          <t>Foundation</t>
        </is>
      </c>
      <c r="E1057" s="50" t="n">
        <v>2024</v>
      </c>
      <c r="F1057" s="50" t="inlineStr">
        <is>
          <t>2025-05-01</t>
        </is>
      </c>
      <c r="G1057" s="50" t="inlineStr">
        <is>
          <t>2024-06-30</t>
        </is>
      </c>
      <c r="H1057" t="inlineStr">
        <is>
          <t>Michael D Pia</t>
        </is>
      </c>
      <c r="I1057" t="inlineStr">
        <is>
          <t>CIO</t>
        </is>
      </c>
      <c r="J1057" t="inlineStr">
        <is>
          <t>CIO</t>
        </is>
      </c>
      <c r="K1057" t="inlineStr">
        <is>
          <t>CIO - Top Investment Executive</t>
        </is>
      </c>
      <c r="L1057" s="28" t="n">
        <v>519048</v>
      </c>
      <c r="M1057" s="28" t="n">
        <v>656250</v>
      </c>
      <c r="N1057" s="28" t="n">
        <v>4662</v>
      </c>
      <c r="O1057" s="28" t="n">
        <v>57693</v>
      </c>
      <c r="P1057" s="28" t="n">
        <v>22054</v>
      </c>
      <c r="Q1057" s="28" t="n">
        <v>1259707</v>
      </c>
      <c r="R1057" s="28" t="n">
        <v>0</v>
      </c>
      <c r="S1057" s="28">
        <f>Q1057-R1057</f>
        <v/>
      </c>
      <c r="T1057" s="28">
        <f>IF(S1057="","",S1057*(1+in_GrowthRate)^(YEARFRAC(DATE(2024,6,30),in_AgeToDate)*IF(in_AgeToDate&lt;DATE(2024,6,30),-1,1)+1))</f>
        <v/>
      </c>
      <c r="U1057" s="50">
        <f>IF(AND(AND(OR(in_Mode="All Funds",AND(C1057&gt;=in_BandFloor,C1057&lt;=in_BandCeiling,OR(in_Geography="National",COUNTIFS(lst_GeoPreset,in_Geography,lst_GeoState,B1057)&gt;0,AND(in_Geography="Custom",ISNUMBER(SEARCH(B1057,SUBSTITUTE(in_CustomStates," ",""))))),OR(AND(D1057="Endowment",Inputs!$B$14="Y"),AND(D1057="Foundation",Inputs!$B$15="Y"),AND(D1057="Healthcare",Inputs!$B$16="Y"),AND(D1057="Pension",Inputs!$B$17="Y"),AND(D1057="OCIO",Inputs!$B$18="Y"),AND(D1057="Other",Inputs!$B$19="Y")))),A1057&lt;&gt;in_ClientOrg,NOT(AND(in_ExclHarvard="Y",ISNUMBER(SEARCH("Harvard",A1057))))),$AD1057="Y",K1057&lt;&gt;"",S1057&gt;0),"Y","")</f>
        <v/>
      </c>
      <c r="V1057" s="30" t="n">
        <v>1</v>
      </c>
      <c r="W1057" t="inlineStr"/>
      <c r="X1057" s="28">
        <f>IF(L1057+M1057=0,"",L1057+M1057)</f>
        <v/>
      </c>
      <c r="Y1057" s="38">
        <f>IF(L1057=0,"",M1057/L1057)</f>
        <v/>
      </c>
      <c r="Z1057" t="inlineStr">
        <is>
          <t>CIO - Top Investment Executive</t>
        </is>
      </c>
      <c r="AA1057" t="inlineStr">
        <is>
          <t>Leadership</t>
        </is>
      </c>
      <c r="AB1057" s="50" t="inlineStr">
        <is>
          <t>Y</t>
        </is>
      </c>
      <c r="AC1057" s="43">
        <f>HYPERLINK("https://projects.propublica.org/nonprofits/organizations/742245072/202521219349302817/full","view filing")</f>
        <v/>
      </c>
      <c r="AD1057" s="50" t="inlineStr"/>
    </row>
    <row r="1058">
      <c r="A1058" t="inlineStr">
        <is>
          <t>Texas A&amp;M Foundation</t>
        </is>
      </c>
      <c r="B1058" s="50" t="inlineStr">
        <is>
          <t>TX</t>
        </is>
      </c>
      <c r="C1058" s="52" t="n">
        <v>3.43</v>
      </c>
      <c r="D1058" t="inlineStr">
        <is>
          <t>Foundation</t>
        </is>
      </c>
      <c r="E1058" s="50" t="n">
        <v>2024</v>
      </c>
      <c r="F1058" s="50" t="inlineStr">
        <is>
          <t>2025-05-01</t>
        </is>
      </c>
      <c r="G1058" s="50" t="inlineStr">
        <is>
          <t>2024-06-30</t>
        </is>
      </c>
      <c r="H1058" t="inlineStr">
        <is>
          <t>Ross Willmann</t>
        </is>
      </c>
      <c r="I1058" t="inlineStr">
        <is>
          <t>INVESTMENT DIRECTOR</t>
        </is>
      </c>
      <c r="J1058" t="inlineStr">
        <is>
          <t>Director of Investments</t>
        </is>
      </c>
      <c r="K1058" t="inlineStr">
        <is>
          <t>Sr Investment Professional</t>
        </is>
      </c>
      <c r="L1058" s="28" t="n">
        <v>268095</v>
      </c>
      <c r="M1058" s="28" t="n">
        <v>153038</v>
      </c>
      <c r="N1058" s="28" t="n">
        <v>7251</v>
      </c>
      <c r="O1058" s="28" t="n">
        <v>45900</v>
      </c>
      <c r="P1058" s="28" t="n">
        <v>10194</v>
      </c>
      <c r="Q1058" s="28" t="n">
        <v>484478</v>
      </c>
      <c r="R1058" s="28" t="n">
        <v>0</v>
      </c>
      <c r="S1058" s="28">
        <f>Q1058-R1058</f>
        <v/>
      </c>
      <c r="T1058" s="28">
        <f>IF(S1058="","",S1058*(1+in_GrowthRate)^(YEARFRAC(DATE(2024,6,30),in_AgeToDate)*IF(in_AgeToDate&lt;DATE(2024,6,30),-1,1)+1))</f>
        <v/>
      </c>
      <c r="U1058" s="50">
        <f>IF(AND(AND(OR(in_Mode="All Funds",AND(C1058&gt;=in_BandFloor,C1058&lt;=in_BandCeiling,OR(in_Geography="National",COUNTIFS(lst_GeoPreset,in_Geography,lst_GeoState,B1058)&gt;0,AND(in_Geography="Custom",ISNUMBER(SEARCH(B1058,SUBSTITUTE(in_CustomStates," ",""))))),OR(AND(D1058="Endowment",Inputs!$B$14="Y"),AND(D1058="Foundation",Inputs!$B$15="Y"),AND(D1058="Healthcare",Inputs!$B$16="Y"),AND(D1058="Pension",Inputs!$B$17="Y"),AND(D1058="OCIO",Inputs!$B$18="Y"),AND(D1058="Other",Inputs!$B$19="Y")))),A1058&lt;&gt;in_ClientOrg,NOT(AND(in_ExclHarvard="Y",ISNUMBER(SEARCH("Harvard",A1058))))),$AD1058="Y",K1058&lt;&gt;"",S1058&gt;0),"Y","")</f>
        <v/>
      </c>
      <c r="V1058" s="30" t="n">
        <v>0.3845957829876313</v>
      </c>
      <c r="W1058" t="inlineStr"/>
      <c r="X1058" s="28">
        <f>IF(L1058+M1058=0,"",L1058+M1058)</f>
        <v/>
      </c>
      <c r="Y1058" s="38">
        <f>IF(L1058=0,"",M1058/L1058)</f>
        <v/>
      </c>
      <c r="Z1058" t="inlineStr">
        <is>
          <t>Director &amp; Investment Officer</t>
        </is>
      </c>
      <c r="AA1058" t="inlineStr">
        <is>
          <t>Investments</t>
        </is>
      </c>
      <c r="AB1058" s="50" t="inlineStr"/>
      <c r="AC1058" s="43">
        <f>HYPERLINK("https://projects.propublica.org/nonprofits/organizations/742245072/202521219349302817/full","view filing")</f>
        <v/>
      </c>
      <c r="AD1058" s="50" t="inlineStr"/>
    </row>
    <row r="1059">
      <c r="A1059" t="inlineStr">
        <is>
          <t>Texas A&amp;M Foundation</t>
        </is>
      </c>
      <c r="B1059" s="50" t="inlineStr">
        <is>
          <t>TX</t>
        </is>
      </c>
      <c r="C1059" s="52" t="n">
        <v>3.43</v>
      </c>
      <c r="D1059" t="inlineStr">
        <is>
          <t>Foundation</t>
        </is>
      </c>
      <c r="E1059" s="50" t="n">
        <v>2023</v>
      </c>
      <c r="F1059" s="50" t="inlineStr">
        <is>
          <t>2024-04-30</t>
        </is>
      </c>
      <c r="G1059" s="50" t="inlineStr">
        <is>
          <t>2023-06-30</t>
        </is>
      </c>
      <c r="H1059" t="inlineStr">
        <is>
          <t>Michael D Pia</t>
        </is>
      </c>
      <c r="I1059" t="inlineStr">
        <is>
          <t>CIO</t>
        </is>
      </c>
      <c r="J1059" t="inlineStr">
        <is>
          <t>CIO</t>
        </is>
      </c>
      <c r="K1059" t="inlineStr">
        <is>
          <t>CIO - Top Investment Executive</t>
        </is>
      </c>
      <c r="L1059" s="28" t="n">
        <v>411447</v>
      </c>
      <c r="M1059" s="28" t="n">
        <v>489460</v>
      </c>
      <c r="N1059" s="28" t="n">
        <v>3312</v>
      </c>
      <c r="O1059" s="28" t="n">
        <v>58415</v>
      </c>
      <c r="P1059" s="28" t="n">
        <v>22455</v>
      </c>
      <c r="Q1059" s="28" t="n">
        <v>985089</v>
      </c>
      <c r="R1059" s="28" t="n">
        <v>0</v>
      </c>
      <c r="S1059" s="28">
        <f>Q1059-R1059</f>
        <v/>
      </c>
      <c r="T1059" s="28">
        <f>IF(S1059="","",S1059*(1+in_GrowthRate)^(YEARFRAC(DATE(2023,6,30),in_AgeToDate)*IF(in_AgeToDate&lt;DATE(2023,6,30),-1,1)+1))</f>
        <v/>
      </c>
      <c r="U1059" s="50">
        <f>IF(AND(AND(OR(in_Mode="All Funds",AND(C1059&gt;=in_BandFloor,C1059&lt;=in_BandCeiling,OR(in_Geography="National",COUNTIFS(lst_GeoPreset,in_Geography,lst_GeoState,B1059)&gt;0,AND(in_Geography="Custom",ISNUMBER(SEARCH(B1059,SUBSTITUTE(in_CustomStates," ",""))))),OR(AND(D1059="Endowment",Inputs!$B$14="Y"),AND(D1059="Foundation",Inputs!$B$15="Y"),AND(D1059="Healthcare",Inputs!$B$16="Y"),AND(D1059="Pension",Inputs!$B$17="Y"),AND(D1059="OCIO",Inputs!$B$18="Y"),AND(D1059="Other",Inputs!$B$19="Y")))),A1059&lt;&gt;in_ClientOrg,NOT(AND(in_ExclHarvard="Y",ISNUMBER(SEARCH("Harvard",A1059))))),$AD1059="Y",K1059&lt;&gt;"",S1059&gt;0),"Y","")</f>
        <v/>
      </c>
      <c r="V1059" s="30" t="n">
        <v>1</v>
      </c>
      <c r="W1059" t="inlineStr"/>
      <c r="X1059" s="28">
        <f>IF(L1059+M1059=0,"",L1059+M1059)</f>
        <v/>
      </c>
      <c r="Y1059" s="38">
        <f>IF(L1059=0,"",M1059/L1059)</f>
        <v/>
      </c>
      <c r="Z1059" t="inlineStr">
        <is>
          <t>CIO - Top Investment Executive</t>
        </is>
      </c>
      <c r="AA1059" t="inlineStr">
        <is>
          <t>Leadership</t>
        </is>
      </c>
      <c r="AB1059" s="50" t="inlineStr">
        <is>
          <t>Y</t>
        </is>
      </c>
      <c r="AC1059" s="43">
        <f>HYPERLINK("https://projects.propublica.org/nonprofits/organizations/742245072/202431219349302578/full","view filing")</f>
        <v/>
      </c>
      <c r="AD1059" s="50" t="inlineStr"/>
    </row>
    <row r="1060">
      <c r="A1060" t="inlineStr">
        <is>
          <t>Texas A&amp;M Foundation</t>
        </is>
      </c>
      <c r="B1060" s="50" t="inlineStr">
        <is>
          <t>TX</t>
        </is>
      </c>
      <c r="C1060" s="52" t="n">
        <v>3.43</v>
      </c>
      <c r="D1060" t="inlineStr">
        <is>
          <t>Foundation</t>
        </is>
      </c>
      <c r="E1060" s="50" t="n">
        <v>2023</v>
      </c>
      <c r="F1060" s="50" t="inlineStr">
        <is>
          <t>2024-04-30</t>
        </is>
      </c>
      <c r="G1060" s="50" t="inlineStr">
        <is>
          <t>2023-06-30</t>
        </is>
      </c>
      <c r="H1060" t="inlineStr">
        <is>
          <t>Ross Willmann</t>
        </is>
      </c>
      <c r="I1060" t="inlineStr">
        <is>
          <t>INVESTMENT DIRECTOR</t>
        </is>
      </c>
      <c r="J1060" t="inlineStr">
        <is>
          <t>Director of Investments</t>
        </is>
      </c>
      <c r="K1060" t="inlineStr">
        <is>
          <t>Sr Investment Professional</t>
        </is>
      </c>
      <c r="L1060" s="28" t="n">
        <v>237153</v>
      </c>
      <c r="M1060" s="28" t="n">
        <v>142175</v>
      </c>
      <c r="N1060" s="28" t="n">
        <v>6936</v>
      </c>
      <c r="O1060" s="28" t="n">
        <v>40860</v>
      </c>
      <c r="P1060" s="28" t="n">
        <v>10388</v>
      </c>
      <c r="Q1060" s="28" t="n">
        <v>437512</v>
      </c>
      <c r="R1060" s="28" t="n">
        <v>0</v>
      </c>
      <c r="S1060" s="28">
        <f>Q1060-R1060</f>
        <v/>
      </c>
      <c r="T1060" s="28">
        <f>IF(S1060="","",S1060*(1+in_GrowthRate)^(YEARFRAC(DATE(2023,6,30),in_AgeToDate)*IF(in_AgeToDate&lt;DATE(2023,6,30),-1,1)+1))</f>
        <v/>
      </c>
      <c r="U1060" s="50">
        <f>IF(AND(AND(OR(in_Mode="All Funds",AND(C1060&gt;=in_BandFloor,C1060&lt;=in_BandCeiling,OR(in_Geography="National",COUNTIFS(lst_GeoPreset,in_Geography,lst_GeoState,B1060)&gt;0,AND(in_Geography="Custom",ISNUMBER(SEARCH(B1060,SUBSTITUTE(in_CustomStates," ",""))))),OR(AND(D1060="Endowment",Inputs!$B$14="Y"),AND(D1060="Foundation",Inputs!$B$15="Y"),AND(D1060="Healthcare",Inputs!$B$16="Y"),AND(D1060="Pension",Inputs!$B$17="Y"),AND(D1060="OCIO",Inputs!$B$18="Y"),AND(D1060="Other",Inputs!$B$19="Y")))),A1060&lt;&gt;in_ClientOrg,NOT(AND(in_ExclHarvard="Y",ISNUMBER(SEARCH("Harvard",A1060))))),$AD1060="Y",K1060&lt;&gt;"",S1060&gt;0),"Y","")</f>
        <v/>
      </c>
      <c r="V1060" s="30" t="n">
        <v>0.4441344893710111</v>
      </c>
      <c r="W1060" t="inlineStr"/>
      <c r="X1060" s="28">
        <f>IF(L1060+M1060=0,"",L1060+M1060)</f>
        <v/>
      </c>
      <c r="Y1060" s="38">
        <f>IF(L1060=0,"",M1060/L1060)</f>
        <v/>
      </c>
      <c r="Z1060" t="inlineStr">
        <is>
          <t>Director &amp; Investment Officer</t>
        </is>
      </c>
      <c r="AA1060" t="inlineStr">
        <is>
          <t>Investments</t>
        </is>
      </c>
      <c r="AB1060" s="50" t="inlineStr"/>
      <c r="AC1060" s="43">
        <f>HYPERLINK("https://projects.propublica.org/nonprofits/organizations/742245072/202431219349302578/full","view filing")</f>
        <v/>
      </c>
      <c r="AD1060" s="50" t="inlineStr"/>
    </row>
    <row r="1061">
      <c r="A1061" t="inlineStr">
        <is>
          <t>Texas A&amp;M Foundation</t>
        </is>
      </c>
      <c r="B1061" s="50" t="inlineStr">
        <is>
          <t>TX</t>
        </is>
      </c>
      <c r="C1061" s="52" t="n">
        <v>3.43</v>
      </c>
      <c r="D1061" t="inlineStr">
        <is>
          <t>Foundation</t>
        </is>
      </c>
      <c r="E1061" s="50" t="n">
        <v>2022</v>
      </c>
      <c r="F1061" s="50" t="inlineStr">
        <is>
          <t>2023-05-09</t>
        </is>
      </c>
      <c r="G1061" s="50" t="inlineStr">
        <is>
          <t>2022-06-30</t>
        </is>
      </c>
      <c r="H1061" t="inlineStr">
        <is>
          <t>Michael D Pia</t>
        </is>
      </c>
      <c r="I1061" t="inlineStr">
        <is>
          <t>CIO</t>
        </is>
      </c>
      <c r="J1061" t="inlineStr">
        <is>
          <t>CIO</t>
        </is>
      </c>
      <c r="K1061" t="inlineStr">
        <is>
          <t>CIO - Top Investment Executive</t>
        </is>
      </c>
      <c r="L1061" s="28" t="n">
        <v>350435</v>
      </c>
      <c r="M1061" s="28" t="n">
        <v>165133</v>
      </c>
      <c r="N1061" s="28" t="n">
        <v>2467</v>
      </c>
      <c r="O1061" s="28" t="n">
        <v>50704</v>
      </c>
      <c r="P1061" s="28" t="n">
        <v>22708</v>
      </c>
      <c r="Q1061" s="28" t="n">
        <v>591447</v>
      </c>
      <c r="R1061" s="28" t="n">
        <v>0</v>
      </c>
      <c r="S1061" s="28">
        <f>Q1061-R1061</f>
        <v/>
      </c>
      <c r="T1061" s="28">
        <f>IF(S1061="","",S1061*(1+in_GrowthRate)^(YEARFRAC(DATE(2022,6,30),in_AgeToDate)*IF(in_AgeToDate&lt;DATE(2022,6,30),-1,1)+1))</f>
        <v/>
      </c>
      <c r="U1061" s="50">
        <f>IF(AND(AND(OR(in_Mode="All Funds",AND(C1061&gt;=in_BandFloor,C1061&lt;=in_BandCeiling,OR(in_Geography="National",COUNTIFS(lst_GeoPreset,in_Geography,lst_GeoState,B1061)&gt;0,AND(in_Geography="Custom",ISNUMBER(SEARCH(B1061,SUBSTITUTE(in_CustomStates," ",""))))),OR(AND(D1061="Endowment",Inputs!$B$14="Y"),AND(D1061="Foundation",Inputs!$B$15="Y"),AND(D1061="Healthcare",Inputs!$B$16="Y"),AND(D1061="Pension",Inputs!$B$17="Y"),AND(D1061="OCIO",Inputs!$B$18="Y"),AND(D1061="Other",Inputs!$B$19="Y")))),A1061&lt;&gt;in_ClientOrg,NOT(AND(in_ExclHarvard="Y",ISNUMBER(SEARCH("Harvard",A1061))))),$AD1061="Y",K1061&lt;&gt;"",S1061&gt;0),"Y","")</f>
        <v/>
      </c>
      <c r="V1061" s="30" t="n">
        <v>1</v>
      </c>
      <c r="W1061" t="inlineStr"/>
      <c r="X1061" s="28">
        <f>IF(L1061+M1061=0,"",L1061+M1061)</f>
        <v/>
      </c>
      <c r="Y1061" s="38">
        <f>IF(L1061=0,"",M1061/L1061)</f>
        <v/>
      </c>
      <c r="Z1061" t="inlineStr">
        <is>
          <t>CIO - Top Investment Executive</t>
        </is>
      </c>
      <c r="AA1061" t="inlineStr">
        <is>
          <t>Leadership</t>
        </is>
      </c>
      <c r="AB1061" s="50" t="inlineStr">
        <is>
          <t>Y</t>
        </is>
      </c>
      <c r="AC1061" s="43">
        <f>HYPERLINK("https://projects.propublica.org/nonprofits/organizations/742245072/202301299349302895/full","view filing")</f>
        <v/>
      </c>
      <c r="AD1061" s="50" t="inlineStr"/>
    </row>
    <row r="1062">
      <c r="A1062" t="inlineStr">
        <is>
          <t>Texas A&amp;M Foundation</t>
        </is>
      </c>
      <c r="B1062" s="50" t="inlineStr">
        <is>
          <t>TX</t>
        </is>
      </c>
      <c r="C1062" s="52" t="n">
        <v>3.43</v>
      </c>
      <c r="D1062" t="inlineStr">
        <is>
          <t>Foundation</t>
        </is>
      </c>
      <c r="E1062" s="50" t="n">
        <v>2022</v>
      </c>
      <c r="F1062" s="50" t="inlineStr">
        <is>
          <t>2023-05-09</t>
        </is>
      </c>
      <c r="G1062" s="50" t="inlineStr">
        <is>
          <t>2022-06-30</t>
        </is>
      </c>
      <c r="H1062" t="inlineStr">
        <is>
          <t>Ross Willmann</t>
        </is>
      </c>
      <c r="I1062" t="inlineStr">
        <is>
          <t>INVESTMENT DIRECTOR</t>
        </is>
      </c>
      <c r="J1062" t="inlineStr">
        <is>
          <t>Director of Investments</t>
        </is>
      </c>
      <c r="K1062" t="inlineStr">
        <is>
          <t>Sr Investment Professional</t>
        </is>
      </c>
      <c r="L1062" s="28" t="n">
        <v>219481</v>
      </c>
      <c r="M1062" s="28" t="n">
        <v>42349</v>
      </c>
      <c r="N1062" s="28" t="n">
        <v>4691</v>
      </c>
      <c r="O1062" s="28" t="n">
        <v>37855</v>
      </c>
      <c r="P1062" s="28" t="n">
        <v>10510</v>
      </c>
      <c r="Q1062" s="28" t="n">
        <v>314886</v>
      </c>
      <c r="R1062" s="28" t="n">
        <v>0</v>
      </c>
      <c r="S1062" s="28">
        <f>Q1062-R1062</f>
        <v/>
      </c>
      <c r="T1062" s="28">
        <f>IF(S1062="","",S1062*(1+in_GrowthRate)^(YEARFRAC(DATE(2022,6,30),in_AgeToDate)*IF(in_AgeToDate&lt;DATE(2022,6,30),-1,1)+1))</f>
        <v/>
      </c>
      <c r="U1062" s="50">
        <f>IF(AND(AND(OR(in_Mode="All Funds",AND(C1062&gt;=in_BandFloor,C1062&lt;=in_BandCeiling,OR(in_Geography="National",COUNTIFS(lst_GeoPreset,in_Geography,lst_GeoState,B1062)&gt;0,AND(in_Geography="Custom",ISNUMBER(SEARCH(B1062,SUBSTITUTE(in_CustomStates," ",""))))),OR(AND(D1062="Endowment",Inputs!$B$14="Y"),AND(D1062="Foundation",Inputs!$B$15="Y"),AND(D1062="Healthcare",Inputs!$B$16="Y"),AND(D1062="Pension",Inputs!$B$17="Y"),AND(D1062="OCIO",Inputs!$B$18="Y"),AND(D1062="Other",Inputs!$B$19="Y")))),A1062&lt;&gt;in_ClientOrg,NOT(AND(in_ExclHarvard="Y",ISNUMBER(SEARCH("Harvard",A1062))))),$AD1062="Y",K1062&lt;&gt;"",S1062&gt;0),"Y","")</f>
        <v/>
      </c>
      <c r="V1062" s="30" t="n">
        <v>0.5323993527737904</v>
      </c>
      <c r="W1062" t="inlineStr"/>
      <c r="X1062" s="28">
        <f>IF(L1062+M1062=0,"",L1062+M1062)</f>
        <v/>
      </c>
      <c r="Y1062" s="38">
        <f>IF(L1062=0,"",M1062/L1062)</f>
        <v/>
      </c>
      <c r="Z1062" t="inlineStr">
        <is>
          <t>Director &amp; Investment Officer</t>
        </is>
      </c>
      <c r="AA1062" t="inlineStr">
        <is>
          <t>Investments</t>
        </is>
      </c>
      <c r="AB1062" s="50" t="inlineStr"/>
      <c r="AC1062" s="43">
        <f>HYPERLINK("https://projects.propublica.org/nonprofits/organizations/742245072/202301299349302895/full","view filing")</f>
        <v/>
      </c>
      <c r="AD1062" s="50" t="inlineStr"/>
    </row>
    <row r="1063">
      <c r="A1063" t="inlineStr">
        <is>
          <t>Texas A&amp;M Foundation</t>
        </is>
      </c>
      <c r="B1063" s="50" t="inlineStr">
        <is>
          <t>TX</t>
        </is>
      </c>
      <c r="C1063" s="52" t="n">
        <v>3.43</v>
      </c>
      <c r="D1063" t="inlineStr">
        <is>
          <t>Foundation</t>
        </is>
      </c>
      <c r="E1063" s="50" t="n">
        <v>2022</v>
      </c>
      <c r="F1063" s="50" t="inlineStr">
        <is>
          <t>2023-05-09</t>
        </is>
      </c>
      <c r="G1063" s="50" t="inlineStr">
        <is>
          <t>2022-06-30</t>
        </is>
      </c>
      <c r="H1063" t="inlineStr">
        <is>
          <t>Roy Harvey Ii</t>
        </is>
      </c>
      <c r="I1063" t="inlineStr">
        <is>
          <t>INVESTMENT DIRECTOR</t>
        </is>
      </c>
      <c r="J1063" t="inlineStr">
        <is>
          <t>Director of Investments</t>
        </is>
      </c>
      <c r="K1063" t="inlineStr">
        <is>
          <t>Sr Investment Professional</t>
        </is>
      </c>
      <c r="L1063" s="28" t="n">
        <v>230136</v>
      </c>
      <c r="M1063" s="28" t="n">
        <v>77355</v>
      </c>
      <c r="N1063" s="28" t="n">
        <v>3101</v>
      </c>
      <c r="O1063" s="28" t="n">
        <v>41048</v>
      </c>
      <c r="P1063" s="28" t="n">
        <v>22709</v>
      </c>
      <c r="Q1063" s="28" t="n">
        <v>374349</v>
      </c>
      <c r="R1063" s="28" t="n">
        <v>0</v>
      </c>
      <c r="S1063" s="28">
        <f>Q1063-R1063</f>
        <v/>
      </c>
      <c r="T1063" s="28">
        <f>IF(S1063="","",S1063*(1+in_GrowthRate)^(YEARFRAC(DATE(2022,6,30),in_AgeToDate)*IF(in_AgeToDate&lt;DATE(2022,6,30),-1,1)+1))</f>
        <v/>
      </c>
      <c r="U1063" s="50">
        <f>IF(AND(AND(OR(in_Mode="All Funds",AND(C1063&gt;=in_BandFloor,C1063&lt;=in_BandCeiling,OR(in_Geography="National",COUNTIFS(lst_GeoPreset,in_Geography,lst_GeoState,B1063)&gt;0,AND(in_Geography="Custom",ISNUMBER(SEARCH(B1063,SUBSTITUTE(in_CustomStates," ",""))))),OR(AND(D1063="Endowment",Inputs!$B$14="Y"),AND(D1063="Foundation",Inputs!$B$15="Y"),AND(D1063="Healthcare",Inputs!$B$16="Y"),AND(D1063="Pension",Inputs!$B$17="Y"),AND(D1063="OCIO",Inputs!$B$18="Y"),AND(D1063="Other",Inputs!$B$19="Y")))),A1063&lt;&gt;in_ClientOrg,NOT(AND(in_ExclHarvard="Y",ISNUMBER(SEARCH("Harvard",A1063))))),$AD1063="Y",K1063&lt;&gt;"",S1063&gt;0),"Y","")</f>
        <v/>
      </c>
      <c r="V1063" s="30" t="n">
        <v>0.6329375244104712</v>
      </c>
      <c r="W1063" t="inlineStr"/>
      <c r="X1063" s="28">
        <f>IF(L1063+M1063=0,"",L1063+M1063)</f>
        <v/>
      </c>
      <c r="Y1063" s="38">
        <f>IF(L1063=0,"",M1063/L1063)</f>
        <v/>
      </c>
      <c r="Z1063" t="inlineStr">
        <is>
          <t>Director &amp; Investment Officer</t>
        </is>
      </c>
      <c r="AA1063" t="inlineStr">
        <is>
          <t>Investments</t>
        </is>
      </c>
      <c r="AB1063" s="50" t="inlineStr"/>
      <c r="AC1063" s="43">
        <f>HYPERLINK("https://projects.propublica.org/nonprofits/organizations/742245072/202301299349302895/full","view filing")</f>
        <v/>
      </c>
      <c r="AD1063" s="50" t="inlineStr"/>
    </row>
    <row r="1064">
      <c r="A1064" t="inlineStr">
        <is>
          <t>Texas Christian University</t>
        </is>
      </c>
      <c r="B1064" s="50" t="inlineStr">
        <is>
          <t>TX</t>
        </is>
      </c>
      <c r="C1064" s="52" t="n">
        <v>2.85</v>
      </c>
      <c r="D1064" t="inlineStr">
        <is>
          <t>Endowment</t>
        </is>
      </c>
      <c r="E1064" s="50" t="n">
        <v>2025</v>
      </c>
      <c r="F1064" s="50" t="inlineStr">
        <is>
          <t>2026-04-13</t>
        </is>
      </c>
      <c r="G1064" s="50" t="inlineStr">
        <is>
          <t>2025-05-31</t>
        </is>
      </c>
      <c r="H1064" t="inlineStr">
        <is>
          <t>Jason R Safran</t>
        </is>
      </c>
      <c r="I1064" t="inlineStr">
        <is>
          <t>Chief Investment Officer</t>
        </is>
      </c>
      <c r="J1064" t="inlineStr">
        <is>
          <t>CIO</t>
        </is>
      </c>
      <c r="K1064" t="inlineStr">
        <is>
          <t>CIO - Top Investment Executive</t>
        </is>
      </c>
      <c r="L1064" s="28" t="n">
        <v>625600</v>
      </c>
      <c r="M1064" s="28" t="n">
        <v>457034</v>
      </c>
      <c r="N1064" s="28" t="n">
        <v>254116</v>
      </c>
      <c r="O1064" s="28" t="n">
        <v>285561</v>
      </c>
      <c r="P1064" s="28" t="n">
        <v>38038</v>
      </c>
      <c r="Q1064" s="28" t="n">
        <v>1660349</v>
      </c>
      <c r="R1064" s="28" t="n">
        <v>556385</v>
      </c>
      <c r="S1064" s="28">
        <f>Q1064-R1064</f>
        <v/>
      </c>
      <c r="T1064" s="28">
        <f>IF(S1064="","",S1064*(1+in_GrowthRate)^(YEARFRAC(DATE(2025,5,31),in_AgeToDate)*IF(in_AgeToDate&lt;DATE(2025,5,31),-1,1)+1))</f>
        <v/>
      </c>
      <c r="U1064" s="50">
        <f>IF(AND(AND(OR(in_Mode="All Funds",AND(C1064&gt;=in_BandFloor,C1064&lt;=in_BandCeiling,OR(in_Geography="National",COUNTIFS(lst_GeoPreset,in_Geography,lst_GeoState,B1064)&gt;0,AND(in_Geography="Custom",ISNUMBER(SEARCH(B1064,SUBSTITUTE(in_CustomStates," ",""))))),OR(AND(D1064="Endowment",Inputs!$B$14="Y"),AND(D1064="Foundation",Inputs!$B$15="Y"),AND(D1064="Healthcare",Inputs!$B$16="Y"),AND(D1064="Pension",Inputs!$B$17="Y"),AND(D1064="OCIO",Inputs!$B$18="Y"),AND(D1064="Other",Inputs!$B$19="Y")))),A1064&lt;&gt;in_ClientOrg,NOT(AND(in_ExclHarvard="Y",ISNUMBER(SEARCH("Harvard",A1064))))),$AD1064="Y",K1064&lt;&gt;"",S1064&gt;0),"Y","")</f>
        <v/>
      </c>
      <c r="V1064" s="30" t="n">
        <v>1</v>
      </c>
      <c r="W1064" t="inlineStr"/>
      <c r="X1064" s="28">
        <f>IF(L1064+M1064=0,"",L1064+M1064)</f>
        <v/>
      </c>
      <c r="Y1064" s="38">
        <f>IF(L1064=0,"",M1064/L1064)</f>
        <v/>
      </c>
      <c r="Z1064" t="inlineStr">
        <is>
          <t>CIO - Top Investment Executive</t>
        </is>
      </c>
      <c r="AA1064" t="inlineStr">
        <is>
          <t>Leadership</t>
        </is>
      </c>
      <c r="AB1064" s="50" t="inlineStr">
        <is>
          <t>Y</t>
        </is>
      </c>
      <c r="AC1064" s="43">
        <f>HYPERLINK("https://projects.propublica.org/nonprofits/organizations/750827465/202611039349301646/full","view filing")</f>
        <v/>
      </c>
      <c r="AD1064" s="50" t="inlineStr">
        <is>
          <t>Y</t>
        </is>
      </c>
    </row>
    <row r="1065">
      <c r="A1065" t="inlineStr">
        <is>
          <t>Texas Christian University</t>
        </is>
      </c>
      <c r="B1065" s="50" t="inlineStr">
        <is>
          <t>TX</t>
        </is>
      </c>
      <c r="C1065" s="52" t="n">
        <v>2.85</v>
      </c>
      <c r="D1065" t="inlineStr">
        <is>
          <t>Endowment</t>
        </is>
      </c>
      <c r="E1065" s="50" t="n">
        <v>2024</v>
      </c>
      <c r="F1065" s="50" t="inlineStr">
        <is>
          <t>2025-04-11</t>
        </is>
      </c>
      <c r="G1065" s="50" t="inlineStr">
        <is>
          <t>2024-05-31</t>
        </is>
      </c>
      <c r="H1065" t="inlineStr">
        <is>
          <t>Jason R Safran</t>
        </is>
      </c>
      <c r="I1065" t="inlineStr">
        <is>
          <t>Chief Investment Officer</t>
        </is>
      </c>
      <c r="J1065" t="inlineStr">
        <is>
          <t>CIO</t>
        </is>
      </c>
      <c r="K1065" t="inlineStr">
        <is>
          <t>CIO - Top Investment Executive</t>
        </is>
      </c>
      <c r="L1065" s="28" t="n">
        <v>555851</v>
      </c>
      <c r="M1065" s="28" t="n">
        <v>233750</v>
      </c>
      <c r="N1065" s="28" t="n">
        <v>154839</v>
      </c>
      <c r="O1065" s="28" t="n">
        <v>564204</v>
      </c>
      <c r="P1065" s="28" t="n">
        <v>37458</v>
      </c>
      <c r="Q1065" s="28" t="n">
        <v>1546102</v>
      </c>
      <c r="R1065" s="28" t="n">
        <v>344541</v>
      </c>
      <c r="S1065" s="28">
        <f>Q1065-R1065</f>
        <v/>
      </c>
      <c r="T1065" s="28">
        <f>IF(S1065="","",S1065*(1+in_GrowthRate)^(YEARFRAC(DATE(2024,5,31),in_AgeToDate)*IF(in_AgeToDate&lt;DATE(2024,5,31),-1,1)+1))</f>
        <v/>
      </c>
      <c r="U1065" s="50">
        <f>IF(AND(AND(OR(in_Mode="All Funds",AND(C1065&gt;=in_BandFloor,C1065&lt;=in_BandCeiling,OR(in_Geography="National",COUNTIFS(lst_GeoPreset,in_Geography,lst_GeoState,B1065)&gt;0,AND(in_Geography="Custom",ISNUMBER(SEARCH(B1065,SUBSTITUTE(in_CustomStates," ",""))))),OR(AND(D1065="Endowment",Inputs!$B$14="Y"),AND(D1065="Foundation",Inputs!$B$15="Y"),AND(D1065="Healthcare",Inputs!$B$16="Y"),AND(D1065="Pension",Inputs!$B$17="Y"),AND(D1065="OCIO",Inputs!$B$18="Y"),AND(D1065="Other",Inputs!$B$19="Y")))),A1065&lt;&gt;in_ClientOrg,NOT(AND(in_ExclHarvard="Y",ISNUMBER(SEARCH("Harvard",A1065))))),$AD1065="Y",K1065&lt;&gt;"",S1065&gt;0),"Y","")</f>
        <v/>
      </c>
      <c r="V1065" s="30" t="n">
        <v>1</v>
      </c>
      <c r="W1065" t="inlineStr"/>
      <c r="X1065" s="28">
        <f>IF(L1065+M1065=0,"",L1065+M1065)</f>
        <v/>
      </c>
      <c r="Y1065" s="38">
        <f>IF(L1065=0,"",M1065/L1065)</f>
        <v/>
      </c>
      <c r="Z1065" t="inlineStr">
        <is>
          <t>CIO - Top Investment Executive</t>
        </is>
      </c>
      <c r="AA1065" t="inlineStr">
        <is>
          <t>Leadership</t>
        </is>
      </c>
      <c r="AB1065" s="50" t="inlineStr">
        <is>
          <t>Y</t>
        </is>
      </c>
      <c r="AC1065" s="43">
        <f>HYPERLINK("https://projects.propublica.org/nonprofits/organizations/750827465/202541019349300244/full","view filing")</f>
        <v/>
      </c>
      <c r="AD1065" s="50" t="inlineStr"/>
    </row>
    <row r="1066">
      <c r="A1066" t="inlineStr">
        <is>
          <t>Texas Christian University</t>
        </is>
      </c>
      <c r="B1066" s="50" t="inlineStr">
        <is>
          <t>TX</t>
        </is>
      </c>
      <c r="C1066" s="52" t="n">
        <v>2.85</v>
      </c>
      <c r="D1066" t="inlineStr">
        <is>
          <t>Endowment</t>
        </is>
      </c>
      <c r="E1066" s="50" t="n">
        <v>2023</v>
      </c>
      <c r="F1066" s="50" t="inlineStr">
        <is>
          <t>2024-04-12</t>
        </is>
      </c>
      <c r="G1066" s="50" t="inlineStr">
        <is>
          <t>2023-05-31</t>
        </is>
      </c>
      <c r="H1066" t="inlineStr">
        <is>
          <t>Jason R Safran</t>
        </is>
      </c>
      <c r="I1066" t="inlineStr">
        <is>
          <t>Chief Investment Officer</t>
        </is>
      </c>
      <c r="J1066" t="inlineStr">
        <is>
          <t>CIO</t>
        </is>
      </c>
      <c r="K1066" t="inlineStr">
        <is>
          <t>CIO - Top Investment Executive</t>
        </is>
      </c>
      <c r="L1066" s="28" t="n">
        <v>539774</v>
      </c>
      <c r="M1066" s="28" t="n">
        <v>265323</v>
      </c>
      <c r="N1066" s="28" t="n">
        <v>69126</v>
      </c>
      <c r="O1066" s="28" t="n">
        <v>338459</v>
      </c>
      <c r="P1066" s="28" t="n">
        <v>35449</v>
      </c>
      <c r="Q1066" s="28" t="n">
        <v>1248131</v>
      </c>
      <c r="R1066" s="28" t="n">
        <v>0</v>
      </c>
      <c r="S1066" s="28">
        <f>Q1066-R1066</f>
        <v/>
      </c>
      <c r="T1066" s="28">
        <f>IF(S1066="","",S1066*(1+in_GrowthRate)^(YEARFRAC(DATE(2023,5,31),in_AgeToDate)*IF(in_AgeToDate&lt;DATE(2023,5,31),-1,1)+1))</f>
        <v/>
      </c>
      <c r="U1066" s="50">
        <f>IF(AND(AND(OR(in_Mode="All Funds",AND(C1066&gt;=in_BandFloor,C1066&lt;=in_BandCeiling,OR(in_Geography="National",COUNTIFS(lst_GeoPreset,in_Geography,lst_GeoState,B1066)&gt;0,AND(in_Geography="Custom",ISNUMBER(SEARCH(B1066,SUBSTITUTE(in_CustomStates," ",""))))),OR(AND(D1066="Endowment",Inputs!$B$14="Y"),AND(D1066="Foundation",Inputs!$B$15="Y"),AND(D1066="Healthcare",Inputs!$B$16="Y"),AND(D1066="Pension",Inputs!$B$17="Y"),AND(D1066="OCIO",Inputs!$B$18="Y"),AND(D1066="Other",Inputs!$B$19="Y")))),A1066&lt;&gt;in_ClientOrg,NOT(AND(in_ExclHarvard="Y",ISNUMBER(SEARCH("Harvard",A1066))))),$AD1066="Y",K1066&lt;&gt;"",S1066&gt;0),"Y","")</f>
        <v/>
      </c>
      <c r="V1066" s="30" t="n">
        <v>1</v>
      </c>
      <c r="W1066" t="inlineStr"/>
      <c r="X1066" s="28">
        <f>IF(L1066+M1066=0,"",L1066+M1066)</f>
        <v/>
      </c>
      <c r="Y1066" s="38">
        <f>IF(L1066=0,"",M1066/L1066)</f>
        <v/>
      </c>
      <c r="Z1066" t="inlineStr">
        <is>
          <t>CIO - Top Investment Executive</t>
        </is>
      </c>
      <c r="AA1066" t="inlineStr">
        <is>
          <t>Leadership</t>
        </is>
      </c>
      <c r="AB1066" s="50" t="inlineStr">
        <is>
          <t>Y</t>
        </is>
      </c>
      <c r="AC1066" s="43">
        <f>HYPERLINK("https://projects.propublica.org/nonprofits/organizations/750827465/202411039349301426/full","view filing")</f>
        <v/>
      </c>
      <c r="AD1066" s="50" t="inlineStr"/>
    </row>
    <row r="1067">
      <c r="A1067" t="inlineStr">
        <is>
          <t>Texas Christian University</t>
        </is>
      </c>
      <c r="B1067" s="50" t="inlineStr">
        <is>
          <t>TX</t>
        </is>
      </c>
      <c r="C1067" s="52" t="n">
        <v>2.85</v>
      </c>
      <c r="D1067" t="inlineStr">
        <is>
          <t>Endowment</t>
        </is>
      </c>
      <c r="E1067" s="50" t="n">
        <v>2022</v>
      </c>
      <c r="F1067" s="50" t="inlineStr">
        <is>
          <t>2023-04-11</t>
        </is>
      </c>
      <c r="G1067" s="50" t="inlineStr">
        <is>
          <t>2022-05-31</t>
        </is>
      </c>
      <c r="H1067" t="inlineStr">
        <is>
          <t>James R Hille</t>
        </is>
      </c>
      <c r="I1067" t="inlineStr">
        <is>
          <t>Chief Investment Officer</t>
        </is>
      </c>
      <c r="J1067" t="inlineStr">
        <is>
          <t>CIO</t>
        </is>
      </c>
      <c r="K1067" t="inlineStr">
        <is>
          <t>CIO - Top Investment Executive</t>
        </is>
      </c>
      <c r="L1067" s="28" t="n">
        <v>385300</v>
      </c>
      <c r="M1067" s="28" t="n">
        <v>336924</v>
      </c>
      <c r="N1067" s="28" t="n">
        <v>272412</v>
      </c>
      <c r="O1067" s="28" t="n">
        <v>34575</v>
      </c>
      <c r="P1067" s="28" t="n">
        <v>20878</v>
      </c>
      <c r="Q1067" s="28" t="n">
        <v>1050089</v>
      </c>
      <c r="R1067" s="28" t="n">
        <v>173753</v>
      </c>
      <c r="S1067" s="28">
        <f>Q1067-R1067</f>
        <v/>
      </c>
      <c r="T1067" s="28">
        <f>IF(S1067="","",S1067*(1+in_GrowthRate)^(YEARFRAC(DATE(2022,5,31),in_AgeToDate)*IF(in_AgeToDate&lt;DATE(2022,5,31),-1,1)+1))</f>
        <v/>
      </c>
      <c r="U1067" s="50">
        <f>IF(AND(AND(OR(in_Mode="All Funds",AND(C1067&gt;=in_BandFloor,C1067&lt;=in_BandCeiling,OR(in_Geography="National",COUNTIFS(lst_GeoPreset,in_Geography,lst_GeoState,B1067)&gt;0,AND(in_Geography="Custom",ISNUMBER(SEARCH(B1067,SUBSTITUTE(in_CustomStates," ",""))))),OR(AND(D1067="Endowment",Inputs!$B$14="Y"),AND(D1067="Foundation",Inputs!$B$15="Y"),AND(D1067="Healthcare",Inputs!$B$16="Y"),AND(D1067="Pension",Inputs!$B$17="Y"),AND(D1067="OCIO",Inputs!$B$18="Y"),AND(D1067="Other",Inputs!$B$19="Y")))),A1067&lt;&gt;in_ClientOrg,NOT(AND(in_ExclHarvard="Y",ISNUMBER(SEARCH("Harvard",A1067))))),$AD1067="Y",K1067&lt;&gt;"",S1067&gt;0),"Y","")</f>
        <v/>
      </c>
      <c r="V1067" s="30" t="n">
        <v>1</v>
      </c>
      <c r="W1067" t="inlineStr"/>
      <c r="X1067" s="28">
        <f>IF(L1067+M1067=0,"",L1067+M1067)</f>
        <v/>
      </c>
      <c r="Y1067" s="38">
        <f>IF(L1067=0,"",M1067/L1067)</f>
        <v/>
      </c>
      <c r="Z1067" t="inlineStr">
        <is>
          <t>CIO - Top Investment Executive</t>
        </is>
      </c>
      <c r="AA1067" t="inlineStr">
        <is>
          <t>Leadership</t>
        </is>
      </c>
      <c r="AB1067" s="50" t="inlineStr">
        <is>
          <t>Y</t>
        </is>
      </c>
      <c r="AC1067" s="43">
        <f>HYPERLINK("https://projects.propublica.org/nonprofits/organizations/750827465/202341019349301504/full","view filing")</f>
        <v/>
      </c>
      <c r="AD1067" s="50" t="inlineStr"/>
    </row>
    <row r="1068">
      <c r="A1068" t="inlineStr">
        <is>
          <t>Texas Christian University</t>
        </is>
      </c>
      <c r="B1068" s="50" t="inlineStr">
        <is>
          <t>TX</t>
        </is>
      </c>
      <c r="C1068" s="52" t="n">
        <v>2.85</v>
      </c>
      <c r="D1068" t="inlineStr">
        <is>
          <t>Endowment</t>
        </is>
      </c>
      <c r="E1068" s="50" t="n">
        <v>2022</v>
      </c>
      <c r="F1068" s="50" t="inlineStr">
        <is>
          <t>2023-04-11</t>
        </is>
      </c>
      <c r="G1068" s="50" t="inlineStr">
        <is>
          <t>2022-05-31</t>
        </is>
      </c>
      <c r="H1068" t="inlineStr">
        <is>
          <t>Jason R Safran</t>
        </is>
      </c>
      <c r="I1068" t="inlineStr">
        <is>
          <t>Chief Investment Officer</t>
        </is>
      </c>
      <c r="J1068" t="inlineStr">
        <is>
          <t>CIO</t>
        </is>
      </c>
      <c r="K1068" t="inlineStr">
        <is>
          <t>Sr Investment Professional</t>
        </is>
      </c>
      <c r="L1068" s="28" t="n">
        <v>375371</v>
      </c>
      <c r="M1068" s="28" t="n">
        <v>107925</v>
      </c>
      <c r="N1068" s="28" t="n">
        <v>70571</v>
      </c>
      <c r="O1068" s="28" t="n">
        <v>29200</v>
      </c>
      <c r="P1068" s="28" t="n">
        <v>33519</v>
      </c>
      <c r="Q1068" s="28" t="n">
        <v>616586</v>
      </c>
      <c r="R1068" s="28" t="n">
        <v>0</v>
      </c>
      <c r="S1068" s="28">
        <f>Q1068-R1068</f>
        <v/>
      </c>
      <c r="T1068" s="28">
        <f>IF(S1068="","",S1068*(1+in_GrowthRate)^(YEARFRAC(DATE(2022,5,31),in_AgeToDate)*IF(in_AgeToDate&lt;DATE(2022,5,31),-1,1)+1))</f>
        <v/>
      </c>
      <c r="U1068" s="50">
        <f>IF(AND(AND(OR(in_Mode="All Funds",AND(C1068&gt;=in_BandFloor,C1068&lt;=in_BandCeiling,OR(in_Geography="National",COUNTIFS(lst_GeoPreset,in_Geography,lst_GeoState,B1068)&gt;0,AND(in_Geography="Custom",ISNUMBER(SEARCH(B1068,SUBSTITUTE(in_CustomStates," ",""))))),OR(AND(D1068="Endowment",Inputs!$B$14="Y"),AND(D1068="Foundation",Inputs!$B$15="Y"),AND(D1068="Healthcare",Inputs!$B$16="Y"),AND(D1068="Pension",Inputs!$B$17="Y"),AND(D1068="OCIO",Inputs!$B$18="Y"),AND(D1068="Other",Inputs!$B$19="Y")))),A1068&lt;&gt;in_ClientOrg,NOT(AND(in_ExclHarvard="Y",ISNUMBER(SEARCH("Harvard",A1068))))),$AD1068="Y",K1068&lt;&gt;"",S1068&gt;0),"Y","")</f>
        <v/>
      </c>
      <c r="V1068" s="30" t="n">
        <v>0.7035954245860035</v>
      </c>
      <c r="W1068" t="inlineStr"/>
      <c r="X1068" s="28">
        <f>IF(L1068+M1068=0,"",L1068+M1068)</f>
        <v/>
      </c>
      <c r="Y1068" s="38">
        <f>IF(L1068=0,"",M1068/L1068)</f>
        <v/>
      </c>
      <c r="Z1068" t="inlineStr">
        <is>
          <t>Deputy CIO</t>
        </is>
      </c>
      <c r="AA1068" t="inlineStr">
        <is>
          <t>Leadership</t>
        </is>
      </c>
      <c r="AB1068" s="50" t="inlineStr"/>
      <c r="AC1068" s="43">
        <f>HYPERLINK("https://projects.propublica.org/nonprofits/organizations/750827465/202341019349301504/full","view filing")</f>
        <v/>
      </c>
      <c r="AD1068" s="50" t="inlineStr"/>
    </row>
    <row r="1069">
      <c r="A1069" t="inlineStr">
        <is>
          <t>Texas Health Resources</t>
        </is>
      </c>
      <c r="B1069" s="50" t="inlineStr">
        <is>
          <t>TX</t>
        </is>
      </c>
      <c r="C1069" s="52" t="n">
        <v>7.87</v>
      </c>
      <c r="D1069" t="inlineStr">
        <is>
          <t>Healthcare</t>
        </is>
      </c>
      <c r="E1069" s="50" t="n">
        <v>2024</v>
      </c>
      <c r="F1069" s="50" t="inlineStr">
        <is>
          <t>2025-11-10</t>
        </is>
      </c>
      <c r="G1069" s="50" t="inlineStr">
        <is>
          <t>2024-12-31</t>
        </is>
      </c>
      <c r="H1069" t="inlineStr">
        <is>
          <t>Jonesrobert Douglas</t>
        </is>
      </c>
      <c r="I1069" t="inlineStr">
        <is>
          <t>SVP &amp; Chief Investment Officer</t>
        </is>
      </c>
      <c r="J1069" t="inlineStr">
        <is>
          <t>CIO</t>
        </is>
      </c>
      <c r="K1069" t="inlineStr">
        <is>
          <t>CIO - Top Investment Executive</t>
        </is>
      </c>
      <c r="L1069" s="28" t="n">
        <v>715704</v>
      </c>
      <c r="M1069" s="28" t="n">
        <v>339076</v>
      </c>
      <c r="N1069" s="28" t="n">
        <v>85348</v>
      </c>
      <c r="O1069" s="28" t="n">
        <v>139163</v>
      </c>
      <c r="P1069" s="28" t="n">
        <v>52316</v>
      </c>
      <c r="Q1069" s="28" t="n">
        <v>1331607</v>
      </c>
      <c r="R1069" s="28" t="n">
        <v>79126</v>
      </c>
      <c r="S1069" s="28">
        <f>Q1069-R1069</f>
        <v/>
      </c>
      <c r="T1069" s="28">
        <f>IF(S1069="","",S1069*(1+in_GrowthRate)^(YEARFRAC(DATE(2024,12,31),in_AgeToDate)*IF(in_AgeToDate&lt;DATE(2024,12,31),-1,1)+1))</f>
        <v/>
      </c>
      <c r="U1069" s="50">
        <f>IF(AND(AND(OR(in_Mode="All Funds",AND(C1069&gt;=in_BandFloor,C1069&lt;=in_BandCeiling,OR(in_Geography="National",COUNTIFS(lst_GeoPreset,in_Geography,lst_GeoState,B1069)&gt;0,AND(in_Geography="Custom",ISNUMBER(SEARCH(B1069,SUBSTITUTE(in_CustomStates," ",""))))),OR(AND(D1069="Endowment",Inputs!$B$14="Y"),AND(D1069="Foundation",Inputs!$B$15="Y"),AND(D1069="Healthcare",Inputs!$B$16="Y"),AND(D1069="Pension",Inputs!$B$17="Y"),AND(D1069="OCIO",Inputs!$B$18="Y"),AND(D1069="Other",Inputs!$B$19="Y")))),A1069&lt;&gt;in_ClientOrg,NOT(AND(in_ExclHarvard="Y",ISNUMBER(SEARCH("Harvard",A1069))))),$AD1069="Y",K1069&lt;&gt;"",S1069&gt;0),"Y","")</f>
        <v/>
      </c>
      <c r="V1069" s="30" t="n">
        <v>1</v>
      </c>
      <c r="W1069" t="inlineStr"/>
      <c r="X1069" s="28">
        <f>IF(L1069+M1069=0,"",L1069+M1069)</f>
        <v/>
      </c>
      <c r="Y1069" s="38">
        <f>IF(L1069=0,"",M1069/L1069)</f>
        <v/>
      </c>
      <c r="Z1069" t="inlineStr">
        <is>
          <t>CIO - Top Investment Executive</t>
        </is>
      </c>
      <c r="AA1069" t="inlineStr">
        <is>
          <t>Leadership</t>
        </is>
      </c>
      <c r="AB1069" s="50" t="inlineStr">
        <is>
          <t>Y</t>
        </is>
      </c>
      <c r="AC1069" s="43">
        <f>HYPERLINK("https://projects.propublica.org/nonprofits/organizations/752702388/202543149349306069/full","view filing")</f>
        <v/>
      </c>
      <c r="AD1069" s="50" t="inlineStr">
        <is>
          <t>Y</t>
        </is>
      </c>
    </row>
    <row r="1070">
      <c r="A1070" t="inlineStr">
        <is>
          <t>Texas Health Resources</t>
        </is>
      </c>
      <c r="B1070" s="50" t="inlineStr">
        <is>
          <t>TX</t>
        </is>
      </c>
      <c r="C1070" s="52" t="n">
        <v>7.87</v>
      </c>
      <c r="D1070" t="inlineStr">
        <is>
          <t>Healthcare</t>
        </is>
      </c>
      <c r="E1070" s="50" t="n">
        <v>2024</v>
      </c>
      <c r="F1070" s="50" t="inlineStr">
        <is>
          <t>2025-11-10</t>
        </is>
      </c>
      <c r="G1070" s="50" t="inlineStr">
        <is>
          <t>2024-12-31</t>
        </is>
      </c>
      <c r="H1070" t="inlineStr">
        <is>
          <t>Reevessandra G</t>
        </is>
      </c>
      <c r="I1070" t="inlineStr">
        <is>
          <t>VP Treas/Asst Chief Invest Off</t>
        </is>
      </c>
      <c r="J1070" t="inlineStr">
        <is>
          <t>CIO</t>
        </is>
      </c>
      <c r="K1070" t="inlineStr">
        <is>
          <t>Sr Investment Professional</t>
        </is>
      </c>
      <c r="L1070" s="28" t="n">
        <v>364002</v>
      </c>
      <c r="M1070" s="28" t="n">
        <v>102599</v>
      </c>
      <c r="N1070" s="28" t="n">
        <v>40570</v>
      </c>
      <c r="O1070" s="28" t="n">
        <v>25875</v>
      </c>
      <c r="P1070" s="28" t="n">
        <v>54761</v>
      </c>
      <c r="Q1070" s="28" t="n">
        <v>587807</v>
      </c>
      <c r="R1070" s="28" t="n">
        <v>0</v>
      </c>
      <c r="S1070" s="28">
        <f>Q1070-R1070</f>
        <v/>
      </c>
      <c r="T1070" s="28">
        <f>IF(S1070="","",S1070*(1+in_GrowthRate)^(YEARFRAC(DATE(2024,12,31),in_AgeToDate)*IF(in_AgeToDate&lt;DATE(2024,12,31),-1,1)+1))</f>
        <v/>
      </c>
      <c r="U1070" s="50">
        <f>IF(AND(AND(OR(in_Mode="All Funds",AND(C1070&gt;=in_BandFloor,C1070&lt;=in_BandCeiling,OR(in_Geography="National",COUNTIFS(lst_GeoPreset,in_Geography,lst_GeoState,B1070)&gt;0,AND(in_Geography="Custom",ISNUMBER(SEARCH(B1070,SUBSTITUTE(in_CustomStates," ",""))))),OR(AND(D1070="Endowment",Inputs!$B$14="Y"),AND(D1070="Foundation",Inputs!$B$15="Y"),AND(D1070="Healthcare",Inputs!$B$16="Y"),AND(D1070="Pension",Inputs!$B$17="Y"),AND(D1070="OCIO",Inputs!$B$18="Y"),AND(D1070="Other",Inputs!$B$19="Y")))),A1070&lt;&gt;in_ClientOrg,NOT(AND(in_ExclHarvard="Y",ISNUMBER(SEARCH("Harvard",A1070))))),$AD1070="Y",K1070&lt;&gt;"",S1070&gt;0),"Y","")</f>
        <v/>
      </c>
      <c r="V1070" s="30" t="n">
        <v>0.4693141053636742</v>
      </c>
      <c r="W1070" t="inlineStr"/>
      <c r="X1070" s="28">
        <f>IF(L1070+M1070=0,"",L1070+M1070)</f>
        <v/>
      </c>
      <c r="Y1070" s="38">
        <f>IF(L1070=0,"",M1070/L1070)</f>
        <v/>
      </c>
      <c r="Z1070" t="inlineStr">
        <is>
          <t>Deputy CIO</t>
        </is>
      </c>
      <c r="AA1070" t="inlineStr">
        <is>
          <t>Leadership</t>
        </is>
      </c>
      <c r="AB1070" s="50" t="inlineStr"/>
      <c r="AC1070" s="43">
        <f>HYPERLINK("https://projects.propublica.org/nonprofits/organizations/752702388/202543149349306069/full","view filing")</f>
        <v/>
      </c>
      <c r="AD1070" s="50" t="inlineStr">
        <is>
          <t>Y</t>
        </is>
      </c>
    </row>
    <row r="1071">
      <c r="A1071" t="inlineStr">
        <is>
          <t>Texas Health Resources</t>
        </is>
      </c>
      <c r="B1071" s="50" t="inlineStr">
        <is>
          <t>TX</t>
        </is>
      </c>
      <c r="C1071" s="52" t="n">
        <v>7.87</v>
      </c>
      <c r="D1071" t="inlineStr">
        <is>
          <t>Healthcare</t>
        </is>
      </c>
      <c r="E1071" s="50" t="n">
        <v>2023</v>
      </c>
      <c r="F1071" s="50" t="inlineStr">
        <is>
          <t>2024-11-12</t>
        </is>
      </c>
      <c r="G1071" s="50" t="inlineStr">
        <is>
          <t>2023-12-31</t>
        </is>
      </c>
      <c r="H1071" t="inlineStr">
        <is>
          <t>Jonesrobert Douglas</t>
        </is>
      </c>
      <c r="I1071" t="inlineStr">
        <is>
          <t>SVP &amp; Chief Investment Officer</t>
        </is>
      </c>
      <c r="J1071" t="inlineStr">
        <is>
          <t>CIO</t>
        </is>
      </c>
      <c r="K1071" t="inlineStr">
        <is>
          <t>CIO - Top Investment Executive</t>
        </is>
      </c>
      <c r="L1071" s="28" t="n">
        <v>676170</v>
      </c>
      <c r="M1071" s="28" t="n">
        <v>254523</v>
      </c>
      <c r="N1071" s="28" t="n">
        <v>81351</v>
      </c>
      <c r="O1071" s="28" t="n">
        <v>119379</v>
      </c>
      <c r="P1071" s="28" t="n">
        <v>50777</v>
      </c>
      <c r="Q1071" s="28" t="n">
        <v>1182200</v>
      </c>
      <c r="R1071" s="28" t="n">
        <v>106065</v>
      </c>
      <c r="S1071" s="28">
        <f>Q1071-R1071</f>
        <v/>
      </c>
      <c r="T1071" s="28">
        <f>IF(S1071="","",S1071*(1+in_GrowthRate)^(YEARFRAC(DATE(2023,12,31),in_AgeToDate)*IF(in_AgeToDate&lt;DATE(2023,12,31),-1,1)+1))</f>
        <v/>
      </c>
      <c r="U1071" s="50">
        <f>IF(AND(AND(OR(in_Mode="All Funds",AND(C1071&gt;=in_BandFloor,C1071&lt;=in_BandCeiling,OR(in_Geography="National",COUNTIFS(lst_GeoPreset,in_Geography,lst_GeoState,B1071)&gt;0,AND(in_Geography="Custom",ISNUMBER(SEARCH(B1071,SUBSTITUTE(in_CustomStates," ",""))))),OR(AND(D1071="Endowment",Inputs!$B$14="Y"),AND(D1071="Foundation",Inputs!$B$15="Y"),AND(D1071="Healthcare",Inputs!$B$16="Y"),AND(D1071="Pension",Inputs!$B$17="Y"),AND(D1071="OCIO",Inputs!$B$18="Y"),AND(D1071="Other",Inputs!$B$19="Y")))),A1071&lt;&gt;in_ClientOrg,NOT(AND(in_ExclHarvard="Y",ISNUMBER(SEARCH("Harvard",A1071))))),$AD1071="Y",K1071&lt;&gt;"",S1071&gt;0),"Y","")</f>
        <v/>
      </c>
      <c r="V1071" s="30" t="n">
        <v>1</v>
      </c>
      <c r="W1071" t="inlineStr"/>
      <c r="X1071" s="28">
        <f>IF(L1071+M1071=0,"",L1071+M1071)</f>
        <v/>
      </c>
      <c r="Y1071" s="38">
        <f>IF(L1071=0,"",M1071/L1071)</f>
        <v/>
      </c>
      <c r="Z1071" t="inlineStr">
        <is>
          <t>CIO - Top Investment Executive</t>
        </is>
      </c>
      <c r="AA1071" t="inlineStr">
        <is>
          <t>Leadership</t>
        </is>
      </c>
      <c r="AB1071" s="50" t="inlineStr">
        <is>
          <t>Y</t>
        </is>
      </c>
      <c r="AC1071" s="43">
        <f>HYPERLINK("https://projects.propublica.org/nonprofits/organizations/752702388/202403179349300125/full","view filing")</f>
        <v/>
      </c>
      <c r="AD1071" s="50" t="inlineStr"/>
    </row>
    <row r="1072">
      <c r="A1072" t="inlineStr">
        <is>
          <t>Texas Health Resources</t>
        </is>
      </c>
      <c r="B1072" s="50" t="inlineStr">
        <is>
          <t>TX</t>
        </is>
      </c>
      <c r="C1072" s="52" t="n">
        <v>7.87</v>
      </c>
      <c r="D1072" t="inlineStr">
        <is>
          <t>Healthcare</t>
        </is>
      </c>
      <c r="E1072" s="50" t="n">
        <v>2023</v>
      </c>
      <c r="F1072" s="50" t="inlineStr">
        <is>
          <t>2024-11-12</t>
        </is>
      </c>
      <c r="G1072" s="50" t="inlineStr">
        <is>
          <t>2023-12-31</t>
        </is>
      </c>
      <c r="H1072" t="inlineStr">
        <is>
          <t>Reevessandra G</t>
        </is>
      </c>
      <c r="I1072" t="inlineStr">
        <is>
          <t>VP Treas/Asst Chief Invest Off</t>
        </is>
      </c>
      <c r="J1072" t="inlineStr">
        <is>
          <t>CIO</t>
        </is>
      </c>
      <c r="K1072" t="inlineStr">
        <is>
          <t>Sr Investment Professional</t>
        </is>
      </c>
      <c r="L1072" s="28" t="n">
        <v>344919</v>
      </c>
      <c r="M1072" s="28" t="n">
        <v>52565</v>
      </c>
      <c r="N1072" s="28" t="n">
        <v>38953</v>
      </c>
      <c r="O1072" s="28" t="n">
        <v>24750</v>
      </c>
      <c r="P1072" s="28" t="n">
        <v>51836</v>
      </c>
      <c r="Q1072" s="28" t="n">
        <v>513023</v>
      </c>
      <c r="R1072" s="28" t="n">
        <v>0</v>
      </c>
      <c r="S1072" s="28">
        <f>Q1072-R1072</f>
        <v/>
      </c>
      <c r="T1072" s="28">
        <f>IF(S1072="","",S1072*(1+in_GrowthRate)^(YEARFRAC(DATE(2023,12,31),in_AgeToDate)*IF(in_AgeToDate&lt;DATE(2023,12,31),-1,1)+1))</f>
        <v/>
      </c>
      <c r="U1072" s="50">
        <f>IF(AND(AND(OR(in_Mode="All Funds",AND(C1072&gt;=in_BandFloor,C1072&lt;=in_BandCeiling,OR(in_Geography="National",COUNTIFS(lst_GeoPreset,in_Geography,lst_GeoState,B1072)&gt;0,AND(in_Geography="Custom",ISNUMBER(SEARCH(B1072,SUBSTITUTE(in_CustomStates," ",""))))),OR(AND(D1072="Endowment",Inputs!$B$14="Y"),AND(D1072="Foundation",Inputs!$B$15="Y"),AND(D1072="Healthcare",Inputs!$B$16="Y"),AND(D1072="Pension",Inputs!$B$17="Y"),AND(D1072="OCIO",Inputs!$B$18="Y"),AND(D1072="Other",Inputs!$B$19="Y")))),A1072&lt;&gt;in_ClientOrg,NOT(AND(in_ExclHarvard="Y",ISNUMBER(SEARCH("Harvard",A1072))))),$AD1072="Y",K1072&lt;&gt;"",S1072&gt;0),"Y","")</f>
        <v/>
      </c>
      <c r="V1072" s="30" t="n">
        <v>0.4767273622733207</v>
      </c>
      <c r="W1072" t="inlineStr"/>
      <c r="X1072" s="28">
        <f>IF(L1072+M1072=0,"",L1072+M1072)</f>
        <v/>
      </c>
      <c r="Y1072" s="38">
        <f>IF(L1072=0,"",M1072/L1072)</f>
        <v/>
      </c>
      <c r="Z1072" t="inlineStr">
        <is>
          <t>Deputy CIO</t>
        </is>
      </c>
      <c r="AA1072" t="inlineStr">
        <is>
          <t>Leadership</t>
        </is>
      </c>
      <c r="AB1072" s="50" t="inlineStr"/>
      <c r="AC1072" s="43">
        <f>HYPERLINK("https://projects.propublica.org/nonprofits/organizations/752702388/202403179349300125/full","view filing")</f>
        <v/>
      </c>
      <c r="AD1072" s="50" t="inlineStr"/>
    </row>
    <row r="1073">
      <c r="A1073" t="inlineStr">
        <is>
          <t>Texas Health Resources</t>
        </is>
      </c>
      <c r="B1073" s="50" t="inlineStr">
        <is>
          <t>TX</t>
        </is>
      </c>
      <c r="C1073" s="52" t="n">
        <v>7.87</v>
      </c>
      <c r="D1073" t="inlineStr">
        <is>
          <t>Healthcare</t>
        </is>
      </c>
      <c r="E1073" s="50" t="n">
        <v>2022</v>
      </c>
      <c r="F1073" s="50" t="inlineStr">
        <is>
          <t>2023-11-08</t>
        </is>
      </c>
      <c r="G1073" s="50" t="inlineStr">
        <is>
          <t>2022-12-31</t>
        </is>
      </c>
      <c r="H1073" t="inlineStr">
        <is>
          <t>Jonesrobert Douglas</t>
        </is>
      </c>
      <c r="I1073" t="inlineStr">
        <is>
          <t>SVP &amp; Chief Investment Officer</t>
        </is>
      </c>
      <c r="J1073" t="inlineStr">
        <is>
          <t>CIO</t>
        </is>
      </c>
      <c r="K1073" t="inlineStr">
        <is>
          <t>CIO - Top Investment Executive</t>
        </is>
      </c>
      <c r="L1073" s="28" t="n">
        <v>643467</v>
      </c>
      <c r="M1073" s="28" t="n">
        <v>296518</v>
      </c>
      <c r="N1073" s="28" t="n">
        <v>77923</v>
      </c>
      <c r="O1073" s="28" t="n">
        <v>71597</v>
      </c>
      <c r="P1073" s="28" t="n">
        <v>48231</v>
      </c>
      <c r="Q1073" s="28" t="n">
        <v>1137736</v>
      </c>
      <c r="R1073" s="28" t="n">
        <v>26939</v>
      </c>
      <c r="S1073" s="28">
        <f>Q1073-R1073</f>
        <v/>
      </c>
      <c r="T1073" s="28">
        <f>IF(S1073="","",S1073*(1+in_GrowthRate)^(YEARFRAC(DATE(2022,12,31),in_AgeToDate)*IF(in_AgeToDate&lt;DATE(2022,12,31),-1,1)+1))</f>
        <v/>
      </c>
      <c r="U1073" s="50">
        <f>IF(AND(AND(OR(in_Mode="All Funds",AND(C1073&gt;=in_BandFloor,C1073&lt;=in_BandCeiling,OR(in_Geography="National",COUNTIFS(lst_GeoPreset,in_Geography,lst_GeoState,B1073)&gt;0,AND(in_Geography="Custom",ISNUMBER(SEARCH(B1073,SUBSTITUTE(in_CustomStates," ",""))))),OR(AND(D1073="Endowment",Inputs!$B$14="Y"),AND(D1073="Foundation",Inputs!$B$15="Y"),AND(D1073="Healthcare",Inputs!$B$16="Y"),AND(D1073="Pension",Inputs!$B$17="Y"),AND(D1073="OCIO",Inputs!$B$18="Y"),AND(D1073="Other",Inputs!$B$19="Y")))),A1073&lt;&gt;in_ClientOrg,NOT(AND(in_ExclHarvard="Y",ISNUMBER(SEARCH("Harvard",A1073))))),$AD1073="Y",K1073&lt;&gt;"",S1073&gt;0),"Y","")</f>
        <v/>
      </c>
      <c r="V1073" s="30" t="n">
        <v>1</v>
      </c>
      <c r="W1073" t="inlineStr"/>
      <c r="X1073" s="28">
        <f>IF(L1073+M1073=0,"",L1073+M1073)</f>
        <v/>
      </c>
      <c r="Y1073" s="38">
        <f>IF(L1073=0,"",M1073/L1073)</f>
        <v/>
      </c>
      <c r="Z1073" t="inlineStr">
        <is>
          <t>CIO - Top Investment Executive</t>
        </is>
      </c>
      <c r="AA1073" t="inlineStr">
        <is>
          <t>Leadership</t>
        </is>
      </c>
      <c r="AB1073" s="50" t="inlineStr">
        <is>
          <t>Y</t>
        </is>
      </c>
      <c r="AC1073" s="43">
        <f>HYPERLINK("https://projects.propublica.org/nonprofits/organizations/752702388/202313129349301911/full","view filing")</f>
        <v/>
      </c>
      <c r="AD1073" s="50" t="inlineStr"/>
    </row>
    <row r="1074">
      <c r="A1074" t="inlineStr">
        <is>
          <t>Texas Health Resources</t>
        </is>
      </c>
      <c r="B1074" s="50" t="inlineStr">
        <is>
          <t>TX</t>
        </is>
      </c>
      <c r="C1074" s="52" t="n">
        <v>7.87</v>
      </c>
      <c r="D1074" t="inlineStr">
        <is>
          <t>Healthcare</t>
        </is>
      </c>
      <c r="E1074" s="50" t="n">
        <v>2022</v>
      </c>
      <c r="F1074" s="50" t="inlineStr">
        <is>
          <t>2023-11-08</t>
        </is>
      </c>
      <c r="G1074" s="50" t="inlineStr">
        <is>
          <t>2022-12-31</t>
        </is>
      </c>
      <c r="H1074" t="inlineStr">
        <is>
          <t>Reevessandra G</t>
        </is>
      </c>
      <c r="I1074" t="inlineStr">
        <is>
          <t>VP Treas/Asst Chief Invest Off</t>
        </is>
      </c>
      <c r="J1074" t="inlineStr">
        <is>
          <t>CIO</t>
        </is>
      </c>
      <c r="K1074" t="inlineStr">
        <is>
          <t>Sr Investment Professional</t>
        </is>
      </c>
      <c r="L1074" s="28" t="n">
        <v>321893</v>
      </c>
      <c r="M1074" s="28" t="n">
        <v>112809</v>
      </c>
      <c r="N1074" s="28" t="n">
        <v>37488</v>
      </c>
      <c r="O1074" s="28" t="n">
        <v>22875</v>
      </c>
      <c r="P1074" s="28" t="n">
        <v>51214</v>
      </c>
      <c r="Q1074" s="28" t="n">
        <v>546279</v>
      </c>
      <c r="R1074" s="28" t="n">
        <v>0</v>
      </c>
      <c r="S1074" s="28">
        <f>Q1074-R1074</f>
        <v/>
      </c>
      <c r="T1074" s="28">
        <f>IF(S1074="","",S1074*(1+in_GrowthRate)^(YEARFRAC(DATE(2022,12,31),in_AgeToDate)*IF(in_AgeToDate&lt;DATE(2022,12,31),-1,1)+1))</f>
        <v/>
      </c>
      <c r="U1074" s="50">
        <f>IF(AND(AND(OR(in_Mode="All Funds",AND(C1074&gt;=in_BandFloor,C1074&lt;=in_BandCeiling,OR(in_Geography="National",COUNTIFS(lst_GeoPreset,in_Geography,lst_GeoState,B1074)&gt;0,AND(in_Geography="Custom",ISNUMBER(SEARCH(B1074,SUBSTITUTE(in_CustomStates," ",""))))),OR(AND(D1074="Endowment",Inputs!$B$14="Y"),AND(D1074="Foundation",Inputs!$B$15="Y"),AND(D1074="Healthcare",Inputs!$B$16="Y"),AND(D1074="Pension",Inputs!$B$17="Y"),AND(D1074="OCIO",Inputs!$B$18="Y"),AND(D1074="Other",Inputs!$B$19="Y")))),A1074&lt;&gt;in_ClientOrg,NOT(AND(in_ExclHarvard="Y",ISNUMBER(SEARCH("Harvard",A1074))))),$AD1074="Y",K1074&lt;&gt;"",S1074&gt;0),"Y","")</f>
        <v/>
      </c>
      <c r="V1074" s="30" t="n">
        <v>0.4917901290694879</v>
      </c>
      <c r="W1074" t="inlineStr"/>
      <c r="X1074" s="28">
        <f>IF(L1074+M1074=0,"",L1074+M1074)</f>
        <v/>
      </c>
      <c r="Y1074" s="38">
        <f>IF(L1074=0,"",M1074/L1074)</f>
        <v/>
      </c>
      <c r="Z1074" t="inlineStr">
        <is>
          <t>Deputy CIO</t>
        </is>
      </c>
      <c r="AA1074" t="inlineStr">
        <is>
          <t>Leadership</t>
        </is>
      </c>
      <c r="AB1074" s="50" t="inlineStr"/>
      <c r="AC1074" s="43">
        <f>HYPERLINK("https://projects.propublica.org/nonprofits/organizations/752702388/202313129349301911/full","view filing")</f>
        <v/>
      </c>
      <c r="AD1074" s="50" t="inlineStr"/>
    </row>
    <row r="1075">
      <c r="A1075" t="inlineStr">
        <is>
          <t>Texas Scottish Rite Hospital For Children</t>
        </is>
      </c>
      <c r="B1075" s="50" t="inlineStr">
        <is>
          <t>TX</t>
        </is>
      </c>
      <c r="C1075" s="52" t="n">
        <v>4.31</v>
      </c>
      <c r="D1075" t="inlineStr">
        <is>
          <t>Healthcare</t>
        </is>
      </c>
      <c r="E1075" s="50" t="n">
        <v>2024</v>
      </c>
      <c r="F1075" s="50" t="inlineStr">
        <is>
          <t>2025-08-15</t>
        </is>
      </c>
      <c r="G1075" s="50" t="inlineStr">
        <is>
          <t>2024-09-30</t>
        </is>
      </c>
      <c r="H1075" t="inlineStr">
        <is>
          <t>Fredric D Richmond</t>
        </is>
      </c>
      <c r="I1075" t="inlineStr">
        <is>
          <t>SR VP, CHIEF INVESTMENT OFFICER</t>
        </is>
      </c>
      <c r="J1075" t="inlineStr">
        <is>
          <t>CIO</t>
        </is>
      </c>
      <c r="K1075" t="inlineStr">
        <is>
          <t>CIO - Top Investment Executive</t>
        </is>
      </c>
      <c r="L1075" s="28" t="n">
        <v>540590</v>
      </c>
      <c r="M1075" s="28" t="n">
        <v>0</v>
      </c>
      <c r="N1075" s="28" t="n">
        <v>54937</v>
      </c>
      <c r="O1075" s="28" t="n">
        <v>19800</v>
      </c>
      <c r="P1075" s="28" t="n">
        <v>26021</v>
      </c>
      <c r="Q1075" s="28" t="n">
        <v>641348</v>
      </c>
      <c r="R1075" s="28" t="n">
        <v>0</v>
      </c>
      <c r="S1075" s="28">
        <f>Q1075-R1075</f>
        <v/>
      </c>
      <c r="T1075" s="28">
        <f>IF(S1075="","",S1075*(1+in_GrowthRate)^(YEARFRAC(DATE(2024,9,30),in_AgeToDate)*IF(in_AgeToDate&lt;DATE(2024,9,30),-1,1)+1))</f>
        <v/>
      </c>
      <c r="U1075" s="50">
        <f>IF(AND(AND(OR(in_Mode="All Funds",AND(C1075&gt;=in_BandFloor,C1075&lt;=in_BandCeiling,OR(in_Geography="National",COUNTIFS(lst_GeoPreset,in_Geography,lst_GeoState,B1075)&gt;0,AND(in_Geography="Custom",ISNUMBER(SEARCH(B1075,SUBSTITUTE(in_CustomStates," ",""))))),OR(AND(D1075="Endowment",Inputs!$B$14="Y"),AND(D1075="Foundation",Inputs!$B$15="Y"),AND(D1075="Healthcare",Inputs!$B$16="Y"),AND(D1075="Pension",Inputs!$B$17="Y"),AND(D1075="OCIO",Inputs!$B$18="Y"),AND(D1075="Other",Inputs!$B$19="Y")))),A1075&lt;&gt;in_ClientOrg,NOT(AND(in_ExclHarvard="Y",ISNUMBER(SEARCH("Harvard",A1075))))),$AD1075="Y",K1075&lt;&gt;"",S1075&gt;0),"Y","")</f>
        <v/>
      </c>
      <c r="V1075" s="30" t="n">
        <v>1</v>
      </c>
      <c r="W1075" t="inlineStr"/>
      <c r="X1075" s="28">
        <f>IF(L1075+M1075=0,"",L1075+M1075)</f>
        <v/>
      </c>
      <c r="Y1075" s="38">
        <f>IF(L1075=0,"",M1075/L1075)</f>
        <v/>
      </c>
      <c r="Z1075" t="inlineStr">
        <is>
          <t>CIO - Top Investment Executive</t>
        </is>
      </c>
      <c r="AA1075" t="inlineStr">
        <is>
          <t>Leadership</t>
        </is>
      </c>
      <c r="AB1075" s="50" t="inlineStr">
        <is>
          <t>Y</t>
        </is>
      </c>
      <c r="AC1075" s="43">
        <f>HYPERLINK("https://projects.propublica.org/nonprofits/organizations/750818178/202542279349301519/full","view filing")</f>
        <v/>
      </c>
      <c r="AD1075" s="50" t="inlineStr"/>
    </row>
    <row r="1076">
      <c r="A1076" t="inlineStr">
        <is>
          <t>Texas Scottish Rite Hospital For Children</t>
        </is>
      </c>
      <c r="B1076" s="50" t="inlineStr">
        <is>
          <t>TX</t>
        </is>
      </c>
      <c r="C1076" s="52" t="n">
        <v>4.31</v>
      </c>
      <c r="D1076" t="inlineStr">
        <is>
          <t>Healthcare</t>
        </is>
      </c>
      <c r="E1076" s="50" t="n">
        <v>2024</v>
      </c>
      <c r="F1076" s="50" t="inlineStr">
        <is>
          <t>2025-08-15</t>
        </is>
      </c>
      <c r="G1076" s="50" t="inlineStr">
        <is>
          <t>2024-09-30</t>
        </is>
      </c>
      <c r="H1076" t="inlineStr">
        <is>
          <t>Kris L Keever-Smith</t>
        </is>
      </c>
      <c r="I1076" t="inlineStr">
        <is>
          <t>VP INVESTMENTS</t>
        </is>
      </c>
      <c r="J1076" t="inlineStr">
        <is>
          <t>Director of Investments</t>
        </is>
      </c>
      <c r="K1076" t="inlineStr">
        <is>
          <t>Sr Investment Professional</t>
        </is>
      </c>
      <c r="L1076" s="28" t="n">
        <v>328000</v>
      </c>
      <c r="M1076" s="28" t="n">
        <v>0</v>
      </c>
      <c r="N1076" s="28" t="n">
        <v>49249</v>
      </c>
      <c r="O1076" s="28" t="n">
        <v>134882</v>
      </c>
      <c r="P1076" s="28" t="n">
        <v>1696</v>
      </c>
      <c r="Q1076" s="28" t="n">
        <v>513827</v>
      </c>
      <c r="R1076" s="28" t="n">
        <v>0</v>
      </c>
      <c r="S1076" s="28">
        <f>Q1076-R1076</f>
        <v/>
      </c>
      <c r="T1076" s="28">
        <f>IF(S1076="","",S1076*(1+in_GrowthRate)^(YEARFRAC(DATE(2024,9,30),in_AgeToDate)*IF(in_AgeToDate&lt;DATE(2024,9,30),-1,1)+1))</f>
        <v/>
      </c>
      <c r="U1076" s="50">
        <f>IF(AND(AND(OR(in_Mode="All Funds",AND(C1076&gt;=in_BandFloor,C1076&lt;=in_BandCeiling,OR(in_Geography="National",COUNTIFS(lst_GeoPreset,in_Geography,lst_GeoState,B1076)&gt;0,AND(in_Geography="Custom",ISNUMBER(SEARCH(B1076,SUBSTITUTE(in_CustomStates," ",""))))),OR(AND(D1076="Endowment",Inputs!$B$14="Y"),AND(D1076="Foundation",Inputs!$B$15="Y"),AND(D1076="Healthcare",Inputs!$B$16="Y"),AND(D1076="Pension",Inputs!$B$17="Y"),AND(D1076="OCIO",Inputs!$B$18="Y"),AND(D1076="Other",Inputs!$B$19="Y")))),A1076&lt;&gt;in_ClientOrg,NOT(AND(in_ExclHarvard="Y",ISNUMBER(SEARCH("Harvard",A1076))))),$AD1076="Y",K1076&lt;&gt;"",S1076&gt;0),"Y","")</f>
        <v/>
      </c>
      <c r="V1076" s="30" t="n">
        <v>0.8011672290238685</v>
      </c>
      <c r="W1076" t="inlineStr"/>
      <c r="X1076" s="28">
        <f>IF(L1076+M1076=0,"",L1076+M1076)</f>
        <v/>
      </c>
      <c r="Y1076" s="38">
        <f>IF(L1076=0,"",M1076/L1076)</f>
        <v/>
      </c>
      <c r="Z1076" t="inlineStr">
        <is>
          <t>Director &amp; Investment Officer</t>
        </is>
      </c>
      <c r="AA1076" t="inlineStr">
        <is>
          <t>Investments</t>
        </is>
      </c>
      <c r="AB1076" s="50" t="inlineStr"/>
      <c r="AC1076" s="43">
        <f>HYPERLINK("https://projects.propublica.org/nonprofits/organizations/750818178/202542279349301519/full","view filing")</f>
        <v/>
      </c>
      <c r="AD1076" s="50" t="inlineStr"/>
    </row>
    <row r="1077">
      <c r="A1077" t="inlineStr">
        <is>
          <t>Texas Scottish Rite Hospital For Children</t>
        </is>
      </c>
      <c r="B1077" s="50" t="inlineStr">
        <is>
          <t>TX</t>
        </is>
      </c>
      <c r="C1077" s="52" t="n">
        <v>4.31</v>
      </c>
      <c r="D1077" t="inlineStr">
        <is>
          <t>Healthcare</t>
        </is>
      </c>
      <c r="E1077" s="50" t="n">
        <v>2023</v>
      </c>
      <c r="F1077" s="50" t="inlineStr">
        <is>
          <t>2024-08-15</t>
        </is>
      </c>
      <c r="G1077" s="50" t="inlineStr">
        <is>
          <t>2023-09-30</t>
        </is>
      </c>
      <c r="H1077" t="inlineStr">
        <is>
          <t>Fredric D Richmond</t>
        </is>
      </c>
      <c r="I1077" t="inlineStr">
        <is>
          <t>SR VP, CHIEF INVESTMENT OFFICER</t>
        </is>
      </c>
      <c r="J1077" t="inlineStr">
        <is>
          <t>CIO</t>
        </is>
      </c>
      <c r="K1077" t="inlineStr">
        <is>
          <t>CIO - Top Investment Executive</t>
        </is>
      </c>
      <c r="L1077" s="28" t="n">
        <v>516269</v>
      </c>
      <c r="M1077" s="28" t="n">
        <v>0</v>
      </c>
      <c r="N1077" s="28" t="n">
        <v>53698</v>
      </c>
      <c r="O1077" s="28" t="n">
        <v>18300</v>
      </c>
      <c r="P1077" s="28" t="n">
        <v>28917</v>
      </c>
      <c r="Q1077" s="28" t="n">
        <v>617184</v>
      </c>
      <c r="R1077" s="28" t="n">
        <v>0</v>
      </c>
      <c r="S1077" s="28">
        <f>Q1077-R1077</f>
        <v/>
      </c>
      <c r="T1077" s="28">
        <f>IF(S1077="","",S1077*(1+in_GrowthRate)^(YEARFRAC(DATE(2023,9,30),in_AgeToDate)*IF(in_AgeToDate&lt;DATE(2023,9,30),-1,1)+1))</f>
        <v/>
      </c>
      <c r="U1077" s="50">
        <f>IF(AND(AND(OR(in_Mode="All Funds",AND(C1077&gt;=in_BandFloor,C1077&lt;=in_BandCeiling,OR(in_Geography="National",COUNTIFS(lst_GeoPreset,in_Geography,lst_GeoState,B1077)&gt;0,AND(in_Geography="Custom",ISNUMBER(SEARCH(B1077,SUBSTITUTE(in_CustomStates," ",""))))),OR(AND(D1077="Endowment",Inputs!$B$14="Y"),AND(D1077="Foundation",Inputs!$B$15="Y"),AND(D1077="Healthcare",Inputs!$B$16="Y"),AND(D1077="Pension",Inputs!$B$17="Y"),AND(D1077="OCIO",Inputs!$B$18="Y"),AND(D1077="Other",Inputs!$B$19="Y")))),A1077&lt;&gt;in_ClientOrg,NOT(AND(in_ExclHarvard="Y",ISNUMBER(SEARCH("Harvard",A1077))))),$AD1077="Y",K1077&lt;&gt;"",S1077&gt;0),"Y","")</f>
        <v/>
      </c>
      <c r="V1077" s="30" t="n">
        <v>1</v>
      </c>
      <c r="W1077" t="inlineStr"/>
      <c r="X1077" s="28">
        <f>IF(L1077+M1077=0,"",L1077+M1077)</f>
        <v/>
      </c>
      <c r="Y1077" s="38">
        <f>IF(L1077=0,"",M1077/L1077)</f>
        <v/>
      </c>
      <c r="Z1077" t="inlineStr">
        <is>
          <t>CIO - Top Investment Executive</t>
        </is>
      </c>
      <c r="AA1077" t="inlineStr">
        <is>
          <t>Leadership</t>
        </is>
      </c>
      <c r="AB1077" s="50" t="inlineStr">
        <is>
          <t>Y</t>
        </is>
      </c>
      <c r="AC1077" s="43">
        <f>HYPERLINK("https://projects.propublica.org/nonprofits/organizations/750818178/202402289349303555/full","view filing")</f>
        <v/>
      </c>
      <c r="AD1077" s="50" t="inlineStr"/>
    </row>
    <row r="1078">
      <c r="A1078" t="inlineStr">
        <is>
          <t>Texas Scottish Rite Hospital For Children</t>
        </is>
      </c>
      <c r="B1078" s="50" t="inlineStr">
        <is>
          <t>TX</t>
        </is>
      </c>
      <c r="C1078" s="52" t="n">
        <v>4.31</v>
      </c>
      <c r="D1078" t="inlineStr">
        <is>
          <t>Healthcare</t>
        </is>
      </c>
      <c r="E1078" s="50" t="n">
        <v>2023</v>
      </c>
      <c r="F1078" s="50" t="inlineStr">
        <is>
          <t>2024-08-15</t>
        </is>
      </c>
      <c r="G1078" s="50" t="inlineStr">
        <is>
          <t>2023-09-30</t>
        </is>
      </c>
      <c r="H1078" t="inlineStr">
        <is>
          <t>Kris L Keever-Smith</t>
        </is>
      </c>
      <c r="I1078" t="inlineStr">
        <is>
          <t>VP INVESTMENTS</t>
        </is>
      </c>
      <c r="J1078" t="inlineStr">
        <is>
          <t>Director of Investments</t>
        </is>
      </c>
      <c r="K1078" t="inlineStr">
        <is>
          <t>Sr Investment Professional</t>
        </is>
      </c>
      <c r="L1078" s="28" t="n">
        <v>314002</v>
      </c>
      <c r="M1078" s="28" t="n">
        <v>0</v>
      </c>
      <c r="N1078" s="28" t="n">
        <v>25570</v>
      </c>
      <c r="O1078" s="28" t="n">
        <v>229933</v>
      </c>
      <c r="P1078" s="28" t="n">
        <v>1656</v>
      </c>
      <c r="Q1078" s="28" t="n">
        <v>571161</v>
      </c>
      <c r="R1078" s="28" t="n">
        <v>0</v>
      </c>
      <c r="S1078" s="28">
        <f>Q1078-R1078</f>
        <v/>
      </c>
      <c r="T1078" s="28">
        <f>IF(S1078="","",S1078*(1+in_GrowthRate)^(YEARFRAC(DATE(2023,9,30),in_AgeToDate)*IF(in_AgeToDate&lt;DATE(2023,9,30),-1,1)+1))</f>
        <v/>
      </c>
      <c r="U1078" s="50">
        <f>IF(AND(AND(OR(in_Mode="All Funds",AND(C1078&gt;=in_BandFloor,C1078&lt;=in_BandCeiling,OR(in_Geography="National",COUNTIFS(lst_GeoPreset,in_Geography,lst_GeoState,B1078)&gt;0,AND(in_Geography="Custom",ISNUMBER(SEARCH(B1078,SUBSTITUTE(in_CustomStates," ",""))))),OR(AND(D1078="Endowment",Inputs!$B$14="Y"),AND(D1078="Foundation",Inputs!$B$15="Y"),AND(D1078="Healthcare",Inputs!$B$16="Y"),AND(D1078="Pension",Inputs!$B$17="Y"),AND(D1078="OCIO",Inputs!$B$18="Y"),AND(D1078="Other",Inputs!$B$19="Y")))),A1078&lt;&gt;in_ClientOrg,NOT(AND(in_ExclHarvard="Y",ISNUMBER(SEARCH("Harvard",A1078))))),$AD1078="Y",K1078&lt;&gt;"",S1078&gt;0),"Y","")</f>
        <v/>
      </c>
      <c r="V1078" s="30" t="n">
        <v>0.9254306657333955</v>
      </c>
      <c r="W1078" t="inlineStr"/>
      <c r="X1078" s="28">
        <f>IF(L1078+M1078=0,"",L1078+M1078)</f>
        <v/>
      </c>
      <c r="Y1078" s="38">
        <f>IF(L1078=0,"",M1078/L1078)</f>
        <v/>
      </c>
      <c r="Z1078" t="inlineStr">
        <is>
          <t>Director &amp; Investment Officer</t>
        </is>
      </c>
      <c r="AA1078" t="inlineStr">
        <is>
          <t>Investments</t>
        </is>
      </c>
      <c r="AB1078" s="50" t="inlineStr"/>
      <c r="AC1078" s="43">
        <f>HYPERLINK("https://projects.propublica.org/nonprofits/organizations/750818178/202402289349303555/full","view filing")</f>
        <v/>
      </c>
      <c r="AD1078" s="50" t="inlineStr"/>
    </row>
    <row r="1079">
      <c r="A1079" t="inlineStr">
        <is>
          <t>Texas Scottish Rite Hospital For Children</t>
        </is>
      </c>
      <c r="B1079" s="50" t="inlineStr">
        <is>
          <t>TX</t>
        </is>
      </c>
      <c r="C1079" s="52" t="n">
        <v>4.31</v>
      </c>
      <c r="D1079" t="inlineStr">
        <is>
          <t>Healthcare</t>
        </is>
      </c>
      <c r="E1079" s="50" t="n">
        <v>2022</v>
      </c>
      <c r="F1079" s="50" t="inlineStr">
        <is>
          <t>2023-08-14</t>
        </is>
      </c>
      <c r="G1079" s="50" t="inlineStr">
        <is>
          <t>2022-09-30</t>
        </is>
      </c>
      <c r="H1079" t="inlineStr">
        <is>
          <t>Fredric D Richmond</t>
        </is>
      </c>
      <c r="I1079" t="inlineStr">
        <is>
          <t>SR VP, CHIEF INVESTMENT OFFICER</t>
        </is>
      </c>
      <c r="J1079" t="inlineStr">
        <is>
          <t>CIO</t>
        </is>
      </c>
      <c r="K1079" t="inlineStr">
        <is>
          <t>CIO - Top Investment Executive</t>
        </is>
      </c>
      <c r="L1079" s="28" t="n">
        <v>484282</v>
      </c>
      <c r="M1079" s="28" t="n">
        <v>0</v>
      </c>
      <c r="N1079" s="28" t="n">
        <v>51447</v>
      </c>
      <c r="O1079" s="28" t="n">
        <v>17400</v>
      </c>
      <c r="P1079" s="28" t="n">
        <v>36781</v>
      </c>
      <c r="Q1079" s="28" t="n">
        <v>589910</v>
      </c>
      <c r="R1079" s="28" t="n">
        <v>0</v>
      </c>
      <c r="S1079" s="28">
        <f>Q1079-R1079</f>
        <v/>
      </c>
      <c r="T1079" s="28">
        <f>IF(S1079="","",S1079*(1+in_GrowthRate)^(YEARFRAC(DATE(2022,9,30),in_AgeToDate)*IF(in_AgeToDate&lt;DATE(2022,9,30),-1,1)+1))</f>
        <v/>
      </c>
      <c r="U1079" s="50">
        <f>IF(AND(AND(OR(in_Mode="All Funds",AND(C1079&gt;=in_BandFloor,C1079&lt;=in_BandCeiling,OR(in_Geography="National",COUNTIFS(lst_GeoPreset,in_Geography,lst_GeoState,B1079)&gt;0,AND(in_Geography="Custom",ISNUMBER(SEARCH(B1079,SUBSTITUTE(in_CustomStates," ",""))))),OR(AND(D1079="Endowment",Inputs!$B$14="Y"),AND(D1079="Foundation",Inputs!$B$15="Y"),AND(D1079="Healthcare",Inputs!$B$16="Y"),AND(D1079="Pension",Inputs!$B$17="Y"),AND(D1079="OCIO",Inputs!$B$18="Y"),AND(D1079="Other",Inputs!$B$19="Y")))),A1079&lt;&gt;in_ClientOrg,NOT(AND(in_ExclHarvard="Y",ISNUMBER(SEARCH("Harvard",A1079))))),$AD1079="Y",K1079&lt;&gt;"",S1079&gt;0),"Y","")</f>
        <v/>
      </c>
      <c r="V1079" s="30" t="n">
        <v>1</v>
      </c>
      <c r="W1079" t="inlineStr"/>
      <c r="X1079" s="28">
        <f>IF(L1079+M1079=0,"",L1079+M1079)</f>
        <v/>
      </c>
      <c r="Y1079" s="38">
        <f>IF(L1079=0,"",M1079/L1079)</f>
        <v/>
      </c>
      <c r="Z1079" t="inlineStr">
        <is>
          <t>CIO - Top Investment Executive</t>
        </is>
      </c>
      <c r="AA1079" t="inlineStr">
        <is>
          <t>Leadership</t>
        </is>
      </c>
      <c r="AB1079" s="50" t="inlineStr">
        <is>
          <t>Y</t>
        </is>
      </c>
      <c r="AC1079" s="43">
        <f>HYPERLINK("https://projects.propublica.org/nonprofits/organizations/750818178/202302269349303260/full","view filing")</f>
        <v/>
      </c>
      <c r="AD1079" s="50" t="inlineStr"/>
    </row>
    <row r="1080">
      <c r="A1080" t="inlineStr">
        <is>
          <t>Texas Scottish Rite Hospital For Children</t>
        </is>
      </c>
      <c r="B1080" s="50" t="inlineStr">
        <is>
          <t>TX</t>
        </is>
      </c>
      <c r="C1080" s="52" t="n">
        <v>4.31</v>
      </c>
      <c r="D1080" t="inlineStr">
        <is>
          <t>Healthcare</t>
        </is>
      </c>
      <c r="E1080" s="50" t="n">
        <v>2022</v>
      </c>
      <c r="F1080" s="50" t="inlineStr">
        <is>
          <t>2023-08-14</t>
        </is>
      </c>
      <c r="G1080" s="50" t="inlineStr">
        <is>
          <t>2022-09-30</t>
        </is>
      </c>
      <c r="H1080" t="inlineStr">
        <is>
          <t>Kristina L Keever-Smith</t>
        </is>
      </c>
      <c r="I1080" t="inlineStr">
        <is>
          <t>VP, INVESTMENTS</t>
        </is>
      </c>
      <c r="J1080" t="inlineStr">
        <is>
          <t>Director of Investments</t>
        </is>
      </c>
      <c r="K1080" t="inlineStr">
        <is>
          <t>Sr Investment Professional</t>
        </is>
      </c>
      <c r="L1080" s="28" t="n">
        <v>295664</v>
      </c>
      <c r="M1080" s="28" t="n">
        <v>0</v>
      </c>
      <c r="N1080" s="28" t="n">
        <v>24199</v>
      </c>
      <c r="O1080" s="28" t="n">
        <v>194558</v>
      </c>
      <c r="P1080" s="28" t="n">
        <v>1611</v>
      </c>
      <c r="Q1080" s="28" t="n">
        <v>516032</v>
      </c>
      <c r="R1080" s="28" t="n">
        <v>0</v>
      </c>
      <c r="S1080" s="28">
        <f>Q1080-R1080</f>
        <v/>
      </c>
      <c r="T1080" s="28">
        <f>IF(S1080="","",S1080*(1+in_GrowthRate)^(YEARFRAC(DATE(2022,9,30),in_AgeToDate)*IF(in_AgeToDate&lt;DATE(2022,9,30),-1,1)+1))</f>
        <v/>
      </c>
      <c r="U1080" s="50">
        <f>IF(AND(AND(OR(in_Mode="All Funds",AND(C1080&gt;=in_BandFloor,C1080&lt;=in_BandCeiling,OR(in_Geography="National",COUNTIFS(lst_GeoPreset,in_Geography,lst_GeoState,B1080)&gt;0,AND(in_Geography="Custom",ISNUMBER(SEARCH(B1080,SUBSTITUTE(in_CustomStates," ",""))))),OR(AND(D1080="Endowment",Inputs!$B$14="Y"),AND(D1080="Foundation",Inputs!$B$15="Y"),AND(D1080="Healthcare",Inputs!$B$16="Y"),AND(D1080="Pension",Inputs!$B$17="Y"),AND(D1080="OCIO",Inputs!$B$18="Y"),AND(D1080="Other",Inputs!$B$19="Y")))),A1080&lt;&gt;in_ClientOrg,NOT(AND(in_ExclHarvard="Y",ISNUMBER(SEARCH("Harvard",A1080))))),$AD1080="Y",K1080&lt;&gt;"",S1080&gt;0),"Y","")</f>
        <v/>
      </c>
      <c r="V1080" s="30" t="n">
        <v>0.8747639470427693</v>
      </c>
      <c r="W1080" t="inlineStr"/>
      <c r="X1080" s="28">
        <f>IF(L1080+M1080=0,"",L1080+M1080)</f>
        <v/>
      </c>
      <c r="Y1080" s="38">
        <f>IF(L1080=0,"",M1080/L1080)</f>
        <v/>
      </c>
      <c r="Z1080" t="inlineStr">
        <is>
          <t>Director &amp; Investment Officer</t>
        </is>
      </c>
      <c r="AA1080" t="inlineStr">
        <is>
          <t>Investments</t>
        </is>
      </c>
      <c r="AB1080" s="50" t="inlineStr"/>
      <c r="AC1080" s="43">
        <f>HYPERLINK("https://projects.propublica.org/nonprofits/organizations/750818178/202302269349303260/full","view filing")</f>
        <v/>
      </c>
      <c r="AD1080" s="50" t="inlineStr"/>
    </row>
    <row r="1081">
      <c r="A1081" t="inlineStr">
        <is>
          <t>The Administrators Of The Tulane Educational Fund</t>
        </is>
      </c>
      <c r="B1081" s="50" t="inlineStr">
        <is>
          <t>LA</t>
        </is>
      </c>
      <c r="C1081" s="52" t="n">
        <v>2.46</v>
      </c>
      <c r="D1081" t="inlineStr">
        <is>
          <t>Endowment</t>
        </is>
      </c>
      <c r="E1081" s="50" t="n">
        <v>2025</v>
      </c>
      <c r="F1081" s="50" t="inlineStr">
        <is>
          <t>2026-05-15</t>
        </is>
      </c>
      <c r="G1081" s="50" t="inlineStr">
        <is>
          <t>2025-06-30</t>
        </is>
      </c>
      <c r="H1081" t="inlineStr">
        <is>
          <t>Richard Chau</t>
        </is>
      </c>
      <c r="I1081" t="inlineStr">
        <is>
          <t>Chief Investment Officer</t>
        </is>
      </c>
      <c r="J1081" t="inlineStr">
        <is>
          <t>CIO</t>
        </is>
      </c>
      <c r="K1081" t="inlineStr">
        <is>
          <t>CIO - Top Investment Executive</t>
        </is>
      </c>
      <c r="L1081" s="28" t="n">
        <v>647000</v>
      </c>
      <c r="M1081" s="28" t="n">
        <v>1017000</v>
      </c>
      <c r="N1081" s="28" t="n">
        <v>53000</v>
      </c>
      <c r="O1081" s="28" t="n">
        <v>288000</v>
      </c>
      <c r="P1081" s="28" t="n">
        <v>0</v>
      </c>
      <c r="Q1081" s="28" t="n">
        <v>2005000</v>
      </c>
      <c r="R1081" s="28" t="n">
        <v>236000</v>
      </c>
      <c r="S1081" s="28">
        <f>Q1081-R1081</f>
        <v/>
      </c>
      <c r="T1081" s="28">
        <f>IF(S1081="","",S1081*(1+in_GrowthRate)^(YEARFRAC(DATE(2025,6,30),in_AgeToDate)*IF(in_AgeToDate&lt;DATE(2025,6,30),-1,1)+1))</f>
        <v/>
      </c>
      <c r="U1081" s="50">
        <f>IF(AND(AND(OR(in_Mode="All Funds",AND(C1081&gt;=in_BandFloor,C1081&lt;=in_BandCeiling,OR(in_Geography="National",COUNTIFS(lst_GeoPreset,in_Geography,lst_GeoState,B1081)&gt;0,AND(in_Geography="Custom",ISNUMBER(SEARCH(B1081,SUBSTITUTE(in_CustomStates," ",""))))),OR(AND(D1081="Endowment",Inputs!$B$14="Y"),AND(D1081="Foundation",Inputs!$B$15="Y"),AND(D1081="Healthcare",Inputs!$B$16="Y"),AND(D1081="Pension",Inputs!$B$17="Y"),AND(D1081="OCIO",Inputs!$B$18="Y"),AND(D1081="Other",Inputs!$B$19="Y")))),A1081&lt;&gt;in_ClientOrg,NOT(AND(in_ExclHarvard="Y",ISNUMBER(SEARCH("Harvard",A1081))))),$AD1081="Y",K1081&lt;&gt;"",S1081&gt;0),"Y","")</f>
        <v/>
      </c>
      <c r="V1081" s="30" t="n">
        <v>1</v>
      </c>
      <c r="W1081" t="inlineStr"/>
      <c r="X1081" s="28">
        <f>IF(L1081+M1081=0,"",L1081+M1081)</f>
        <v/>
      </c>
      <c r="Y1081" s="38">
        <f>IF(L1081=0,"",M1081/L1081)</f>
        <v/>
      </c>
      <c r="Z1081" t="inlineStr">
        <is>
          <t>CIO - Top Investment Executive</t>
        </is>
      </c>
      <c r="AA1081" t="inlineStr">
        <is>
          <t>Leadership</t>
        </is>
      </c>
      <c r="AB1081" s="50" t="inlineStr">
        <is>
          <t>Y</t>
        </is>
      </c>
      <c r="AC1081" s="43">
        <f>HYPERLINK("https://projects.propublica.org/nonprofits/organizations/720423889/202601359349303230/full","view filing")</f>
        <v/>
      </c>
      <c r="AD1081" s="50" t="inlineStr">
        <is>
          <t>Y</t>
        </is>
      </c>
    </row>
    <row r="1082">
      <c r="A1082" t="inlineStr">
        <is>
          <t>The Administrators Of The Tulane Educational Fund</t>
        </is>
      </c>
      <c r="B1082" s="50" t="inlineStr">
        <is>
          <t>LA</t>
        </is>
      </c>
      <c r="C1082" s="52" t="n">
        <v>2.46</v>
      </c>
      <c r="D1082" t="inlineStr">
        <is>
          <t>Endowment</t>
        </is>
      </c>
      <c r="E1082" s="50" t="n">
        <v>2024</v>
      </c>
      <c r="F1082" s="50" t="inlineStr">
        <is>
          <t>2025-05-15</t>
        </is>
      </c>
      <c r="G1082" s="50" t="inlineStr">
        <is>
          <t>2024-06-30</t>
        </is>
      </c>
      <c r="H1082" t="inlineStr">
        <is>
          <t>Julia Mord</t>
        </is>
      </c>
      <c r="I1082" t="inlineStr">
        <is>
          <t>Deputy Chief Investment Officer</t>
        </is>
      </c>
      <c r="J1082" t="inlineStr">
        <is>
          <t>Deputy CIO</t>
        </is>
      </c>
      <c r="K1082" t="inlineStr">
        <is>
          <t>Sr Investment Professional</t>
        </is>
      </c>
      <c r="L1082" s="28" t="n">
        <v>428000</v>
      </c>
      <c r="M1082" s="28" t="n">
        <v>463000</v>
      </c>
      <c r="N1082" s="28" t="n">
        <v>26000</v>
      </c>
      <c r="O1082" s="28" t="n">
        <v>147000</v>
      </c>
      <c r="P1082" s="28" t="n">
        <v>27000</v>
      </c>
      <c r="Q1082" s="28" t="n">
        <v>1091000</v>
      </c>
      <c r="R1082" s="28" t="n">
        <v>0</v>
      </c>
      <c r="S1082" s="28">
        <f>Q1082-R1082</f>
        <v/>
      </c>
      <c r="T1082" s="28">
        <f>IF(S1082="","",S1082*(1+in_GrowthRate)^(YEARFRAC(DATE(2024,6,30),in_AgeToDate)*IF(in_AgeToDate&lt;DATE(2024,6,30),-1,1)+1))</f>
        <v/>
      </c>
      <c r="U1082" s="50">
        <f>IF(AND(AND(OR(in_Mode="All Funds",AND(C1082&gt;=in_BandFloor,C1082&lt;=in_BandCeiling,OR(in_Geography="National",COUNTIFS(lst_GeoPreset,in_Geography,lst_GeoState,B1082)&gt;0,AND(in_Geography="Custom",ISNUMBER(SEARCH(B1082,SUBSTITUTE(in_CustomStates," ",""))))),OR(AND(D1082="Endowment",Inputs!$B$14="Y"),AND(D1082="Foundation",Inputs!$B$15="Y"),AND(D1082="Healthcare",Inputs!$B$16="Y"),AND(D1082="Pension",Inputs!$B$17="Y"),AND(D1082="OCIO",Inputs!$B$18="Y"),AND(D1082="Other",Inputs!$B$19="Y")))),A1082&lt;&gt;in_ClientOrg,NOT(AND(in_ExclHarvard="Y",ISNUMBER(SEARCH("Harvard",A1082))))),$AD1082="Y",K1082&lt;&gt;"",S1082&gt;0),"Y","")</f>
        <v/>
      </c>
      <c r="V1082" s="30" t="n">
        <v>0.6652439024390244</v>
      </c>
      <c r="W1082" t="inlineStr"/>
      <c r="X1082" s="28">
        <f>IF(L1082+M1082=0,"",L1082+M1082)</f>
        <v/>
      </c>
      <c r="Y1082" s="38">
        <f>IF(L1082=0,"",M1082/L1082)</f>
        <v/>
      </c>
      <c r="Z1082" t="inlineStr">
        <is>
          <t>Deputy CIO</t>
        </is>
      </c>
      <c r="AA1082" t="inlineStr">
        <is>
          <t>Leadership</t>
        </is>
      </c>
      <c r="AB1082" s="50" t="inlineStr"/>
      <c r="AC1082" s="43">
        <f>HYPERLINK("https://projects.propublica.org/nonprofits/organizations/720423889/202521359349304292/full","view filing")</f>
        <v/>
      </c>
      <c r="AD1082" s="50" t="inlineStr"/>
    </row>
    <row r="1083">
      <c r="A1083" t="inlineStr">
        <is>
          <t>The Administrators Of The Tulane Educational Fund</t>
        </is>
      </c>
      <c r="B1083" s="50" t="inlineStr">
        <is>
          <t>LA</t>
        </is>
      </c>
      <c r="C1083" s="52" t="n">
        <v>2.46</v>
      </c>
      <c r="D1083" t="inlineStr">
        <is>
          <t>Endowment</t>
        </is>
      </c>
      <c r="E1083" s="50" t="n">
        <v>2024</v>
      </c>
      <c r="F1083" s="50" t="inlineStr">
        <is>
          <t>2025-05-15</t>
        </is>
      </c>
      <c r="G1083" s="50" t="inlineStr">
        <is>
          <t>2024-06-30</t>
        </is>
      </c>
      <c r="H1083" t="inlineStr">
        <is>
          <t>Richard Chau</t>
        </is>
      </c>
      <c r="I1083" t="inlineStr">
        <is>
          <t>Chief Investment Officer</t>
        </is>
      </c>
      <c r="J1083" t="inlineStr">
        <is>
          <t>CIO</t>
        </is>
      </c>
      <c r="K1083" t="inlineStr">
        <is>
          <t>CIO - Top Investment Executive</t>
        </is>
      </c>
      <c r="L1083" s="28" t="n">
        <v>601000</v>
      </c>
      <c r="M1083" s="28" t="n">
        <v>943000</v>
      </c>
      <c r="N1083" s="28" t="n">
        <v>52000</v>
      </c>
      <c r="O1083" s="28" t="n">
        <v>269000</v>
      </c>
      <c r="P1083" s="28" t="n">
        <v>0</v>
      </c>
      <c r="Q1083" s="28" t="n">
        <v>1865000</v>
      </c>
      <c r="R1083" s="28" t="n">
        <v>225000</v>
      </c>
      <c r="S1083" s="28">
        <f>Q1083-R1083</f>
        <v/>
      </c>
      <c r="T1083" s="28">
        <f>IF(S1083="","",S1083*(1+in_GrowthRate)^(YEARFRAC(DATE(2024,6,30),in_AgeToDate)*IF(in_AgeToDate&lt;DATE(2024,6,30),-1,1)+1))</f>
        <v/>
      </c>
      <c r="U1083" s="50">
        <f>IF(AND(AND(OR(in_Mode="All Funds",AND(C1083&gt;=in_BandFloor,C1083&lt;=in_BandCeiling,OR(in_Geography="National",COUNTIFS(lst_GeoPreset,in_Geography,lst_GeoState,B1083)&gt;0,AND(in_Geography="Custom",ISNUMBER(SEARCH(B1083,SUBSTITUTE(in_CustomStates," ",""))))),OR(AND(D1083="Endowment",Inputs!$B$14="Y"),AND(D1083="Foundation",Inputs!$B$15="Y"),AND(D1083="Healthcare",Inputs!$B$16="Y"),AND(D1083="Pension",Inputs!$B$17="Y"),AND(D1083="OCIO",Inputs!$B$18="Y"),AND(D1083="Other",Inputs!$B$19="Y")))),A1083&lt;&gt;in_ClientOrg,NOT(AND(in_ExclHarvard="Y",ISNUMBER(SEARCH("Harvard",A1083))))),$AD1083="Y",K1083&lt;&gt;"",S1083&gt;0),"Y","")</f>
        <v/>
      </c>
      <c r="V1083" s="30" t="n">
        <v>1</v>
      </c>
      <c r="W1083" t="inlineStr"/>
      <c r="X1083" s="28">
        <f>IF(L1083+M1083=0,"",L1083+M1083)</f>
        <v/>
      </c>
      <c r="Y1083" s="38">
        <f>IF(L1083=0,"",M1083/L1083)</f>
        <v/>
      </c>
      <c r="Z1083" t="inlineStr">
        <is>
          <t>CIO - Top Investment Executive</t>
        </is>
      </c>
      <c r="AA1083" t="inlineStr">
        <is>
          <t>Leadership</t>
        </is>
      </c>
      <c r="AB1083" s="50" t="inlineStr">
        <is>
          <t>Y</t>
        </is>
      </c>
      <c r="AC1083" s="43">
        <f>HYPERLINK("https://projects.propublica.org/nonprofits/organizations/720423889/202521359349304292/full","view filing")</f>
        <v/>
      </c>
      <c r="AD1083" s="50" t="inlineStr"/>
    </row>
    <row r="1084">
      <c r="A1084" t="inlineStr">
        <is>
          <t>The Administrators Of The Tulane Educational Fund</t>
        </is>
      </c>
      <c r="B1084" s="50" t="inlineStr">
        <is>
          <t>LA</t>
        </is>
      </c>
      <c r="C1084" s="52" t="n">
        <v>2.46</v>
      </c>
      <c r="D1084" t="inlineStr">
        <is>
          <t>Endowment</t>
        </is>
      </c>
      <c r="E1084" s="50" t="n">
        <v>2023</v>
      </c>
      <c r="F1084" s="50" t="inlineStr">
        <is>
          <t>2024-05-15</t>
        </is>
      </c>
      <c r="G1084" s="50" t="inlineStr">
        <is>
          <t>2023-06-30</t>
        </is>
      </c>
      <c r="H1084" t="inlineStr">
        <is>
          <t>Richard Chau</t>
        </is>
      </c>
      <c r="I1084" t="inlineStr">
        <is>
          <t>Chief Investment Officer</t>
        </is>
      </c>
      <c r="J1084" t="inlineStr">
        <is>
          <t>CIO</t>
        </is>
      </c>
      <c r="K1084" t="inlineStr">
        <is>
          <t>CIO - Top Investment Executive</t>
        </is>
      </c>
      <c r="L1084" s="28" t="n">
        <v>568000</v>
      </c>
      <c r="M1084" s="28" t="n">
        <v>910000</v>
      </c>
      <c r="N1084" s="28" t="n">
        <v>47000</v>
      </c>
      <c r="O1084" s="28" t="n">
        <v>265000</v>
      </c>
      <c r="P1084" s="28" t="n">
        <v>0</v>
      </c>
      <c r="Q1084" s="28" t="n">
        <v>1790000</v>
      </c>
      <c r="R1084" s="28" t="n">
        <v>225000</v>
      </c>
      <c r="S1084" s="28">
        <f>Q1084-R1084</f>
        <v/>
      </c>
      <c r="T1084" s="28">
        <f>IF(S1084="","",S1084*(1+in_GrowthRate)^(YEARFRAC(DATE(2023,6,30),in_AgeToDate)*IF(in_AgeToDate&lt;DATE(2023,6,30),-1,1)+1))</f>
        <v/>
      </c>
      <c r="U1084" s="50">
        <f>IF(AND(AND(OR(in_Mode="All Funds",AND(C1084&gt;=in_BandFloor,C1084&lt;=in_BandCeiling,OR(in_Geography="National",COUNTIFS(lst_GeoPreset,in_Geography,lst_GeoState,B1084)&gt;0,AND(in_Geography="Custom",ISNUMBER(SEARCH(B1084,SUBSTITUTE(in_CustomStates," ",""))))),OR(AND(D1084="Endowment",Inputs!$B$14="Y"),AND(D1084="Foundation",Inputs!$B$15="Y"),AND(D1084="Healthcare",Inputs!$B$16="Y"),AND(D1084="Pension",Inputs!$B$17="Y"),AND(D1084="OCIO",Inputs!$B$18="Y"),AND(D1084="Other",Inputs!$B$19="Y")))),A1084&lt;&gt;in_ClientOrg,NOT(AND(in_ExclHarvard="Y",ISNUMBER(SEARCH("Harvard",A1084))))),$AD1084="Y",K1084&lt;&gt;"",S1084&gt;0),"Y","")</f>
        <v/>
      </c>
      <c r="V1084" s="30" t="n">
        <v>1</v>
      </c>
      <c r="W1084" t="inlineStr"/>
      <c r="X1084" s="28">
        <f>IF(L1084+M1084=0,"",L1084+M1084)</f>
        <v/>
      </c>
      <c r="Y1084" s="38">
        <f>IF(L1084=0,"",M1084/L1084)</f>
        <v/>
      </c>
      <c r="Z1084" t="inlineStr">
        <is>
          <t>CIO - Top Investment Executive</t>
        </is>
      </c>
      <c r="AA1084" t="inlineStr">
        <is>
          <t>Leadership</t>
        </is>
      </c>
      <c r="AB1084" s="50" t="inlineStr">
        <is>
          <t>Y</t>
        </is>
      </c>
      <c r="AC1084" s="43">
        <f>HYPERLINK("https://projects.propublica.org/nonprofits/organizations/720423889/202401369349309925/full","view filing")</f>
        <v/>
      </c>
      <c r="AD1084" s="50" t="inlineStr"/>
    </row>
    <row r="1085">
      <c r="A1085" t="inlineStr">
        <is>
          <t>The Administrators Of The Tulane Educational Fund</t>
        </is>
      </c>
      <c r="B1085" s="50" t="inlineStr">
        <is>
          <t>LA</t>
        </is>
      </c>
      <c r="C1085" s="52" t="n">
        <v>2.46</v>
      </c>
      <c r="D1085" t="inlineStr">
        <is>
          <t>Endowment</t>
        </is>
      </c>
      <c r="E1085" s="50" t="n">
        <v>2022</v>
      </c>
      <c r="F1085" s="50" t="inlineStr">
        <is>
          <t>2023-05-15</t>
        </is>
      </c>
      <c r="G1085" s="50" t="inlineStr">
        <is>
          <t>2022-06-30</t>
        </is>
      </c>
      <c r="H1085" t="inlineStr">
        <is>
          <t>Richard Chau</t>
        </is>
      </c>
      <c r="I1085" t="inlineStr">
        <is>
          <t>Chief Investment Officer</t>
        </is>
      </c>
      <c r="J1085" t="inlineStr">
        <is>
          <t>CIO</t>
        </is>
      </c>
      <c r="K1085" t="inlineStr">
        <is>
          <t>CIO - Top Investment Executive</t>
        </is>
      </c>
      <c r="L1085" s="28" t="n">
        <v>552000</v>
      </c>
      <c r="M1085" s="28" t="n">
        <v>747000</v>
      </c>
      <c r="N1085" s="28" t="n">
        <v>41000</v>
      </c>
      <c r="O1085" s="28" t="n">
        <v>254000</v>
      </c>
      <c r="P1085" s="28" t="n">
        <v>7000</v>
      </c>
      <c r="Q1085" s="28" t="n">
        <v>1601000</v>
      </c>
      <c r="R1085" s="28" t="n">
        <v>0</v>
      </c>
      <c r="S1085" s="28">
        <f>Q1085-R1085</f>
        <v/>
      </c>
      <c r="T1085" s="28">
        <f>IF(S1085="","",S1085*(1+in_GrowthRate)^(YEARFRAC(DATE(2022,6,30),in_AgeToDate)*IF(in_AgeToDate&lt;DATE(2022,6,30),-1,1)+1))</f>
        <v/>
      </c>
      <c r="U1085" s="50">
        <f>IF(AND(AND(OR(in_Mode="All Funds",AND(C1085&gt;=in_BandFloor,C1085&lt;=in_BandCeiling,OR(in_Geography="National",COUNTIFS(lst_GeoPreset,in_Geography,lst_GeoState,B1085)&gt;0,AND(in_Geography="Custom",ISNUMBER(SEARCH(B1085,SUBSTITUTE(in_CustomStates," ",""))))),OR(AND(D1085="Endowment",Inputs!$B$14="Y"),AND(D1085="Foundation",Inputs!$B$15="Y"),AND(D1085="Healthcare",Inputs!$B$16="Y"),AND(D1085="Pension",Inputs!$B$17="Y"),AND(D1085="OCIO",Inputs!$B$18="Y"),AND(D1085="Other",Inputs!$B$19="Y")))),A1085&lt;&gt;in_ClientOrg,NOT(AND(in_ExclHarvard="Y",ISNUMBER(SEARCH("Harvard",A1085))))),$AD1085="Y",K1085&lt;&gt;"",S1085&gt;0),"Y","")</f>
        <v/>
      </c>
      <c r="V1085" s="30" t="n">
        <v>1</v>
      </c>
      <c r="W1085" t="inlineStr"/>
      <c r="X1085" s="28">
        <f>IF(L1085+M1085=0,"",L1085+M1085)</f>
        <v/>
      </c>
      <c r="Y1085" s="38">
        <f>IF(L1085=0,"",M1085/L1085)</f>
        <v/>
      </c>
      <c r="Z1085" t="inlineStr">
        <is>
          <t>CIO - Top Investment Executive</t>
        </is>
      </c>
      <c r="AA1085" t="inlineStr">
        <is>
          <t>Leadership</t>
        </is>
      </c>
      <c r="AB1085" s="50" t="inlineStr">
        <is>
          <t>Y</t>
        </is>
      </c>
      <c r="AC1085" s="43">
        <f>HYPERLINK("https://projects.propublica.org/nonprofits/organizations/720423889/202311359349304011/full","view filing")</f>
        <v/>
      </c>
      <c r="AD1085" s="50" t="inlineStr"/>
    </row>
    <row r="1086">
      <c r="A1086" t="inlineStr">
        <is>
          <t>The Annenberg Foundation</t>
        </is>
      </c>
      <c r="B1086" s="50" t="inlineStr">
        <is>
          <t>PA</t>
        </is>
      </c>
      <c r="C1086" s="52" t="n">
        <v>1.34</v>
      </c>
      <c r="D1086" t="inlineStr">
        <is>
          <t>Foundation</t>
        </is>
      </c>
      <c r="E1086" s="50" t="n">
        <v>2024</v>
      </c>
      <c r="F1086" s="50" t="inlineStr">
        <is>
          <t>2025-11-17</t>
        </is>
      </c>
      <c r="G1086" s="50" t="inlineStr">
        <is>
          <t>2024-12-31</t>
        </is>
      </c>
      <c r="H1086" t="inlineStr">
        <is>
          <t>Paul J Manganiello</t>
        </is>
      </c>
      <c r="I1086" t="inlineStr">
        <is>
          <t>DIRECTOR OF INVEST/TREASURER</t>
        </is>
      </c>
      <c r="J1086" t="inlineStr">
        <is>
          <t>Director of Investments</t>
        </is>
      </c>
      <c r="K1086" t="inlineStr">
        <is>
          <t>Sr Investment Professional</t>
        </is>
      </c>
      <c r="L1086" s="28" t="n">
        <v>0</v>
      </c>
      <c r="M1086" s="28" t="n">
        <v>0</v>
      </c>
      <c r="N1086" s="28" t="n">
        <v>0</v>
      </c>
      <c r="O1086" s="28" t="n">
        <v>0</v>
      </c>
      <c r="P1086" s="28" t="n">
        <v>144878</v>
      </c>
      <c r="Q1086" s="28" t="n">
        <v>491710</v>
      </c>
      <c r="R1086" s="28" t="n">
        <v>0</v>
      </c>
      <c r="S1086" s="28">
        <f>Q1086-R1086</f>
        <v/>
      </c>
      <c r="T1086" s="28">
        <f>IF(S1086="","",S1086*(1+in_GrowthRate)^(YEARFRAC(DATE(2024,12,31),in_AgeToDate)*IF(in_AgeToDate&lt;DATE(2024,12,31),-1,1)+1))</f>
        <v/>
      </c>
      <c r="U1086" s="50">
        <f>IF(AND(AND(OR(in_Mode="All Funds",AND(C1086&gt;=in_BandFloor,C1086&lt;=in_BandCeiling,OR(in_Geography="National",COUNTIFS(lst_GeoPreset,in_Geography,lst_GeoState,B1086)&gt;0,AND(in_Geography="Custom",ISNUMBER(SEARCH(B1086,SUBSTITUTE(in_CustomStates," ",""))))),OR(AND(D1086="Endowment",Inputs!$B$14="Y"),AND(D1086="Foundation",Inputs!$B$15="Y"),AND(D1086="Healthcare",Inputs!$B$16="Y"),AND(D1086="Pension",Inputs!$B$17="Y"),AND(D1086="OCIO",Inputs!$B$18="Y"),AND(D1086="Other",Inputs!$B$19="Y")))),A1086&lt;&gt;in_ClientOrg,NOT(AND(in_ExclHarvard="Y",ISNUMBER(SEARCH("Harvard",A1086))))),$AD1086="Y",K1086&lt;&gt;"",S1086&gt;0),"Y","")</f>
        <v/>
      </c>
      <c r="V1086" s="30" t="n"/>
      <c r="W1086" t="inlineStr"/>
      <c r="X1086" s="28">
        <f>IF(L1086+M1086=0,"",L1086+M1086)</f>
        <v/>
      </c>
      <c r="Y1086" s="38">
        <f>IF(L1086=0,"",M1086/L1086)</f>
        <v/>
      </c>
      <c r="Z1086" t="inlineStr">
        <is>
          <t>Director &amp; Investment Officer</t>
        </is>
      </c>
      <c r="AA1086" t="inlineStr">
        <is>
          <t>Investments</t>
        </is>
      </c>
      <c r="AB1086" s="50" t="inlineStr"/>
      <c r="AC1086" s="43">
        <f>HYPERLINK("https://projects.propublica.org/nonprofits/organizations/236257083/202543219349108909/full","view filing")</f>
        <v/>
      </c>
      <c r="AD1086" s="50" t="inlineStr">
        <is>
          <t>Y</t>
        </is>
      </c>
    </row>
    <row r="1087">
      <c r="A1087" t="inlineStr">
        <is>
          <t>The Annenberg Foundation</t>
        </is>
      </c>
      <c r="B1087" s="50" t="inlineStr">
        <is>
          <t>PA</t>
        </is>
      </c>
      <c r="C1087" s="52" t="n">
        <v>1.34</v>
      </c>
      <c r="D1087" t="inlineStr">
        <is>
          <t>Foundation</t>
        </is>
      </c>
      <c r="E1087" s="50" t="n">
        <v>2023</v>
      </c>
      <c r="F1087" s="50" t="inlineStr">
        <is>
          <t>2024-11-14</t>
        </is>
      </c>
      <c r="G1087" s="50" t="inlineStr">
        <is>
          <t>2023-12-31</t>
        </is>
      </c>
      <c r="H1087" t="inlineStr">
        <is>
          <t>Paul J Manganiello</t>
        </is>
      </c>
      <c r="I1087" t="inlineStr">
        <is>
          <t>DIRECTOR OF INVEST/TREASURER</t>
        </is>
      </c>
      <c r="J1087" t="inlineStr">
        <is>
          <t>Director of Investments</t>
        </is>
      </c>
      <c r="K1087" t="inlineStr">
        <is>
          <t>Sr Investment Professional</t>
        </is>
      </c>
      <c r="L1087" s="28" t="n">
        <v>0</v>
      </c>
      <c r="M1087" s="28" t="n">
        <v>0</v>
      </c>
      <c r="N1087" s="28" t="n">
        <v>0</v>
      </c>
      <c r="O1087" s="28" t="n">
        <v>0</v>
      </c>
      <c r="P1087" s="28" t="n">
        <v>139858</v>
      </c>
      <c r="Q1087" s="28" t="n">
        <v>473313</v>
      </c>
      <c r="R1087" s="28" t="n">
        <v>0</v>
      </c>
      <c r="S1087" s="28">
        <f>Q1087-R1087</f>
        <v/>
      </c>
      <c r="T1087" s="28">
        <f>IF(S1087="","",S1087*(1+in_GrowthRate)^(YEARFRAC(DATE(2023,12,31),in_AgeToDate)*IF(in_AgeToDate&lt;DATE(2023,12,31),-1,1)+1))</f>
        <v/>
      </c>
      <c r="U1087" s="50">
        <f>IF(AND(AND(OR(in_Mode="All Funds",AND(C1087&gt;=in_BandFloor,C1087&lt;=in_BandCeiling,OR(in_Geography="National",COUNTIFS(lst_GeoPreset,in_Geography,lst_GeoState,B1087)&gt;0,AND(in_Geography="Custom",ISNUMBER(SEARCH(B1087,SUBSTITUTE(in_CustomStates," ",""))))),OR(AND(D1087="Endowment",Inputs!$B$14="Y"),AND(D1087="Foundation",Inputs!$B$15="Y"),AND(D1087="Healthcare",Inputs!$B$16="Y"),AND(D1087="Pension",Inputs!$B$17="Y"),AND(D1087="OCIO",Inputs!$B$18="Y"),AND(D1087="Other",Inputs!$B$19="Y")))),A1087&lt;&gt;in_ClientOrg,NOT(AND(in_ExclHarvard="Y",ISNUMBER(SEARCH("Harvard",A1087))))),$AD1087="Y",K1087&lt;&gt;"",S1087&gt;0),"Y","")</f>
        <v/>
      </c>
      <c r="V1087" s="30" t="n"/>
      <c r="W1087" t="inlineStr"/>
      <c r="X1087" s="28">
        <f>IF(L1087+M1087=0,"",L1087+M1087)</f>
        <v/>
      </c>
      <c r="Y1087" s="38">
        <f>IF(L1087=0,"",M1087/L1087)</f>
        <v/>
      </c>
      <c r="Z1087" t="inlineStr">
        <is>
          <t>Director &amp; Investment Officer</t>
        </is>
      </c>
      <c r="AA1087" t="inlineStr">
        <is>
          <t>Investments</t>
        </is>
      </c>
      <c r="AB1087" s="50" t="inlineStr"/>
      <c r="AC1087" s="43">
        <f>HYPERLINK("https://projects.propublica.org/nonprofits/organizations/236257083/202443199349100629/full","view filing")</f>
        <v/>
      </c>
      <c r="AD1087" s="50" t="inlineStr"/>
    </row>
    <row r="1088">
      <c r="A1088" t="inlineStr">
        <is>
          <t>The Annenberg Foundation</t>
        </is>
      </c>
      <c r="B1088" s="50" t="inlineStr">
        <is>
          <t>PA</t>
        </is>
      </c>
      <c r="C1088" s="52" t="n">
        <v>1.34</v>
      </c>
      <c r="D1088" t="inlineStr">
        <is>
          <t>Foundation</t>
        </is>
      </c>
      <c r="E1088" s="50" t="n">
        <v>2022</v>
      </c>
      <c r="F1088" s="50" t="inlineStr">
        <is>
          <t>2023-11-15</t>
        </is>
      </c>
      <c r="G1088" s="50" t="inlineStr">
        <is>
          <t>2022-12-31</t>
        </is>
      </c>
      <c r="H1088" t="inlineStr">
        <is>
          <t>Paul J Manganiello</t>
        </is>
      </c>
      <c r="I1088" t="inlineStr">
        <is>
          <t>DIRECTOR OF INVEST/TREASURER</t>
        </is>
      </c>
      <c r="J1088" t="inlineStr">
        <is>
          <t>Director of Investments</t>
        </is>
      </c>
      <c r="K1088" t="inlineStr">
        <is>
          <t>Sr Investment Professional</t>
        </is>
      </c>
      <c r="L1088" s="28" t="n">
        <v>0</v>
      </c>
      <c r="M1088" s="28" t="n">
        <v>0</v>
      </c>
      <c r="N1088" s="28" t="n">
        <v>0</v>
      </c>
      <c r="O1088" s="28" t="n">
        <v>0</v>
      </c>
      <c r="P1088" s="28" t="n">
        <v>131786</v>
      </c>
      <c r="Q1088" s="28" t="n">
        <v>454998</v>
      </c>
      <c r="R1088" s="28" t="n">
        <v>0</v>
      </c>
      <c r="S1088" s="28">
        <f>Q1088-R1088</f>
        <v/>
      </c>
      <c r="T1088" s="28">
        <f>IF(S1088="","",S1088*(1+in_GrowthRate)^(YEARFRAC(DATE(2022,12,31),in_AgeToDate)*IF(in_AgeToDate&lt;DATE(2022,12,31),-1,1)+1))</f>
        <v/>
      </c>
      <c r="U1088" s="50">
        <f>IF(AND(AND(OR(in_Mode="All Funds",AND(C1088&gt;=in_BandFloor,C1088&lt;=in_BandCeiling,OR(in_Geography="National",COUNTIFS(lst_GeoPreset,in_Geography,lst_GeoState,B1088)&gt;0,AND(in_Geography="Custom",ISNUMBER(SEARCH(B1088,SUBSTITUTE(in_CustomStates," ",""))))),OR(AND(D1088="Endowment",Inputs!$B$14="Y"),AND(D1088="Foundation",Inputs!$B$15="Y"),AND(D1088="Healthcare",Inputs!$B$16="Y"),AND(D1088="Pension",Inputs!$B$17="Y"),AND(D1088="OCIO",Inputs!$B$18="Y"),AND(D1088="Other",Inputs!$B$19="Y")))),A1088&lt;&gt;in_ClientOrg,NOT(AND(in_ExclHarvard="Y",ISNUMBER(SEARCH("Harvard",A1088))))),$AD1088="Y",K1088&lt;&gt;"",S1088&gt;0),"Y","")</f>
        <v/>
      </c>
      <c r="V1088" s="30" t="n"/>
      <c r="W1088" t="inlineStr"/>
      <c r="X1088" s="28">
        <f>IF(L1088+M1088=0,"",L1088+M1088)</f>
        <v/>
      </c>
      <c r="Y1088" s="38">
        <f>IF(L1088=0,"",M1088/L1088)</f>
        <v/>
      </c>
      <c r="Z1088" t="inlineStr">
        <is>
          <t>Director &amp; Investment Officer</t>
        </is>
      </c>
      <c r="AA1088" t="inlineStr">
        <is>
          <t>Investments</t>
        </is>
      </c>
      <c r="AB1088" s="50" t="inlineStr"/>
      <c r="AC1088" s="43">
        <f>HYPERLINK("https://projects.propublica.org/nonprofits/organizations/236257083/202333199349108268/full","view filing")</f>
        <v/>
      </c>
      <c r="AD1088" s="50" t="inlineStr"/>
    </row>
    <row r="1089">
      <c r="A1089" t="inlineStr">
        <is>
          <t>The Board Of Trustees Of The Leland Stanford Junior University</t>
        </is>
      </c>
      <c r="B1089" s="50" t="inlineStr">
        <is>
          <t>CA</t>
        </is>
      </c>
      <c r="C1089" s="52" t="n">
        <v>40.79</v>
      </c>
      <c r="D1089" t="inlineStr">
        <is>
          <t>Endowment</t>
        </is>
      </c>
      <c r="E1089" s="50" t="n">
        <v>2025</v>
      </c>
      <c r="F1089" s="50" t="inlineStr">
        <is>
          <t>2026-07-15</t>
        </is>
      </c>
      <c r="G1089" s="50" t="inlineStr">
        <is>
          <t>2025-08-31</t>
        </is>
      </c>
      <c r="H1089" t="inlineStr">
        <is>
          <t>Robert F Wallace</t>
        </is>
      </c>
      <c r="I1089" t="inlineStr">
        <is>
          <t>CHIEF EXECUTIVE OFFICER, SMC</t>
        </is>
      </c>
      <c r="J1089" t="inlineStr">
        <is>
          <t>CEO (Inv Entity)</t>
        </is>
      </c>
      <c r="K1089" t="inlineStr">
        <is>
          <t>CIO - Top Investment Executive</t>
        </is>
      </c>
      <c r="L1089" s="28" t="n">
        <v>1201351</v>
      </c>
      <c r="M1089" s="28" t="n">
        <v>2325000</v>
      </c>
      <c r="N1089" s="28" t="n">
        <v>1881300</v>
      </c>
      <c r="O1089" s="28" t="n">
        <v>827800</v>
      </c>
      <c r="P1089" s="28" t="n">
        <v>76051</v>
      </c>
      <c r="Q1089" s="28" t="n">
        <v>6311502</v>
      </c>
      <c r="R1089" s="28" t="n">
        <v>927386</v>
      </c>
      <c r="S1089" s="28">
        <f>Q1089-R1089</f>
        <v/>
      </c>
      <c r="T1089" s="28">
        <f>IF(S1089="","",S1089*(1+in_GrowthRate)^(YEARFRAC(DATE(2025,8,31),in_AgeToDate)*IF(in_AgeToDate&lt;DATE(2025,8,31),-1,1)+1))</f>
        <v/>
      </c>
      <c r="U1089" s="50">
        <f>IF(AND(AND(OR(in_Mode="All Funds",AND(C1089&gt;=in_BandFloor,C1089&lt;=in_BandCeiling,OR(in_Geography="National",COUNTIFS(lst_GeoPreset,in_Geography,lst_GeoState,B1089)&gt;0,AND(in_Geography="Custom",ISNUMBER(SEARCH(B1089,SUBSTITUTE(in_CustomStates," ",""))))),OR(AND(D1089="Endowment",Inputs!$B$14="Y"),AND(D1089="Foundation",Inputs!$B$15="Y"),AND(D1089="Healthcare",Inputs!$B$16="Y"),AND(D1089="Pension",Inputs!$B$17="Y"),AND(D1089="OCIO",Inputs!$B$18="Y"),AND(D1089="Other",Inputs!$B$19="Y")))),A1089&lt;&gt;in_ClientOrg,NOT(AND(in_ExclHarvard="Y",ISNUMBER(SEARCH("Harvard",A1089))))),$AD1089="Y",K1089&lt;&gt;"",S1089&gt;0),"Y","")</f>
        <v/>
      </c>
      <c r="V1089" s="30" t="n">
        <v>1</v>
      </c>
      <c r="W1089" t="inlineStr"/>
      <c r="X1089" s="28">
        <f>IF(L1089+M1089=0,"",L1089+M1089)</f>
        <v/>
      </c>
      <c r="Y1089" s="38">
        <f>IF(L1089=0,"",M1089/L1089)</f>
        <v/>
      </c>
      <c r="Z1089" t="inlineStr">
        <is>
          <t>CIO - Top Investment Executive</t>
        </is>
      </c>
      <c r="AA1089" t="inlineStr">
        <is>
          <t>Leadership</t>
        </is>
      </c>
      <c r="AB1089" s="50" t="inlineStr">
        <is>
          <t>Y</t>
        </is>
      </c>
      <c r="AC1089" s="43">
        <f>HYPERLINK("https://projects.propublica.org/nonprofits/organizations/941156365/202621979349300242/full","view filing")</f>
        <v/>
      </c>
      <c r="AD1089" s="50" t="inlineStr">
        <is>
          <t>Y</t>
        </is>
      </c>
    </row>
    <row r="1090">
      <c r="A1090" t="inlineStr">
        <is>
          <t>The Board Of Trustees Of The Leland Stanford Junior University</t>
        </is>
      </c>
      <c r="B1090" s="50" t="inlineStr">
        <is>
          <t>CA</t>
        </is>
      </c>
      <c r="C1090" s="52" t="n">
        <v>40.79</v>
      </c>
      <c r="D1090" t="inlineStr">
        <is>
          <t>Endowment</t>
        </is>
      </c>
      <c r="E1090" s="50" t="n">
        <v>2024</v>
      </c>
      <c r="F1090" s="50" t="inlineStr">
        <is>
          <t>2025-07-17</t>
        </is>
      </c>
      <c r="G1090" s="50" t="inlineStr">
        <is>
          <t>2024-08-31</t>
        </is>
      </c>
      <c r="H1090" t="inlineStr">
        <is>
          <t>Jay Kang</t>
        </is>
      </c>
      <c r="I1090" t="inlineStr">
        <is>
          <t>SR. MD, SMC</t>
        </is>
      </c>
      <c r="J1090" t="inlineStr">
        <is>
          <t>Managing Director</t>
        </is>
      </c>
      <c r="K1090" t="inlineStr">
        <is>
          <t>Sr Investment Professional</t>
        </is>
      </c>
      <c r="L1090" s="28" t="n">
        <v>812211</v>
      </c>
      <c r="M1090" s="28" t="n">
        <v>1556250</v>
      </c>
      <c r="N1090" s="28" t="n">
        <v>610158</v>
      </c>
      <c r="O1090" s="28" t="n">
        <v>374659</v>
      </c>
      <c r="P1090" s="28" t="n">
        <v>55833</v>
      </c>
      <c r="Q1090" s="28" t="n">
        <v>3409111</v>
      </c>
      <c r="R1090" s="28" t="n">
        <v>282554</v>
      </c>
      <c r="S1090" s="28">
        <f>Q1090-R1090</f>
        <v/>
      </c>
      <c r="T1090" s="28">
        <f>IF(S1090="","",S1090*(1+in_GrowthRate)^(YEARFRAC(DATE(2024,8,31),in_AgeToDate)*IF(in_AgeToDate&lt;DATE(2024,8,31),-1,1)+1))</f>
        <v/>
      </c>
      <c r="U1090" s="50">
        <f>IF(AND(AND(OR(in_Mode="All Funds",AND(C1090&gt;=in_BandFloor,C1090&lt;=in_BandCeiling,OR(in_Geography="National",COUNTIFS(lst_GeoPreset,in_Geography,lst_GeoState,B1090)&gt;0,AND(in_Geography="Custom",ISNUMBER(SEARCH(B1090,SUBSTITUTE(in_CustomStates," ",""))))),OR(AND(D1090="Endowment",Inputs!$B$14="Y"),AND(D1090="Foundation",Inputs!$B$15="Y"),AND(D1090="Healthcare",Inputs!$B$16="Y"),AND(D1090="Pension",Inputs!$B$17="Y"),AND(D1090="OCIO",Inputs!$B$18="Y"),AND(D1090="Other",Inputs!$B$19="Y")))),A1090&lt;&gt;in_ClientOrg,NOT(AND(in_ExclHarvard="Y",ISNUMBER(SEARCH("Harvard",A1090))))),$AD1090="Y",K1090&lt;&gt;"",S1090&gt;0),"Y","")</f>
        <v/>
      </c>
      <c r="V1090" s="30" t="n">
        <v>0.564432704474273</v>
      </c>
      <c r="W1090" t="inlineStr"/>
      <c r="X1090" s="28">
        <f>IF(L1090+M1090=0,"",L1090+M1090)</f>
        <v/>
      </c>
      <c r="Y1090" s="38">
        <f>IF(L1090=0,"",M1090/L1090)</f>
        <v/>
      </c>
      <c r="Z1090" t="inlineStr">
        <is>
          <t>Deputy CIO</t>
        </is>
      </c>
      <c r="AA1090" t="inlineStr">
        <is>
          <t>Investments</t>
        </is>
      </c>
      <c r="AB1090" s="50" t="inlineStr"/>
      <c r="AC1090" s="43">
        <f>HYPERLINK("https://projects.propublica.org/nonprofits/organizations/941156365/202501969349302135/full","view filing")</f>
        <v/>
      </c>
      <c r="AD1090" s="50" t="inlineStr"/>
    </row>
    <row r="1091">
      <c r="A1091" t="inlineStr">
        <is>
          <t>The Board Of Trustees Of The Leland Stanford Junior University</t>
        </is>
      </c>
      <c r="B1091" s="50" t="inlineStr">
        <is>
          <t>CA</t>
        </is>
      </c>
      <c r="C1091" s="52" t="n">
        <v>40.79</v>
      </c>
      <c r="D1091" t="inlineStr">
        <is>
          <t>Endowment</t>
        </is>
      </c>
      <c r="E1091" s="50" t="n">
        <v>2024</v>
      </c>
      <c r="F1091" s="50" t="inlineStr">
        <is>
          <t>2025-07-17</t>
        </is>
      </c>
      <c r="G1091" s="50" t="inlineStr">
        <is>
          <t>2024-08-31</t>
        </is>
      </c>
      <c r="H1091" t="inlineStr">
        <is>
          <t>Robert F Wallace</t>
        </is>
      </c>
      <c r="I1091" t="inlineStr">
        <is>
          <t>CHIEF EXECUTIVE OFFICER, SMC</t>
        </is>
      </c>
      <c r="J1091" t="inlineStr">
        <is>
          <t>CEO (Inv Entity)</t>
        </is>
      </c>
      <c r="K1091" t="inlineStr">
        <is>
          <t>CIO - Top Investment Executive</t>
        </is>
      </c>
      <c r="L1091" s="28" t="n">
        <v>1155915</v>
      </c>
      <c r="M1091" s="28" t="n">
        <v>2483333</v>
      </c>
      <c r="N1091" s="28" t="n">
        <v>1668340</v>
      </c>
      <c r="O1091" s="28" t="n">
        <v>935181</v>
      </c>
      <c r="P1091" s="28" t="n">
        <v>86979</v>
      </c>
      <c r="Q1091" s="28" t="n">
        <v>6329748</v>
      </c>
      <c r="R1091" s="28" t="n">
        <v>790457</v>
      </c>
      <c r="S1091" s="28">
        <f>Q1091-R1091</f>
        <v/>
      </c>
      <c r="T1091" s="28">
        <f>IF(S1091="","",S1091*(1+in_GrowthRate)^(YEARFRAC(DATE(2024,8,31),in_AgeToDate)*IF(in_AgeToDate&lt;DATE(2024,8,31),-1,1)+1))</f>
        <v/>
      </c>
      <c r="U1091" s="50">
        <f>IF(AND(AND(OR(in_Mode="All Funds",AND(C1091&gt;=in_BandFloor,C1091&lt;=in_BandCeiling,OR(in_Geography="National",COUNTIFS(lst_GeoPreset,in_Geography,lst_GeoState,B1091)&gt;0,AND(in_Geography="Custom",ISNUMBER(SEARCH(B1091,SUBSTITUTE(in_CustomStates," ",""))))),OR(AND(D1091="Endowment",Inputs!$B$14="Y"),AND(D1091="Foundation",Inputs!$B$15="Y"),AND(D1091="Healthcare",Inputs!$B$16="Y"),AND(D1091="Pension",Inputs!$B$17="Y"),AND(D1091="OCIO",Inputs!$B$18="Y"),AND(D1091="Other",Inputs!$B$19="Y")))),A1091&lt;&gt;in_ClientOrg,NOT(AND(in_ExclHarvard="Y",ISNUMBER(SEARCH("Harvard",A1091))))),$AD1091="Y",K1091&lt;&gt;"",S1091&gt;0),"Y","")</f>
        <v/>
      </c>
      <c r="V1091" s="30" t="n">
        <v>1</v>
      </c>
      <c r="W1091" t="inlineStr"/>
      <c r="X1091" s="28">
        <f>IF(L1091+M1091=0,"",L1091+M1091)</f>
        <v/>
      </c>
      <c r="Y1091" s="38">
        <f>IF(L1091=0,"",M1091/L1091)</f>
        <v/>
      </c>
      <c r="Z1091" t="inlineStr">
        <is>
          <t>CIO - Top Investment Executive</t>
        </is>
      </c>
      <c r="AA1091" t="inlineStr">
        <is>
          <t>Leadership</t>
        </is>
      </c>
      <c r="AB1091" s="50" t="inlineStr">
        <is>
          <t>Y</t>
        </is>
      </c>
      <c r="AC1091" s="43">
        <f>HYPERLINK("https://projects.propublica.org/nonprofits/organizations/941156365/202501969349302135/full","view filing")</f>
        <v/>
      </c>
      <c r="AD1091" s="50" t="inlineStr"/>
    </row>
    <row r="1092">
      <c r="A1092" t="inlineStr">
        <is>
          <t>The Board Of Trustees Of The Leland Stanford Junior University</t>
        </is>
      </c>
      <c r="B1092" s="50" t="inlineStr">
        <is>
          <t>CA</t>
        </is>
      </c>
      <c r="C1092" s="52" t="n">
        <v>40.79</v>
      </c>
      <c r="D1092" t="inlineStr">
        <is>
          <t>Endowment</t>
        </is>
      </c>
      <c r="E1092" s="50" t="n">
        <v>2023</v>
      </c>
      <c r="F1092" s="50" t="inlineStr">
        <is>
          <t>2024-07-12</t>
        </is>
      </c>
      <c r="G1092" s="50" t="inlineStr">
        <is>
          <t>2023-08-31</t>
        </is>
      </c>
      <c r="H1092" t="inlineStr">
        <is>
          <t>Jay Kang</t>
        </is>
      </c>
      <c r="I1092" t="inlineStr">
        <is>
          <t>SR. MD, SMC</t>
        </is>
      </c>
      <c r="J1092" t="inlineStr">
        <is>
          <t>Managing Director</t>
        </is>
      </c>
      <c r="K1092" t="inlineStr">
        <is>
          <t>Sr Investment Professional</t>
        </is>
      </c>
      <c r="L1092" s="28" t="n">
        <v>778536</v>
      </c>
      <c r="M1092" s="28" t="n">
        <v>1367000</v>
      </c>
      <c r="N1092" s="28" t="n">
        <v>530083</v>
      </c>
      <c r="O1092" s="28" t="n">
        <v>338211</v>
      </c>
      <c r="P1092" s="28" t="n">
        <v>48026</v>
      </c>
      <c r="Q1092" s="28" t="n">
        <v>3061856</v>
      </c>
      <c r="R1092" s="28" t="n">
        <v>158326</v>
      </c>
      <c r="S1092" s="28">
        <f>Q1092-R1092</f>
        <v/>
      </c>
      <c r="T1092" s="28">
        <f>IF(S1092="","",S1092*(1+in_GrowthRate)^(YEARFRAC(DATE(2023,8,31),in_AgeToDate)*IF(in_AgeToDate&lt;DATE(2023,8,31),-1,1)+1))</f>
        <v/>
      </c>
      <c r="U1092" s="50">
        <f>IF(AND(AND(OR(in_Mode="All Funds",AND(C1092&gt;=in_BandFloor,C1092&lt;=in_BandCeiling,OR(in_Geography="National",COUNTIFS(lst_GeoPreset,in_Geography,lst_GeoState,B1092)&gt;0,AND(in_Geography="Custom",ISNUMBER(SEARCH(B1092,SUBSTITUTE(in_CustomStates," ",""))))),OR(AND(D1092="Endowment",Inputs!$B$14="Y"),AND(D1092="Foundation",Inputs!$B$15="Y"),AND(D1092="Healthcare",Inputs!$B$16="Y"),AND(D1092="Pension",Inputs!$B$17="Y"),AND(D1092="OCIO",Inputs!$B$18="Y"),AND(D1092="Other",Inputs!$B$19="Y")))),A1092&lt;&gt;in_ClientOrg,NOT(AND(in_ExclHarvard="Y",ISNUMBER(SEARCH("Harvard",A1092))))),$AD1092="Y",K1092&lt;&gt;"",S1092&gt;0),"Y","")</f>
        <v/>
      </c>
      <c r="V1092" s="30" t="n">
        <v>0.4950302274762721</v>
      </c>
      <c r="W1092" t="inlineStr"/>
      <c r="X1092" s="28">
        <f>IF(L1092+M1092=0,"",L1092+M1092)</f>
        <v/>
      </c>
      <c r="Y1092" s="38">
        <f>IF(L1092=0,"",M1092/L1092)</f>
        <v/>
      </c>
      <c r="Z1092" t="inlineStr">
        <is>
          <t>Deputy CIO</t>
        </is>
      </c>
      <c r="AA1092" t="inlineStr">
        <is>
          <t>Investments</t>
        </is>
      </c>
      <c r="AB1092" s="50" t="inlineStr"/>
      <c r="AC1092" s="43">
        <f>HYPERLINK("https://projects.propublica.org/nonprofits/organizations/941156365/202431949349300033/full","view filing")</f>
        <v/>
      </c>
      <c r="AD1092" s="50" t="inlineStr"/>
    </row>
    <row r="1093">
      <c r="A1093" t="inlineStr">
        <is>
          <t>The Board Of Trustees Of The Leland Stanford Junior University</t>
        </is>
      </c>
      <c r="B1093" s="50" t="inlineStr">
        <is>
          <t>CA</t>
        </is>
      </c>
      <c r="C1093" s="52" t="n">
        <v>40.79</v>
      </c>
      <c r="D1093" t="inlineStr">
        <is>
          <t>Endowment</t>
        </is>
      </c>
      <c r="E1093" s="50" t="n">
        <v>2023</v>
      </c>
      <c r="F1093" s="50" t="inlineStr">
        <is>
          <t>2024-07-12</t>
        </is>
      </c>
      <c r="G1093" s="50" t="inlineStr">
        <is>
          <t>2023-08-31</t>
        </is>
      </c>
      <c r="H1093" t="inlineStr">
        <is>
          <t>Robert F Wallace</t>
        </is>
      </c>
      <c r="I1093" t="inlineStr">
        <is>
          <t>CHIEF EXECUTIVE OFFICER, SMC</t>
        </is>
      </c>
      <c r="J1093" t="inlineStr">
        <is>
          <t>CEO (Inv Entity)</t>
        </is>
      </c>
      <c r="K1093" t="inlineStr">
        <is>
          <t>CIO - Top Investment Executive</t>
        </is>
      </c>
      <c r="L1093" s="28" t="n">
        <v>1104931</v>
      </c>
      <c r="M1093" s="28" t="n">
        <v>2369666</v>
      </c>
      <c r="N1093" s="28" t="n">
        <v>1571327</v>
      </c>
      <c r="O1093" s="28" t="n">
        <v>907491</v>
      </c>
      <c r="P1093" s="28" t="n">
        <v>520828</v>
      </c>
      <c r="Q1093" s="28" t="n">
        <v>6474243</v>
      </c>
      <c r="R1093" s="28" t="n">
        <v>608884</v>
      </c>
      <c r="S1093" s="28">
        <f>Q1093-R1093</f>
        <v/>
      </c>
      <c r="T1093" s="28">
        <f>IF(S1093="","",S1093*(1+in_GrowthRate)^(YEARFRAC(DATE(2023,8,31),in_AgeToDate)*IF(in_AgeToDate&lt;DATE(2023,8,31),-1,1)+1))</f>
        <v/>
      </c>
      <c r="U1093" s="50">
        <f>IF(AND(AND(OR(in_Mode="All Funds",AND(C1093&gt;=in_BandFloor,C1093&lt;=in_BandCeiling,OR(in_Geography="National",COUNTIFS(lst_GeoPreset,in_Geography,lst_GeoState,B1093)&gt;0,AND(in_Geography="Custom",ISNUMBER(SEARCH(B1093,SUBSTITUTE(in_CustomStates," ",""))))),OR(AND(D1093="Endowment",Inputs!$B$14="Y"),AND(D1093="Foundation",Inputs!$B$15="Y"),AND(D1093="Healthcare",Inputs!$B$16="Y"),AND(D1093="Pension",Inputs!$B$17="Y"),AND(D1093="OCIO",Inputs!$B$18="Y"),AND(D1093="Other",Inputs!$B$19="Y")))),A1093&lt;&gt;in_ClientOrg,NOT(AND(in_ExclHarvard="Y",ISNUMBER(SEARCH("Harvard",A1093))))),$AD1093="Y",K1093&lt;&gt;"",S1093&gt;0),"Y","")</f>
        <v/>
      </c>
      <c r="V1093" s="30" t="n">
        <v>1</v>
      </c>
      <c r="W1093" t="inlineStr"/>
      <c r="X1093" s="28">
        <f>IF(L1093+M1093=0,"",L1093+M1093)</f>
        <v/>
      </c>
      <c r="Y1093" s="38">
        <f>IF(L1093=0,"",M1093/L1093)</f>
        <v/>
      </c>
      <c r="Z1093" t="inlineStr">
        <is>
          <t>CIO - Top Investment Executive</t>
        </is>
      </c>
      <c r="AA1093" t="inlineStr">
        <is>
          <t>Leadership</t>
        </is>
      </c>
      <c r="AB1093" s="50" t="inlineStr">
        <is>
          <t>Y</t>
        </is>
      </c>
      <c r="AC1093" s="43">
        <f>HYPERLINK("https://projects.propublica.org/nonprofits/organizations/941156365/202431949349300033/full","view filing")</f>
        <v/>
      </c>
      <c r="AD1093" s="50" t="inlineStr"/>
    </row>
    <row r="1094">
      <c r="A1094" t="inlineStr">
        <is>
          <t>The Board Of Trustees Of The Leland Stanford Junior University</t>
        </is>
      </c>
      <c r="B1094" s="50" t="inlineStr">
        <is>
          <t>CA</t>
        </is>
      </c>
      <c r="C1094" s="52" t="n">
        <v>40.79</v>
      </c>
      <c r="D1094" t="inlineStr">
        <is>
          <t>Endowment</t>
        </is>
      </c>
      <c r="E1094" s="50" t="n">
        <v>2022</v>
      </c>
      <c r="F1094" s="50" t="inlineStr">
        <is>
          <t>2023-07-14</t>
        </is>
      </c>
      <c r="G1094" s="50" t="inlineStr">
        <is>
          <t>2022-08-31</t>
        </is>
      </c>
      <c r="H1094" t="inlineStr">
        <is>
          <t>Jay Kang</t>
        </is>
      </c>
      <c r="I1094" t="inlineStr">
        <is>
          <t>SR. MD, SMC</t>
        </is>
      </c>
      <c r="J1094" t="inlineStr">
        <is>
          <t>Managing Director</t>
        </is>
      </c>
      <c r="K1094" t="inlineStr">
        <is>
          <t>Sr Investment Professional</t>
        </is>
      </c>
      <c r="L1094" s="28" t="n">
        <v>711155</v>
      </c>
      <c r="M1094" s="28" t="n">
        <v>1361000</v>
      </c>
      <c r="N1094" s="28" t="n">
        <v>472705</v>
      </c>
      <c r="O1094" s="28" t="n">
        <v>259781</v>
      </c>
      <c r="P1094" s="28" t="n">
        <v>46320</v>
      </c>
      <c r="Q1094" s="28" t="n">
        <v>2850961</v>
      </c>
      <c r="R1094" s="28" t="n">
        <v>114546</v>
      </c>
      <c r="S1094" s="28">
        <f>Q1094-R1094</f>
        <v/>
      </c>
      <c r="T1094" s="28">
        <f>IF(S1094="","",S1094*(1+in_GrowthRate)^(YEARFRAC(DATE(2022,8,31),in_AgeToDate)*IF(in_AgeToDate&lt;DATE(2022,8,31),-1,1)+1))</f>
        <v/>
      </c>
      <c r="U1094" s="50">
        <f>IF(AND(AND(OR(in_Mode="All Funds",AND(C1094&gt;=in_BandFloor,C1094&lt;=in_BandCeiling,OR(in_Geography="National",COUNTIFS(lst_GeoPreset,in_Geography,lst_GeoState,B1094)&gt;0,AND(in_Geography="Custom",ISNUMBER(SEARCH(B1094,SUBSTITUTE(in_CustomStates," ",""))))),OR(AND(D1094="Endowment",Inputs!$B$14="Y"),AND(D1094="Foundation",Inputs!$B$15="Y"),AND(D1094="Healthcare",Inputs!$B$16="Y"),AND(D1094="Pension",Inputs!$B$17="Y"),AND(D1094="OCIO",Inputs!$B$18="Y"),AND(D1094="Other",Inputs!$B$19="Y")))),A1094&lt;&gt;in_ClientOrg,NOT(AND(in_ExclHarvard="Y",ISNUMBER(SEARCH("Harvard",A1094))))),$AD1094="Y",K1094&lt;&gt;"",S1094&gt;0),"Y","")</f>
        <v/>
      </c>
      <c r="V1094" s="30" t="n">
        <v>0.5102201015996964</v>
      </c>
      <c r="W1094" t="inlineStr"/>
      <c r="X1094" s="28">
        <f>IF(L1094+M1094=0,"",L1094+M1094)</f>
        <v/>
      </c>
      <c r="Y1094" s="38">
        <f>IF(L1094=0,"",M1094/L1094)</f>
        <v/>
      </c>
      <c r="Z1094" t="inlineStr">
        <is>
          <t>Deputy CIO</t>
        </is>
      </c>
      <c r="AA1094" t="inlineStr">
        <is>
          <t>Investments</t>
        </is>
      </c>
      <c r="AB1094" s="50" t="inlineStr"/>
      <c r="AC1094" s="43">
        <f>HYPERLINK("https://projects.propublica.org/nonprofits/organizations/941156365/202331959349301318/full","view filing")</f>
        <v/>
      </c>
      <c r="AD1094" s="50" t="inlineStr"/>
    </row>
    <row r="1095">
      <c r="A1095" t="inlineStr">
        <is>
          <t>The Board Of Trustees Of The Leland Stanford Junior University</t>
        </is>
      </c>
      <c r="B1095" s="50" t="inlineStr">
        <is>
          <t>CA</t>
        </is>
      </c>
      <c r="C1095" s="52" t="n">
        <v>40.79</v>
      </c>
      <c r="D1095" t="inlineStr">
        <is>
          <t>Endowment</t>
        </is>
      </c>
      <c r="E1095" s="50" t="n">
        <v>2022</v>
      </c>
      <c r="F1095" s="50" t="inlineStr">
        <is>
          <t>2023-07-14</t>
        </is>
      </c>
      <c r="G1095" s="50" t="inlineStr">
        <is>
          <t>2022-08-31</t>
        </is>
      </c>
      <c r="H1095" t="inlineStr">
        <is>
          <t>Mark Shoberg</t>
        </is>
      </c>
      <c r="I1095" t="inlineStr">
        <is>
          <t>SR. MD, SMC</t>
        </is>
      </c>
      <c r="J1095" t="inlineStr">
        <is>
          <t>Managing Director</t>
        </is>
      </c>
      <c r="K1095" t="inlineStr">
        <is>
          <t>Sr Investment Professional</t>
        </is>
      </c>
      <c r="L1095" s="28" t="n">
        <v>530016</v>
      </c>
      <c r="M1095" s="28" t="n">
        <v>1440250</v>
      </c>
      <c r="N1095" s="28" t="n">
        <v>557868</v>
      </c>
      <c r="O1095" s="28" t="n">
        <v>258974</v>
      </c>
      <c r="P1095" s="28" t="n">
        <v>36999</v>
      </c>
      <c r="Q1095" s="28" t="n">
        <v>2824107</v>
      </c>
      <c r="R1095" s="28" t="n">
        <v>0</v>
      </c>
      <c r="S1095" s="28">
        <f>Q1095-R1095</f>
        <v/>
      </c>
      <c r="T1095" s="28">
        <f>IF(S1095="","",S1095*(1+in_GrowthRate)^(YEARFRAC(DATE(2022,8,31),in_AgeToDate)*IF(in_AgeToDate&lt;DATE(2022,8,31),-1,1)+1))</f>
        <v/>
      </c>
      <c r="U1095" s="50">
        <f>IF(AND(AND(OR(in_Mode="All Funds",AND(C1095&gt;=in_BandFloor,C1095&lt;=in_BandCeiling,OR(in_Geography="National",COUNTIFS(lst_GeoPreset,in_Geography,lst_GeoState,B1095)&gt;0,AND(in_Geography="Custom",ISNUMBER(SEARCH(B1095,SUBSTITUTE(in_CustomStates," ",""))))),OR(AND(D1095="Endowment",Inputs!$B$14="Y"),AND(D1095="Foundation",Inputs!$B$15="Y"),AND(D1095="Healthcare",Inputs!$B$16="Y"),AND(D1095="Pension",Inputs!$B$17="Y"),AND(D1095="OCIO",Inputs!$B$18="Y"),AND(D1095="Other",Inputs!$B$19="Y")))),A1095&lt;&gt;in_ClientOrg,NOT(AND(in_ExclHarvard="Y",ISNUMBER(SEARCH("Harvard",A1095))))),$AD1095="Y",K1095&lt;&gt;"",S1095&gt;0),"Y","")</f>
        <v/>
      </c>
      <c r="V1095" s="30" t="n">
        <v>0.5265707725138233</v>
      </c>
      <c r="W1095" t="inlineStr"/>
      <c r="X1095" s="28">
        <f>IF(L1095+M1095=0,"",L1095+M1095)</f>
        <v/>
      </c>
      <c r="Y1095" s="38">
        <f>IF(L1095=0,"",M1095/L1095)</f>
        <v/>
      </c>
      <c r="Z1095" t="inlineStr">
        <is>
          <t>Managing Director</t>
        </is>
      </c>
      <c r="AA1095" t="inlineStr">
        <is>
          <t>Investments</t>
        </is>
      </c>
      <c r="AB1095" s="50" t="inlineStr"/>
      <c r="AC1095" s="43">
        <f>HYPERLINK("https://projects.propublica.org/nonprofits/organizations/941156365/202331959349301318/full","view filing")</f>
        <v/>
      </c>
      <c r="AD1095" s="50" t="inlineStr"/>
    </row>
    <row r="1096">
      <c r="A1096" t="inlineStr">
        <is>
          <t>The Board Of Trustees Of The Leland Stanford Junior University</t>
        </is>
      </c>
      <c r="B1096" s="50" t="inlineStr">
        <is>
          <t>CA</t>
        </is>
      </c>
      <c r="C1096" s="52" t="n">
        <v>40.79</v>
      </c>
      <c r="D1096" t="inlineStr">
        <is>
          <t>Endowment</t>
        </is>
      </c>
      <c r="E1096" s="50" t="n">
        <v>2022</v>
      </c>
      <c r="F1096" s="50" t="inlineStr">
        <is>
          <t>2023-07-14</t>
        </is>
      </c>
      <c r="G1096" s="50" t="inlineStr">
        <is>
          <t>2022-08-31</t>
        </is>
      </c>
      <c r="H1096" t="inlineStr">
        <is>
          <t>Robert F Wallace</t>
        </is>
      </c>
      <c r="I1096" t="inlineStr">
        <is>
          <t>CHIEF EXECUTIVE OFFICER, SMC</t>
        </is>
      </c>
      <c r="J1096" t="inlineStr">
        <is>
          <t>CEO (Inv Entity)</t>
        </is>
      </c>
      <c r="K1096" t="inlineStr">
        <is>
          <t>CIO - Top Investment Executive</t>
        </is>
      </c>
      <c r="L1096" s="28" t="n">
        <v>1019345</v>
      </c>
      <c r="M1096" s="28" t="n">
        <v>2546666</v>
      </c>
      <c r="N1096" s="28" t="n">
        <v>1536395</v>
      </c>
      <c r="O1096" s="28" t="n">
        <v>673534</v>
      </c>
      <c r="P1096" s="28" t="n">
        <v>119796</v>
      </c>
      <c r="Q1096" s="28" t="n">
        <v>5895736</v>
      </c>
      <c r="R1096" s="28" t="n">
        <v>532531</v>
      </c>
      <c r="S1096" s="28">
        <f>Q1096-R1096</f>
        <v/>
      </c>
      <c r="T1096" s="28">
        <f>IF(S1096="","",S1096*(1+in_GrowthRate)^(YEARFRAC(DATE(2022,8,31),in_AgeToDate)*IF(in_AgeToDate&lt;DATE(2022,8,31),-1,1)+1))</f>
        <v/>
      </c>
      <c r="U1096" s="50">
        <f>IF(AND(AND(OR(in_Mode="All Funds",AND(C1096&gt;=in_BandFloor,C1096&lt;=in_BandCeiling,OR(in_Geography="National",COUNTIFS(lst_GeoPreset,in_Geography,lst_GeoState,B1096)&gt;0,AND(in_Geography="Custom",ISNUMBER(SEARCH(B1096,SUBSTITUTE(in_CustomStates," ",""))))),OR(AND(D1096="Endowment",Inputs!$B$14="Y"),AND(D1096="Foundation",Inputs!$B$15="Y"),AND(D1096="Healthcare",Inputs!$B$16="Y"),AND(D1096="Pension",Inputs!$B$17="Y"),AND(D1096="OCIO",Inputs!$B$18="Y"),AND(D1096="Other",Inputs!$B$19="Y")))),A1096&lt;&gt;in_ClientOrg,NOT(AND(in_ExclHarvard="Y",ISNUMBER(SEARCH("Harvard",A1096))))),$AD1096="Y",K1096&lt;&gt;"",S1096&gt;0),"Y","")</f>
        <v/>
      </c>
      <c r="V1096" s="30" t="n">
        <v>1</v>
      </c>
      <c r="W1096" t="inlineStr"/>
      <c r="X1096" s="28">
        <f>IF(L1096+M1096=0,"",L1096+M1096)</f>
        <v/>
      </c>
      <c r="Y1096" s="38">
        <f>IF(L1096=0,"",M1096/L1096)</f>
        <v/>
      </c>
      <c r="Z1096" t="inlineStr">
        <is>
          <t>CIO - Top Investment Executive</t>
        </is>
      </c>
      <c r="AA1096" t="inlineStr">
        <is>
          <t>Leadership</t>
        </is>
      </c>
      <c r="AB1096" s="50" t="inlineStr">
        <is>
          <t>Y</t>
        </is>
      </c>
      <c r="AC1096" s="43">
        <f>HYPERLINK("https://projects.propublica.org/nonprofits/organizations/941156365/202331959349301318/full","view filing")</f>
        <v/>
      </c>
      <c r="AD1096" s="50" t="inlineStr"/>
    </row>
    <row r="1097">
      <c r="A1097" t="inlineStr">
        <is>
          <t>The Chicago Community Trust</t>
        </is>
      </c>
      <c r="B1097" s="50" t="inlineStr">
        <is>
          <t>IL</t>
        </is>
      </c>
      <c r="C1097" s="52" t="n">
        <v>6.48</v>
      </c>
      <c r="D1097" t="inlineStr">
        <is>
          <t>Foundation</t>
        </is>
      </c>
      <c r="E1097" s="50" t="n">
        <v>2025</v>
      </c>
      <c r="F1097" s="50" t="inlineStr">
        <is>
          <t>2026-08-11</t>
        </is>
      </c>
      <c r="G1097" s="50" t="inlineStr">
        <is>
          <t>2025-09-30</t>
        </is>
      </c>
      <c r="H1097" t="inlineStr">
        <is>
          <t>Laura Kernaghan</t>
        </is>
      </c>
      <c r="I1097" t="inlineStr">
        <is>
          <t>Sr. Director of Investments</t>
        </is>
      </c>
      <c r="J1097" t="inlineStr">
        <is>
          <t>Director of Investments</t>
        </is>
      </c>
      <c r="K1097" t="inlineStr">
        <is>
          <t>Sr Investment Professional</t>
        </is>
      </c>
      <c r="L1097" s="28" t="n">
        <v>161960</v>
      </c>
      <c r="M1097" s="28" t="n">
        <v>0</v>
      </c>
      <c r="N1097" s="28" t="n">
        <v>300</v>
      </c>
      <c r="O1097" s="28" t="n">
        <v>13616</v>
      </c>
      <c r="P1097" s="28" t="n">
        <v>0</v>
      </c>
      <c r="Q1097" s="28" t="n">
        <v>175876</v>
      </c>
      <c r="R1097" s="28" t="n">
        <v>0</v>
      </c>
      <c r="S1097" s="28">
        <f>Q1097-R1097</f>
        <v/>
      </c>
      <c r="T1097" s="28">
        <f>IF(S1097="","",S1097*(1+in_GrowthRate)^(YEARFRAC(DATE(2025,9,30),in_AgeToDate)*IF(in_AgeToDate&lt;DATE(2025,9,30),-1,1)+1))</f>
        <v/>
      </c>
      <c r="U1097" s="50">
        <f>IF(AND(AND(OR(in_Mode="All Funds",AND(C1097&gt;=in_BandFloor,C1097&lt;=in_BandCeiling,OR(in_Geography="National",COUNTIFS(lst_GeoPreset,in_Geography,lst_GeoState,B1097)&gt;0,AND(in_Geography="Custom",ISNUMBER(SEARCH(B1097,SUBSTITUTE(in_CustomStates," ",""))))),OR(AND(D1097="Endowment",Inputs!$B$14="Y"),AND(D1097="Foundation",Inputs!$B$15="Y"),AND(D1097="Healthcare",Inputs!$B$16="Y"),AND(D1097="Pension",Inputs!$B$17="Y"),AND(D1097="OCIO",Inputs!$B$18="Y"),AND(D1097="Other",Inputs!$B$19="Y")))),A1097&lt;&gt;in_ClientOrg,NOT(AND(in_ExclHarvard="Y",ISNUMBER(SEARCH("Harvard",A1097))))),$AD1097="Y",K1097&lt;&gt;"",S1097&gt;0),"Y","")</f>
        <v/>
      </c>
      <c r="V1097" s="30" t="n"/>
      <c r="W1097" t="inlineStr"/>
      <c r="X1097" s="28">
        <f>IF(L1097+M1097=0,"",L1097+M1097)</f>
        <v/>
      </c>
      <c r="Y1097" s="38">
        <f>IF(L1097=0,"",M1097/L1097)</f>
        <v/>
      </c>
      <c r="Z1097" t="inlineStr">
        <is>
          <t>Director &amp; Investment Officer</t>
        </is>
      </c>
      <c r="AA1097" t="inlineStr">
        <is>
          <t>Investments</t>
        </is>
      </c>
      <c r="AB1097" s="50" t="inlineStr"/>
      <c r="AC1097" s="43">
        <f>HYPERLINK("https://projects.propublica.org/nonprofits/organizations/362167000/202632239349302058/full","view filing")</f>
        <v/>
      </c>
      <c r="AD1097" s="50" t="inlineStr">
        <is>
          <t>Y</t>
        </is>
      </c>
    </row>
    <row r="1098">
      <c r="A1098" t="inlineStr">
        <is>
          <t>The Colorado Health Foundation</t>
        </is>
      </c>
      <c r="B1098" s="50" t="inlineStr">
        <is>
          <t>CO</t>
        </is>
      </c>
      <c r="C1098" s="52" t="n">
        <v>2.69</v>
      </c>
      <c r="D1098" t="inlineStr">
        <is>
          <t>Healthcare</t>
        </is>
      </c>
      <c r="E1098" s="50" t="n">
        <v>2024</v>
      </c>
      <c r="F1098" s="50" t="inlineStr">
        <is>
          <t>2025-11-17</t>
        </is>
      </c>
      <c r="G1098" s="50" t="inlineStr">
        <is>
          <t>2024-12-31</t>
        </is>
      </c>
      <c r="H1098" t="inlineStr">
        <is>
          <t>Aron Grodinsky</t>
        </is>
      </c>
      <c r="I1098" t="inlineStr">
        <is>
          <t>CHIEF INVESTMENT OFFICER</t>
        </is>
      </c>
      <c r="J1098" t="inlineStr">
        <is>
          <t>CIO</t>
        </is>
      </c>
      <c r="K1098" t="inlineStr">
        <is>
          <t>CIO - Top Investment Executive</t>
        </is>
      </c>
      <c r="L1098" s="28" t="n">
        <v>0</v>
      </c>
      <c r="M1098" s="28" t="n">
        <v>0</v>
      </c>
      <c r="N1098" s="28" t="n">
        <v>0</v>
      </c>
      <c r="O1098" s="28" t="n">
        <v>0</v>
      </c>
      <c r="P1098" s="28" t="n">
        <v>90365</v>
      </c>
      <c r="Q1098" s="28" t="n">
        <v>578997</v>
      </c>
      <c r="R1098" s="28" t="n">
        <v>0</v>
      </c>
      <c r="S1098" s="28">
        <f>Q1098-R1098</f>
        <v/>
      </c>
      <c r="T1098" s="28">
        <f>IF(S1098="","",S1098*(1+in_GrowthRate)^(YEARFRAC(DATE(2024,12,31),in_AgeToDate)*IF(in_AgeToDate&lt;DATE(2024,12,31),-1,1)+1))</f>
        <v/>
      </c>
      <c r="U1098" s="50">
        <f>IF(AND(AND(OR(in_Mode="All Funds",AND(C1098&gt;=in_BandFloor,C1098&lt;=in_BandCeiling,OR(in_Geography="National",COUNTIFS(lst_GeoPreset,in_Geography,lst_GeoState,B1098)&gt;0,AND(in_Geography="Custom",ISNUMBER(SEARCH(B1098,SUBSTITUTE(in_CustomStates," ",""))))),OR(AND(D1098="Endowment",Inputs!$B$14="Y"),AND(D1098="Foundation",Inputs!$B$15="Y"),AND(D1098="Healthcare",Inputs!$B$16="Y"),AND(D1098="Pension",Inputs!$B$17="Y"),AND(D1098="OCIO",Inputs!$B$18="Y"),AND(D1098="Other",Inputs!$B$19="Y")))),A1098&lt;&gt;in_ClientOrg,NOT(AND(in_ExclHarvard="Y",ISNUMBER(SEARCH("Harvard",A1098))))),$AD1098="Y",K1098&lt;&gt;"",S1098&gt;0),"Y","")</f>
        <v/>
      </c>
      <c r="V1098" s="30" t="n">
        <v>1</v>
      </c>
      <c r="W1098" t="inlineStr"/>
      <c r="X1098" s="28">
        <f>IF(L1098+M1098=0,"",L1098+M1098)</f>
        <v/>
      </c>
      <c r="Y1098" s="38">
        <f>IF(L1098=0,"",M1098/L1098)</f>
        <v/>
      </c>
      <c r="Z1098" t="inlineStr">
        <is>
          <t>CIO - Top Investment Executive</t>
        </is>
      </c>
      <c r="AA1098" t="inlineStr">
        <is>
          <t>Leadership</t>
        </is>
      </c>
      <c r="AB1098" s="50" t="inlineStr">
        <is>
          <t>Y</t>
        </is>
      </c>
      <c r="AC1098" s="43">
        <f>HYPERLINK("https://projects.propublica.org/nonprofits/organizations/742568941/202533219349107083/full","view filing")</f>
        <v/>
      </c>
      <c r="AD1098" s="50" t="inlineStr">
        <is>
          <t>Y</t>
        </is>
      </c>
    </row>
    <row r="1099">
      <c r="A1099" t="inlineStr">
        <is>
          <t>The Colorado Health Foundation</t>
        </is>
      </c>
      <c r="B1099" s="50" t="inlineStr">
        <is>
          <t>CO</t>
        </is>
      </c>
      <c r="C1099" s="52" t="n">
        <v>2.69</v>
      </c>
      <c r="D1099" t="inlineStr">
        <is>
          <t>Healthcare</t>
        </is>
      </c>
      <c r="E1099" s="50" t="n">
        <v>2023</v>
      </c>
      <c r="F1099" s="50" t="inlineStr">
        <is>
          <t>2024-11-15</t>
        </is>
      </c>
      <c r="G1099" s="50" t="inlineStr">
        <is>
          <t>2023-12-31</t>
        </is>
      </c>
      <c r="H1099" t="inlineStr">
        <is>
          <t>Aron Grodinsky</t>
        </is>
      </c>
      <c r="I1099" t="inlineStr">
        <is>
          <t>CHIEF INVESTMENT OFFICER</t>
        </is>
      </c>
      <c r="J1099" t="inlineStr">
        <is>
          <t>CIO</t>
        </is>
      </c>
      <c r="K1099" t="inlineStr">
        <is>
          <t>CIO - Top Investment Executive</t>
        </is>
      </c>
      <c r="L1099" s="28" t="n">
        <v>0</v>
      </c>
      <c r="M1099" s="28" t="n">
        <v>0</v>
      </c>
      <c r="N1099" s="28" t="n">
        <v>0</v>
      </c>
      <c r="O1099" s="28" t="n">
        <v>0</v>
      </c>
      <c r="P1099" s="28" t="n">
        <v>82649</v>
      </c>
      <c r="Q1099" s="28" t="n">
        <v>549590</v>
      </c>
      <c r="R1099" s="28" t="n">
        <v>0</v>
      </c>
      <c r="S1099" s="28">
        <f>Q1099-R1099</f>
        <v/>
      </c>
      <c r="T1099" s="28">
        <f>IF(S1099="","",S1099*(1+in_GrowthRate)^(YEARFRAC(DATE(2023,12,31),in_AgeToDate)*IF(in_AgeToDate&lt;DATE(2023,12,31),-1,1)+1))</f>
        <v/>
      </c>
      <c r="U1099" s="50">
        <f>IF(AND(AND(OR(in_Mode="All Funds",AND(C1099&gt;=in_BandFloor,C1099&lt;=in_BandCeiling,OR(in_Geography="National",COUNTIFS(lst_GeoPreset,in_Geography,lst_GeoState,B1099)&gt;0,AND(in_Geography="Custom",ISNUMBER(SEARCH(B1099,SUBSTITUTE(in_CustomStates," ",""))))),OR(AND(D1099="Endowment",Inputs!$B$14="Y"),AND(D1099="Foundation",Inputs!$B$15="Y"),AND(D1099="Healthcare",Inputs!$B$16="Y"),AND(D1099="Pension",Inputs!$B$17="Y"),AND(D1099="OCIO",Inputs!$B$18="Y"),AND(D1099="Other",Inputs!$B$19="Y")))),A1099&lt;&gt;in_ClientOrg,NOT(AND(in_ExclHarvard="Y",ISNUMBER(SEARCH("Harvard",A1099))))),$AD1099="Y",K1099&lt;&gt;"",S1099&gt;0),"Y","")</f>
        <v/>
      </c>
      <c r="V1099" s="30" t="n">
        <v>1</v>
      </c>
      <c r="W1099" t="inlineStr"/>
      <c r="X1099" s="28">
        <f>IF(L1099+M1099=0,"",L1099+M1099)</f>
        <v/>
      </c>
      <c r="Y1099" s="38">
        <f>IF(L1099=0,"",M1099/L1099)</f>
        <v/>
      </c>
      <c r="Z1099" t="inlineStr">
        <is>
          <t>CIO - Top Investment Executive</t>
        </is>
      </c>
      <c r="AA1099" t="inlineStr">
        <is>
          <t>Leadership</t>
        </is>
      </c>
      <c r="AB1099" s="50" t="inlineStr">
        <is>
          <t>Y</t>
        </is>
      </c>
      <c r="AC1099" s="43">
        <f>HYPERLINK("https://projects.propublica.org/nonprofits/organizations/742568941/202403209349103545/full","view filing")</f>
        <v/>
      </c>
      <c r="AD1099" s="50" t="inlineStr"/>
    </row>
    <row r="1100">
      <c r="A1100" t="inlineStr">
        <is>
          <t>The Colorado Health Foundation</t>
        </is>
      </c>
      <c r="B1100" s="50" t="inlineStr">
        <is>
          <t>CO</t>
        </is>
      </c>
      <c r="C1100" s="52" t="n">
        <v>2.69</v>
      </c>
      <c r="D1100" t="inlineStr">
        <is>
          <t>Healthcare</t>
        </is>
      </c>
      <c r="E1100" s="50" t="n">
        <v>2022</v>
      </c>
      <c r="F1100" s="50" t="inlineStr">
        <is>
          <t>2023-11-15</t>
        </is>
      </c>
      <c r="G1100" s="50" t="inlineStr">
        <is>
          <t>2022-12-31</t>
        </is>
      </c>
      <c r="H1100" t="inlineStr">
        <is>
          <t>Aron Grodinsky</t>
        </is>
      </c>
      <c r="I1100" t="inlineStr">
        <is>
          <t>CHIEF INVESTMENT OFFICER</t>
        </is>
      </c>
      <c r="J1100" t="inlineStr">
        <is>
          <t>CIO</t>
        </is>
      </c>
      <c r="K1100" t="inlineStr">
        <is>
          <t>CIO - Top Investment Executive</t>
        </is>
      </c>
      <c r="L1100" s="28" t="n">
        <v>0</v>
      </c>
      <c r="M1100" s="28" t="n">
        <v>0</v>
      </c>
      <c r="N1100" s="28" t="n">
        <v>0</v>
      </c>
      <c r="O1100" s="28" t="n">
        <v>0</v>
      </c>
      <c r="P1100" s="28" t="n">
        <v>28078</v>
      </c>
      <c r="Q1100" s="28" t="n">
        <v>386250</v>
      </c>
      <c r="R1100" s="28" t="n">
        <v>0</v>
      </c>
      <c r="S1100" s="28">
        <f>Q1100-R1100</f>
        <v/>
      </c>
      <c r="T1100" s="28">
        <f>IF(S1100="","",S1100*(1+in_GrowthRate)^(YEARFRAC(DATE(2022,12,31),in_AgeToDate)*IF(in_AgeToDate&lt;DATE(2022,12,31),-1,1)+1))</f>
        <v/>
      </c>
      <c r="U1100" s="50">
        <f>IF(AND(AND(OR(in_Mode="All Funds",AND(C1100&gt;=in_BandFloor,C1100&lt;=in_BandCeiling,OR(in_Geography="National",COUNTIFS(lst_GeoPreset,in_Geography,lst_GeoState,B1100)&gt;0,AND(in_Geography="Custom",ISNUMBER(SEARCH(B1100,SUBSTITUTE(in_CustomStates," ",""))))),OR(AND(D1100="Endowment",Inputs!$B$14="Y"),AND(D1100="Foundation",Inputs!$B$15="Y"),AND(D1100="Healthcare",Inputs!$B$16="Y"),AND(D1100="Pension",Inputs!$B$17="Y"),AND(D1100="OCIO",Inputs!$B$18="Y"),AND(D1100="Other",Inputs!$B$19="Y")))),A1100&lt;&gt;in_ClientOrg,NOT(AND(in_ExclHarvard="Y",ISNUMBER(SEARCH("Harvard",A1100))))),$AD1100="Y",K1100&lt;&gt;"",S1100&gt;0),"Y","")</f>
        <v/>
      </c>
      <c r="V1100" s="30" t="n">
        <v>1</v>
      </c>
      <c r="W1100" t="inlineStr"/>
      <c r="X1100" s="28">
        <f>IF(L1100+M1100=0,"",L1100+M1100)</f>
        <v/>
      </c>
      <c r="Y1100" s="38">
        <f>IF(L1100=0,"",M1100/L1100)</f>
        <v/>
      </c>
      <c r="Z1100" t="inlineStr">
        <is>
          <t>CIO - Top Investment Executive</t>
        </is>
      </c>
      <c r="AA1100" t="inlineStr">
        <is>
          <t>Leadership</t>
        </is>
      </c>
      <c r="AB1100" s="50" t="inlineStr">
        <is>
          <t>Y</t>
        </is>
      </c>
      <c r="AC1100" s="43">
        <f>HYPERLINK("https://projects.propublica.org/nonprofits/organizations/742568941/202303199349105775/full","view filing")</f>
        <v/>
      </c>
      <c r="AD1100" s="50" t="inlineStr"/>
    </row>
    <row r="1101">
      <c r="A1101" t="inlineStr">
        <is>
          <t>The Colorado Health Foundation</t>
        </is>
      </c>
      <c r="B1101" s="50" t="inlineStr">
        <is>
          <t>CO</t>
        </is>
      </c>
      <c r="C1101" s="52" t="n">
        <v>2.69</v>
      </c>
      <c r="D1101" t="inlineStr">
        <is>
          <t>Healthcare</t>
        </is>
      </c>
      <c r="E1101" s="50" t="n">
        <v>2022</v>
      </c>
      <c r="F1101" s="50" t="inlineStr">
        <is>
          <t>2023-11-15</t>
        </is>
      </c>
      <c r="G1101" s="50" t="inlineStr">
        <is>
          <t>2022-12-31</t>
        </is>
      </c>
      <c r="H1101" t="inlineStr">
        <is>
          <t>Stanford Willie Outgoing</t>
        </is>
      </c>
      <c r="I1101" t="inlineStr">
        <is>
          <t>CHIEF INVESTMENT OFFICER</t>
        </is>
      </c>
      <c r="J1101" t="inlineStr">
        <is>
          <t>CIO</t>
        </is>
      </c>
      <c r="K1101" t="inlineStr">
        <is>
          <t>Sr Investment Professional</t>
        </is>
      </c>
      <c r="L1101" s="28" t="n">
        <v>0</v>
      </c>
      <c r="M1101" s="28" t="n">
        <v>0</v>
      </c>
      <c r="N1101" s="28" t="n">
        <v>0</v>
      </c>
      <c r="O1101" s="28" t="n">
        <v>0</v>
      </c>
      <c r="P1101" s="28" t="n">
        <v>30766</v>
      </c>
      <c r="Q1101" s="28" t="n">
        <v>259879</v>
      </c>
      <c r="R1101" s="28" t="n">
        <v>0</v>
      </c>
      <c r="S1101" s="28">
        <f>Q1101-R1101</f>
        <v/>
      </c>
      <c r="T1101" s="28">
        <f>IF(S1101="","",S1101*(1+in_GrowthRate)^(YEARFRAC(DATE(2022,12,31),in_AgeToDate)*IF(in_AgeToDate&lt;DATE(2022,12,31),-1,1)+1))</f>
        <v/>
      </c>
      <c r="U1101" s="50">
        <f>IF(AND(AND(OR(in_Mode="All Funds",AND(C1101&gt;=in_BandFloor,C1101&lt;=in_BandCeiling,OR(in_Geography="National",COUNTIFS(lst_GeoPreset,in_Geography,lst_GeoState,B1101)&gt;0,AND(in_Geography="Custom",ISNUMBER(SEARCH(B1101,SUBSTITUTE(in_CustomStates," ",""))))),OR(AND(D1101="Endowment",Inputs!$B$14="Y"),AND(D1101="Foundation",Inputs!$B$15="Y"),AND(D1101="Healthcare",Inputs!$B$16="Y"),AND(D1101="Pension",Inputs!$B$17="Y"),AND(D1101="OCIO",Inputs!$B$18="Y"),AND(D1101="Other",Inputs!$B$19="Y")))),A1101&lt;&gt;in_ClientOrg,NOT(AND(in_ExclHarvard="Y",ISNUMBER(SEARCH("Harvard",A1101))))),$AD1101="Y",K1101&lt;&gt;"",S1101&gt;0),"Y","")</f>
        <v/>
      </c>
      <c r="V1101" s="30" t="n">
        <v>0.6728258899676376</v>
      </c>
      <c r="W1101" t="inlineStr"/>
      <c r="X1101" s="28">
        <f>IF(L1101+M1101=0,"",L1101+M1101)</f>
        <v/>
      </c>
      <c r="Y1101" s="38">
        <f>IF(L1101=0,"",M1101/L1101)</f>
        <v/>
      </c>
      <c r="Z1101" t="inlineStr">
        <is>
          <t>Deputy CIO</t>
        </is>
      </c>
      <c r="AA1101" t="inlineStr">
        <is>
          <t>Leadership</t>
        </is>
      </c>
      <c r="AB1101" s="50" t="inlineStr"/>
      <c r="AC1101" s="43">
        <f>HYPERLINK("https://projects.propublica.org/nonprofits/organizations/742568941/202303199349105775/full","view filing")</f>
        <v/>
      </c>
      <c r="AD1101" s="50" t="inlineStr"/>
    </row>
    <row r="1102">
      <c r="A1102" t="inlineStr">
        <is>
          <t>The Grace And Mercy Foundation Inc</t>
        </is>
      </c>
      <c r="B1102" s="50" t="inlineStr">
        <is>
          <t>NY</t>
        </is>
      </c>
      <c r="C1102" s="52" t="n">
        <v>0.59</v>
      </c>
      <c r="D1102" t="inlineStr">
        <is>
          <t>Foundation</t>
        </is>
      </c>
      <c r="E1102" s="50" t="n">
        <v>2024</v>
      </c>
      <c r="F1102" s="50" t="inlineStr">
        <is>
          <t>2025-11-17</t>
        </is>
      </c>
      <c r="G1102" s="50" t="inlineStr">
        <is>
          <t>2024-12-31</t>
        </is>
      </c>
      <c r="H1102" t="inlineStr">
        <is>
          <t>Brandon Berger</t>
        </is>
      </c>
      <c r="I1102" t="inlineStr">
        <is>
          <t>INVESTMENT OFFICER</t>
        </is>
      </c>
      <c r="J1102" t="inlineStr">
        <is>
          <t>Investment Officer</t>
        </is>
      </c>
      <c r="K1102" t="inlineStr">
        <is>
          <t>Sr Investment Professional</t>
        </is>
      </c>
      <c r="L1102" s="28" t="n">
        <v>0</v>
      </c>
      <c r="M1102" s="28" t="n">
        <v>0</v>
      </c>
      <c r="N1102" s="28" t="n">
        <v>0</v>
      </c>
      <c r="O1102" s="28" t="n">
        <v>0</v>
      </c>
      <c r="P1102" s="28" t="n">
        <v>0</v>
      </c>
      <c r="Q1102" s="28" t="n">
        <v>949956</v>
      </c>
      <c r="R1102" s="28" t="n">
        <v>0</v>
      </c>
      <c r="S1102" s="28">
        <f>Q1102-R1102</f>
        <v/>
      </c>
      <c r="T1102" s="28">
        <f>IF(S1102="","",S1102*(1+in_GrowthRate)^(YEARFRAC(DATE(2024,12,31),in_AgeToDate)*IF(in_AgeToDate&lt;DATE(2024,12,31),-1,1)+1))</f>
        <v/>
      </c>
      <c r="U1102" s="50">
        <f>IF(AND(AND(OR(in_Mode="All Funds",AND(C1102&gt;=in_BandFloor,C1102&lt;=in_BandCeiling,OR(in_Geography="National",COUNTIFS(lst_GeoPreset,in_Geography,lst_GeoState,B1102)&gt;0,AND(in_Geography="Custom",ISNUMBER(SEARCH(B1102,SUBSTITUTE(in_CustomStates," ",""))))),OR(AND(D1102="Endowment",Inputs!$B$14="Y"),AND(D1102="Foundation",Inputs!$B$15="Y"),AND(D1102="Healthcare",Inputs!$B$16="Y"),AND(D1102="Pension",Inputs!$B$17="Y"),AND(D1102="OCIO",Inputs!$B$18="Y"),AND(D1102="Other",Inputs!$B$19="Y")))),A1102&lt;&gt;in_ClientOrg,NOT(AND(in_ExclHarvard="Y",ISNUMBER(SEARCH("Harvard",A1102))))),$AD1102="Y",K1102&lt;&gt;"",S1102&gt;0),"Y","")</f>
        <v/>
      </c>
      <c r="V1102" s="30" t="n"/>
      <c r="W1102" t="inlineStr"/>
      <c r="X1102" s="28">
        <f>IF(L1102+M1102=0,"",L1102+M1102)</f>
        <v/>
      </c>
      <c r="Y1102" s="38">
        <f>IF(L1102=0,"",M1102/L1102)</f>
        <v/>
      </c>
      <c r="Z1102" t="inlineStr">
        <is>
          <t>Director &amp; Investment Officer</t>
        </is>
      </c>
      <c r="AA1102" t="inlineStr">
        <is>
          <t>Investments</t>
        </is>
      </c>
      <c r="AB1102" s="50" t="inlineStr"/>
      <c r="AC1102" s="43">
        <f>HYPERLINK("https://projects.propublica.org/nonprofits/organizations/208050779/202533219349103318/full","view filing")</f>
        <v/>
      </c>
      <c r="AD1102" s="50" t="inlineStr">
        <is>
          <t>Y</t>
        </is>
      </c>
    </row>
    <row r="1103">
      <c r="A1103" t="inlineStr">
        <is>
          <t>The Grace And Mercy Foundation Inc</t>
        </is>
      </c>
      <c r="B1103" s="50" t="inlineStr">
        <is>
          <t>NY</t>
        </is>
      </c>
      <c r="C1103" s="52" t="n">
        <v>0.59</v>
      </c>
      <c r="D1103" t="inlineStr">
        <is>
          <t>Foundation</t>
        </is>
      </c>
      <c r="E1103" s="50" t="n">
        <v>2024</v>
      </c>
      <c r="F1103" s="50" t="inlineStr">
        <is>
          <t>2025-11-17</t>
        </is>
      </c>
      <c r="G1103" s="50" t="inlineStr">
        <is>
          <t>2024-12-31</t>
        </is>
      </c>
      <c r="H1103" t="inlineStr">
        <is>
          <t>Daiki Taniguchi</t>
        </is>
      </c>
      <c r="I1103" t="inlineStr">
        <is>
          <t>INVESTMENT OFFICER &amp;</t>
        </is>
      </c>
      <c r="J1103" t="inlineStr">
        <is>
          <t>Investment Officer</t>
        </is>
      </c>
      <c r="K1103" t="inlineStr">
        <is>
          <t>Sr Investment Professional</t>
        </is>
      </c>
      <c r="L1103" s="28" t="n">
        <v>0</v>
      </c>
      <c r="M1103" s="28" t="n">
        <v>0</v>
      </c>
      <c r="N1103" s="28" t="n">
        <v>0</v>
      </c>
      <c r="O1103" s="28" t="n">
        <v>0</v>
      </c>
      <c r="P1103" s="28" t="n">
        <v>0</v>
      </c>
      <c r="Q1103" s="28" t="n">
        <v>716135</v>
      </c>
      <c r="R1103" s="28" t="n">
        <v>0</v>
      </c>
      <c r="S1103" s="28">
        <f>Q1103-R1103</f>
        <v/>
      </c>
      <c r="T1103" s="28">
        <f>IF(S1103="","",S1103*(1+in_GrowthRate)^(YEARFRAC(DATE(2024,12,31),in_AgeToDate)*IF(in_AgeToDate&lt;DATE(2024,12,31),-1,1)+1))</f>
        <v/>
      </c>
      <c r="U1103" s="50">
        <f>IF(AND(AND(OR(in_Mode="All Funds",AND(C1103&gt;=in_BandFloor,C1103&lt;=in_BandCeiling,OR(in_Geography="National",COUNTIFS(lst_GeoPreset,in_Geography,lst_GeoState,B1103)&gt;0,AND(in_Geography="Custom",ISNUMBER(SEARCH(B1103,SUBSTITUTE(in_CustomStates," ",""))))),OR(AND(D1103="Endowment",Inputs!$B$14="Y"),AND(D1103="Foundation",Inputs!$B$15="Y"),AND(D1103="Healthcare",Inputs!$B$16="Y"),AND(D1103="Pension",Inputs!$B$17="Y"),AND(D1103="OCIO",Inputs!$B$18="Y"),AND(D1103="Other",Inputs!$B$19="Y")))),A1103&lt;&gt;in_ClientOrg,NOT(AND(in_ExclHarvard="Y",ISNUMBER(SEARCH("Harvard",A1103))))),$AD1103="Y",K1103&lt;&gt;"",S1103&gt;0),"Y","")</f>
        <v/>
      </c>
      <c r="V1103" s="30" t="n"/>
      <c r="W1103" t="inlineStr"/>
      <c r="X1103" s="28">
        <f>IF(L1103+M1103=0,"",L1103+M1103)</f>
        <v/>
      </c>
      <c r="Y1103" s="38">
        <f>IF(L1103=0,"",M1103/L1103)</f>
        <v/>
      </c>
      <c r="Z1103" t="inlineStr">
        <is>
          <t>Director &amp; Investment Officer</t>
        </is>
      </c>
      <c r="AA1103" t="inlineStr">
        <is>
          <t>Investments</t>
        </is>
      </c>
      <c r="AB1103" s="50" t="inlineStr"/>
      <c r="AC1103" s="43">
        <f>HYPERLINK("https://projects.propublica.org/nonprofits/organizations/208050779/202533219349103318/full","view filing")</f>
        <v/>
      </c>
      <c r="AD1103" s="50" t="inlineStr">
        <is>
          <t>Y</t>
        </is>
      </c>
    </row>
    <row r="1104">
      <c r="A1104" t="inlineStr">
        <is>
          <t>The Grace And Mercy Foundation Inc</t>
        </is>
      </c>
      <c r="B1104" s="50" t="inlineStr">
        <is>
          <t>NY</t>
        </is>
      </c>
      <c r="C1104" s="52" t="n">
        <v>0.59</v>
      </c>
      <c r="D1104" t="inlineStr">
        <is>
          <t>Foundation</t>
        </is>
      </c>
      <c r="E1104" s="50" t="n">
        <v>2024</v>
      </c>
      <c r="F1104" s="50" t="inlineStr">
        <is>
          <t>2025-11-17</t>
        </is>
      </c>
      <c r="G1104" s="50" t="inlineStr">
        <is>
          <t>2024-12-31</t>
        </is>
      </c>
      <c r="H1104" t="inlineStr">
        <is>
          <t>Dhani Jones</t>
        </is>
      </c>
      <c r="I1104" t="inlineStr">
        <is>
          <t>INVESTMENT OFFICER</t>
        </is>
      </c>
      <c r="J1104" t="inlineStr">
        <is>
          <t>Investment Officer</t>
        </is>
      </c>
      <c r="K1104" t="inlineStr">
        <is>
          <t>Sr Investment Professional</t>
        </is>
      </c>
      <c r="L1104" s="28" t="n">
        <v>0</v>
      </c>
      <c r="M1104" s="28" t="n">
        <v>0</v>
      </c>
      <c r="N1104" s="28" t="n">
        <v>0</v>
      </c>
      <c r="O1104" s="28" t="n">
        <v>0</v>
      </c>
      <c r="P1104" s="28" t="n">
        <v>0</v>
      </c>
      <c r="Q1104" s="28" t="n">
        <v>771456</v>
      </c>
      <c r="R1104" s="28" t="n">
        <v>0</v>
      </c>
      <c r="S1104" s="28">
        <f>Q1104-R1104</f>
        <v/>
      </c>
      <c r="T1104" s="28">
        <f>IF(S1104="","",S1104*(1+in_GrowthRate)^(YEARFRAC(DATE(2024,12,31),in_AgeToDate)*IF(in_AgeToDate&lt;DATE(2024,12,31),-1,1)+1))</f>
        <v/>
      </c>
      <c r="U1104" s="50">
        <f>IF(AND(AND(OR(in_Mode="All Funds",AND(C1104&gt;=in_BandFloor,C1104&lt;=in_BandCeiling,OR(in_Geography="National",COUNTIFS(lst_GeoPreset,in_Geography,lst_GeoState,B1104)&gt;0,AND(in_Geography="Custom",ISNUMBER(SEARCH(B1104,SUBSTITUTE(in_CustomStates," ",""))))),OR(AND(D1104="Endowment",Inputs!$B$14="Y"),AND(D1104="Foundation",Inputs!$B$15="Y"),AND(D1104="Healthcare",Inputs!$B$16="Y"),AND(D1104="Pension",Inputs!$B$17="Y"),AND(D1104="OCIO",Inputs!$B$18="Y"),AND(D1104="Other",Inputs!$B$19="Y")))),A1104&lt;&gt;in_ClientOrg,NOT(AND(in_ExclHarvard="Y",ISNUMBER(SEARCH("Harvard",A1104))))),$AD1104="Y",K1104&lt;&gt;"",S1104&gt;0),"Y","")</f>
        <v/>
      </c>
      <c r="V1104" s="30" t="n"/>
      <c r="W1104" t="inlineStr"/>
      <c r="X1104" s="28">
        <f>IF(L1104+M1104=0,"",L1104+M1104)</f>
        <v/>
      </c>
      <c r="Y1104" s="38">
        <f>IF(L1104=0,"",M1104/L1104)</f>
        <v/>
      </c>
      <c r="Z1104" t="inlineStr">
        <is>
          <t>Director &amp; Investment Officer</t>
        </is>
      </c>
      <c r="AA1104" t="inlineStr">
        <is>
          <t>Investments</t>
        </is>
      </c>
      <c r="AB1104" s="50" t="inlineStr"/>
      <c r="AC1104" s="43">
        <f>HYPERLINK("https://projects.propublica.org/nonprofits/organizations/208050779/202533219349103318/full","view filing")</f>
        <v/>
      </c>
      <c r="AD1104" s="50" t="inlineStr">
        <is>
          <t>Y</t>
        </is>
      </c>
    </row>
    <row r="1105">
      <c r="A1105" t="inlineStr">
        <is>
          <t>The Grace And Mercy Foundation Inc</t>
        </is>
      </c>
      <c r="B1105" s="50" t="inlineStr">
        <is>
          <t>NY</t>
        </is>
      </c>
      <c r="C1105" s="52" t="n">
        <v>0.59</v>
      </c>
      <c r="D1105" t="inlineStr">
        <is>
          <t>Foundation</t>
        </is>
      </c>
      <c r="E1105" s="50" t="n">
        <v>2024</v>
      </c>
      <c r="F1105" s="50" t="inlineStr">
        <is>
          <t>2025-11-17</t>
        </is>
      </c>
      <c r="G1105" s="50" t="inlineStr">
        <is>
          <t>2024-12-31</t>
        </is>
      </c>
      <c r="H1105" t="inlineStr">
        <is>
          <t>Hyunwoo Nam</t>
        </is>
      </c>
      <c r="I1105" t="inlineStr">
        <is>
          <t>INVESTMENT OFFICER</t>
        </is>
      </c>
      <c r="J1105" t="inlineStr">
        <is>
          <t>Investment Officer</t>
        </is>
      </c>
      <c r="K1105" t="inlineStr">
        <is>
          <t>Sr Investment Professional</t>
        </is>
      </c>
      <c r="L1105" s="28" t="n">
        <v>0</v>
      </c>
      <c r="M1105" s="28" t="n">
        <v>0</v>
      </c>
      <c r="N1105" s="28" t="n">
        <v>0</v>
      </c>
      <c r="O1105" s="28" t="n">
        <v>0</v>
      </c>
      <c r="P1105" s="28" t="n">
        <v>0</v>
      </c>
      <c r="Q1105" s="28" t="n">
        <v>1157000</v>
      </c>
      <c r="R1105" s="28" t="n">
        <v>0</v>
      </c>
      <c r="S1105" s="28">
        <f>Q1105-R1105</f>
        <v/>
      </c>
      <c r="T1105" s="28">
        <f>IF(S1105="","",S1105*(1+in_GrowthRate)^(YEARFRAC(DATE(2024,12,31),in_AgeToDate)*IF(in_AgeToDate&lt;DATE(2024,12,31),-1,1)+1))</f>
        <v/>
      </c>
      <c r="U1105" s="50">
        <f>IF(AND(AND(OR(in_Mode="All Funds",AND(C1105&gt;=in_BandFloor,C1105&lt;=in_BandCeiling,OR(in_Geography="National",COUNTIFS(lst_GeoPreset,in_Geography,lst_GeoState,B1105)&gt;0,AND(in_Geography="Custom",ISNUMBER(SEARCH(B1105,SUBSTITUTE(in_CustomStates," ",""))))),OR(AND(D1105="Endowment",Inputs!$B$14="Y"),AND(D1105="Foundation",Inputs!$B$15="Y"),AND(D1105="Healthcare",Inputs!$B$16="Y"),AND(D1105="Pension",Inputs!$B$17="Y"),AND(D1105="OCIO",Inputs!$B$18="Y"),AND(D1105="Other",Inputs!$B$19="Y")))),A1105&lt;&gt;in_ClientOrg,NOT(AND(in_ExclHarvard="Y",ISNUMBER(SEARCH("Harvard",A1105))))),$AD1105="Y",K1105&lt;&gt;"",S1105&gt;0),"Y","")</f>
        <v/>
      </c>
      <c r="V1105" s="30" t="n"/>
      <c r="W1105" t="inlineStr"/>
      <c r="X1105" s="28">
        <f>IF(L1105+M1105=0,"",L1105+M1105)</f>
        <v/>
      </c>
      <c r="Y1105" s="38">
        <f>IF(L1105=0,"",M1105/L1105)</f>
        <v/>
      </c>
      <c r="Z1105" t="inlineStr">
        <is>
          <t>Director &amp; Investment Officer</t>
        </is>
      </c>
      <c r="AA1105" t="inlineStr">
        <is>
          <t>Investments</t>
        </is>
      </c>
      <c r="AB1105" s="50" t="inlineStr"/>
      <c r="AC1105" s="43">
        <f>HYPERLINK("https://projects.propublica.org/nonprofits/organizations/208050779/202533219349103318/full","view filing")</f>
        <v/>
      </c>
      <c r="AD1105" s="50" t="inlineStr">
        <is>
          <t>Y</t>
        </is>
      </c>
    </row>
    <row r="1106">
      <c r="A1106" t="inlineStr">
        <is>
          <t>The Grace And Mercy Foundation Inc</t>
        </is>
      </c>
      <c r="B1106" s="50" t="inlineStr">
        <is>
          <t>NY</t>
        </is>
      </c>
      <c r="C1106" s="52" t="n">
        <v>0.59</v>
      </c>
      <c r="D1106" t="inlineStr">
        <is>
          <t>Foundation</t>
        </is>
      </c>
      <c r="E1106" s="50" t="n">
        <v>2024</v>
      </c>
      <c r="F1106" s="50" t="inlineStr">
        <is>
          <t>2025-11-17</t>
        </is>
      </c>
      <c r="G1106" s="50" t="inlineStr">
        <is>
          <t>2024-12-31</t>
        </is>
      </c>
      <c r="H1106" t="inlineStr">
        <is>
          <t>Su Lee</t>
        </is>
      </c>
      <c r="I1106" t="inlineStr">
        <is>
          <t>INVESTMENT OFFICER</t>
        </is>
      </c>
      <c r="J1106" t="inlineStr">
        <is>
          <t>Investment Officer</t>
        </is>
      </c>
      <c r="K1106" t="inlineStr">
        <is>
          <t>Sr Investment Professional</t>
        </is>
      </c>
      <c r="L1106" s="28" t="n">
        <v>0</v>
      </c>
      <c r="M1106" s="28" t="n">
        <v>0</v>
      </c>
      <c r="N1106" s="28" t="n">
        <v>0</v>
      </c>
      <c r="O1106" s="28" t="n">
        <v>0</v>
      </c>
      <c r="P1106" s="28" t="n">
        <v>0</v>
      </c>
      <c r="Q1106" s="28" t="n">
        <v>790209</v>
      </c>
      <c r="R1106" s="28" t="n">
        <v>0</v>
      </c>
      <c r="S1106" s="28">
        <f>Q1106-R1106</f>
        <v/>
      </c>
      <c r="T1106" s="28">
        <f>IF(S1106="","",S1106*(1+in_GrowthRate)^(YEARFRAC(DATE(2024,12,31),in_AgeToDate)*IF(in_AgeToDate&lt;DATE(2024,12,31),-1,1)+1))</f>
        <v/>
      </c>
      <c r="U1106" s="50">
        <f>IF(AND(AND(OR(in_Mode="All Funds",AND(C1106&gt;=in_BandFloor,C1106&lt;=in_BandCeiling,OR(in_Geography="National",COUNTIFS(lst_GeoPreset,in_Geography,lst_GeoState,B1106)&gt;0,AND(in_Geography="Custom",ISNUMBER(SEARCH(B1106,SUBSTITUTE(in_CustomStates," ",""))))),OR(AND(D1106="Endowment",Inputs!$B$14="Y"),AND(D1106="Foundation",Inputs!$B$15="Y"),AND(D1106="Healthcare",Inputs!$B$16="Y"),AND(D1106="Pension",Inputs!$B$17="Y"),AND(D1106="OCIO",Inputs!$B$18="Y"),AND(D1106="Other",Inputs!$B$19="Y")))),A1106&lt;&gt;in_ClientOrg,NOT(AND(in_ExclHarvard="Y",ISNUMBER(SEARCH("Harvard",A1106))))),$AD1106="Y",K1106&lt;&gt;"",S1106&gt;0),"Y","")</f>
        <v/>
      </c>
      <c r="V1106" s="30" t="n"/>
      <c r="W1106" t="inlineStr"/>
      <c r="X1106" s="28">
        <f>IF(L1106+M1106=0,"",L1106+M1106)</f>
        <v/>
      </c>
      <c r="Y1106" s="38">
        <f>IF(L1106=0,"",M1106/L1106)</f>
        <v/>
      </c>
      <c r="Z1106" t="inlineStr">
        <is>
          <t>Director &amp; Investment Officer</t>
        </is>
      </c>
      <c r="AA1106" t="inlineStr">
        <is>
          <t>Investments</t>
        </is>
      </c>
      <c r="AB1106" s="50" t="inlineStr"/>
      <c r="AC1106" s="43">
        <f>HYPERLINK("https://projects.propublica.org/nonprofits/organizations/208050779/202533219349103318/full","view filing")</f>
        <v/>
      </c>
      <c r="AD1106" s="50" t="inlineStr">
        <is>
          <t>Y</t>
        </is>
      </c>
    </row>
    <row r="1107">
      <c r="A1107" t="inlineStr">
        <is>
          <t>The Grace And Mercy Foundation Inc</t>
        </is>
      </c>
      <c r="B1107" s="50" t="inlineStr">
        <is>
          <t>NY</t>
        </is>
      </c>
      <c r="C1107" s="52" t="n">
        <v>0.59</v>
      </c>
      <c r="D1107" t="inlineStr">
        <is>
          <t>Foundation</t>
        </is>
      </c>
      <c r="E1107" s="50" t="n">
        <v>2023</v>
      </c>
      <c r="F1107" s="50" t="inlineStr">
        <is>
          <t>2024-11-15</t>
        </is>
      </c>
      <c r="G1107" s="50" t="inlineStr">
        <is>
          <t>2023-12-31</t>
        </is>
      </c>
      <c r="H1107" t="inlineStr">
        <is>
          <t>Brandon Berger</t>
        </is>
      </c>
      <c r="I1107" t="inlineStr">
        <is>
          <t>INVESTMENT OFFICER</t>
        </is>
      </c>
      <c r="J1107" t="inlineStr">
        <is>
          <t>Investment Officer</t>
        </is>
      </c>
      <c r="K1107" t="inlineStr">
        <is>
          <t>Sr Investment Professional</t>
        </is>
      </c>
      <c r="L1107" s="28" t="n">
        <v>0</v>
      </c>
      <c r="M1107" s="28" t="n">
        <v>0</v>
      </c>
      <c r="N1107" s="28" t="n">
        <v>0</v>
      </c>
      <c r="O1107" s="28" t="n">
        <v>0</v>
      </c>
      <c r="P1107" s="28" t="n">
        <v>0</v>
      </c>
      <c r="Q1107" s="28" t="n">
        <v>1000621</v>
      </c>
      <c r="R1107" s="28" t="n">
        <v>0</v>
      </c>
      <c r="S1107" s="28">
        <f>Q1107-R1107</f>
        <v/>
      </c>
      <c r="T1107" s="28">
        <f>IF(S1107="","",S1107*(1+in_GrowthRate)^(YEARFRAC(DATE(2023,12,31),in_AgeToDate)*IF(in_AgeToDate&lt;DATE(2023,12,31),-1,1)+1))</f>
        <v/>
      </c>
      <c r="U1107" s="50">
        <f>IF(AND(AND(OR(in_Mode="All Funds",AND(C1107&gt;=in_BandFloor,C1107&lt;=in_BandCeiling,OR(in_Geography="National",COUNTIFS(lst_GeoPreset,in_Geography,lst_GeoState,B1107)&gt;0,AND(in_Geography="Custom",ISNUMBER(SEARCH(B1107,SUBSTITUTE(in_CustomStates," ",""))))),OR(AND(D1107="Endowment",Inputs!$B$14="Y"),AND(D1107="Foundation",Inputs!$B$15="Y"),AND(D1107="Healthcare",Inputs!$B$16="Y"),AND(D1107="Pension",Inputs!$B$17="Y"),AND(D1107="OCIO",Inputs!$B$18="Y"),AND(D1107="Other",Inputs!$B$19="Y")))),A1107&lt;&gt;in_ClientOrg,NOT(AND(in_ExclHarvard="Y",ISNUMBER(SEARCH("Harvard",A1107))))),$AD1107="Y",K1107&lt;&gt;"",S1107&gt;0),"Y","")</f>
        <v/>
      </c>
      <c r="V1107" s="30" t="n"/>
      <c r="W1107" t="inlineStr"/>
      <c r="X1107" s="28">
        <f>IF(L1107+M1107=0,"",L1107+M1107)</f>
        <v/>
      </c>
      <c r="Y1107" s="38">
        <f>IF(L1107=0,"",M1107/L1107)</f>
        <v/>
      </c>
      <c r="Z1107" t="inlineStr">
        <is>
          <t>Director &amp; Investment Officer</t>
        </is>
      </c>
      <c r="AA1107" t="inlineStr">
        <is>
          <t>Investments</t>
        </is>
      </c>
      <c r="AB1107" s="50" t="inlineStr"/>
      <c r="AC1107" s="43">
        <f>HYPERLINK("https://projects.propublica.org/nonprofits/organizations/208050779/202423209349108592/full","view filing")</f>
        <v/>
      </c>
      <c r="AD1107" s="50" t="inlineStr"/>
    </row>
    <row r="1108">
      <c r="A1108" t="inlineStr">
        <is>
          <t>The Grace And Mercy Foundation Inc</t>
        </is>
      </c>
      <c r="B1108" s="50" t="inlineStr">
        <is>
          <t>NY</t>
        </is>
      </c>
      <c r="C1108" s="52" t="n">
        <v>0.59</v>
      </c>
      <c r="D1108" t="inlineStr">
        <is>
          <t>Foundation</t>
        </is>
      </c>
      <c r="E1108" s="50" t="n">
        <v>2023</v>
      </c>
      <c r="F1108" s="50" t="inlineStr">
        <is>
          <t>2024-11-15</t>
        </is>
      </c>
      <c r="G1108" s="50" t="inlineStr">
        <is>
          <t>2023-12-31</t>
        </is>
      </c>
      <c r="H1108" t="inlineStr">
        <is>
          <t>Daiki Taniguchi</t>
        </is>
      </c>
      <c r="I1108" t="inlineStr">
        <is>
          <t>INVESTMENT OFFICER &amp;</t>
        </is>
      </c>
      <c r="J1108" t="inlineStr">
        <is>
          <t>Investment Officer</t>
        </is>
      </c>
      <c r="K1108" t="inlineStr">
        <is>
          <t>Sr Investment Professional</t>
        </is>
      </c>
      <c r="L1108" s="28" t="n">
        <v>0</v>
      </c>
      <c r="M1108" s="28" t="n">
        <v>0</v>
      </c>
      <c r="N1108" s="28" t="n">
        <v>0</v>
      </c>
      <c r="O1108" s="28" t="n">
        <v>0</v>
      </c>
      <c r="P1108" s="28" t="n">
        <v>0</v>
      </c>
      <c r="Q1108" s="28" t="n">
        <v>724538</v>
      </c>
      <c r="R1108" s="28" t="n">
        <v>0</v>
      </c>
      <c r="S1108" s="28">
        <f>Q1108-R1108</f>
        <v/>
      </c>
      <c r="T1108" s="28">
        <f>IF(S1108="","",S1108*(1+in_GrowthRate)^(YEARFRAC(DATE(2023,12,31),in_AgeToDate)*IF(in_AgeToDate&lt;DATE(2023,12,31),-1,1)+1))</f>
        <v/>
      </c>
      <c r="U1108" s="50">
        <f>IF(AND(AND(OR(in_Mode="All Funds",AND(C1108&gt;=in_BandFloor,C1108&lt;=in_BandCeiling,OR(in_Geography="National",COUNTIFS(lst_GeoPreset,in_Geography,lst_GeoState,B1108)&gt;0,AND(in_Geography="Custom",ISNUMBER(SEARCH(B1108,SUBSTITUTE(in_CustomStates," ",""))))),OR(AND(D1108="Endowment",Inputs!$B$14="Y"),AND(D1108="Foundation",Inputs!$B$15="Y"),AND(D1108="Healthcare",Inputs!$B$16="Y"),AND(D1108="Pension",Inputs!$B$17="Y"),AND(D1108="OCIO",Inputs!$B$18="Y"),AND(D1108="Other",Inputs!$B$19="Y")))),A1108&lt;&gt;in_ClientOrg,NOT(AND(in_ExclHarvard="Y",ISNUMBER(SEARCH("Harvard",A1108))))),$AD1108="Y",K1108&lt;&gt;"",S1108&gt;0),"Y","")</f>
        <v/>
      </c>
      <c r="V1108" s="30" t="n"/>
      <c r="W1108" t="inlineStr"/>
      <c r="X1108" s="28">
        <f>IF(L1108+M1108=0,"",L1108+M1108)</f>
        <v/>
      </c>
      <c r="Y1108" s="38">
        <f>IF(L1108=0,"",M1108/L1108)</f>
        <v/>
      </c>
      <c r="Z1108" t="inlineStr">
        <is>
          <t>Director &amp; Investment Officer</t>
        </is>
      </c>
      <c r="AA1108" t="inlineStr">
        <is>
          <t>Investments</t>
        </is>
      </c>
      <c r="AB1108" s="50" t="inlineStr"/>
      <c r="AC1108" s="43">
        <f>HYPERLINK("https://projects.propublica.org/nonprofits/organizations/208050779/202423209349108592/full","view filing")</f>
        <v/>
      </c>
      <c r="AD1108" s="50" t="inlineStr"/>
    </row>
    <row r="1109">
      <c r="A1109" t="inlineStr">
        <is>
          <t>The Grace And Mercy Foundation Inc</t>
        </is>
      </c>
      <c r="B1109" s="50" t="inlineStr">
        <is>
          <t>NY</t>
        </is>
      </c>
      <c r="C1109" s="52" t="n">
        <v>0.59</v>
      </c>
      <c r="D1109" t="inlineStr">
        <is>
          <t>Foundation</t>
        </is>
      </c>
      <c r="E1109" s="50" t="n">
        <v>2023</v>
      </c>
      <c r="F1109" s="50" t="inlineStr">
        <is>
          <t>2024-11-15</t>
        </is>
      </c>
      <c r="G1109" s="50" t="inlineStr">
        <is>
          <t>2023-12-31</t>
        </is>
      </c>
      <c r="H1109" t="inlineStr">
        <is>
          <t>Dhani Jones</t>
        </is>
      </c>
      <c r="I1109" t="inlineStr">
        <is>
          <t>INVESTMENT OFFICER</t>
        </is>
      </c>
      <c r="J1109" t="inlineStr">
        <is>
          <t>Investment Officer</t>
        </is>
      </c>
      <c r="K1109" t="inlineStr">
        <is>
          <t>Sr Investment Professional</t>
        </is>
      </c>
      <c r="L1109" s="28" t="n">
        <v>0</v>
      </c>
      <c r="M1109" s="28" t="n">
        <v>0</v>
      </c>
      <c r="N1109" s="28" t="n">
        <v>0</v>
      </c>
      <c r="O1109" s="28" t="n">
        <v>0</v>
      </c>
      <c r="P1109" s="28" t="n">
        <v>0</v>
      </c>
      <c r="Q1109" s="28" t="n">
        <v>809769</v>
      </c>
      <c r="R1109" s="28" t="n">
        <v>0</v>
      </c>
      <c r="S1109" s="28">
        <f>Q1109-R1109</f>
        <v/>
      </c>
      <c r="T1109" s="28">
        <f>IF(S1109="","",S1109*(1+in_GrowthRate)^(YEARFRAC(DATE(2023,12,31),in_AgeToDate)*IF(in_AgeToDate&lt;DATE(2023,12,31),-1,1)+1))</f>
        <v/>
      </c>
      <c r="U1109" s="50">
        <f>IF(AND(AND(OR(in_Mode="All Funds",AND(C1109&gt;=in_BandFloor,C1109&lt;=in_BandCeiling,OR(in_Geography="National",COUNTIFS(lst_GeoPreset,in_Geography,lst_GeoState,B1109)&gt;0,AND(in_Geography="Custom",ISNUMBER(SEARCH(B1109,SUBSTITUTE(in_CustomStates," ",""))))),OR(AND(D1109="Endowment",Inputs!$B$14="Y"),AND(D1109="Foundation",Inputs!$B$15="Y"),AND(D1109="Healthcare",Inputs!$B$16="Y"),AND(D1109="Pension",Inputs!$B$17="Y"),AND(D1109="OCIO",Inputs!$B$18="Y"),AND(D1109="Other",Inputs!$B$19="Y")))),A1109&lt;&gt;in_ClientOrg,NOT(AND(in_ExclHarvard="Y",ISNUMBER(SEARCH("Harvard",A1109))))),$AD1109="Y",K1109&lt;&gt;"",S1109&gt;0),"Y","")</f>
        <v/>
      </c>
      <c r="V1109" s="30" t="n"/>
      <c r="W1109" t="inlineStr"/>
      <c r="X1109" s="28">
        <f>IF(L1109+M1109=0,"",L1109+M1109)</f>
        <v/>
      </c>
      <c r="Y1109" s="38">
        <f>IF(L1109=0,"",M1109/L1109)</f>
        <v/>
      </c>
      <c r="Z1109" t="inlineStr">
        <is>
          <t>Director &amp; Investment Officer</t>
        </is>
      </c>
      <c r="AA1109" t="inlineStr">
        <is>
          <t>Investments</t>
        </is>
      </c>
      <c r="AB1109" s="50" t="inlineStr"/>
      <c r="AC1109" s="43">
        <f>HYPERLINK("https://projects.propublica.org/nonprofits/organizations/208050779/202423209349108592/full","view filing")</f>
        <v/>
      </c>
      <c r="AD1109" s="50" t="inlineStr"/>
    </row>
    <row r="1110">
      <c r="A1110" t="inlineStr">
        <is>
          <t>The Grace And Mercy Foundation Inc</t>
        </is>
      </c>
      <c r="B1110" s="50" t="inlineStr">
        <is>
          <t>NY</t>
        </is>
      </c>
      <c r="C1110" s="52" t="n">
        <v>0.59</v>
      </c>
      <c r="D1110" t="inlineStr">
        <is>
          <t>Foundation</t>
        </is>
      </c>
      <c r="E1110" s="50" t="n">
        <v>2023</v>
      </c>
      <c r="F1110" s="50" t="inlineStr">
        <is>
          <t>2024-11-15</t>
        </is>
      </c>
      <c r="G1110" s="50" t="inlineStr">
        <is>
          <t>2023-12-31</t>
        </is>
      </c>
      <c r="H1110" t="inlineStr">
        <is>
          <t>Hyunwoo Nam</t>
        </is>
      </c>
      <c r="I1110" t="inlineStr">
        <is>
          <t>INVESTMENT OFFICER</t>
        </is>
      </c>
      <c r="J1110" t="inlineStr">
        <is>
          <t>Investment Officer</t>
        </is>
      </c>
      <c r="K1110" t="inlineStr">
        <is>
          <t>Sr Investment Professional</t>
        </is>
      </c>
      <c r="L1110" s="28" t="n">
        <v>0</v>
      </c>
      <c r="M1110" s="28" t="n">
        <v>0</v>
      </c>
      <c r="N1110" s="28" t="n">
        <v>0</v>
      </c>
      <c r="O1110" s="28" t="n">
        <v>0</v>
      </c>
      <c r="P1110" s="28" t="n">
        <v>0</v>
      </c>
      <c r="Q1110" s="28" t="n">
        <v>1204231</v>
      </c>
      <c r="R1110" s="28" t="n">
        <v>0</v>
      </c>
      <c r="S1110" s="28">
        <f>Q1110-R1110</f>
        <v/>
      </c>
      <c r="T1110" s="28">
        <f>IF(S1110="","",S1110*(1+in_GrowthRate)^(YEARFRAC(DATE(2023,12,31),in_AgeToDate)*IF(in_AgeToDate&lt;DATE(2023,12,31),-1,1)+1))</f>
        <v/>
      </c>
      <c r="U1110" s="50">
        <f>IF(AND(AND(OR(in_Mode="All Funds",AND(C1110&gt;=in_BandFloor,C1110&lt;=in_BandCeiling,OR(in_Geography="National",COUNTIFS(lst_GeoPreset,in_Geography,lst_GeoState,B1110)&gt;0,AND(in_Geography="Custom",ISNUMBER(SEARCH(B1110,SUBSTITUTE(in_CustomStates," ",""))))),OR(AND(D1110="Endowment",Inputs!$B$14="Y"),AND(D1110="Foundation",Inputs!$B$15="Y"),AND(D1110="Healthcare",Inputs!$B$16="Y"),AND(D1110="Pension",Inputs!$B$17="Y"),AND(D1110="OCIO",Inputs!$B$18="Y"),AND(D1110="Other",Inputs!$B$19="Y")))),A1110&lt;&gt;in_ClientOrg,NOT(AND(in_ExclHarvard="Y",ISNUMBER(SEARCH("Harvard",A1110))))),$AD1110="Y",K1110&lt;&gt;"",S1110&gt;0),"Y","")</f>
        <v/>
      </c>
      <c r="V1110" s="30" t="n"/>
      <c r="W1110" t="inlineStr"/>
      <c r="X1110" s="28">
        <f>IF(L1110+M1110=0,"",L1110+M1110)</f>
        <v/>
      </c>
      <c r="Y1110" s="38">
        <f>IF(L1110=0,"",M1110/L1110)</f>
        <v/>
      </c>
      <c r="Z1110" t="inlineStr">
        <is>
          <t>Director &amp; Investment Officer</t>
        </is>
      </c>
      <c r="AA1110" t="inlineStr">
        <is>
          <t>Investments</t>
        </is>
      </c>
      <c r="AB1110" s="50" t="inlineStr"/>
      <c r="AC1110" s="43">
        <f>HYPERLINK("https://projects.propublica.org/nonprofits/organizations/208050779/202423209349108592/full","view filing")</f>
        <v/>
      </c>
      <c r="AD1110" s="50" t="inlineStr"/>
    </row>
    <row r="1111">
      <c r="A1111" t="inlineStr">
        <is>
          <t>The Grace And Mercy Foundation Inc</t>
        </is>
      </c>
      <c r="B1111" s="50" t="inlineStr">
        <is>
          <t>NY</t>
        </is>
      </c>
      <c r="C1111" s="52" t="n">
        <v>0.59</v>
      </c>
      <c r="D1111" t="inlineStr">
        <is>
          <t>Foundation</t>
        </is>
      </c>
      <c r="E1111" s="50" t="n">
        <v>2023</v>
      </c>
      <c r="F1111" s="50" t="inlineStr">
        <is>
          <t>2024-11-15</t>
        </is>
      </c>
      <c r="G1111" s="50" t="inlineStr">
        <is>
          <t>2023-12-31</t>
        </is>
      </c>
      <c r="H1111" t="inlineStr">
        <is>
          <t>Su Lee</t>
        </is>
      </c>
      <c r="I1111" t="inlineStr">
        <is>
          <t>INVESTMENT OFFICER</t>
        </is>
      </c>
      <c r="J1111" t="inlineStr">
        <is>
          <t>Investment Officer</t>
        </is>
      </c>
      <c r="K1111" t="inlineStr">
        <is>
          <t>Sr Investment Professional</t>
        </is>
      </c>
      <c r="L1111" s="28" t="n">
        <v>0</v>
      </c>
      <c r="M1111" s="28" t="n">
        <v>0</v>
      </c>
      <c r="N1111" s="28" t="n">
        <v>0</v>
      </c>
      <c r="O1111" s="28" t="n">
        <v>0</v>
      </c>
      <c r="P1111" s="28" t="n">
        <v>0</v>
      </c>
      <c r="Q1111" s="28" t="n">
        <v>810365</v>
      </c>
      <c r="R1111" s="28" t="n">
        <v>0</v>
      </c>
      <c r="S1111" s="28">
        <f>Q1111-R1111</f>
        <v/>
      </c>
      <c r="T1111" s="28">
        <f>IF(S1111="","",S1111*(1+in_GrowthRate)^(YEARFRAC(DATE(2023,12,31),in_AgeToDate)*IF(in_AgeToDate&lt;DATE(2023,12,31),-1,1)+1))</f>
        <v/>
      </c>
      <c r="U1111" s="50">
        <f>IF(AND(AND(OR(in_Mode="All Funds",AND(C1111&gt;=in_BandFloor,C1111&lt;=in_BandCeiling,OR(in_Geography="National",COUNTIFS(lst_GeoPreset,in_Geography,lst_GeoState,B1111)&gt;0,AND(in_Geography="Custom",ISNUMBER(SEARCH(B1111,SUBSTITUTE(in_CustomStates," ",""))))),OR(AND(D1111="Endowment",Inputs!$B$14="Y"),AND(D1111="Foundation",Inputs!$B$15="Y"),AND(D1111="Healthcare",Inputs!$B$16="Y"),AND(D1111="Pension",Inputs!$B$17="Y"),AND(D1111="OCIO",Inputs!$B$18="Y"),AND(D1111="Other",Inputs!$B$19="Y")))),A1111&lt;&gt;in_ClientOrg,NOT(AND(in_ExclHarvard="Y",ISNUMBER(SEARCH("Harvard",A1111))))),$AD1111="Y",K1111&lt;&gt;"",S1111&gt;0),"Y","")</f>
        <v/>
      </c>
      <c r="V1111" s="30" t="n"/>
      <c r="W1111" t="inlineStr"/>
      <c r="X1111" s="28">
        <f>IF(L1111+M1111=0,"",L1111+M1111)</f>
        <v/>
      </c>
      <c r="Y1111" s="38">
        <f>IF(L1111=0,"",M1111/L1111)</f>
        <v/>
      </c>
      <c r="Z1111" t="inlineStr">
        <is>
          <t>Director &amp; Investment Officer</t>
        </is>
      </c>
      <c r="AA1111" t="inlineStr">
        <is>
          <t>Investments</t>
        </is>
      </c>
      <c r="AB1111" s="50" t="inlineStr"/>
      <c r="AC1111" s="43">
        <f>HYPERLINK("https://projects.propublica.org/nonprofits/organizations/208050779/202423209349108592/full","view filing")</f>
        <v/>
      </c>
      <c r="AD1111" s="50" t="inlineStr"/>
    </row>
    <row r="1112">
      <c r="A1112" t="inlineStr">
        <is>
          <t>The Grace And Mercy Foundation Inc</t>
        </is>
      </c>
      <c r="B1112" s="50" t="inlineStr">
        <is>
          <t>NY</t>
        </is>
      </c>
      <c r="C1112" s="52" t="n">
        <v>0.59</v>
      </c>
      <c r="D1112" t="inlineStr">
        <is>
          <t>Foundation</t>
        </is>
      </c>
      <c r="E1112" s="50" t="n">
        <v>2022</v>
      </c>
      <c r="F1112" s="50" t="inlineStr">
        <is>
          <t>2023-11-15</t>
        </is>
      </c>
      <c r="G1112" s="50" t="inlineStr">
        <is>
          <t>2022-12-31</t>
        </is>
      </c>
      <c r="H1112" t="inlineStr">
        <is>
          <t>Brandon Berger</t>
        </is>
      </c>
      <c r="I1112" t="inlineStr">
        <is>
          <t>INVESTMENT OFFICER</t>
        </is>
      </c>
      <c r="J1112" t="inlineStr">
        <is>
          <t>Investment Officer</t>
        </is>
      </c>
      <c r="K1112" t="inlineStr">
        <is>
          <t>Sr Investment Professional</t>
        </is>
      </c>
      <c r="L1112" s="28" t="n">
        <v>0</v>
      </c>
      <c r="M1112" s="28" t="n">
        <v>0</v>
      </c>
      <c r="N1112" s="28" t="n">
        <v>0</v>
      </c>
      <c r="O1112" s="28" t="n">
        <v>0</v>
      </c>
      <c r="P1112" s="28" t="n">
        <v>0</v>
      </c>
      <c r="Q1112" s="28" t="n">
        <v>537750</v>
      </c>
      <c r="R1112" s="28" t="n">
        <v>0</v>
      </c>
      <c r="S1112" s="28">
        <f>Q1112-R1112</f>
        <v/>
      </c>
      <c r="T1112" s="28">
        <f>IF(S1112="","",S1112*(1+in_GrowthRate)^(YEARFRAC(DATE(2022,12,31),in_AgeToDate)*IF(in_AgeToDate&lt;DATE(2022,12,31),-1,1)+1))</f>
        <v/>
      </c>
      <c r="U1112" s="50">
        <f>IF(AND(AND(OR(in_Mode="All Funds",AND(C1112&gt;=in_BandFloor,C1112&lt;=in_BandCeiling,OR(in_Geography="National",COUNTIFS(lst_GeoPreset,in_Geography,lst_GeoState,B1112)&gt;0,AND(in_Geography="Custom",ISNUMBER(SEARCH(B1112,SUBSTITUTE(in_CustomStates," ",""))))),OR(AND(D1112="Endowment",Inputs!$B$14="Y"),AND(D1112="Foundation",Inputs!$B$15="Y"),AND(D1112="Healthcare",Inputs!$B$16="Y"),AND(D1112="Pension",Inputs!$B$17="Y"),AND(D1112="OCIO",Inputs!$B$18="Y"),AND(D1112="Other",Inputs!$B$19="Y")))),A1112&lt;&gt;in_ClientOrg,NOT(AND(in_ExclHarvard="Y",ISNUMBER(SEARCH("Harvard",A1112))))),$AD1112="Y",K1112&lt;&gt;"",S1112&gt;0),"Y","")</f>
        <v/>
      </c>
      <c r="V1112" s="30" t="n"/>
      <c r="W1112" t="inlineStr"/>
      <c r="X1112" s="28">
        <f>IF(L1112+M1112=0,"",L1112+M1112)</f>
        <v/>
      </c>
      <c r="Y1112" s="38">
        <f>IF(L1112=0,"",M1112/L1112)</f>
        <v/>
      </c>
      <c r="Z1112" t="inlineStr">
        <is>
          <t>Director &amp; Investment Officer</t>
        </is>
      </c>
      <c r="AA1112" t="inlineStr">
        <is>
          <t>Investments</t>
        </is>
      </c>
      <c r="AB1112" s="50" t="inlineStr"/>
      <c r="AC1112" s="43">
        <f>HYPERLINK("https://projects.propublica.org/nonprofits/organizations/208050779/202333199349109618/full","view filing")</f>
        <v/>
      </c>
      <c r="AD1112" s="50" t="inlineStr"/>
    </row>
    <row r="1113">
      <c r="A1113" t="inlineStr">
        <is>
          <t>The Grace And Mercy Foundation Inc</t>
        </is>
      </c>
      <c r="B1113" s="50" t="inlineStr">
        <is>
          <t>NY</t>
        </is>
      </c>
      <c r="C1113" s="52" t="n">
        <v>0.59</v>
      </c>
      <c r="D1113" t="inlineStr">
        <is>
          <t>Foundation</t>
        </is>
      </c>
      <c r="E1113" s="50" t="n">
        <v>2022</v>
      </c>
      <c r="F1113" s="50" t="inlineStr">
        <is>
          <t>2023-11-15</t>
        </is>
      </c>
      <c r="G1113" s="50" t="inlineStr">
        <is>
          <t>2022-12-31</t>
        </is>
      </c>
      <c r="H1113" t="inlineStr">
        <is>
          <t>Daiki Taniguchi</t>
        </is>
      </c>
      <c r="I1113" t="inlineStr">
        <is>
          <t>INVESTMENT OFFICER A</t>
        </is>
      </c>
      <c r="J1113" t="inlineStr">
        <is>
          <t>Investment Officer</t>
        </is>
      </c>
      <c r="K1113" t="inlineStr">
        <is>
          <t>Sr Investment Professional</t>
        </is>
      </c>
      <c r="L1113" s="28" t="n">
        <v>0</v>
      </c>
      <c r="M1113" s="28" t="n">
        <v>0</v>
      </c>
      <c r="N1113" s="28" t="n">
        <v>0</v>
      </c>
      <c r="O1113" s="28" t="n">
        <v>0</v>
      </c>
      <c r="P1113" s="28" t="n">
        <v>0</v>
      </c>
      <c r="Q1113" s="28" t="n">
        <v>539712</v>
      </c>
      <c r="R1113" s="28" t="n">
        <v>0</v>
      </c>
      <c r="S1113" s="28">
        <f>Q1113-R1113</f>
        <v/>
      </c>
      <c r="T1113" s="28">
        <f>IF(S1113="","",S1113*(1+in_GrowthRate)^(YEARFRAC(DATE(2022,12,31),in_AgeToDate)*IF(in_AgeToDate&lt;DATE(2022,12,31),-1,1)+1))</f>
        <v/>
      </c>
      <c r="U1113" s="50">
        <f>IF(AND(AND(OR(in_Mode="All Funds",AND(C1113&gt;=in_BandFloor,C1113&lt;=in_BandCeiling,OR(in_Geography="National",COUNTIFS(lst_GeoPreset,in_Geography,lst_GeoState,B1113)&gt;0,AND(in_Geography="Custom",ISNUMBER(SEARCH(B1113,SUBSTITUTE(in_CustomStates," ",""))))),OR(AND(D1113="Endowment",Inputs!$B$14="Y"),AND(D1113="Foundation",Inputs!$B$15="Y"),AND(D1113="Healthcare",Inputs!$B$16="Y"),AND(D1113="Pension",Inputs!$B$17="Y"),AND(D1113="OCIO",Inputs!$B$18="Y"),AND(D1113="Other",Inputs!$B$19="Y")))),A1113&lt;&gt;in_ClientOrg,NOT(AND(in_ExclHarvard="Y",ISNUMBER(SEARCH("Harvard",A1113))))),$AD1113="Y",K1113&lt;&gt;"",S1113&gt;0),"Y","")</f>
        <v/>
      </c>
      <c r="V1113" s="30" t="n"/>
      <c r="W1113" t="inlineStr"/>
      <c r="X1113" s="28">
        <f>IF(L1113+M1113=0,"",L1113+M1113)</f>
        <v/>
      </c>
      <c r="Y1113" s="38">
        <f>IF(L1113=0,"",M1113/L1113)</f>
        <v/>
      </c>
      <c r="Z1113" t="inlineStr">
        <is>
          <t>Director &amp; Investment Officer</t>
        </is>
      </c>
      <c r="AA1113" t="inlineStr">
        <is>
          <t>Investments</t>
        </is>
      </c>
      <c r="AB1113" s="50" t="inlineStr"/>
      <c r="AC1113" s="43">
        <f>HYPERLINK("https://projects.propublica.org/nonprofits/organizations/208050779/202333199349109618/full","view filing")</f>
        <v/>
      </c>
      <c r="AD1113" s="50" t="inlineStr"/>
    </row>
    <row r="1114">
      <c r="A1114" t="inlineStr">
        <is>
          <t>The Grace And Mercy Foundation Inc</t>
        </is>
      </c>
      <c r="B1114" s="50" t="inlineStr">
        <is>
          <t>NY</t>
        </is>
      </c>
      <c r="C1114" s="52" t="n">
        <v>0.59</v>
      </c>
      <c r="D1114" t="inlineStr">
        <is>
          <t>Foundation</t>
        </is>
      </c>
      <c r="E1114" s="50" t="n">
        <v>2022</v>
      </c>
      <c r="F1114" s="50" t="inlineStr">
        <is>
          <t>2023-11-15</t>
        </is>
      </c>
      <c r="G1114" s="50" t="inlineStr">
        <is>
          <t>2022-12-31</t>
        </is>
      </c>
      <c r="H1114" t="inlineStr">
        <is>
          <t>Hyunwoo Nam</t>
        </is>
      </c>
      <c r="I1114" t="inlineStr">
        <is>
          <t>INVESTMENT OFFICER</t>
        </is>
      </c>
      <c r="J1114" t="inlineStr">
        <is>
          <t>Investment Officer</t>
        </is>
      </c>
      <c r="K1114" t="inlineStr">
        <is>
          <t>Sr Investment Professional</t>
        </is>
      </c>
      <c r="L1114" s="28" t="n">
        <v>0</v>
      </c>
      <c r="M1114" s="28" t="n">
        <v>0</v>
      </c>
      <c r="N1114" s="28" t="n">
        <v>0</v>
      </c>
      <c r="O1114" s="28" t="n">
        <v>0</v>
      </c>
      <c r="P1114" s="28" t="n">
        <v>0</v>
      </c>
      <c r="Q1114" s="28" t="n">
        <v>798750</v>
      </c>
      <c r="R1114" s="28" t="n">
        <v>0</v>
      </c>
      <c r="S1114" s="28">
        <f>Q1114-R1114</f>
        <v/>
      </c>
      <c r="T1114" s="28">
        <f>IF(S1114="","",S1114*(1+in_GrowthRate)^(YEARFRAC(DATE(2022,12,31),in_AgeToDate)*IF(in_AgeToDate&lt;DATE(2022,12,31),-1,1)+1))</f>
        <v/>
      </c>
      <c r="U1114" s="50">
        <f>IF(AND(AND(OR(in_Mode="All Funds",AND(C1114&gt;=in_BandFloor,C1114&lt;=in_BandCeiling,OR(in_Geography="National",COUNTIFS(lst_GeoPreset,in_Geography,lst_GeoState,B1114)&gt;0,AND(in_Geography="Custom",ISNUMBER(SEARCH(B1114,SUBSTITUTE(in_CustomStates," ",""))))),OR(AND(D1114="Endowment",Inputs!$B$14="Y"),AND(D1114="Foundation",Inputs!$B$15="Y"),AND(D1114="Healthcare",Inputs!$B$16="Y"),AND(D1114="Pension",Inputs!$B$17="Y"),AND(D1114="OCIO",Inputs!$B$18="Y"),AND(D1114="Other",Inputs!$B$19="Y")))),A1114&lt;&gt;in_ClientOrg,NOT(AND(in_ExclHarvard="Y",ISNUMBER(SEARCH("Harvard",A1114))))),$AD1114="Y",K1114&lt;&gt;"",S1114&gt;0),"Y","")</f>
        <v/>
      </c>
      <c r="V1114" s="30" t="n"/>
      <c r="W1114" t="inlineStr"/>
      <c r="X1114" s="28">
        <f>IF(L1114+M1114=0,"",L1114+M1114)</f>
        <v/>
      </c>
      <c r="Y1114" s="38">
        <f>IF(L1114=0,"",M1114/L1114)</f>
        <v/>
      </c>
      <c r="Z1114" t="inlineStr">
        <is>
          <t>Director &amp; Investment Officer</t>
        </is>
      </c>
      <c r="AA1114" t="inlineStr">
        <is>
          <t>Investments</t>
        </is>
      </c>
      <c r="AB1114" s="50" t="inlineStr"/>
      <c r="AC1114" s="43">
        <f>HYPERLINK("https://projects.propublica.org/nonprofits/organizations/208050779/202333199349109618/full","view filing")</f>
        <v/>
      </c>
      <c r="AD1114" s="50" t="inlineStr"/>
    </row>
    <row r="1115">
      <c r="A1115" t="inlineStr">
        <is>
          <t>The Grace And Mercy Foundation Inc</t>
        </is>
      </c>
      <c r="B1115" s="50" t="inlineStr">
        <is>
          <t>NY</t>
        </is>
      </c>
      <c r="C1115" s="52" t="n">
        <v>0.59</v>
      </c>
      <c r="D1115" t="inlineStr">
        <is>
          <t>Foundation</t>
        </is>
      </c>
      <c r="E1115" s="50" t="n">
        <v>2022</v>
      </c>
      <c r="F1115" s="50" t="inlineStr">
        <is>
          <t>2023-11-15</t>
        </is>
      </c>
      <c r="G1115" s="50" t="inlineStr">
        <is>
          <t>2022-12-31</t>
        </is>
      </c>
      <c r="H1115" t="inlineStr">
        <is>
          <t>Su Lee</t>
        </is>
      </c>
      <c r="I1115" t="inlineStr">
        <is>
          <t>INVESTMENT OFFICER</t>
        </is>
      </c>
      <c r="J1115" t="inlineStr">
        <is>
          <t>Investment Officer</t>
        </is>
      </c>
      <c r="K1115" t="inlineStr">
        <is>
          <t>Sr Investment Professional</t>
        </is>
      </c>
      <c r="L1115" s="28" t="n">
        <v>0</v>
      </c>
      <c r="M1115" s="28" t="n">
        <v>0</v>
      </c>
      <c r="N1115" s="28" t="n">
        <v>0</v>
      </c>
      <c r="O1115" s="28" t="n">
        <v>0</v>
      </c>
      <c r="P1115" s="28" t="n">
        <v>0</v>
      </c>
      <c r="Q1115" s="28" t="n">
        <v>663073</v>
      </c>
      <c r="R1115" s="28" t="n">
        <v>0</v>
      </c>
      <c r="S1115" s="28">
        <f>Q1115-R1115</f>
        <v/>
      </c>
      <c r="T1115" s="28">
        <f>IF(S1115="","",S1115*(1+in_GrowthRate)^(YEARFRAC(DATE(2022,12,31),in_AgeToDate)*IF(in_AgeToDate&lt;DATE(2022,12,31),-1,1)+1))</f>
        <v/>
      </c>
      <c r="U1115" s="50">
        <f>IF(AND(AND(OR(in_Mode="All Funds",AND(C1115&gt;=in_BandFloor,C1115&lt;=in_BandCeiling,OR(in_Geography="National",COUNTIFS(lst_GeoPreset,in_Geography,lst_GeoState,B1115)&gt;0,AND(in_Geography="Custom",ISNUMBER(SEARCH(B1115,SUBSTITUTE(in_CustomStates," ",""))))),OR(AND(D1115="Endowment",Inputs!$B$14="Y"),AND(D1115="Foundation",Inputs!$B$15="Y"),AND(D1115="Healthcare",Inputs!$B$16="Y"),AND(D1115="Pension",Inputs!$B$17="Y"),AND(D1115="OCIO",Inputs!$B$18="Y"),AND(D1115="Other",Inputs!$B$19="Y")))),A1115&lt;&gt;in_ClientOrg,NOT(AND(in_ExclHarvard="Y",ISNUMBER(SEARCH("Harvard",A1115))))),$AD1115="Y",K1115&lt;&gt;"",S1115&gt;0),"Y","")</f>
        <v/>
      </c>
      <c r="V1115" s="30" t="n"/>
      <c r="W1115" t="inlineStr"/>
      <c r="X1115" s="28">
        <f>IF(L1115+M1115=0,"",L1115+M1115)</f>
        <v/>
      </c>
      <c r="Y1115" s="38">
        <f>IF(L1115=0,"",M1115/L1115)</f>
        <v/>
      </c>
      <c r="Z1115" t="inlineStr">
        <is>
          <t>Director &amp; Investment Officer</t>
        </is>
      </c>
      <c r="AA1115" t="inlineStr">
        <is>
          <t>Investments</t>
        </is>
      </c>
      <c r="AB1115" s="50" t="inlineStr"/>
      <c r="AC1115" s="43">
        <f>HYPERLINK("https://projects.propublica.org/nonprofits/organizations/208050779/202333199349109618/full","view filing")</f>
        <v/>
      </c>
      <c r="AD1115" s="50" t="inlineStr"/>
    </row>
    <row r="1116">
      <c r="A1116" t="inlineStr">
        <is>
          <t>The Heinz Endowments</t>
        </is>
      </c>
      <c r="B1116" s="50" t="inlineStr">
        <is>
          <t>PA</t>
        </is>
      </c>
      <c r="C1116" s="52" t="n">
        <v>0.8</v>
      </c>
      <c r="D1116" t="inlineStr">
        <is>
          <t>Foundation</t>
        </is>
      </c>
      <c r="E1116" s="50" t="n">
        <v>2024</v>
      </c>
      <c r="F1116" s="50" t="inlineStr">
        <is>
          <t>2025-11-12</t>
        </is>
      </c>
      <c r="G1116" s="50" t="inlineStr">
        <is>
          <t>2024-12-31</t>
        </is>
      </c>
      <c r="H1116" t="inlineStr">
        <is>
          <t>Edward F Kolano</t>
        </is>
      </c>
      <c r="I1116" t="inlineStr">
        <is>
          <t>VICE PRESIDENT</t>
        </is>
      </c>
      <c r="J1116" t="inlineStr">
        <is>
          <t>CIO</t>
        </is>
      </c>
      <c r="K1116" t="inlineStr">
        <is>
          <t>CIO - Top Investment Executive</t>
        </is>
      </c>
      <c r="L1116" s="28" t="n">
        <v>0</v>
      </c>
      <c r="M1116" s="28" t="n">
        <v>0</v>
      </c>
      <c r="N1116" s="28" t="n">
        <v>0</v>
      </c>
      <c r="O1116" s="28" t="n">
        <v>0</v>
      </c>
      <c r="P1116" s="28" t="n">
        <v>111790</v>
      </c>
      <c r="Q1116" s="28" t="n">
        <v>671048</v>
      </c>
      <c r="R1116" s="28" t="n">
        <v>0</v>
      </c>
      <c r="S1116" s="28">
        <f>Q1116-R1116</f>
        <v/>
      </c>
      <c r="T1116" s="28">
        <f>IF(S1116="","",S1116*(1+in_GrowthRate)^(YEARFRAC(DATE(2024,12,31),in_AgeToDate)*IF(in_AgeToDate&lt;DATE(2024,12,31),-1,1)+1))</f>
        <v/>
      </c>
      <c r="U1116" s="50">
        <f>IF(AND(AND(OR(in_Mode="All Funds",AND(C1116&gt;=in_BandFloor,C1116&lt;=in_BandCeiling,OR(in_Geography="National",COUNTIFS(lst_GeoPreset,in_Geography,lst_GeoState,B1116)&gt;0,AND(in_Geography="Custom",ISNUMBER(SEARCH(B1116,SUBSTITUTE(in_CustomStates," ",""))))),OR(AND(D1116="Endowment",Inputs!$B$14="Y"),AND(D1116="Foundation",Inputs!$B$15="Y"),AND(D1116="Healthcare",Inputs!$B$16="Y"),AND(D1116="Pension",Inputs!$B$17="Y"),AND(D1116="OCIO",Inputs!$B$18="Y"),AND(D1116="Other",Inputs!$B$19="Y")))),A1116&lt;&gt;in_ClientOrg,NOT(AND(in_ExclHarvard="Y",ISNUMBER(SEARCH("Harvard",A1116))))),$AD1116="Y",K1116&lt;&gt;"",S1116&gt;0),"Y","")</f>
        <v/>
      </c>
      <c r="V1116" s="30" t="n">
        <v>1</v>
      </c>
      <c r="W1116" t="inlineStr"/>
      <c r="X1116" s="28">
        <f>IF(L1116+M1116=0,"",L1116+M1116)</f>
        <v/>
      </c>
      <c r="Y1116" s="38">
        <f>IF(L1116=0,"",M1116/L1116)</f>
        <v/>
      </c>
      <c r="Z1116" t="inlineStr">
        <is>
          <t>CIO - Top Investment Executive</t>
        </is>
      </c>
      <c r="AA1116" t="inlineStr">
        <is>
          <t>Leadership</t>
        </is>
      </c>
      <c r="AB1116" s="50" t="inlineStr">
        <is>
          <t>Y</t>
        </is>
      </c>
      <c r="AC1116" s="43">
        <f>HYPERLINK("https://projects.propublica.org/nonprofits/organizations/251721100/202543169349102224/full","view filing")</f>
        <v/>
      </c>
      <c r="AD1116" s="50" t="inlineStr">
        <is>
          <t>Y</t>
        </is>
      </c>
    </row>
    <row r="1117">
      <c r="A1117" t="inlineStr">
        <is>
          <t>The Heinz Endowments</t>
        </is>
      </c>
      <c r="B1117" s="50" t="inlineStr">
        <is>
          <t>PA</t>
        </is>
      </c>
      <c r="C1117" s="52" t="n">
        <v>0.8</v>
      </c>
      <c r="D1117" t="inlineStr">
        <is>
          <t>Foundation</t>
        </is>
      </c>
      <c r="E1117" s="50" t="n">
        <v>2023</v>
      </c>
      <c r="F1117" s="50" t="inlineStr">
        <is>
          <t>2024-11-14</t>
        </is>
      </c>
      <c r="G1117" s="50" t="inlineStr">
        <is>
          <t>2023-12-31</t>
        </is>
      </c>
      <c r="H1117" t="inlineStr">
        <is>
          <t>Edward Kolano</t>
        </is>
      </c>
      <c r="I1117" t="inlineStr">
        <is>
          <t>VICE PRESIDENT</t>
        </is>
      </c>
      <c r="J1117" t="inlineStr">
        <is>
          <t>CIO</t>
        </is>
      </c>
      <c r="K1117" t="inlineStr">
        <is>
          <t>CIO - Top Investment Executive</t>
        </is>
      </c>
      <c r="L1117" s="28" t="n">
        <v>0</v>
      </c>
      <c r="M1117" s="28" t="n">
        <v>0</v>
      </c>
      <c r="N1117" s="28" t="n">
        <v>0</v>
      </c>
      <c r="O1117" s="28" t="n">
        <v>0</v>
      </c>
      <c r="P1117" s="28" t="n">
        <v>106064</v>
      </c>
      <c r="Q1117" s="28" t="n">
        <v>658611</v>
      </c>
      <c r="R1117" s="28" t="n">
        <v>0</v>
      </c>
      <c r="S1117" s="28">
        <f>Q1117-R1117</f>
        <v/>
      </c>
      <c r="T1117" s="28">
        <f>IF(S1117="","",S1117*(1+in_GrowthRate)^(YEARFRAC(DATE(2023,12,31),in_AgeToDate)*IF(in_AgeToDate&lt;DATE(2023,12,31),-1,1)+1))</f>
        <v/>
      </c>
      <c r="U1117" s="50">
        <f>IF(AND(AND(OR(in_Mode="All Funds",AND(C1117&gt;=in_BandFloor,C1117&lt;=in_BandCeiling,OR(in_Geography="National",COUNTIFS(lst_GeoPreset,in_Geography,lst_GeoState,B1117)&gt;0,AND(in_Geography="Custom",ISNUMBER(SEARCH(B1117,SUBSTITUTE(in_CustomStates," ",""))))),OR(AND(D1117="Endowment",Inputs!$B$14="Y"),AND(D1117="Foundation",Inputs!$B$15="Y"),AND(D1117="Healthcare",Inputs!$B$16="Y"),AND(D1117="Pension",Inputs!$B$17="Y"),AND(D1117="OCIO",Inputs!$B$18="Y"),AND(D1117="Other",Inputs!$B$19="Y")))),A1117&lt;&gt;in_ClientOrg,NOT(AND(in_ExclHarvard="Y",ISNUMBER(SEARCH("Harvard",A1117))))),$AD1117="Y",K1117&lt;&gt;"",S1117&gt;0),"Y","")</f>
        <v/>
      </c>
      <c r="V1117" s="30" t="n">
        <v>1</v>
      </c>
      <c r="W1117" t="inlineStr"/>
      <c r="X1117" s="28">
        <f>IF(L1117+M1117=0,"",L1117+M1117)</f>
        <v/>
      </c>
      <c r="Y1117" s="38">
        <f>IF(L1117=0,"",M1117/L1117)</f>
        <v/>
      </c>
      <c r="Z1117" t="inlineStr">
        <is>
          <t>CIO - Top Investment Executive</t>
        </is>
      </c>
      <c r="AA1117" t="inlineStr">
        <is>
          <t>Leadership</t>
        </is>
      </c>
      <c r="AB1117" s="50" t="inlineStr">
        <is>
          <t>Y</t>
        </is>
      </c>
      <c r="AC1117" s="43">
        <f>HYPERLINK("https://projects.propublica.org/nonprofits/organizations/251721100/202433199349103253/full","view filing")</f>
        <v/>
      </c>
      <c r="AD1117" s="50" t="inlineStr"/>
    </row>
    <row r="1118">
      <c r="A1118" t="inlineStr">
        <is>
          <t>The Heinz Endowments</t>
        </is>
      </c>
      <c r="B1118" s="50" t="inlineStr">
        <is>
          <t>PA</t>
        </is>
      </c>
      <c r="C1118" s="52" t="n">
        <v>0.8</v>
      </c>
      <c r="D1118" t="inlineStr">
        <is>
          <t>Foundation</t>
        </is>
      </c>
      <c r="E1118" s="50" t="n">
        <v>2022</v>
      </c>
      <c r="F1118" s="50" t="inlineStr">
        <is>
          <t>2023-11-15</t>
        </is>
      </c>
      <c r="G1118" s="50" t="inlineStr">
        <is>
          <t>2022-12-31</t>
        </is>
      </c>
      <c r="H1118" t="inlineStr">
        <is>
          <t>Edward Kolano</t>
        </is>
      </c>
      <c r="I1118" t="inlineStr">
        <is>
          <t>VICE PRESIDENT</t>
        </is>
      </c>
      <c r="J1118" t="inlineStr">
        <is>
          <t>CIO</t>
        </is>
      </c>
      <c r="K1118" t="inlineStr">
        <is>
          <t>CIO - Top Investment Executive</t>
        </is>
      </c>
      <c r="L1118" s="28" t="n">
        <v>0</v>
      </c>
      <c r="M1118" s="28" t="n">
        <v>0</v>
      </c>
      <c r="N1118" s="28" t="n">
        <v>0</v>
      </c>
      <c r="O1118" s="28" t="n">
        <v>0</v>
      </c>
      <c r="P1118" s="28" t="n">
        <v>98366</v>
      </c>
      <c r="Q1118" s="28" t="n">
        <v>603102</v>
      </c>
      <c r="R1118" s="28" t="n">
        <v>0</v>
      </c>
      <c r="S1118" s="28">
        <f>Q1118-R1118</f>
        <v/>
      </c>
      <c r="T1118" s="28">
        <f>IF(S1118="","",S1118*(1+in_GrowthRate)^(YEARFRAC(DATE(2022,12,31),in_AgeToDate)*IF(in_AgeToDate&lt;DATE(2022,12,31),-1,1)+1))</f>
        <v/>
      </c>
      <c r="U1118" s="50">
        <f>IF(AND(AND(OR(in_Mode="All Funds",AND(C1118&gt;=in_BandFloor,C1118&lt;=in_BandCeiling,OR(in_Geography="National",COUNTIFS(lst_GeoPreset,in_Geography,lst_GeoState,B1118)&gt;0,AND(in_Geography="Custom",ISNUMBER(SEARCH(B1118,SUBSTITUTE(in_CustomStates," ",""))))),OR(AND(D1118="Endowment",Inputs!$B$14="Y"),AND(D1118="Foundation",Inputs!$B$15="Y"),AND(D1118="Healthcare",Inputs!$B$16="Y"),AND(D1118="Pension",Inputs!$B$17="Y"),AND(D1118="OCIO",Inputs!$B$18="Y"),AND(D1118="Other",Inputs!$B$19="Y")))),A1118&lt;&gt;in_ClientOrg,NOT(AND(in_ExclHarvard="Y",ISNUMBER(SEARCH("Harvard",A1118))))),$AD1118="Y",K1118&lt;&gt;"",S1118&gt;0),"Y","")</f>
        <v/>
      </c>
      <c r="V1118" s="30" t="n">
        <v>1</v>
      </c>
      <c r="W1118" t="inlineStr"/>
      <c r="X1118" s="28">
        <f>IF(L1118+M1118=0,"",L1118+M1118)</f>
        <v/>
      </c>
      <c r="Y1118" s="38">
        <f>IF(L1118=0,"",M1118/L1118)</f>
        <v/>
      </c>
      <c r="Z1118" t="inlineStr">
        <is>
          <t>CIO - Top Investment Executive</t>
        </is>
      </c>
      <c r="AA1118" t="inlineStr">
        <is>
          <t>Leadership</t>
        </is>
      </c>
      <c r="AB1118" s="50" t="inlineStr">
        <is>
          <t>Y</t>
        </is>
      </c>
      <c r="AC1118" s="43">
        <f>HYPERLINK("https://projects.propublica.org/nonprofits/organizations/251721100/202343199349102629/full","view filing")</f>
        <v/>
      </c>
      <c r="AD1118" s="50" t="inlineStr"/>
    </row>
    <row r="1119">
      <c r="A1119" t="inlineStr">
        <is>
          <t>The Metropolitan Museum Of Art</t>
        </is>
      </c>
      <c r="B1119" s="50" t="inlineStr">
        <is>
          <t>NY</t>
        </is>
      </c>
      <c r="C1119" s="52" t="n">
        <v>5.63</v>
      </c>
      <c r="D1119" t="inlineStr">
        <is>
          <t>Other</t>
        </is>
      </c>
      <c r="E1119" s="50" t="n">
        <v>2025</v>
      </c>
      <c r="F1119" s="50" t="inlineStr">
        <is>
          <t>2026-02-13</t>
        </is>
      </c>
      <c r="G1119" s="50" t="inlineStr">
        <is>
          <t>2025-06-30</t>
        </is>
      </c>
      <c r="H1119" t="inlineStr">
        <is>
          <t>Kenly Voght</t>
        </is>
      </c>
      <c r="I1119" t="inlineStr">
        <is>
          <t>SENIOR INVESTMENT OFFICER</t>
        </is>
      </c>
      <c r="J1119" t="inlineStr">
        <is>
          <t>Senior Investment Officer</t>
        </is>
      </c>
      <c r="K1119" t="inlineStr">
        <is>
          <t>Sr Investment Professional</t>
        </is>
      </c>
      <c r="L1119" s="28" t="n">
        <v>488216</v>
      </c>
      <c r="M1119" s="28" t="n">
        <v>600000</v>
      </c>
      <c r="N1119" s="28" t="n">
        <v>881</v>
      </c>
      <c r="O1119" s="28" t="n">
        <v>37950</v>
      </c>
      <c r="P1119" s="28" t="n">
        <v>28681</v>
      </c>
      <c r="Q1119" s="28" t="n">
        <v>1155728</v>
      </c>
      <c r="R1119" s="28" t="n">
        <v>0</v>
      </c>
      <c r="S1119" s="28">
        <f>Q1119-R1119</f>
        <v/>
      </c>
      <c r="T1119" s="28">
        <f>IF(S1119="","",S1119*(1+in_GrowthRate)^(YEARFRAC(DATE(2025,6,30),in_AgeToDate)*IF(in_AgeToDate&lt;DATE(2025,6,30),-1,1)+1))</f>
        <v/>
      </c>
      <c r="U1119" s="50">
        <f>IF(AND(AND(OR(in_Mode="All Funds",AND(C1119&gt;=in_BandFloor,C1119&lt;=in_BandCeiling,OR(in_Geography="National",COUNTIFS(lst_GeoPreset,in_Geography,lst_GeoState,B1119)&gt;0,AND(in_Geography="Custom",ISNUMBER(SEARCH(B1119,SUBSTITUTE(in_CustomStates," ",""))))),OR(AND(D1119="Endowment",Inputs!$B$14="Y"),AND(D1119="Foundation",Inputs!$B$15="Y"),AND(D1119="Healthcare",Inputs!$B$16="Y"),AND(D1119="Pension",Inputs!$B$17="Y"),AND(D1119="OCIO",Inputs!$B$18="Y"),AND(D1119="Other",Inputs!$B$19="Y")))),A1119&lt;&gt;in_ClientOrg,NOT(AND(in_ExclHarvard="Y",ISNUMBER(SEARCH("Harvard",A1119))))),$AD1119="Y",K1119&lt;&gt;"",S1119&gt;0),"Y","")</f>
        <v/>
      </c>
      <c r="V1119" s="30" t="n">
        <v>0.6622813627640365</v>
      </c>
      <c r="W1119" t="inlineStr"/>
      <c r="X1119" s="28">
        <f>IF(L1119+M1119=0,"",L1119+M1119)</f>
        <v/>
      </c>
      <c r="Y1119" s="38">
        <f>IF(L1119=0,"",M1119/L1119)</f>
        <v/>
      </c>
      <c r="Z1119" t="inlineStr">
        <is>
          <t>Director &amp; Investment Officer</t>
        </is>
      </c>
      <c r="AA1119" t="inlineStr">
        <is>
          <t>Investments</t>
        </is>
      </c>
      <c r="AB1119" s="50" t="inlineStr"/>
      <c r="AC1119" s="43">
        <f>HYPERLINK("https://projects.propublica.org/nonprofits/organizations/131624086/202600449349301510/full","view filing")</f>
        <v/>
      </c>
      <c r="AD1119" s="50" t="inlineStr">
        <is>
          <t>Y</t>
        </is>
      </c>
    </row>
    <row r="1120">
      <c r="A1120" t="inlineStr">
        <is>
          <t>The Metropolitan Museum Of Art</t>
        </is>
      </c>
      <c r="B1120" s="50" t="inlineStr">
        <is>
          <t>NY</t>
        </is>
      </c>
      <c r="C1120" s="52" t="n">
        <v>5.63</v>
      </c>
      <c r="D1120" t="inlineStr">
        <is>
          <t>Other</t>
        </is>
      </c>
      <c r="E1120" s="50" t="n">
        <v>2025</v>
      </c>
      <c r="F1120" s="50" t="inlineStr">
        <is>
          <t>2026-02-13</t>
        </is>
      </c>
      <c r="G1120" s="50" t="inlineStr">
        <is>
          <t>2025-06-30</t>
        </is>
      </c>
      <c r="H1120" t="inlineStr">
        <is>
          <t>Lauren A Meserve</t>
        </is>
      </c>
      <c r="I1120" t="inlineStr">
        <is>
          <t>SVP &amp; CHIEF INVESTMENT OFFICER</t>
        </is>
      </c>
      <c r="J1120" t="inlineStr">
        <is>
          <t>CIO</t>
        </is>
      </c>
      <c r="K1120" t="inlineStr">
        <is>
          <t>CIO - Top Investment Executive</t>
        </is>
      </c>
      <c r="L1120" s="28" t="n">
        <v>735037</v>
      </c>
      <c r="M1120" s="28" t="n">
        <v>908770</v>
      </c>
      <c r="N1120" s="28" t="n">
        <v>2622</v>
      </c>
      <c r="O1120" s="28" t="n">
        <v>521543</v>
      </c>
      <c r="P1120" s="28" t="n">
        <v>12331</v>
      </c>
      <c r="Q1120" s="28" t="n">
        <v>2180303</v>
      </c>
      <c r="R1120" s="28" t="n">
        <v>435232</v>
      </c>
      <c r="S1120" s="28">
        <f>Q1120-R1120</f>
        <v/>
      </c>
      <c r="T1120" s="28">
        <f>IF(S1120="","",S1120*(1+in_GrowthRate)^(YEARFRAC(DATE(2025,6,30),in_AgeToDate)*IF(in_AgeToDate&lt;DATE(2025,6,30),-1,1)+1))</f>
        <v/>
      </c>
      <c r="U1120" s="50">
        <f>IF(AND(AND(OR(in_Mode="All Funds",AND(C1120&gt;=in_BandFloor,C1120&lt;=in_BandCeiling,OR(in_Geography="National",COUNTIFS(lst_GeoPreset,in_Geography,lst_GeoState,B1120)&gt;0,AND(in_Geography="Custom",ISNUMBER(SEARCH(B1120,SUBSTITUTE(in_CustomStates," ",""))))),OR(AND(D1120="Endowment",Inputs!$B$14="Y"),AND(D1120="Foundation",Inputs!$B$15="Y"),AND(D1120="Healthcare",Inputs!$B$16="Y"),AND(D1120="Pension",Inputs!$B$17="Y"),AND(D1120="OCIO",Inputs!$B$18="Y"),AND(D1120="Other",Inputs!$B$19="Y")))),A1120&lt;&gt;in_ClientOrg,NOT(AND(in_ExclHarvard="Y",ISNUMBER(SEARCH("Harvard",A1120))))),$AD1120="Y",K1120&lt;&gt;"",S1120&gt;0),"Y","")</f>
        <v/>
      </c>
      <c r="V1120" s="30" t="n">
        <v>1</v>
      </c>
      <c r="W1120" t="inlineStr"/>
      <c r="X1120" s="28">
        <f>IF(L1120+M1120=0,"",L1120+M1120)</f>
        <v/>
      </c>
      <c r="Y1120" s="38">
        <f>IF(L1120=0,"",M1120/L1120)</f>
        <v/>
      </c>
      <c r="Z1120" t="inlineStr">
        <is>
          <t>CIO - Top Investment Executive</t>
        </is>
      </c>
      <c r="AA1120" t="inlineStr">
        <is>
          <t>Leadership</t>
        </is>
      </c>
      <c r="AB1120" s="50" t="inlineStr">
        <is>
          <t>Y</t>
        </is>
      </c>
      <c r="AC1120" s="43">
        <f>HYPERLINK("https://projects.propublica.org/nonprofits/organizations/131624086/202600449349301510/full","view filing")</f>
        <v/>
      </c>
      <c r="AD1120" s="50" t="inlineStr">
        <is>
          <t>Y</t>
        </is>
      </c>
    </row>
    <row r="1121">
      <c r="A1121" t="inlineStr">
        <is>
          <t>The Metropolitan Museum Of Art</t>
        </is>
      </c>
      <c r="B1121" s="50" t="inlineStr">
        <is>
          <t>NY</t>
        </is>
      </c>
      <c r="C1121" s="52" t="n">
        <v>5.63</v>
      </c>
      <c r="D1121" t="inlineStr">
        <is>
          <t>Other</t>
        </is>
      </c>
      <c r="E1121" s="50" t="n">
        <v>2025</v>
      </c>
      <c r="F1121" s="50" t="inlineStr">
        <is>
          <t>2026-02-13</t>
        </is>
      </c>
      <c r="G1121" s="50" t="inlineStr">
        <is>
          <t>2025-06-30</t>
        </is>
      </c>
      <c r="H1121" t="inlineStr">
        <is>
          <t>Lawrence Choi</t>
        </is>
      </c>
      <c r="I1121" t="inlineStr">
        <is>
          <t>SENIOR INVESTMENT OFFICER</t>
        </is>
      </c>
      <c r="J1121" t="inlineStr">
        <is>
          <t>Senior Investment Officer</t>
        </is>
      </c>
      <c r="K1121" t="inlineStr">
        <is>
          <t>Sr Investment Professional</t>
        </is>
      </c>
      <c r="L1121" s="28" t="n">
        <v>496476</v>
      </c>
      <c r="M1121" s="28" t="n">
        <v>417706</v>
      </c>
      <c r="N1121" s="28" t="n">
        <v>1026</v>
      </c>
      <c r="O1121" s="28" t="n">
        <v>289903</v>
      </c>
      <c r="P1121" s="28" t="n">
        <v>29297</v>
      </c>
      <c r="Q1121" s="28" t="n">
        <v>1234408</v>
      </c>
      <c r="R1121" s="28" t="n">
        <v>165506</v>
      </c>
      <c r="S1121" s="28">
        <f>Q1121-R1121</f>
        <v/>
      </c>
      <c r="T1121" s="28">
        <f>IF(S1121="","",S1121*(1+in_GrowthRate)^(YEARFRAC(DATE(2025,6,30),in_AgeToDate)*IF(in_AgeToDate&lt;DATE(2025,6,30),-1,1)+1))</f>
        <v/>
      </c>
      <c r="U1121" s="50">
        <f>IF(AND(AND(OR(in_Mode="All Funds",AND(C1121&gt;=in_BandFloor,C1121&lt;=in_BandCeiling,OR(in_Geography="National",COUNTIFS(lst_GeoPreset,in_Geography,lst_GeoState,B1121)&gt;0,AND(in_Geography="Custom",ISNUMBER(SEARCH(B1121,SUBSTITUTE(in_CustomStates," ",""))))),OR(AND(D1121="Endowment",Inputs!$B$14="Y"),AND(D1121="Foundation",Inputs!$B$15="Y"),AND(D1121="Healthcare",Inputs!$B$16="Y"),AND(D1121="Pension",Inputs!$B$17="Y"),AND(D1121="OCIO",Inputs!$B$18="Y"),AND(D1121="Other",Inputs!$B$19="Y")))),A1121&lt;&gt;in_ClientOrg,NOT(AND(in_ExclHarvard="Y",ISNUMBER(SEARCH("Harvard",A1121))))),$AD1121="Y",K1121&lt;&gt;"",S1121&gt;0),"Y","")</f>
        <v/>
      </c>
      <c r="V1121" s="30" t="n">
        <v>0.6125263671220255</v>
      </c>
      <c r="W1121" t="inlineStr"/>
      <c r="X1121" s="28">
        <f>IF(L1121+M1121=0,"",L1121+M1121)</f>
        <v/>
      </c>
      <c r="Y1121" s="38">
        <f>IF(L1121=0,"",M1121/L1121)</f>
        <v/>
      </c>
      <c r="Z1121" t="inlineStr">
        <is>
          <t>Director &amp; Investment Officer</t>
        </is>
      </c>
      <c r="AA1121" t="inlineStr">
        <is>
          <t>Investments</t>
        </is>
      </c>
      <c r="AB1121" s="50" t="inlineStr"/>
      <c r="AC1121" s="43">
        <f>HYPERLINK("https://projects.propublica.org/nonprofits/organizations/131624086/202600449349301510/full","view filing")</f>
        <v/>
      </c>
      <c r="AD1121" s="50" t="inlineStr">
        <is>
          <t>Y</t>
        </is>
      </c>
    </row>
    <row r="1122">
      <c r="A1122" t="inlineStr">
        <is>
          <t>The Metropolitan Museum Of Art</t>
        </is>
      </c>
      <c r="B1122" s="50" t="inlineStr">
        <is>
          <t>NY</t>
        </is>
      </c>
      <c r="C1122" s="52" t="n">
        <v>5.63</v>
      </c>
      <c r="D1122" t="inlineStr">
        <is>
          <t>Other</t>
        </is>
      </c>
      <c r="E1122" s="50" t="n">
        <v>2024</v>
      </c>
      <c r="F1122" s="50" t="inlineStr">
        <is>
          <t>2025-02-18</t>
        </is>
      </c>
      <c r="G1122" s="50" t="inlineStr">
        <is>
          <t>2024-06-30</t>
        </is>
      </c>
      <c r="H1122" t="inlineStr">
        <is>
          <t>Lauren A Meserve</t>
        </is>
      </c>
      <c r="I1122" t="inlineStr">
        <is>
          <t>SVP &amp; CHIEF INVESTMENT OFFICER</t>
        </is>
      </c>
      <c r="J1122" t="inlineStr">
        <is>
          <t>CIO</t>
        </is>
      </c>
      <c r="K1122" t="inlineStr">
        <is>
          <t>CIO - Top Investment Executive</t>
        </is>
      </c>
      <c r="L1122" s="28" t="n">
        <v>710204</v>
      </c>
      <c r="M1122" s="28" t="n">
        <v>788769</v>
      </c>
      <c r="N1122" s="28" t="n">
        <v>2622</v>
      </c>
      <c r="O1122" s="28" t="n">
        <v>483882</v>
      </c>
      <c r="P1122" s="28" t="n">
        <v>11079</v>
      </c>
      <c r="Q1122" s="28" t="n">
        <v>1996556</v>
      </c>
      <c r="R1122" s="28" t="n">
        <v>350956</v>
      </c>
      <c r="S1122" s="28">
        <f>Q1122-R1122</f>
        <v/>
      </c>
      <c r="T1122" s="28">
        <f>IF(S1122="","",S1122*(1+in_GrowthRate)^(YEARFRAC(DATE(2024,6,30),in_AgeToDate)*IF(in_AgeToDate&lt;DATE(2024,6,30),-1,1)+1))</f>
        <v/>
      </c>
      <c r="U1122" s="50">
        <f>IF(AND(AND(OR(in_Mode="All Funds",AND(C1122&gt;=in_BandFloor,C1122&lt;=in_BandCeiling,OR(in_Geography="National",COUNTIFS(lst_GeoPreset,in_Geography,lst_GeoState,B1122)&gt;0,AND(in_Geography="Custom",ISNUMBER(SEARCH(B1122,SUBSTITUTE(in_CustomStates," ",""))))),OR(AND(D1122="Endowment",Inputs!$B$14="Y"),AND(D1122="Foundation",Inputs!$B$15="Y"),AND(D1122="Healthcare",Inputs!$B$16="Y"),AND(D1122="Pension",Inputs!$B$17="Y"),AND(D1122="OCIO",Inputs!$B$18="Y"),AND(D1122="Other",Inputs!$B$19="Y")))),A1122&lt;&gt;in_ClientOrg,NOT(AND(in_ExclHarvard="Y",ISNUMBER(SEARCH("Harvard",A1122))))),$AD1122="Y",K1122&lt;&gt;"",S1122&gt;0),"Y","")</f>
        <v/>
      </c>
      <c r="V1122" s="30" t="n">
        <v>1</v>
      </c>
      <c r="W1122" t="inlineStr"/>
      <c r="X1122" s="28">
        <f>IF(L1122+M1122=0,"",L1122+M1122)</f>
        <v/>
      </c>
      <c r="Y1122" s="38">
        <f>IF(L1122=0,"",M1122/L1122)</f>
        <v/>
      </c>
      <c r="Z1122" t="inlineStr">
        <is>
          <t>CIO - Top Investment Executive</t>
        </is>
      </c>
      <c r="AA1122" t="inlineStr">
        <is>
          <t>Leadership</t>
        </is>
      </c>
      <c r="AB1122" s="50" t="inlineStr">
        <is>
          <t>Y</t>
        </is>
      </c>
      <c r="AC1122" s="43">
        <f>HYPERLINK("https://projects.propublica.org/nonprofits/organizations/131624086/202510499349301586/full","view filing")</f>
        <v/>
      </c>
      <c r="AD1122" s="50" t="inlineStr"/>
    </row>
    <row r="1123">
      <c r="A1123" t="inlineStr">
        <is>
          <t>The Metropolitan Museum Of Art</t>
        </is>
      </c>
      <c r="B1123" s="50" t="inlineStr">
        <is>
          <t>NY</t>
        </is>
      </c>
      <c r="C1123" s="52" t="n">
        <v>5.63</v>
      </c>
      <c r="D1123" t="inlineStr">
        <is>
          <t>Other</t>
        </is>
      </c>
      <c r="E1123" s="50" t="n">
        <v>2024</v>
      </c>
      <c r="F1123" s="50" t="inlineStr">
        <is>
          <t>2025-02-18</t>
        </is>
      </c>
      <c r="G1123" s="50" t="inlineStr">
        <is>
          <t>2024-06-30</t>
        </is>
      </c>
      <c r="H1123" t="inlineStr">
        <is>
          <t>Lawrence Choi</t>
        </is>
      </c>
      <c r="I1123" t="inlineStr">
        <is>
          <t>Senior Investment Officer</t>
        </is>
      </c>
      <c r="J1123" t="inlineStr">
        <is>
          <t>Senior Investment Officer</t>
        </is>
      </c>
      <c r="K1123" t="inlineStr">
        <is>
          <t>Sr Investment Professional</t>
        </is>
      </c>
      <c r="L1123" s="28" t="n">
        <v>476739</v>
      </c>
      <c r="M1123" s="28" t="n">
        <v>304016</v>
      </c>
      <c r="N1123" s="28" t="n">
        <v>891</v>
      </c>
      <c r="O1123" s="28" t="n">
        <v>339515</v>
      </c>
      <c r="P1123" s="28" t="n">
        <v>25626</v>
      </c>
      <c r="Q1123" s="28" t="n">
        <v>1146787</v>
      </c>
      <c r="R1123" s="28" t="n">
        <v>0</v>
      </c>
      <c r="S1123" s="28">
        <f>Q1123-R1123</f>
        <v/>
      </c>
      <c r="T1123" s="28">
        <f>IF(S1123="","",S1123*(1+in_GrowthRate)^(YEARFRAC(DATE(2024,6,30),in_AgeToDate)*IF(in_AgeToDate&lt;DATE(2024,6,30),-1,1)+1))</f>
        <v/>
      </c>
      <c r="U1123" s="50">
        <f>IF(AND(AND(OR(in_Mode="All Funds",AND(C1123&gt;=in_BandFloor,C1123&lt;=in_BandCeiling,OR(in_Geography="National",COUNTIFS(lst_GeoPreset,in_Geography,lst_GeoState,B1123)&gt;0,AND(in_Geography="Custom",ISNUMBER(SEARCH(B1123,SUBSTITUTE(in_CustomStates," ",""))))),OR(AND(D1123="Endowment",Inputs!$B$14="Y"),AND(D1123="Foundation",Inputs!$B$15="Y"),AND(D1123="Healthcare",Inputs!$B$16="Y"),AND(D1123="Pension",Inputs!$B$17="Y"),AND(D1123="OCIO",Inputs!$B$18="Y"),AND(D1123="Other",Inputs!$B$19="Y")))),A1123&lt;&gt;in_ClientOrg,NOT(AND(in_ExclHarvard="Y",ISNUMBER(SEARCH("Harvard",A1123))))),$AD1123="Y",K1123&lt;&gt;"",S1123&gt;0),"Y","")</f>
        <v/>
      </c>
      <c r="V1123" s="30" t="n">
        <v>0.6968807729703451</v>
      </c>
      <c r="W1123" t="inlineStr"/>
      <c r="X1123" s="28">
        <f>IF(L1123+M1123=0,"",L1123+M1123)</f>
        <v/>
      </c>
      <c r="Y1123" s="38">
        <f>IF(L1123=0,"",M1123/L1123)</f>
        <v/>
      </c>
      <c r="Z1123" t="inlineStr">
        <is>
          <t>Director &amp; Investment Officer</t>
        </is>
      </c>
      <c r="AA1123" t="inlineStr">
        <is>
          <t>Investments</t>
        </is>
      </c>
      <c r="AB1123" s="50" t="inlineStr"/>
      <c r="AC1123" s="43">
        <f>HYPERLINK("https://projects.propublica.org/nonprofits/organizations/131624086/202510499349301586/full","view filing")</f>
        <v/>
      </c>
      <c r="AD1123" s="50" t="inlineStr"/>
    </row>
    <row r="1124">
      <c r="A1124" t="inlineStr">
        <is>
          <t>The Metropolitan Museum Of Art</t>
        </is>
      </c>
      <c r="B1124" s="50" t="inlineStr">
        <is>
          <t>NY</t>
        </is>
      </c>
      <c r="C1124" s="52" t="n">
        <v>5.63</v>
      </c>
      <c r="D1124" t="inlineStr">
        <is>
          <t>Other</t>
        </is>
      </c>
      <c r="E1124" s="50" t="n">
        <v>2023</v>
      </c>
      <c r="F1124" s="50" t="inlineStr">
        <is>
          <t>2024-05-13</t>
        </is>
      </c>
      <c r="G1124" s="50" t="inlineStr">
        <is>
          <t>2023-06-30</t>
        </is>
      </c>
      <c r="H1124" t="inlineStr">
        <is>
          <t>Lauren A Meserve</t>
        </is>
      </c>
      <c r="I1124" t="inlineStr">
        <is>
          <t>SVP &amp; CHIEF INVESTMENT OFFICER</t>
        </is>
      </c>
      <c r="J1124" t="inlineStr">
        <is>
          <t>CIO</t>
        </is>
      </c>
      <c r="K1124" t="inlineStr">
        <is>
          <t>CIO - Top Investment Executive</t>
        </is>
      </c>
      <c r="L1124" s="28" t="n">
        <v>686314</v>
      </c>
      <c r="M1124" s="28" t="n">
        <v>718674</v>
      </c>
      <c r="N1124" s="28" t="n">
        <v>2622</v>
      </c>
      <c r="O1124" s="28" t="n">
        <v>382495</v>
      </c>
      <c r="P1124" s="28" t="n">
        <v>10164</v>
      </c>
      <c r="Q1124" s="28" t="n">
        <v>1800269</v>
      </c>
      <c r="R1124" s="28" t="n">
        <v>378735</v>
      </c>
      <c r="S1124" s="28">
        <f>Q1124-R1124</f>
        <v/>
      </c>
      <c r="T1124" s="28">
        <f>IF(S1124="","",S1124*(1+in_GrowthRate)^(YEARFRAC(DATE(2023,6,30),in_AgeToDate)*IF(in_AgeToDate&lt;DATE(2023,6,30),-1,1)+1))</f>
        <v/>
      </c>
      <c r="U1124" s="50">
        <f>IF(AND(AND(OR(in_Mode="All Funds",AND(C1124&gt;=in_BandFloor,C1124&lt;=in_BandCeiling,OR(in_Geography="National",COUNTIFS(lst_GeoPreset,in_Geography,lst_GeoState,B1124)&gt;0,AND(in_Geography="Custom",ISNUMBER(SEARCH(B1124,SUBSTITUTE(in_CustomStates," ",""))))),OR(AND(D1124="Endowment",Inputs!$B$14="Y"),AND(D1124="Foundation",Inputs!$B$15="Y"),AND(D1124="Healthcare",Inputs!$B$16="Y"),AND(D1124="Pension",Inputs!$B$17="Y"),AND(D1124="OCIO",Inputs!$B$18="Y"),AND(D1124="Other",Inputs!$B$19="Y")))),A1124&lt;&gt;in_ClientOrg,NOT(AND(in_ExclHarvard="Y",ISNUMBER(SEARCH("Harvard",A1124))))),$AD1124="Y",K1124&lt;&gt;"",S1124&gt;0),"Y","")</f>
        <v/>
      </c>
      <c r="V1124" s="30" t="n">
        <v>1</v>
      </c>
      <c r="W1124" t="inlineStr"/>
      <c r="X1124" s="28">
        <f>IF(L1124+M1124=0,"",L1124+M1124)</f>
        <v/>
      </c>
      <c r="Y1124" s="38">
        <f>IF(L1124=0,"",M1124/L1124)</f>
        <v/>
      </c>
      <c r="Z1124" t="inlineStr">
        <is>
          <t>CIO - Top Investment Executive</t>
        </is>
      </c>
      <c r="AA1124" t="inlineStr">
        <is>
          <t>Leadership</t>
        </is>
      </c>
      <c r="AB1124" s="50" t="inlineStr">
        <is>
          <t>Y</t>
        </is>
      </c>
      <c r="AC1124" s="43">
        <f>HYPERLINK("https://projects.propublica.org/nonprofits/organizations/131624086/202410469349300531/full","view filing")</f>
        <v/>
      </c>
      <c r="AD1124" s="50" t="inlineStr"/>
    </row>
    <row r="1125">
      <c r="A1125" t="inlineStr">
        <is>
          <t>The Metropolitan Museum Of Art</t>
        </is>
      </c>
      <c r="B1125" s="50" t="inlineStr">
        <is>
          <t>NY</t>
        </is>
      </c>
      <c r="C1125" s="52" t="n">
        <v>5.63</v>
      </c>
      <c r="D1125" t="inlineStr">
        <is>
          <t>Other</t>
        </is>
      </c>
      <c r="E1125" s="50" t="n">
        <v>2023</v>
      </c>
      <c r="F1125" s="50" t="inlineStr">
        <is>
          <t>2024-05-13</t>
        </is>
      </c>
      <c r="G1125" s="50" t="inlineStr">
        <is>
          <t>2023-06-30</t>
        </is>
      </c>
      <c r="H1125" t="inlineStr">
        <is>
          <t>Lawrence Choi</t>
        </is>
      </c>
      <c r="I1125" t="inlineStr">
        <is>
          <t>Snr Investment Offic From 7/22</t>
        </is>
      </c>
      <c r="J1125" t="inlineStr">
        <is>
          <t>Senior Investment Officer</t>
        </is>
      </c>
      <c r="K1125" t="inlineStr">
        <is>
          <t>Sr Investment Professional</t>
        </is>
      </c>
      <c r="L1125" s="28" t="n">
        <v>197607</v>
      </c>
      <c r="M1125" s="28" t="n">
        <v>405000</v>
      </c>
      <c r="N1125" s="28" t="n">
        <v>181</v>
      </c>
      <c r="O1125" s="28" t="n">
        <v>24400</v>
      </c>
      <c r="P1125" s="28" t="n">
        <v>9383</v>
      </c>
      <c r="Q1125" s="28" t="n">
        <v>636571</v>
      </c>
      <c r="R1125" s="28" t="n">
        <v>0</v>
      </c>
      <c r="S1125" s="28">
        <f>Q1125-R1125</f>
        <v/>
      </c>
      <c r="T1125" s="28">
        <f>IF(S1125="","",S1125*(1+in_GrowthRate)^(YEARFRAC(DATE(2023,6,30),in_AgeToDate)*IF(in_AgeToDate&lt;DATE(2023,6,30),-1,1)+1))</f>
        <v/>
      </c>
      <c r="U1125" s="50">
        <f>IF(AND(AND(OR(in_Mode="All Funds",AND(C1125&gt;=in_BandFloor,C1125&lt;=in_BandCeiling,OR(in_Geography="National",COUNTIFS(lst_GeoPreset,in_Geography,lst_GeoState,B1125)&gt;0,AND(in_Geography="Custom",ISNUMBER(SEARCH(B1125,SUBSTITUTE(in_CustomStates," ",""))))),OR(AND(D1125="Endowment",Inputs!$B$14="Y"),AND(D1125="Foundation",Inputs!$B$15="Y"),AND(D1125="Healthcare",Inputs!$B$16="Y"),AND(D1125="Pension",Inputs!$B$17="Y"),AND(D1125="OCIO",Inputs!$B$18="Y"),AND(D1125="Other",Inputs!$B$19="Y")))),A1125&lt;&gt;in_ClientOrg,NOT(AND(in_ExclHarvard="Y",ISNUMBER(SEARCH("Harvard",A1125))))),$AD1125="Y",K1125&lt;&gt;"",S1125&gt;0),"Y","")</f>
        <v/>
      </c>
      <c r="V1125" s="30" t="n">
        <v>0.4478056803425032</v>
      </c>
      <c r="W1125" t="inlineStr"/>
      <c r="X1125" s="28">
        <f>IF(L1125+M1125=0,"",L1125+M1125)</f>
        <v/>
      </c>
      <c r="Y1125" s="38">
        <f>IF(L1125=0,"",M1125/L1125)</f>
        <v/>
      </c>
      <c r="Z1125" t="inlineStr">
        <is>
          <t>Director &amp; Investment Officer</t>
        </is>
      </c>
      <c r="AA1125" t="inlineStr">
        <is>
          <t>Investments</t>
        </is>
      </c>
      <c r="AB1125" s="50" t="inlineStr"/>
      <c r="AC1125" s="43">
        <f>HYPERLINK("https://projects.propublica.org/nonprofits/organizations/131624086/202410469349300531/full","view filing")</f>
        <v/>
      </c>
      <c r="AD1125" s="50" t="inlineStr"/>
    </row>
    <row r="1126">
      <c r="A1126" t="inlineStr">
        <is>
          <t>The Metropolitan Museum Of Art</t>
        </is>
      </c>
      <c r="B1126" s="50" t="inlineStr">
        <is>
          <t>NY</t>
        </is>
      </c>
      <c r="C1126" s="52" t="n">
        <v>5.63</v>
      </c>
      <c r="D1126" t="inlineStr">
        <is>
          <t>Other</t>
        </is>
      </c>
      <c r="E1126" s="50" t="n">
        <v>2022</v>
      </c>
      <c r="F1126" s="50" t="inlineStr">
        <is>
          <t>2023-02-15</t>
        </is>
      </c>
      <c r="G1126" s="50" t="inlineStr">
        <is>
          <t>2022-06-30</t>
        </is>
      </c>
      <c r="H1126" t="inlineStr">
        <is>
          <t>Lauren A Meserve</t>
        </is>
      </c>
      <c r="I1126" t="inlineStr">
        <is>
          <t>SVP &amp; Chief Investment Officer</t>
        </is>
      </c>
      <c r="J1126" t="inlineStr">
        <is>
          <t>CIO</t>
        </is>
      </c>
      <c r="K1126" t="inlineStr">
        <is>
          <t>CIO - Top Investment Executive</t>
        </is>
      </c>
      <c r="L1126" s="28" t="n">
        <v>695109</v>
      </c>
      <c r="M1126" s="28" t="n">
        <v>793206</v>
      </c>
      <c r="N1126" s="28" t="n">
        <v>2723</v>
      </c>
      <c r="O1126" s="28" t="n">
        <v>376864</v>
      </c>
      <c r="P1126" s="28" t="n">
        <v>10691</v>
      </c>
      <c r="Q1126" s="28" t="n">
        <v>1878593</v>
      </c>
      <c r="R1126" s="28" t="n">
        <v>344646</v>
      </c>
      <c r="S1126" s="28">
        <f>Q1126-R1126</f>
        <v/>
      </c>
      <c r="T1126" s="28">
        <f>IF(S1126="","",S1126*(1+in_GrowthRate)^(YEARFRAC(DATE(2022,6,30),in_AgeToDate)*IF(in_AgeToDate&lt;DATE(2022,6,30),-1,1)+1))</f>
        <v/>
      </c>
      <c r="U1126" s="50">
        <f>IF(AND(AND(OR(in_Mode="All Funds",AND(C1126&gt;=in_BandFloor,C1126&lt;=in_BandCeiling,OR(in_Geography="National",COUNTIFS(lst_GeoPreset,in_Geography,lst_GeoState,B1126)&gt;0,AND(in_Geography="Custom",ISNUMBER(SEARCH(B1126,SUBSTITUTE(in_CustomStates," ",""))))),OR(AND(D1126="Endowment",Inputs!$B$14="Y"),AND(D1126="Foundation",Inputs!$B$15="Y"),AND(D1126="Healthcare",Inputs!$B$16="Y"),AND(D1126="Pension",Inputs!$B$17="Y"),AND(D1126="OCIO",Inputs!$B$18="Y"),AND(D1126="Other",Inputs!$B$19="Y")))),A1126&lt;&gt;in_ClientOrg,NOT(AND(in_ExclHarvard="Y",ISNUMBER(SEARCH("Harvard",A1126))))),$AD1126="Y",K1126&lt;&gt;"",S1126&gt;0),"Y","")</f>
        <v/>
      </c>
      <c r="V1126" s="30" t="n">
        <v>1</v>
      </c>
      <c r="W1126" t="inlineStr"/>
      <c r="X1126" s="28">
        <f>IF(L1126+M1126=0,"",L1126+M1126)</f>
        <v/>
      </c>
      <c r="Y1126" s="38">
        <f>IF(L1126=0,"",M1126/L1126)</f>
        <v/>
      </c>
      <c r="Z1126" t="inlineStr">
        <is>
          <t>CIO - Top Investment Executive</t>
        </is>
      </c>
      <c r="AA1126" t="inlineStr">
        <is>
          <t>Leadership</t>
        </is>
      </c>
      <c r="AB1126" s="50" t="inlineStr">
        <is>
          <t>Y</t>
        </is>
      </c>
      <c r="AC1126" s="43">
        <f>HYPERLINK("https://projects.propublica.org/nonprofits/organizations/131624086/202330469349301348/full","view filing")</f>
        <v/>
      </c>
      <c r="AD1126" s="50" t="inlineStr"/>
    </row>
    <row r="1127">
      <c r="A1127" t="inlineStr">
        <is>
          <t>The New York And Presbyterian Hospital</t>
        </is>
      </c>
      <c r="B1127" s="50" t="inlineStr">
        <is>
          <t>NY</t>
        </is>
      </c>
      <c r="C1127" s="52" t="n">
        <v>1.14</v>
      </c>
      <c r="D1127" t="inlineStr">
        <is>
          <t>Healthcare</t>
        </is>
      </c>
      <c r="E1127" s="50" t="n">
        <v>2024</v>
      </c>
      <c r="F1127" s="50" t="inlineStr">
        <is>
          <t>2025-11-14</t>
        </is>
      </c>
      <c r="G1127" s="50" t="inlineStr">
        <is>
          <t>2024-12-31</t>
        </is>
      </c>
      <c r="H1127" t="inlineStr">
        <is>
          <t>Anne Dinneen</t>
        </is>
      </c>
      <c r="I1127" t="inlineStr">
        <is>
          <t>SVP - CHIEF INVEST OFFICER</t>
        </is>
      </c>
      <c r="J1127" t="inlineStr">
        <is>
          <t>CIO</t>
        </is>
      </c>
      <c r="K1127" t="inlineStr">
        <is>
          <t>CIO - Top Investment Executive</t>
        </is>
      </c>
      <c r="L1127" s="28" t="n">
        <v>1465399</v>
      </c>
      <c r="M1127" s="28" t="n">
        <v>1000000</v>
      </c>
      <c r="N1127" s="28" t="n">
        <v>311060</v>
      </c>
      <c r="O1127" s="28" t="n">
        <v>17723</v>
      </c>
      <c r="P1127" s="28" t="n">
        <v>60468</v>
      </c>
      <c r="Q1127" s="28" t="n">
        <v>2854650</v>
      </c>
      <c r="R1127" s="28" t="n">
        <v>0</v>
      </c>
      <c r="S1127" s="28">
        <f>Q1127-R1127</f>
        <v/>
      </c>
      <c r="T1127" s="28">
        <f>IF(S1127="","",S1127*(1+in_GrowthRate)^(YEARFRAC(DATE(2024,12,31),in_AgeToDate)*IF(in_AgeToDate&lt;DATE(2024,12,31),-1,1)+1))</f>
        <v/>
      </c>
      <c r="U1127" s="50">
        <f>IF(AND(AND(OR(in_Mode="All Funds",AND(C1127&gt;=in_BandFloor,C1127&lt;=in_BandCeiling,OR(in_Geography="National",COUNTIFS(lst_GeoPreset,in_Geography,lst_GeoState,B1127)&gt;0,AND(in_Geography="Custom",ISNUMBER(SEARCH(B1127,SUBSTITUTE(in_CustomStates," ",""))))),OR(AND(D1127="Endowment",Inputs!$B$14="Y"),AND(D1127="Foundation",Inputs!$B$15="Y"),AND(D1127="Healthcare",Inputs!$B$16="Y"),AND(D1127="Pension",Inputs!$B$17="Y"),AND(D1127="OCIO",Inputs!$B$18="Y"),AND(D1127="Other",Inputs!$B$19="Y")))),A1127&lt;&gt;in_ClientOrg,NOT(AND(in_ExclHarvard="Y",ISNUMBER(SEARCH("Harvard",A1127))))),$AD1127="Y",K1127&lt;&gt;"",S1127&gt;0),"Y","")</f>
        <v/>
      </c>
      <c r="V1127" s="30" t="n">
        <v>1</v>
      </c>
      <c r="W1127" t="inlineStr"/>
      <c r="X1127" s="28">
        <f>IF(L1127+M1127=0,"",L1127+M1127)</f>
        <v/>
      </c>
      <c r="Y1127" s="38">
        <f>IF(L1127=0,"",M1127/L1127)</f>
        <v/>
      </c>
      <c r="Z1127" t="inlineStr">
        <is>
          <t>CIO - Top Investment Executive</t>
        </is>
      </c>
      <c r="AA1127" t="inlineStr">
        <is>
          <t>Leadership</t>
        </is>
      </c>
      <c r="AB1127" s="50" t="inlineStr">
        <is>
          <t>Y</t>
        </is>
      </c>
      <c r="AC1127" s="43">
        <f>HYPERLINK("https://projects.propublica.org/nonprofits/organizations/133957095/202543189349306204/full","view filing")</f>
        <v/>
      </c>
      <c r="AD1127" s="50" t="inlineStr">
        <is>
          <t>Y</t>
        </is>
      </c>
    </row>
    <row r="1128">
      <c r="A1128" t="inlineStr">
        <is>
          <t>The New York And Presbyterian Hospital</t>
        </is>
      </c>
      <c r="B1128" s="50" t="inlineStr">
        <is>
          <t>NY</t>
        </is>
      </c>
      <c r="C1128" s="52" t="n">
        <v>1.14</v>
      </c>
      <c r="D1128" t="inlineStr">
        <is>
          <t>Healthcare</t>
        </is>
      </c>
      <c r="E1128" s="50" t="n">
        <v>2023</v>
      </c>
      <c r="F1128" s="50" t="inlineStr">
        <is>
          <t>2024-11-13</t>
        </is>
      </c>
      <c r="G1128" s="50" t="inlineStr">
        <is>
          <t>2023-12-31</t>
        </is>
      </c>
      <c r="H1128" t="inlineStr">
        <is>
          <t>Anne Dinneen</t>
        </is>
      </c>
      <c r="I1128" t="inlineStr">
        <is>
          <t>SVP - CHIEF INVEST OFFICER</t>
        </is>
      </c>
      <c r="J1128" t="inlineStr">
        <is>
          <t>CIO</t>
        </is>
      </c>
      <c r="K1128" t="inlineStr">
        <is>
          <t>CIO - Top Investment Executive</t>
        </is>
      </c>
      <c r="L1128" s="28" t="n">
        <v>1488805</v>
      </c>
      <c r="M1128" s="28" t="n">
        <v>750000</v>
      </c>
      <c r="N1128" s="28" t="n">
        <v>226310</v>
      </c>
      <c r="O1128" s="28" t="n">
        <v>11006</v>
      </c>
      <c r="P1128" s="28" t="n">
        <v>57608</v>
      </c>
      <c r="Q1128" s="28" t="n">
        <v>2533729</v>
      </c>
      <c r="R1128" s="28" t="n">
        <v>0</v>
      </c>
      <c r="S1128" s="28">
        <f>Q1128-R1128</f>
        <v/>
      </c>
      <c r="T1128" s="28">
        <f>IF(S1128="","",S1128*(1+in_GrowthRate)^(YEARFRAC(DATE(2023,12,31),in_AgeToDate)*IF(in_AgeToDate&lt;DATE(2023,12,31),-1,1)+1))</f>
        <v/>
      </c>
      <c r="U1128" s="50">
        <f>IF(AND(AND(OR(in_Mode="All Funds",AND(C1128&gt;=in_BandFloor,C1128&lt;=in_BandCeiling,OR(in_Geography="National",COUNTIFS(lst_GeoPreset,in_Geography,lst_GeoState,B1128)&gt;0,AND(in_Geography="Custom",ISNUMBER(SEARCH(B1128,SUBSTITUTE(in_CustomStates," ",""))))),OR(AND(D1128="Endowment",Inputs!$B$14="Y"),AND(D1128="Foundation",Inputs!$B$15="Y"),AND(D1128="Healthcare",Inputs!$B$16="Y"),AND(D1128="Pension",Inputs!$B$17="Y"),AND(D1128="OCIO",Inputs!$B$18="Y"),AND(D1128="Other",Inputs!$B$19="Y")))),A1128&lt;&gt;in_ClientOrg,NOT(AND(in_ExclHarvard="Y",ISNUMBER(SEARCH("Harvard",A1128))))),$AD1128="Y",K1128&lt;&gt;"",S1128&gt;0),"Y","")</f>
        <v/>
      </c>
      <c r="V1128" s="30" t="n">
        <v>1</v>
      </c>
      <c r="W1128" t="inlineStr"/>
      <c r="X1128" s="28">
        <f>IF(L1128+M1128=0,"",L1128+M1128)</f>
        <v/>
      </c>
      <c r="Y1128" s="38">
        <f>IF(L1128=0,"",M1128/L1128)</f>
        <v/>
      </c>
      <c r="Z1128" t="inlineStr">
        <is>
          <t>CIO - Top Investment Executive</t>
        </is>
      </c>
      <c r="AA1128" t="inlineStr">
        <is>
          <t>Leadership</t>
        </is>
      </c>
      <c r="AB1128" s="50" t="inlineStr">
        <is>
          <t>Y</t>
        </is>
      </c>
      <c r="AC1128" s="43">
        <f>HYPERLINK("https://projects.propublica.org/nonprofits/organizations/133957095/202413189349304986/full","view filing")</f>
        <v/>
      </c>
      <c r="AD1128" s="50" t="inlineStr"/>
    </row>
    <row r="1129">
      <c r="A1129" t="inlineStr">
        <is>
          <t>The New York And Presbyterian Hospital</t>
        </is>
      </c>
      <c r="B1129" s="50" t="inlineStr">
        <is>
          <t>NY</t>
        </is>
      </c>
      <c r="C1129" s="52" t="n">
        <v>1.14</v>
      </c>
      <c r="D1129" t="inlineStr">
        <is>
          <t>Healthcare</t>
        </is>
      </c>
      <c r="E1129" s="50" t="n">
        <v>2022</v>
      </c>
      <c r="F1129" s="50" t="inlineStr">
        <is>
          <t>2023-11-14</t>
        </is>
      </c>
      <c r="G1129" s="50" t="inlineStr">
        <is>
          <t>2022-12-31</t>
        </is>
      </c>
      <c r="H1129" t="inlineStr">
        <is>
          <t>Anne Dinneen</t>
        </is>
      </c>
      <c r="I1129" t="inlineStr">
        <is>
          <t>SVP - CHIEF INVEST OFFICER</t>
        </is>
      </c>
      <c r="J1129" t="inlineStr">
        <is>
          <t>CIO</t>
        </is>
      </c>
      <c r="K1129" t="inlineStr">
        <is>
          <t>CIO - Top Investment Executive</t>
        </is>
      </c>
      <c r="L1129" s="28" t="n">
        <v>944603</v>
      </c>
      <c r="M1129" s="28" t="n">
        <v>1033066</v>
      </c>
      <c r="N1129" s="28" t="n">
        <v>3472</v>
      </c>
      <c r="O1129" s="28" t="n">
        <v>0</v>
      </c>
      <c r="P1129" s="28" t="n">
        <v>36245</v>
      </c>
      <c r="Q1129" s="28" t="n">
        <v>2017386</v>
      </c>
      <c r="R1129" s="28" t="n">
        <v>0</v>
      </c>
      <c r="S1129" s="28">
        <f>Q1129-R1129</f>
        <v/>
      </c>
      <c r="T1129" s="28">
        <f>IF(S1129="","",S1129*(1+in_GrowthRate)^(YEARFRAC(DATE(2022,12,31),in_AgeToDate)*IF(in_AgeToDate&lt;DATE(2022,12,31),-1,1)+1))</f>
        <v/>
      </c>
      <c r="U1129" s="50">
        <f>IF(AND(AND(OR(in_Mode="All Funds",AND(C1129&gt;=in_BandFloor,C1129&lt;=in_BandCeiling,OR(in_Geography="National",COUNTIFS(lst_GeoPreset,in_Geography,lst_GeoState,B1129)&gt;0,AND(in_Geography="Custom",ISNUMBER(SEARCH(B1129,SUBSTITUTE(in_CustomStates," ",""))))),OR(AND(D1129="Endowment",Inputs!$B$14="Y"),AND(D1129="Foundation",Inputs!$B$15="Y"),AND(D1129="Healthcare",Inputs!$B$16="Y"),AND(D1129="Pension",Inputs!$B$17="Y"),AND(D1129="OCIO",Inputs!$B$18="Y"),AND(D1129="Other",Inputs!$B$19="Y")))),A1129&lt;&gt;in_ClientOrg,NOT(AND(in_ExclHarvard="Y",ISNUMBER(SEARCH("Harvard",A1129))))),$AD1129="Y",K1129&lt;&gt;"",S1129&gt;0),"Y","")</f>
        <v/>
      </c>
      <c r="V1129" s="30" t="n">
        <v>1</v>
      </c>
      <c r="W1129" t="inlineStr"/>
      <c r="X1129" s="28">
        <f>IF(L1129+M1129=0,"",L1129+M1129)</f>
        <v/>
      </c>
      <c r="Y1129" s="38">
        <f>IF(L1129=0,"",M1129/L1129)</f>
        <v/>
      </c>
      <c r="Z1129" t="inlineStr">
        <is>
          <t>CIO - Top Investment Executive</t>
        </is>
      </c>
      <c r="AA1129" t="inlineStr">
        <is>
          <t>Leadership</t>
        </is>
      </c>
      <c r="AB1129" s="50" t="inlineStr">
        <is>
          <t>Y</t>
        </is>
      </c>
      <c r="AC1129" s="43">
        <f>HYPERLINK("https://projects.propublica.org/nonprofits/organizations/133957095/202303189349314485/full","view filing")</f>
        <v/>
      </c>
      <c r="AD1129" s="50" t="inlineStr"/>
    </row>
    <row r="1130">
      <c r="A1130" t="inlineStr">
        <is>
          <t>The New York Community Trust</t>
        </is>
      </c>
      <c r="B1130" s="50" t="inlineStr">
        <is>
          <t>NY</t>
        </is>
      </c>
      <c r="C1130" s="52" t="n">
        <v>3.49</v>
      </c>
      <c r="D1130" t="inlineStr">
        <is>
          <t>Foundation</t>
        </is>
      </c>
      <c r="E1130" s="50" t="n">
        <v>2024</v>
      </c>
      <c r="F1130" s="50" t="inlineStr">
        <is>
          <t>2025-11-10</t>
        </is>
      </c>
      <c r="G1130" s="50" t="inlineStr">
        <is>
          <t>2024-12-31</t>
        </is>
      </c>
      <c r="H1130" t="inlineStr">
        <is>
          <t>Eileen Casey</t>
        </is>
      </c>
      <c r="I1130" t="inlineStr">
        <is>
          <t>ASSOC. DR, INVESTMENT OPERATIONS</t>
        </is>
      </c>
      <c r="J1130" t="inlineStr">
        <is>
          <t>Investment Operations (Inv Entity)</t>
        </is>
      </c>
      <c r="K1130" t="inlineStr">
        <is>
          <t>Other disclosed professionals</t>
        </is>
      </c>
      <c r="L1130" s="28" t="n">
        <v>179822</v>
      </c>
      <c r="M1130" s="28" t="n">
        <v>0</v>
      </c>
      <c r="N1130" s="28" t="n">
        <v>0</v>
      </c>
      <c r="O1130" s="28" t="n">
        <v>52452</v>
      </c>
      <c r="P1130" s="28" t="n">
        <v>16742</v>
      </c>
      <c r="Q1130" s="28" t="n">
        <v>249016</v>
      </c>
      <c r="R1130" s="28" t="n">
        <v>0</v>
      </c>
      <c r="S1130" s="28">
        <f>Q1130-R1130</f>
        <v/>
      </c>
      <c r="T1130" s="28">
        <f>IF(S1130="","",S1130*(1+in_GrowthRate)^(YEARFRAC(DATE(2024,12,31),in_AgeToDate)*IF(in_AgeToDate&lt;DATE(2024,12,31),-1,1)+1))</f>
        <v/>
      </c>
      <c r="U1130" s="50">
        <f>IF(AND(AND(OR(in_Mode="All Funds",AND(C1130&gt;=in_BandFloor,C1130&lt;=in_BandCeiling,OR(in_Geography="National",COUNTIFS(lst_GeoPreset,in_Geography,lst_GeoState,B1130)&gt;0,AND(in_Geography="Custom",ISNUMBER(SEARCH(B1130,SUBSTITUTE(in_CustomStates," ",""))))),OR(AND(D1130="Endowment",Inputs!$B$14="Y"),AND(D1130="Foundation",Inputs!$B$15="Y"),AND(D1130="Healthcare",Inputs!$B$16="Y"),AND(D1130="Pension",Inputs!$B$17="Y"),AND(D1130="OCIO",Inputs!$B$18="Y"),AND(D1130="Other",Inputs!$B$19="Y")))),A1130&lt;&gt;in_ClientOrg,NOT(AND(in_ExclHarvard="Y",ISNUMBER(SEARCH("Harvard",A1130))))),$AD1130="Y",K1130&lt;&gt;"",S1130&gt;0),"Y","")</f>
        <v/>
      </c>
      <c r="V1130" s="30" t="n">
        <v>0.6589607612757084</v>
      </c>
      <c r="W1130" t="inlineStr">
        <is>
          <t>Other disclosed professionals</t>
        </is>
      </c>
      <c r="X1130" s="28">
        <f>IF(L1130+M1130=0,"",L1130+M1130)</f>
        <v/>
      </c>
      <c r="Y1130" s="38">
        <f>IF(L1130=0,"",M1130/L1130)</f>
        <v/>
      </c>
      <c r="Z1130" t="inlineStr">
        <is>
          <t>Other disclosed professionals</t>
        </is>
      </c>
      <c r="AA1130" t="inlineStr">
        <is>
          <t>Operations &amp; Control</t>
        </is>
      </c>
      <c r="AB1130" s="50" t="inlineStr"/>
      <c r="AC1130" s="43">
        <f>HYPERLINK("https://projects.propublica.org/nonprofits/organizations/133062214/202523149349305672/full","view filing")</f>
        <v/>
      </c>
      <c r="AD1130" s="50" t="inlineStr">
        <is>
          <t>Y</t>
        </is>
      </c>
    </row>
    <row r="1131">
      <c r="A1131" t="inlineStr">
        <is>
          <t>The New York Community Trust</t>
        </is>
      </c>
      <c r="B1131" s="50" t="inlineStr">
        <is>
          <t>NY</t>
        </is>
      </c>
      <c r="C1131" s="52" t="n">
        <v>3.49</v>
      </c>
      <c r="D1131" t="inlineStr">
        <is>
          <t>Foundation</t>
        </is>
      </c>
      <c r="E1131" s="50" t="n">
        <v>2024</v>
      </c>
      <c r="F1131" s="50" t="inlineStr">
        <is>
          <t>2025-11-10</t>
        </is>
      </c>
      <c r="G1131" s="50" t="inlineStr">
        <is>
          <t>2024-12-31</t>
        </is>
      </c>
      <c r="H1131" t="inlineStr">
        <is>
          <t>Tatiana Pohotsky</t>
        </is>
      </c>
      <c r="I1131" t="inlineStr">
        <is>
          <t>CIO &amp; ASSISTANT TREASURER</t>
        </is>
      </c>
      <c r="J1131" t="inlineStr">
        <is>
          <t>CIO</t>
        </is>
      </c>
      <c r="K1131" t="inlineStr">
        <is>
          <t>CIO - Top Investment Executive</t>
        </is>
      </c>
      <c r="L1131" s="28" t="n">
        <v>312714</v>
      </c>
      <c r="M1131" s="28" t="n">
        <v>0</v>
      </c>
      <c r="N1131" s="28" t="n">
        <v>0</v>
      </c>
      <c r="O1131" s="28" t="n">
        <v>50022</v>
      </c>
      <c r="P1131" s="28" t="n">
        <v>15156</v>
      </c>
      <c r="Q1131" s="28" t="n">
        <v>377892</v>
      </c>
      <c r="R1131" s="28" t="n">
        <v>0</v>
      </c>
      <c r="S1131" s="28">
        <f>Q1131-R1131</f>
        <v/>
      </c>
      <c r="T1131" s="28">
        <f>IF(S1131="","",S1131*(1+in_GrowthRate)^(YEARFRAC(DATE(2024,12,31),in_AgeToDate)*IF(in_AgeToDate&lt;DATE(2024,12,31),-1,1)+1))</f>
        <v/>
      </c>
      <c r="U1131" s="50">
        <f>IF(AND(AND(OR(in_Mode="All Funds",AND(C1131&gt;=in_BandFloor,C1131&lt;=in_BandCeiling,OR(in_Geography="National",COUNTIFS(lst_GeoPreset,in_Geography,lst_GeoState,B1131)&gt;0,AND(in_Geography="Custom",ISNUMBER(SEARCH(B1131,SUBSTITUTE(in_CustomStates," ",""))))),OR(AND(D1131="Endowment",Inputs!$B$14="Y"),AND(D1131="Foundation",Inputs!$B$15="Y"),AND(D1131="Healthcare",Inputs!$B$16="Y"),AND(D1131="Pension",Inputs!$B$17="Y"),AND(D1131="OCIO",Inputs!$B$18="Y"),AND(D1131="Other",Inputs!$B$19="Y")))),A1131&lt;&gt;in_ClientOrg,NOT(AND(in_ExclHarvard="Y",ISNUMBER(SEARCH("Harvard",A1131))))),$AD1131="Y",K1131&lt;&gt;"",S1131&gt;0),"Y","")</f>
        <v/>
      </c>
      <c r="V1131" s="30" t="n">
        <v>1</v>
      </c>
      <c r="W1131" t="inlineStr"/>
      <c r="X1131" s="28">
        <f>IF(L1131+M1131=0,"",L1131+M1131)</f>
        <v/>
      </c>
      <c r="Y1131" s="38">
        <f>IF(L1131=0,"",M1131/L1131)</f>
        <v/>
      </c>
      <c r="Z1131" t="inlineStr">
        <is>
          <t>CIO - Top Investment Executive</t>
        </is>
      </c>
      <c r="AA1131" t="inlineStr">
        <is>
          <t>Leadership</t>
        </is>
      </c>
      <c r="AB1131" s="50" t="inlineStr">
        <is>
          <t>Y</t>
        </is>
      </c>
      <c r="AC1131" s="43">
        <f>HYPERLINK("https://projects.propublica.org/nonprofits/organizations/133062214/202523149349305672/full","view filing")</f>
        <v/>
      </c>
      <c r="AD1131" s="50" t="inlineStr">
        <is>
          <t>Y</t>
        </is>
      </c>
    </row>
    <row r="1132">
      <c r="A1132" t="inlineStr">
        <is>
          <t>The New York Community Trust</t>
        </is>
      </c>
      <c r="B1132" s="50" t="inlineStr">
        <is>
          <t>NY</t>
        </is>
      </c>
      <c r="C1132" s="52" t="n">
        <v>3.49</v>
      </c>
      <c r="D1132" t="inlineStr">
        <is>
          <t>Foundation</t>
        </is>
      </c>
      <c r="E1132" s="50" t="n">
        <v>2023</v>
      </c>
      <c r="F1132" s="50" t="inlineStr">
        <is>
          <t>2024-11-12</t>
        </is>
      </c>
      <c r="G1132" s="50" t="inlineStr">
        <is>
          <t>2023-12-31</t>
        </is>
      </c>
      <c r="H1132" t="inlineStr">
        <is>
          <t>Eileen Casey</t>
        </is>
      </c>
      <c r="I1132" t="inlineStr">
        <is>
          <t>DIRECTOR OF INVESTMENT REPORTING</t>
        </is>
      </c>
      <c r="J1132" t="inlineStr">
        <is>
          <t>Director of Investments</t>
        </is>
      </c>
      <c r="K1132" t="inlineStr">
        <is>
          <t>Sr Investment Professional</t>
        </is>
      </c>
      <c r="L1132" s="28" t="n">
        <v>157971</v>
      </c>
      <c r="M1132" s="28" t="n">
        <v>200</v>
      </c>
      <c r="N1132" s="28" t="n">
        <v>3421</v>
      </c>
      <c r="O1132" s="28" t="n">
        <v>45228</v>
      </c>
      <c r="P1132" s="28" t="n">
        <v>19973</v>
      </c>
      <c r="Q1132" s="28" t="n">
        <v>226793</v>
      </c>
      <c r="R1132" s="28" t="n">
        <v>0</v>
      </c>
      <c r="S1132" s="28">
        <f>Q1132-R1132</f>
        <v/>
      </c>
      <c r="T1132" s="28">
        <f>IF(S1132="","",S1132*(1+in_GrowthRate)^(YEARFRAC(DATE(2023,12,31),in_AgeToDate)*IF(in_AgeToDate&lt;DATE(2023,12,31),-1,1)+1))</f>
        <v/>
      </c>
      <c r="U1132" s="50">
        <f>IF(AND(AND(OR(in_Mode="All Funds",AND(C1132&gt;=in_BandFloor,C1132&lt;=in_BandCeiling,OR(in_Geography="National",COUNTIFS(lst_GeoPreset,in_Geography,lst_GeoState,B1132)&gt;0,AND(in_Geography="Custom",ISNUMBER(SEARCH(B1132,SUBSTITUTE(in_CustomStates," ",""))))),OR(AND(D1132="Endowment",Inputs!$B$14="Y"),AND(D1132="Foundation",Inputs!$B$15="Y"),AND(D1132="Healthcare",Inputs!$B$16="Y"),AND(D1132="Pension",Inputs!$B$17="Y"),AND(D1132="OCIO",Inputs!$B$18="Y"),AND(D1132="Other",Inputs!$B$19="Y")))),A1132&lt;&gt;in_ClientOrg,NOT(AND(in_ExclHarvard="Y",ISNUMBER(SEARCH("Harvard",A1132))))),$AD1132="Y",K1132&lt;&gt;"",S1132&gt;0),"Y","")</f>
        <v/>
      </c>
      <c r="V1132" s="30" t="n">
        <v>0.6244764891663201</v>
      </c>
      <c r="W1132" t="inlineStr"/>
      <c r="X1132" s="28">
        <f>IF(L1132+M1132=0,"",L1132+M1132)</f>
        <v/>
      </c>
      <c r="Y1132" s="38">
        <f>IF(L1132=0,"",M1132/L1132)</f>
        <v/>
      </c>
      <c r="Z1132" t="inlineStr">
        <is>
          <t>Director &amp; Investment Officer</t>
        </is>
      </c>
      <c r="AA1132" t="inlineStr">
        <is>
          <t>Investments</t>
        </is>
      </c>
      <c r="AB1132" s="50" t="inlineStr"/>
      <c r="AC1132" s="43">
        <f>HYPERLINK("https://projects.propublica.org/nonprofits/organizations/133062214/202443179349309079/full","view filing")</f>
        <v/>
      </c>
      <c r="AD1132" s="50" t="inlineStr"/>
    </row>
    <row r="1133">
      <c r="A1133" t="inlineStr">
        <is>
          <t>The New York Community Trust</t>
        </is>
      </c>
      <c r="B1133" s="50" t="inlineStr">
        <is>
          <t>NY</t>
        </is>
      </c>
      <c r="C1133" s="52" t="n">
        <v>3.49</v>
      </c>
      <c r="D1133" t="inlineStr">
        <is>
          <t>Foundation</t>
        </is>
      </c>
      <c r="E1133" s="50" t="n">
        <v>2023</v>
      </c>
      <c r="F1133" s="50" t="inlineStr">
        <is>
          <t>2024-11-12</t>
        </is>
      </c>
      <c r="G1133" s="50" t="inlineStr">
        <is>
          <t>2023-12-31</t>
        </is>
      </c>
      <c r="H1133" t="inlineStr">
        <is>
          <t>Tatiana Pohotsky</t>
        </is>
      </c>
      <c r="I1133" t="inlineStr">
        <is>
          <t>CIO &amp; ASSISTANT TREASURER</t>
        </is>
      </c>
      <c r="J1133" t="inlineStr">
        <is>
          <t>CIO</t>
        </is>
      </c>
      <c r="K1133" t="inlineStr">
        <is>
          <t>CIO - Top Investment Executive</t>
        </is>
      </c>
      <c r="L1133" s="28" t="n">
        <v>296433</v>
      </c>
      <c r="M1133" s="28" t="n">
        <v>0</v>
      </c>
      <c r="N1133" s="28" t="n">
        <v>1106</v>
      </c>
      <c r="O1133" s="28" t="n">
        <v>45877</v>
      </c>
      <c r="P1133" s="28" t="n">
        <v>19757</v>
      </c>
      <c r="Q1133" s="28" t="n">
        <v>363173</v>
      </c>
      <c r="R1133" s="28" t="n">
        <v>0</v>
      </c>
      <c r="S1133" s="28">
        <f>Q1133-R1133</f>
        <v/>
      </c>
      <c r="T1133" s="28">
        <f>IF(S1133="","",S1133*(1+in_GrowthRate)^(YEARFRAC(DATE(2023,12,31),in_AgeToDate)*IF(in_AgeToDate&lt;DATE(2023,12,31),-1,1)+1))</f>
        <v/>
      </c>
      <c r="U1133" s="50">
        <f>IF(AND(AND(OR(in_Mode="All Funds",AND(C1133&gt;=in_BandFloor,C1133&lt;=in_BandCeiling,OR(in_Geography="National",COUNTIFS(lst_GeoPreset,in_Geography,lst_GeoState,B1133)&gt;0,AND(in_Geography="Custom",ISNUMBER(SEARCH(B1133,SUBSTITUTE(in_CustomStates," ",""))))),OR(AND(D1133="Endowment",Inputs!$B$14="Y"),AND(D1133="Foundation",Inputs!$B$15="Y"),AND(D1133="Healthcare",Inputs!$B$16="Y"),AND(D1133="Pension",Inputs!$B$17="Y"),AND(D1133="OCIO",Inputs!$B$18="Y"),AND(D1133="Other",Inputs!$B$19="Y")))),A1133&lt;&gt;in_ClientOrg,NOT(AND(in_ExclHarvard="Y",ISNUMBER(SEARCH("Harvard",A1133))))),$AD1133="Y",K1133&lt;&gt;"",S1133&gt;0),"Y","")</f>
        <v/>
      </c>
      <c r="V1133" s="30" t="n">
        <v>1</v>
      </c>
      <c r="W1133" t="inlineStr"/>
      <c r="X1133" s="28">
        <f>IF(L1133+M1133=0,"",L1133+M1133)</f>
        <v/>
      </c>
      <c r="Y1133" s="38">
        <f>IF(L1133=0,"",M1133/L1133)</f>
        <v/>
      </c>
      <c r="Z1133" t="inlineStr">
        <is>
          <t>CIO - Top Investment Executive</t>
        </is>
      </c>
      <c r="AA1133" t="inlineStr">
        <is>
          <t>Leadership</t>
        </is>
      </c>
      <c r="AB1133" s="50" t="inlineStr">
        <is>
          <t>Y</t>
        </is>
      </c>
      <c r="AC1133" s="43">
        <f>HYPERLINK("https://projects.propublica.org/nonprofits/organizations/133062214/202443179349309079/full","view filing")</f>
        <v/>
      </c>
      <c r="AD1133" s="50" t="inlineStr"/>
    </row>
    <row r="1134">
      <c r="A1134" t="inlineStr">
        <is>
          <t>The New York Community Trust</t>
        </is>
      </c>
      <c r="B1134" s="50" t="inlineStr">
        <is>
          <t>NY</t>
        </is>
      </c>
      <c r="C1134" s="52" t="n">
        <v>3.49</v>
      </c>
      <c r="D1134" t="inlineStr">
        <is>
          <t>Foundation</t>
        </is>
      </c>
      <c r="E1134" s="50" t="n">
        <v>2022</v>
      </c>
      <c r="F1134" s="50" t="inlineStr">
        <is>
          <t>2023-11-13</t>
        </is>
      </c>
      <c r="G1134" s="50" t="inlineStr">
        <is>
          <t>2022-12-31</t>
        </is>
      </c>
      <c r="H1134" t="inlineStr">
        <is>
          <t>Tatiana Pohotsky</t>
        </is>
      </c>
      <c r="I1134" t="inlineStr">
        <is>
          <t>CIO &amp; Asst. Treasurer</t>
        </is>
      </c>
      <c r="J1134" t="inlineStr">
        <is>
          <t>CIO</t>
        </is>
      </c>
      <c r="K1134" t="inlineStr">
        <is>
          <t>CIO - Top Investment Executive</t>
        </is>
      </c>
      <c r="L1134" s="28" t="n">
        <v>282313</v>
      </c>
      <c r="M1134" s="28" t="n">
        <v>0</v>
      </c>
      <c r="N1134" s="28" t="n">
        <v>648</v>
      </c>
      <c r="O1134" s="28" t="n">
        <v>43400</v>
      </c>
      <c r="P1134" s="28" t="n">
        <v>22253</v>
      </c>
      <c r="Q1134" s="28" t="n">
        <v>348614</v>
      </c>
      <c r="R1134" s="28" t="n">
        <v>0</v>
      </c>
      <c r="S1134" s="28">
        <f>Q1134-R1134</f>
        <v/>
      </c>
      <c r="T1134" s="28">
        <f>IF(S1134="","",S1134*(1+in_GrowthRate)^(YEARFRAC(DATE(2022,12,31),in_AgeToDate)*IF(in_AgeToDate&lt;DATE(2022,12,31),-1,1)+1))</f>
        <v/>
      </c>
      <c r="U1134" s="50">
        <f>IF(AND(AND(OR(in_Mode="All Funds",AND(C1134&gt;=in_BandFloor,C1134&lt;=in_BandCeiling,OR(in_Geography="National",COUNTIFS(lst_GeoPreset,in_Geography,lst_GeoState,B1134)&gt;0,AND(in_Geography="Custom",ISNUMBER(SEARCH(B1134,SUBSTITUTE(in_CustomStates," ",""))))),OR(AND(D1134="Endowment",Inputs!$B$14="Y"),AND(D1134="Foundation",Inputs!$B$15="Y"),AND(D1134="Healthcare",Inputs!$B$16="Y"),AND(D1134="Pension",Inputs!$B$17="Y"),AND(D1134="OCIO",Inputs!$B$18="Y"),AND(D1134="Other",Inputs!$B$19="Y")))),A1134&lt;&gt;in_ClientOrg,NOT(AND(in_ExclHarvard="Y",ISNUMBER(SEARCH("Harvard",A1134))))),$AD1134="Y",K1134&lt;&gt;"",S1134&gt;0),"Y","")</f>
        <v/>
      </c>
      <c r="V1134" s="30" t="n">
        <v>1</v>
      </c>
      <c r="W1134" t="inlineStr"/>
      <c r="X1134" s="28">
        <f>IF(L1134+M1134=0,"",L1134+M1134)</f>
        <v/>
      </c>
      <c r="Y1134" s="38">
        <f>IF(L1134=0,"",M1134/L1134)</f>
        <v/>
      </c>
      <c r="Z1134" t="inlineStr">
        <is>
          <t>CIO - Top Investment Executive</t>
        </is>
      </c>
      <c r="AA1134" t="inlineStr">
        <is>
          <t>Leadership</t>
        </is>
      </c>
      <c r="AB1134" s="50" t="inlineStr">
        <is>
          <t>Y</t>
        </is>
      </c>
      <c r="AC1134" s="43">
        <f>HYPERLINK("https://projects.propublica.org/nonprofits/organizations/133062214/202323179349302337/full","view filing")</f>
        <v/>
      </c>
      <c r="AD1134" s="50" t="inlineStr"/>
    </row>
    <row r="1135">
      <c r="A1135" t="inlineStr">
        <is>
          <t>The New York Public Library Astor Lenox And Tilden Foundations</t>
        </is>
      </c>
      <c r="B1135" s="50" t="inlineStr">
        <is>
          <t>NY</t>
        </is>
      </c>
      <c r="C1135" s="52" t="n">
        <v>2.01</v>
      </c>
      <c r="D1135" t="inlineStr">
        <is>
          <t>Other</t>
        </is>
      </c>
      <c r="E1135" s="50" t="n">
        <v>2025</v>
      </c>
      <c r="F1135" s="50" t="inlineStr">
        <is>
          <t>2026-05-13</t>
        </is>
      </c>
      <c r="G1135" s="50" t="inlineStr">
        <is>
          <t>2025-06-30</t>
        </is>
      </c>
      <c r="H1135" t="inlineStr">
        <is>
          <t>Doris Zhao</t>
        </is>
      </c>
      <c r="I1135" t="inlineStr">
        <is>
          <t>DIRECTOR, INVESTMENTS</t>
        </is>
      </c>
      <c r="J1135" t="inlineStr">
        <is>
          <t>Director of Investments</t>
        </is>
      </c>
      <c r="K1135" t="inlineStr">
        <is>
          <t>Sr Investment Professional</t>
        </is>
      </c>
      <c r="L1135" s="28" t="n">
        <v>275094</v>
      </c>
      <c r="M1135" s="28" t="n">
        <v>279265</v>
      </c>
      <c r="N1135" s="28" t="n">
        <v>23097</v>
      </c>
      <c r="O1135" s="28" t="n">
        <v>24207</v>
      </c>
      <c r="P1135" s="28" t="n">
        <v>17702</v>
      </c>
      <c r="Q1135" s="28" t="n">
        <v>619365</v>
      </c>
      <c r="R1135" s="28" t="n">
        <v>0</v>
      </c>
      <c r="S1135" s="28">
        <f>Q1135-R1135</f>
        <v/>
      </c>
      <c r="T1135" s="28">
        <f>IF(S1135="","",S1135*(1+in_GrowthRate)^(YEARFRAC(DATE(2025,6,30),in_AgeToDate)*IF(in_AgeToDate&lt;DATE(2025,6,30),-1,1)+1))</f>
        <v/>
      </c>
      <c r="U1135" s="50">
        <f>IF(AND(AND(OR(in_Mode="All Funds",AND(C1135&gt;=in_BandFloor,C1135&lt;=in_BandCeiling,OR(in_Geography="National",COUNTIFS(lst_GeoPreset,in_Geography,lst_GeoState,B1135)&gt;0,AND(in_Geography="Custom",ISNUMBER(SEARCH(B1135,SUBSTITUTE(in_CustomStates," ",""))))),OR(AND(D1135="Endowment",Inputs!$B$14="Y"),AND(D1135="Foundation",Inputs!$B$15="Y"),AND(D1135="Healthcare",Inputs!$B$16="Y"),AND(D1135="Pension",Inputs!$B$17="Y"),AND(D1135="OCIO",Inputs!$B$18="Y"),AND(D1135="Other",Inputs!$B$19="Y")))),A1135&lt;&gt;in_ClientOrg,NOT(AND(in_ExclHarvard="Y",ISNUMBER(SEARCH("Harvard",A1135))))),$AD1135="Y",K1135&lt;&gt;"",S1135&gt;0),"Y","")</f>
        <v/>
      </c>
      <c r="V1135" s="30" t="n">
        <v>0.3881372682340511</v>
      </c>
      <c r="W1135" t="inlineStr"/>
      <c r="X1135" s="28">
        <f>IF(L1135+M1135=0,"",L1135+M1135)</f>
        <v/>
      </c>
      <c r="Y1135" s="38">
        <f>IF(L1135=0,"",M1135/L1135)</f>
        <v/>
      </c>
      <c r="Z1135" t="inlineStr">
        <is>
          <t>Director &amp; Investment Officer</t>
        </is>
      </c>
      <c r="AA1135" t="inlineStr">
        <is>
          <t>Investments</t>
        </is>
      </c>
      <c r="AB1135" s="50" t="inlineStr"/>
      <c r="AC1135" s="43">
        <f>HYPERLINK("https://projects.propublica.org/nonprofits/organizations/131887440/202611339349309571/full","view filing")</f>
        <v/>
      </c>
      <c r="AD1135" s="50" t="inlineStr">
        <is>
          <t>Y</t>
        </is>
      </c>
    </row>
    <row r="1136">
      <c r="A1136" t="inlineStr">
        <is>
          <t>The New York Public Library Astor Lenox And Tilden Foundations</t>
        </is>
      </c>
      <c r="B1136" s="50" t="inlineStr">
        <is>
          <t>NY</t>
        </is>
      </c>
      <c r="C1136" s="52" t="n">
        <v>2.01</v>
      </c>
      <c r="D1136" t="inlineStr">
        <is>
          <t>Other</t>
        </is>
      </c>
      <c r="E1136" s="50" t="n">
        <v>2025</v>
      </c>
      <c r="F1136" s="50" t="inlineStr">
        <is>
          <t>2026-05-13</t>
        </is>
      </c>
      <c r="G1136" s="50" t="inlineStr">
        <is>
          <t>2025-06-30</t>
        </is>
      </c>
      <c r="H1136" t="inlineStr">
        <is>
          <t>Geetanjali Gupta</t>
        </is>
      </c>
      <c r="I1136" t="inlineStr">
        <is>
          <t>CHIEF INVESTMENT OFFICER</t>
        </is>
      </c>
      <c r="J1136" t="inlineStr">
        <is>
          <t>CIO</t>
        </is>
      </c>
      <c r="K1136" t="inlineStr">
        <is>
          <t>CIO - Top Investment Executive</t>
        </is>
      </c>
      <c r="L1136" s="28" t="n">
        <v>709323</v>
      </c>
      <c r="M1136" s="28" t="n">
        <v>804265</v>
      </c>
      <c r="N1136" s="28" t="n">
        <v>702</v>
      </c>
      <c r="O1136" s="28" t="n">
        <v>27600</v>
      </c>
      <c r="P1136" s="28" t="n">
        <v>53847</v>
      </c>
      <c r="Q1136" s="28" t="n">
        <v>1595737</v>
      </c>
      <c r="R1136" s="28" t="n">
        <v>0</v>
      </c>
      <c r="S1136" s="28">
        <f>Q1136-R1136</f>
        <v/>
      </c>
      <c r="T1136" s="28">
        <f>IF(S1136="","",S1136*(1+in_GrowthRate)^(YEARFRAC(DATE(2025,6,30),in_AgeToDate)*IF(in_AgeToDate&lt;DATE(2025,6,30),-1,1)+1))</f>
        <v/>
      </c>
      <c r="U1136" s="50">
        <f>IF(AND(AND(OR(in_Mode="All Funds",AND(C1136&gt;=in_BandFloor,C1136&lt;=in_BandCeiling,OR(in_Geography="National",COUNTIFS(lst_GeoPreset,in_Geography,lst_GeoState,B1136)&gt;0,AND(in_Geography="Custom",ISNUMBER(SEARCH(B1136,SUBSTITUTE(in_CustomStates," ",""))))),OR(AND(D1136="Endowment",Inputs!$B$14="Y"),AND(D1136="Foundation",Inputs!$B$15="Y"),AND(D1136="Healthcare",Inputs!$B$16="Y"),AND(D1136="Pension",Inputs!$B$17="Y"),AND(D1136="OCIO",Inputs!$B$18="Y"),AND(D1136="Other",Inputs!$B$19="Y")))),A1136&lt;&gt;in_ClientOrg,NOT(AND(in_ExclHarvard="Y",ISNUMBER(SEARCH("Harvard",A1136))))),$AD1136="Y",K1136&lt;&gt;"",S1136&gt;0),"Y","")</f>
        <v/>
      </c>
      <c r="V1136" s="30" t="n">
        <v>1</v>
      </c>
      <c r="W1136" t="inlineStr"/>
      <c r="X1136" s="28">
        <f>IF(L1136+M1136=0,"",L1136+M1136)</f>
        <v/>
      </c>
      <c r="Y1136" s="38">
        <f>IF(L1136=0,"",M1136/L1136)</f>
        <v/>
      </c>
      <c r="Z1136" t="inlineStr">
        <is>
          <t>CIO - Top Investment Executive</t>
        </is>
      </c>
      <c r="AA1136" t="inlineStr">
        <is>
          <t>Leadership</t>
        </is>
      </c>
      <c r="AB1136" s="50" t="inlineStr">
        <is>
          <t>Y</t>
        </is>
      </c>
      <c r="AC1136" s="43">
        <f>HYPERLINK("https://projects.propublica.org/nonprofits/organizations/131887440/202611339349309571/full","view filing")</f>
        <v/>
      </c>
      <c r="AD1136" s="50" t="inlineStr">
        <is>
          <t>Y</t>
        </is>
      </c>
    </row>
    <row r="1137">
      <c r="A1137" t="inlineStr">
        <is>
          <t>The New York Public Library Astor Lenox And Tilden Foundations</t>
        </is>
      </c>
      <c r="B1137" s="50" t="inlineStr">
        <is>
          <t>NY</t>
        </is>
      </c>
      <c r="C1137" s="52" t="n">
        <v>2.01</v>
      </c>
      <c r="D1137" t="inlineStr">
        <is>
          <t>Other</t>
        </is>
      </c>
      <c r="E1137" s="50" t="n">
        <v>2025</v>
      </c>
      <c r="F1137" s="50" t="inlineStr">
        <is>
          <t>2026-05-13</t>
        </is>
      </c>
      <c r="G1137" s="50" t="inlineStr">
        <is>
          <t>2025-06-30</t>
        </is>
      </c>
      <c r="H1137" t="inlineStr">
        <is>
          <t>Peter Rummel</t>
        </is>
      </c>
      <c r="I1137" t="inlineStr">
        <is>
          <t>DIRECTOR, INVESTMENTS</t>
        </is>
      </c>
      <c r="J1137" t="inlineStr">
        <is>
          <t>Director of Investments</t>
        </is>
      </c>
      <c r="K1137" t="inlineStr">
        <is>
          <t>Sr Investment Professional</t>
        </is>
      </c>
      <c r="L1137" s="28" t="n">
        <v>293077</v>
      </c>
      <c r="M1137" s="28" t="n">
        <v>280870</v>
      </c>
      <c r="N1137" s="28" t="n">
        <v>10617</v>
      </c>
      <c r="O1137" s="28" t="n">
        <v>24207</v>
      </c>
      <c r="P1137" s="28" t="n">
        <v>662</v>
      </c>
      <c r="Q1137" s="28" t="n">
        <v>609433</v>
      </c>
      <c r="R1137" s="28" t="n">
        <v>0</v>
      </c>
      <c r="S1137" s="28">
        <f>Q1137-R1137</f>
        <v/>
      </c>
      <c r="T1137" s="28">
        <f>IF(S1137="","",S1137*(1+in_GrowthRate)^(YEARFRAC(DATE(2025,6,30),in_AgeToDate)*IF(in_AgeToDate&lt;DATE(2025,6,30),-1,1)+1))</f>
        <v/>
      </c>
      <c r="U1137" s="50">
        <f>IF(AND(AND(OR(in_Mode="All Funds",AND(C1137&gt;=in_BandFloor,C1137&lt;=in_BandCeiling,OR(in_Geography="National",COUNTIFS(lst_GeoPreset,in_Geography,lst_GeoState,B1137)&gt;0,AND(in_Geography="Custom",ISNUMBER(SEARCH(B1137,SUBSTITUTE(in_CustomStates," ",""))))),OR(AND(D1137="Endowment",Inputs!$B$14="Y"),AND(D1137="Foundation",Inputs!$B$15="Y"),AND(D1137="Healthcare",Inputs!$B$16="Y"),AND(D1137="Pension",Inputs!$B$17="Y"),AND(D1137="OCIO",Inputs!$B$18="Y"),AND(D1137="Other",Inputs!$B$19="Y")))),A1137&lt;&gt;in_ClientOrg,NOT(AND(in_ExclHarvard="Y",ISNUMBER(SEARCH("Harvard",A1137))))),$AD1137="Y",K1137&lt;&gt;"",S1137&gt;0),"Y","")</f>
        <v/>
      </c>
      <c r="V1137" s="30" t="n">
        <v>0.3819131849421302</v>
      </c>
      <c r="W1137" t="inlineStr"/>
      <c r="X1137" s="28">
        <f>IF(L1137+M1137=0,"",L1137+M1137)</f>
        <v/>
      </c>
      <c r="Y1137" s="38">
        <f>IF(L1137=0,"",M1137/L1137)</f>
        <v/>
      </c>
      <c r="Z1137" t="inlineStr">
        <is>
          <t>Director &amp; Investment Officer</t>
        </is>
      </c>
      <c r="AA1137" t="inlineStr">
        <is>
          <t>Investments</t>
        </is>
      </c>
      <c r="AB1137" s="50" t="inlineStr"/>
      <c r="AC1137" s="43">
        <f>HYPERLINK("https://projects.propublica.org/nonprofits/organizations/131887440/202611339349309571/full","view filing")</f>
        <v/>
      </c>
      <c r="AD1137" s="50" t="inlineStr">
        <is>
          <t>Y</t>
        </is>
      </c>
    </row>
    <row r="1138">
      <c r="A1138" t="inlineStr">
        <is>
          <t>The New York Public Library Astor Lenox And Tilden Foundations</t>
        </is>
      </c>
      <c r="B1138" s="50" t="inlineStr">
        <is>
          <t>NY</t>
        </is>
      </c>
      <c r="C1138" s="52" t="n">
        <v>2.01</v>
      </c>
      <c r="D1138" t="inlineStr">
        <is>
          <t>Other</t>
        </is>
      </c>
      <c r="E1138" s="50" t="n">
        <v>2024</v>
      </c>
      <c r="F1138" s="50" t="inlineStr">
        <is>
          <t>2025-05-13</t>
        </is>
      </c>
      <c r="G1138" s="50" t="inlineStr">
        <is>
          <t>2024-06-30</t>
        </is>
      </c>
      <c r="H1138" t="inlineStr">
        <is>
          <t>Doris Zhao</t>
        </is>
      </c>
      <c r="I1138" t="inlineStr">
        <is>
          <t>DIRECTOR, INVESTMENTS</t>
        </is>
      </c>
      <c r="J1138" t="inlineStr">
        <is>
          <t>Director of Investments</t>
        </is>
      </c>
      <c r="K1138" t="inlineStr">
        <is>
          <t>Sr Investment Professional</t>
        </is>
      </c>
      <c r="L1138" s="28" t="n">
        <v>234876</v>
      </c>
      <c r="M1138" s="28" t="n">
        <v>156330</v>
      </c>
      <c r="N1138" s="28" t="n">
        <v>67</v>
      </c>
      <c r="O1138" s="28" t="n">
        <v>19091</v>
      </c>
      <c r="P1138" s="28" t="n">
        <v>15724</v>
      </c>
      <c r="Q1138" s="28" t="n">
        <v>426088</v>
      </c>
      <c r="R1138" s="28" t="n">
        <v>0</v>
      </c>
      <c r="S1138" s="28">
        <f>Q1138-R1138</f>
        <v/>
      </c>
      <c r="T1138" s="28">
        <f>IF(S1138="","",S1138*(1+in_GrowthRate)^(YEARFRAC(DATE(2024,6,30),in_AgeToDate)*IF(in_AgeToDate&lt;DATE(2024,6,30),-1,1)+1))</f>
        <v/>
      </c>
      <c r="U1138" s="50">
        <f>IF(AND(AND(OR(in_Mode="All Funds",AND(C1138&gt;=in_BandFloor,C1138&lt;=in_BandCeiling,OR(in_Geography="National",COUNTIFS(lst_GeoPreset,in_Geography,lst_GeoState,B1138)&gt;0,AND(in_Geography="Custom",ISNUMBER(SEARCH(B1138,SUBSTITUTE(in_CustomStates," ",""))))),OR(AND(D1138="Endowment",Inputs!$B$14="Y"),AND(D1138="Foundation",Inputs!$B$15="Y"),AND(D1138="Healthcare",Inputs!$B$16="Y"),AND(D1138="Pension",Inputs!$B$17="Y"),AND(D1138="OCIO",Inputs!$B$18="Y"),AND(D1138="Other",Inputs!$B$19="Y")))),A1138&lt;&gt;in_ClientOrg,NOT(AND(in_ExclHarvard="Y",ISNUMBER(SEARCH("Harvard",A1138))))),$AD1138="Y",K1138&lt;&gt;"",S1138&gt;0),"Y","")</f>
        <v/>
      </c>
      <c r="V1138" s="30" t="n">
        <v>0.2966831270906271</v>
      </c>
      <c r="W1138" t="inlineStr"/>
      <c r="X1138" s="28">
        <f>IF(L1138+M1138=0,"",L1138+M1138)</f>
        <v/>
      </c>
      <c r="Y1138" s="38">
        <f>IF(L1138=0,"",M1138/L1138)</f>
        <v/>
      </c>
      <c r="Z1138" t="inlineStr">
        <is>
          <t>Director &amp; Investment Officer</t>
        </is>
      </c>
      <c r="AA1138" t="inlineStr">
        <is>
          <t>Investments</t>
        </is>
      </c>
      <c r="AB1138" s="50" t="inlineStr"/>
      <c r="AC1138" s="43">
        <f>HYPERLINK("https://projects.propublica.org/nonprofits/organizations/131887440/202521339349310157/full","view filing")</f>
        <v/>
      </c>
      <c r="AD1138" s="50" t="inlineStr"/>
    </row>
    <row r="1139">
      <c r="A1139" t="inlineStr">
        <is>
          <t>The New York Public Library Astor Lenox And Tilden Foundations</t>
        </is>
      </c>
      <c r="B1139" s="50" t="inlineStr">
        <is>
          <t>NY</t>
        </is>
      </c>
      <c r="C1139" s="52" t="n">
        <v>2.01</v>
      </c>
      <c r="D1139" t="inlineStr">
        <is>
          <t>Other</t>
        </is>
      </c>
      <c r="E1139" s="50" t="n">
        <v>2024</v>
      </c>
      <c r="F1139" s="50" t="inlineStr">
        <is>
          <t>2025-05-13</t>
        </is>
      </c>
      <c r="G1139" s="50" t="inlineStr">
        <is>
          <t>2024-06-30</t>
        </is>
      </c>
      <c r="H1139" t="inlineStr">
        <is>
          <t>Geetanjali Gupta</t>
        </is>
      </c>
      <c r="I1139" t="inlineStr">
        <is>
          <t>CHIEF INVESTMENT OFFICER</t>
        </is>
      </c>
      <c r="J1139" t="inlineStr">
        <is>
          <t>CIO</t>
        </is>
      </c>
      <c r="K1139" t="inlineStr">
        <is>
          <t>CIO - Top Investment Executive</t>
        </is>
      </c>
      <c r="L1139" s="28" t="n">
        <v>686388</v>
      </c>
      <c r="M1139" s="28" t="n">
        <v>673900</v>
      </c>
      <c r="N1139" s="28" t="n">
        <v>681</v>
      </c>
      <c r="O1139" s="28" t="n">
        <v>26400</v>
      </c>
      <c r="P1139" s="28" t="n">
        <v>48803</v>
      </c>
      <c r="Q1139" s="28" t="n">
        <v>1436172</v>
      </c>
      <c r="R1139" s="28" t="n">
        <v>0</v>
      </c>
      <c r="S1139" s="28">
        <f>Q1139-R1139</f>
        <v/>
      </c>
      <c r="T1139" s="28">
        <f>IF(S1139="","",S1139*(1+in_GrowthRate)^(YEARFRAC(DATE(2024,6,30),in_AgeToDate)*IF(in_AgeToDate&lt;DATE(2024,6,30),-1,1)+1))</f>
        <v/>
      </c>
      <c r="U1139" s="50">
        <f>IF(AND(AND(OR(in_Mode="All Funds",AND(C1139&gt;=in_BandFloor,C1139&lt;=in_BandCeiling,OR(in_Geography="National",COUNTIFS(lst_GeoPreset,in_Geography,lst_GeoState,B1139)&gt;0,AND(in_Geography="Custom",ISNUMBER(SEARCH(B1139,SUBSTITUTE(in_CustomStates," ",""))))),OR(AND(D1139="Endowment",Inputs!$B$14="Y"),AND(D1139="Foundation",Inputs!$B$15="Y"),AND(D1139="Healthcare",Inputs!$B$16="Y"),AND(D1139="Pension",Inputs!$B$17="Y"),AND(D1139="OCIO",Inputs!$B$18="Y"),AND(D1139="Other",Inputs!$B$19="Y")))),A1139&lt;&gt;in_ClientOrg,NOT(AND(in_ExclHarvard="Y",ISNUMBER(SEARCH("Harvard",A1139))))),$AD1139="Y",K1139&lt;&gt;"",S1139&gt;0),"Y","")</f>
        <v/>
      </c>
      <c r="V1139" s="30" t="n">
        <v>1</v>
      </c>
      <c r="W1139" t="inlineStr"/>
      <c r="X1139" s="28">
        <f>IF(L1139+M1139=0,"",L1139+M1139)</f>
        <v/>
      </c>
      <c r="Y1139" s="38">
        <f>IF(L1139=0,"",M1139/L1139)</f>
        <v/>
      </c>
      <c r="Z1139" t="inlineStr">
        <is>
          <t>CIO - Top Investment Executive</t>
        </is>
      </c>
      <c r="AA1139" t="inlineStr">
        <is>
          <t>Leadership</t>
        </is>
      </c>
      <c r="AB1139" s="50" t="inlineStr">
        <is>
          <t>Y</t>
        </is>
      </c>
      <c r="AC1139" s="43">
        <f>HYPERLINK("https://projects.propublica.org/nonprofits/organizations/131887440/202521339349310157/full","view filing")</f>
        <v/>
      </c>
      <c r="AD1139" s="50" t="inlineStr"/>
    </row>
    <row r="1140">
      <c r="A1140" t="inlineStr">
        <is>
          <t>The New York Public Library Astor Lenox And Tilden Foundations</t>
        </is>
      </c>
      <c r="B1140" s="50" t="inlineStr">
        <is>
          <t>NY</t>
        </is>
      </c>
      <c r="C1140" s="52" t="n">
        <v>2.01</v>
      </c>
      <c r="D1140" t="inlineStr">
        <is>
          <t>Other</t>
        </is>
      </c>
      <c r="E1140" s="50" t="n">
        <v>2024</v>
      </c>
      <c r="F1140" s="50" t="inlineStr">
        <is>
          <t>2025-05-13</t>
        </is>
      </c>
      <c r="G1140" s="50" t="inlineStr">
        <is>
          <t>2024-06-30</t>
        </is>
      </c>
      <c r="H1140" t="inlineStr">
        <is>
          <t>Peter Rummel</t>
        </is>
      </c>
      <c r="I1140" t="inlineStr">
        <is>
          <t>DIRECTOR, INVESTMENTS</t>
        </is>
      </c>
      <c r="J1140" t="inlineStr">
        <is>
          <t>Director of Investments</t>
        </is>
      </c>
      <c r="K1140" t="inlineStr">
        <is>
          <t>Sr Investment Professional</t>
        </is>
      </c>
      <c r="L1140" s="28" t="n">
        <v>263536</v>
      </c>
      <c r="M1140" s="28" t="n">
        <v>198083</v>
      </c>
      <c r="N1140" s="28" t="n">
        <v>1089</v>
      </c>
      <c r="O1140" s="28" t="n">
        <v>21083</v>
      </c>
      <c r="P1140" s="28" t="n">
        <v>587</v>
      </c>
      <c r="Q1140" s="28" t="n">
        <v>484378</v>
      </c>
      <c r="R1140" s="28" t="n">
        <v>0</v>
      </c>
      <c r="S1140" s="28">
        <f>Q1140-R1140</f>
        <v/>
      </c>
      <c r="T1140" s="28">
        <f>IF(S1140="","",S1140*(1+in_GrowthRate)^(YEARFRAC(DATE(2024,6,30),in_AgeToDate)*IF(in_AgeToDate&lt;DATE(2024,6,30),-1,1)+1))</f>
        <v/>
      </c>
      <c r="U1140" s="50">
        <f>IF(AND(AND(OR(in_Mode="All Funds",AND(C1140&gt;=in_BandFloor,C1140&lt;=in_BandCeiling,OR(in_Geography="National",COUNTIFS(lst_GeoPreset,in_Geography,lst_GeoState,B1140)&gt;0,AND(in_Geography="Custom",ISNUMBER(SEARCH(B1140,SUBSTITUTE(in_CustomStates," ",""))))),OR(AND(D1140="Endowment",Inputs!$B$14="Y"),AND(D1140="Foundation",Inputs!$B$15="Y"),AND(D1140="Healthcare",Inputs!$B$16="Y"),AND(D1140="Pension",Inputs!$B$17="Y"),AND(D1140="OCIO",Inputs!$B$18="Y"),AND(D1140="Other",Inputs!$B$19="Y")))),A1140&lt;&gt;in_ClientOrg,NOT(AND(in_ExclHarvard="Y",ISNUMBER(SEARCH("Harvard",A1140))))),$AD1140="Y",K1140&lt;&gt;"",S1140&gt;0),"Y","")</f>
        <v/>
      </c>
      <c r="V1140" s="30" t="n">
        <v>0.3372701876933961</v>
      </c>
      <c r="W1140" t="inlineStr"/>
      <c r="X1140" s="28">
        <f>IF(L1140+M1140=0,"",L1140+M1140)</f>
        <v/>
      </c>
      <c r="Y1140" s="38">
        <f>IF(L1140=0,"",M1140/L1140)</f>
        <v/>
      </c>
      <c r="Z1140" t="inlineStr">
        <is>
          <t>Director &amp; Investment Officer</t>
        </is>
      </c>
      <c r="AA1140" t="inlineStr">
        <is>
          <t>Investments</t>
        </is>
      </c>
      <c r="AB1140" s="50" t="inlineStr"/>
      <c r="AC1140" s="43">
        <f>HYPERLINK("https://projects.propublica.org/nonprofits/organizations/131887440/202521339349310157/full","view filing")</f>
        <v/>
      </c>
      <c r="AD1140" s="50" t="inlineStr"/>
    </row>
    <row r="1141">
      <c r="A1141" t="inlineStr">
        <is>
          <t>The New York Public Library Astor Lenox And Tilden Foundations</t>
        </is>
      </c>
      <c r="B1141" s="50" t="inlineStr">
        <is>
          <t>NY</t>
        </is>
      </c>
      <c r="C1141" s="52" t="n">
        <v>2.01</v>
      </c>
      <c r="D1141" t="inlineStr">
        <is>
          <t>Other</t>
        </is>
      </c>
      <c r="E1141" s="50" t="n">
        <v>2023</v>
      </c>
      <c r="F1141" s="50" t="inlineStr">
        <is>
          <t>2024-05-14</t>
        </is>
      </c>
      <c r="G1141" s="50" t="inlineStr">
        <is>
          <t>2023-06-30</t>
        </is>
      </c>
      <c r="H1141" t="inlineStr">
        <is>
          <t>Doris Zhao</t>
        </is>
      </c>
      <c r="I1141" t="inlineStr">
        <is>
          <t>DIRECTOR, INVESTMENTS</t>
        </is>
      </c>
      <c r="J1141" t="inlineStr">
        <is>
          <t>Director of Investments</t>
        </is>
      </c>
      <c r="K1141" t="inlineStr">
        <is>
          <t>Sr Investment Professional</t>
        </is>
      </c>
      <c r="L1141" s="28" t="n">
        <v>203480</v>
      </c>
      <c r="M1141" s="28" t="n">
        <v>163508</v>
      </c>
      <c r="N1141" s="28" t="n">
        <v>52</v>
      </c>
      <c r="O1141" s="28" t="n">
        <v>16600</v>
      </c>
      <c r="P1141" s="28" t="n">
        <v>14173</v>
      </c>
      <c r="Q1141" s="28" t="n">
        <v>397813</v>
      </c>
      <c r="R1141" s="28" t="n">
        <v>0</v>
      </c>
      <c r="S1141" s="28">
        <f>Q1141-R1141</f>
        <v/>
      </c>
      <c r="T1141" s="28">
        <f>IF(S1141="","",S1141*(1+in_GrowthRate)^(YEARFRAC(DATE(2023,6,30),in_AgeToDate)*IF(in_AgeToDate&lt;DATE(2023,6,30),-1,1)+1))</f>
        <v/>
      </c>
      <c r="U1141" s="50">
        <f>IF(AND(AND(OR(in_Mode="All Funds",AND(C1141&gt;=in_BandFloor,C1141&lt;=in_BandCeiling,OR(in_Geography="National",COUNTIFS(lst_GeoPreset,in_Geography,lst_GeoState,B1141)&gt;0,AND(in_Geography="Custom",ISNUMBER(SEARCH(B1141,SUBSTITUTE(in_CustomStates," ",""))))),OR(AND(D1141="Endowment",Inputs!$B$14="Y"),AND(D1141="Foundation",Inputs!$B$15="Y"),AND(D1141="Healthcare",Inputs!$B$16="Y"),AND(D1141="Pension",Inputs!$B$17="Y"),AND(D1141="OCIO",Inputs!$B$18="Y"),AND(D1141="Other",Inputs!$B$19="Y")))),A1141&lt;&gt;in_ClientOrg,NOT(AND(in_ExclHarvard="Y",ISNUMBER(SEARCH("Harvard",A1141))))),$AD1141="Y",K1141&lt;&gt;"",S1141&gt;0),"Y","")</f>
        <v/>
      </c>
      <c r="V1141" s="30" t="n">
        <v>0.3177054715751543</v>
      </c>
      <c r="W1141" t="inlineStr"/>
      <c r="X1141" s="28">
        <f>IF(L1141+M1141=0,"",L1141+M1141)</f>
        <v/>
      </c>
      <c r="Y1141" s="38">
        <f>IF(L1141=0,"",M1141/L1141)</f>
        <v/>
      </c>
      <c r="Z1141" t="inlineStr">
        <is>
          <t>Director &amp; Investment Officer</t>
        </is>
      </c>
      <c r="AA1141" t="inlineStr">
        <is>
          <t>Investments</t>
        </is>
      </c>
      <c r="AB1141" s="50" t="inlineStr"/>
      <c r="AC1141" s="43">
        <f>HYPERLINK("https://projects.propublica.org/nonprofits/organizations/131887440/202431359349308113/full","view filing")</f>
        <v/>
      </c>
      <c r="AD1141" s="50" t="inlineStr"/>
    </row>
    <row r="1142">
      <c r="A1142" t="inlineStr">
        <is>
          <t>The New York Public Library Astor Lenox And Tilden Foundations</t>
        </is>
      </c>
      <c r="B1142" s="50" t="inlineStr">
        <is>
          <t>NY</t>
        </is>
      </c>
      <c r="C1142" s="52" t="n">
        <v>2.01</v>
      </c>
      <c r="D1142" t="inlineStr">
        <is>
          <t>Other</t>
        </is>
      </c>
      <c r="E1142" s="50" t="n">
        <v>2023</v>
      </c>
      <c r="F1142" s="50" t="inlineStr">
        <is>
          <t>2024-05-14</t>
        </is>
      </c>
      <c r="G1142" s="50" t="inlineStr">
        <is>
          <t>2023-06-30</t>
        </is>
      </c>
      <c r="H1142" t="inlineStr">
        <is>
          <t>Geetanjali Gupta</t>
        </is>
      </c>
      <c r="I1142" t="inlineStr">
        <is>
          <t>CHIEF INVESTMENT OFFICER</t>
        </is>
      </c>
      <c r="J1142" t="inlineStr">
        <is>
          <t>CIO</t>
        </is>
      </c>
      <c r="K1142" t="inlineStr">
        <is>
          <t>CIO - Top Investment Executive</t>
        </is>
      </c>
      <c r="L1142" s="28" t="n">
        <v>658865</v>
      </c>
      <c r="M1142" s="28" t="n">
        <v>526200</v>
      </c>
      <c r="N1142" s="28" t="n">
        <v>436</v>
      </c>
      <c r="O1142" s="28" t="n">
        <v>24400</v>
      </c>
      <c r="P1142" s="28" t="n">
        <v>42243</v>
      </c>
      <c r="Q1142" s="28" t="n">
        <v>1252144</v>
      </c>
      <c r="R1142" s="28" t="n">
        <v>0</v>
      </c>
      <c r="S1142" s="28">
        <f>Q1142-R1142</f>
        <v/>
      </c>
      <c r="T1142" s="28">
        <f>IF(S1142="","",S1142*(1+in_GrowthRate)^(YEARFRAC(DATE(2023,6,30),in_AgeToDate)*IF(in_AgeToDate&lt;DATE(2023,6,30),-1,1)+1))</f>
        <v/>
      </c>
      <c r="U1142" s="50">
        <f>IF(AND(AND(OR(in_Mode="All Funds",AND(C1142&gt;=in_BandFloor,C1142&lt;=in_BandCeiling,OR(in_Geography="National",COUNTIFS(lst_GeoPreset,in_Geography,lst_GeoState,B1142)&gt;0,AND(in_Geography="Custom",ISNUMBER(SEARCH(B1142,SUBSTITUTE(in_CustomStates," ",""))))),OR(AND(D1142="Endowment",Inputs!$B$14="Y"),AND(D1142="Foundation",Inputs!$B$15="Y"),AND(D1142="Healthcare",Inputs!$B$16="Y"),AND(D1142="Pension",Inputs!$B$17="Y"),AND(D1142="OCIO",Inputs!$B$18="Y"),AND(D1142="Other",Inputs!$B$19="Y")))),A1142&lt;&gt;in_ClientOrg,NOT(AND(in_ExclHarvard="Y",ISNUMBER(SEARCH("Harvard",A1142))))),$AD1142="Y",K1142&lt;&gt;"",S1142&gt;0),"Y","")</f>
        <v/>
      </c>
      <c r="V1142" s="30" t="n">
        <v>1</v>
      </c>
      <c r="W1142" t="inlineStr"/>
      <c r="X1142" s="28">
        <f>IF(L1142+M1142=0,"",L1142+M1142)</f>
        <v/>
      </c>
      <c r="Y1142" s="38">
        <f>IF(L1142=0,"",M1142/L1142)</f>
        <v/>
      </c>
      <c r="Z1142" t="inlineStr">
        <is>
          <t>CIO - Top Investment Executive</t>
        </is>
      </c>
      <c r="AA1142" t="inlineStr">
        <is>
          <t>Leadership</t>
        </is>
      </c>
      <c r="AB1142" s="50" t="inlineStr">
        <is>
          <t>Y</t>
        </is>
      </c>
      <c r="AC1142" s="43">
        <f>HYPERLINK("https://projects.propublica.org/nonprofits/organizations/131887440/202431359349308113/full","view filing")</f>
        <v/>
      </c>
      <c r="AD1142" s="50" t="inlineStr"/>
    </row>
    <row r="1143">
      <c r="A1143" t="inlineStr">
        <is>
          <t>The New York Public Library Astor Lenox And Tilden Foundations</t>
        </is>
      </c>
      <c r="B1143" s="50" t="inlineStr">
        <is>
          <t>NY</t>
        </is>
      </c>
      <c r="C1143" s="52" t="n">
        <v>2.01</v>
      </c>
      <c r="D1143" t="inlineStr">
        <is>
          <t>Other</t>
        </is>
      </c>
      <c r="E1143" s="50" t="n">
        <v>2023</v>
      </c>
      <c r="F1143" s="50" t="inlineStr">
        <is>
          <t>2024-05-14</t>
        </is>
      </c>
      <c r="G1143" s="50" t="inlineStr">
        <is>
          <t>2023-06-30</t>
        </is>
      </c>
      <c r="H1143" t="inlineStr">
        <is>
          <t>Peter Rummel</t>
        </is>
      </c>
      <c r="I1143" t="inlineStr">
        <is>
          <t>DIRECTOR, INVESTMENTS</t>
        </is>
      </c>
      <c r="J1143" t="inlineStr">
        <is>
          <t>Director of Investments</t>
        </is>
      </c>
      <c r="K1143" t="inlineStr">
        <is>
          <t>Sr Investment Professional</t>
        </is>
      </c>
      <c r="L1143" s="28" t="n">
        <v>252813</v>
      </c>
      <c r="M1143" s="28" t="n">
        <v>207581</v>
      </c>
      <c r="N1143" s="28" t="n">
        <v>1073</v>
      </c>
      <c r="O1143" s="28" t="n">
        <v>20225</v>
      </c>
      <c r="P1143" s="28" t="n">
        <v>564</v>
      </c>
      <c r="Q1143" s="28" t="n">
        <v>482256</v>
      </c>
      <c r="R1143" s="28" t="n">
        <v>0</v>
      </c>
      <c r="S1143" s="28">
        <f>Q1143-R1143</f>
        <v/>
      </c>
      <c r="T1143" s="28">
        <f>IF(S1143="","",S1143*(1+in_GrowthRate)^(YEARFRAC(DATE(2023,6,30),in_AgeToDate)*IF(in_AgeToDate&lt;DATE(2023,6,30),-1,1)+1))</f>
        <v/>
      </c>
      <c r="U1143" s="50">
        <f>IF(AND(AND(OR(in_Mode="All Funds",AND(C1143&gt;=in_BandFloor,C1143&lt;=in_BandCeiling,OR(in_Geography="National",COUNTIFS(lst_GeoPreset,in_Geography,lst_GeoState,B1143)&gt;0,AND(in_Geography="Custom",ISNUMBER(SEARCH(B1143,SUBSTITUTE(in_CustomStates," ",""))))),OR(AND(D1143="Endowment",Inputs!$B$14="Y"),AND(D1143="Foundation",Inputs!$B$15="Y"),AND(D1143="Healthcare",Inputs!$B$16="Y"),AND(D1143="Pension",Inputs!$B$17="Y"),AND(D1143="OCIO",Inputs!$B$18="Y"),AND(D1143="Other",Inputs!$B$19="Y")))),A1143&lt;&gt;in_ClientOrg,NOT(AND(in_ExclHarvard="Y",ISNUMBER(SEARCH("Harvard",A1143))))),$AD1143="Y",K1143&lt;&gt;"",S1143&gt;0),"Y","")</f>
        <v/>
      </c>
      <c r="V1143" s="30" t="n">
        <v>0.3851442006670159</v>
      </c>
      <c r="W1143" t="inlineStr"/>
      <c r="X1143" s="28">
        <f>IF(L1143+M1143=0,"",L1143+M1143)</f>
        <v/>
      </c>
      <c r="Y1143" s="38">
        <f>IF(L1143=0,"",M1143/L1143)</f>
        <v/>
      </c>
      <c r="Z1143" t="inlineStr">
        <is>
          <t>Director &amp; Investment Officer</t>
        </is>
      </c>
      <c r="AA1143" t="inlineStr">
        <is>
          <t>Investments</t>
        </is>
      </c>
      <c r="AB1143" s="50" t="inlineStr"/>
      <c r="AC1143" s="43">
        <f>HYPERLINK("https://projects.propublica.org/nonprofits/organizations/131887440/202431359349308113/full","view filing")</f>
        <v/>
      </c>
      <c r="AD1143" s="50" t="inlineStr"/>
    </row>
    <row r="1144">
      <c r="A1144" t="inlineStr">
        <is>
          <t>The New York Public Library Astor Lenox And Tilden Foundations</t>
        </is>
      </c>
      <c r="B1144" s="50" t="inlineStr">
        <is>
          <t>NY</t>
        </is>
      </c>
      <c r="C1144" s="52" t="n">
        <v>2.01</v>
      </c>
      <c r="D1144" t="inlineStr">
        <is>
          <t>Other</t>
        </is>
      </c>
      <c r="E1144" s="50" t="n">
        <v>2022</v>
      </c>
      <c r="F1144" s="50" t="inlineStr">
        <is>
          <t>2023-05-11</t>
        </is>
      </c>
      <c r="G1144" s="50" t="inlineStr">
        <is>
          <t>2022-06-30</t>
        </is>
      </c>
      <c r="H1144" t="inlineStr">
        <is>
          <t>Doris Zhao</t>
        </is>
      </c>
      <c r="I1144" t="inlineStr">
        <is>
          <t>DIRECTOR, INVESTMENTS</t>
        </is>
      </c>
      <c r="J1144" t="inlineStr">
        <is>
          <t>Director of Investments</t>
        </is>
      </c>
      <c r="K1144" t="inlineStr">
        <is>
          <t>Sr Investment Professional</t>
        </is>
      </c>
      <c r="L1144" s="28" t="n">
        <v>165312</v>
      </c>
      <c r="M1144" s="28" t="n">
        <v>98000</v>
      </c>
      <c r="N1144" s="28" t="n">
        <v>30</v>
      </c>
      <c r="O1144" s="28" t="n">
        <v>13440</v>
      </c>
      <c r="P1144" s="28" t="n">
        <v>26487</v>
      </c>
      <c r="Q1144" s="28" t="n">
        <v>303269</v>
      </c>
      <c r="R1144" s="28" t="n">
        <v>0</v>
      </c>
      <c r="S1144" s="28">
        <f>Q1144-R1144</f>
        <v/>
      </c>
      <c r="T1144" s="28">
        <f>IF(S1144="","",S1144*(1+in_GrowthRate)^(YEARFRAC(DATE(2022,6,30),in_AgeToDate)*IF(in_AgeToDate&lt;DATE(2022,6,30),-1,1)+1))</f>
        <v/>
      </c>
      <c r="U1144" s="50">
        <f>IF(AND(AND(OR(in_Mode="All Funds",AND(C1144&gt;=in_BandFloor,C1144&lt;=in_BandCeiling,OR(in_Geography="National",COUNTIFS(lst_GeoPreset,in_Geography,lst_GeoState,B1144)&gt;0,AND(in_Geography="Custom",ISNUMBER(SEARCH(B1144,SUBSTITUTE(in_CustomStates," ",""))))),OR(AND(D1144="Endowment",Inputs!$B$14="Y"),AND(D1144="Foundation",Inputs!$B$15="Y"),AND(D1144="Healthcare",Inputs!$B$16="Y"),AND(D1144="Pension",Inputs!$B$17="Y"),AND(D1144="OCIO",Inputs!$B$18="Y"),AND(D1144="Other",Inputs!$B$19="Y")))),A1144&lt;&gt;in_ClientOrg,NOT(AND(in_ExclHarvard="Y",ISNUMBER(SEARCH("Harvard",A1144))))),$AD1144="Y",K1144&lt;&gt;"",S1144&gt;0),"Y","")</f>
        <v/>
      </c>
      <c r="V1144" s="30" t="n">
        <v>0.2262517671897673</v>
      </c>
      <c r="W1144" t="inlineStr"/>
      <c r="X1144" s="28">
        <f>IF(L1144+M1144=0,"",L1144+M1144)</f>
        <v/>
      </c>
      <c r="Y1144" s="38">
        <f>IF(L1144=0,"",M1144/L1144)</f>
        <v/>
      </c>
      <c r="Z1144" t="inlineStr">
        <is>
          <t>Director &amp; Investment Officer</t>
        </is>
      </c>
      <c r="AA1144" t="inlineStr">
        <is>
          <t>Investments</t>
        </is>
      </c>
      <c r="AB1144" s="50" t="inlineStr"/>
      <c r="AC1144" s="43">
        <f>HYPERLINK("https://projects.propublica.org/nonprofits/organizations/131887440/202311319349302326/full","view filing")</f>
        <v/>
      </c>
      <c r="AD1144" s="50" t="inlineStr"/>
    </row>
    <row r="1145">
      <c r="A1145" t="inlineStr">
        <is>
          <t>The New York Public Library Astor Lenox And Tilden Foundations</t>
        </is>
      </c>
      <c r="B1145" s="50" t="inlineStr">
        <is>
          <t>NY</t>
        </is>
      </c>
      <c r="C1145" s="52" t="n">
        <v>2.01</v>
      </c>
      <c r="D1145" t="inlineStr">
        <is>
          <t>Other</t>
        </is>
      </c>
      <c r="E1145" s="50" t="n">
        <v>2022</v>
      </c>
      <c r="F1145" s="50" t="inlineStr">
        <is>
          <t>2023-05-11</t>
        </is>
      </c>
      <c r="G1145" s="50" t="inlineStr">
        <is>
          <t>2022-06-30</t>
        </is>
      </c>
      <c r="H1145" t="inlineStr">
        <is>
          <t>Geetanjali Gupta</t>
        </is>
      </c>
      <c r="I1145" t="inlineStr">
        <is>
          <t>CHIEF INVESTMENT OFFICER</t>
        </is>
      </c>
      <c r="J1145" t="inlineStr">
        <is>
          <t>CIO</t>
        </is>
      </c>
      <c r="K1145" t="inlineStr">
        <is>
          <t>CIO - Top Investment Executive</t>
        </is>
      </c>
      <c r="L1145" s="28" t="n">
        <v>651406</v>
      </c>
      <c r="M1145" s="28" t="n">
        <v>600000</v>
      </c>
      <c r="N1145" s="28" t="n">
        <v>435</v>
      </c>
      <c r="O1145" s="28" t="n">
        <v>23200</v>
      </c>
      <c r="P1145" s="28" t="n">
        <v>65364</v>
      </c>
      <c r="Q1145" s="28" t="n">
        <v>1340405</v>
      </c>
      <c r="R1145" s="28" t="n">
        <v>0</v>
      </c>
      <c r="S1145" s="28">
        <f>Q1145-R1145</f>
        <v/>
      </c>
      <c r="T1145" s="28">
        <f>IF(S1145="","",S1145*(1+in_GrowthRate)^(YEARFRAC(DATE(2022,6,30),in_AgeToDate)*IF(in_AgeToDate&lt;DATE(2022,6,30),-1,1)+1))</f>
        <v/>
      </c>
      <c r="U1145" s="50">
        <f>IF(AND(AND(OR(in_Mode="All Funds",AND(C1145&gt;=in_BandFloor,C1145&lt;=in_BandCeiling,OR(in_Geography="National",COUNTIFS(lst_GeoPreset,in_Geography,lst_GeoState,B1145)&gt;0,AND(in_Geography="Custom",ISNUMBER(SEARCH(B1145,SUBSTITUTE(in_CustomStates," ",""))))),OR(AND(D1145="Endowment",Inputs!$B$14="Y"),AND(D1145="Foundation",Inputs!$B$15="Y"),AND(D1145="Healthcare",Inputs!$B$16="Y"),AND(D1145="Pension",Inputs!$B$17="Y"),AND(D1145="OCIO",Inputs!$B$18="Y"),AND(D1145="Other",Inputs!$B$19="Y")))),A1145&lt;&gt;in_ClientOrg,NOT(AND(in_ExclHarvard="Y",ISNUMBER(SEARCH("Harvard",A1145))))),$AD1145="Y",K1145&lt;&gt;"",S1145&gt;0),"Y","")</f>
        <v/>
      </c>
      <c r="V1145" s="30" t="n">
        <v>1</v>
      </c>
      <c r="W1145" t="inlineStr"/>
      <c r="X1145" s="28">
        <f>IF(L1145+M1145=0,"",L1145+M1145)</f>
        <v/>
      </c>
      <c r="Y1145" s="38">
        <f>IF(L1145=0,"",M1145/L1145)</f>
        <v/>
      </c>
      <c r="Z1145" t="inlineStr">
        <is>
          <t>CIO - Top Investment Executive</t>
        </is>
      </c>
      <c r="AA1145" t="inlineStr">
        <is>
          <t>Leadership</t>
        </is>
      </c>
      <c r="AB1145" s="50" t="inlineStr">
        <is>
          <t>Y</t>
        </is>
      </c>
      <c r="AC1145" s="43">
        <f>HYPERLINK("https://projects.propublica.org/nonprofits/organizations/131887440/202311319349302326/full","view filing")</f>
        <v/>
      </c>
      <c r="AD1145" s="50" t="inlineStr"/>
    </row>
    <row r="1146">
      <c r="A1146" t="inlineStr">
        <is>
          <t>The New York Public Library Astor Lenox And Tilden Foundations</t>
        </is>
      </c>
      <c r="B1146" s="50" t="inlineStr">
        <is>
          <t>NY</t>
        </is>
      </c>
      <c r="C1146" s="52" t="n">
        <v>2.01</v>
      </c>
      <c r="D1146" t="inlineStr">
        <is>
          <t>Other</t>
        </is>
      </c>
      <c r="E1146" s="50" t="n">
        <v>2022</v>
      </c>
      <c r="F1146" s="50" t="inlineStr">
        <is>
          <t>2023-05-11</t>
        </is>
      </c>
      <c r="G1146" s="50" t="inlineStr">
        <is>
          <t>2022-06-30</t>
        </is>
      </c>
      <c r="H1146" t="inlineStr">
        <is>
          <t>Peter Rummel</t>
        </is>
      </c>
      <c r="I1146" t="inlineStr">
        <is>
          <t>DIRECTOR, INVESTMENTS</t>
        </is>
      </c>
      <c r="J1146" t="inlineStr">
        <is>
          <t>Director of Investments</t>
        </is>
      </c>
      <c r="K1146" t="inlineStr">
        <is>
          <t>Sr Investment Professional</t>
        </is>
      </c>
      <c r="L1146" s="28" t="n">
        <v>250000</v>
      </c>
      <c r="M1146" s="28" t="n">
        <v>198000</v>
      </c>
      <c r="N1146" s="28" t="n">
        <v>1072</v>
      </c>
      <c r="O1146" s="28" t="n">
        <v>20000</v>
      </c>
      <c r="P1146" s="28" t="n">
        <v>20558</v>
      </c>
      <c r="Q1146" s="28" t="n">
        <v>489630</v>
      </c>
      <c r="R1146" s="28" t="n">
        <v>0</v>
      </c>
      <c r="S1146" s="28">
        <f>Q1146-R1146</f>
        <v/>
      </c>
      <c r="T1146" s="28">
        <f>IF(S1146="","",S1146*(1+in_GrowthRate)^(YEARFRAC(DATE(2022,6,30),in_AgeToDate)*IF(in_AgeToDate&lt;DATE(2022,6,30),-1,1)+1))</f>
        <v/>
      </c>
      <c r="U1146" s="50">
        <f>IF(AND(AND(OR(in_Mode="All Funds",AND(C1146&gt;=in_BandFloor,C1146&lt;=in_BandCeiling,OR(in_Geography="National",COUNTIFS(lst_GeoPreset,in_Geography,lst_GeoState,B1146)&gt;0,AND(in_Geography="Custom",ISNUMBER(SEARCH(B1146,SUBSTITUTE(in_CustomStates," ",""))))),OR(AND(D1146="Endowment",Inputs!$B$14="Y"),AND(D1146="Foundation",Inputs!$B$15="Y"),AND(D1146="Healthcare",Inputs!$B$16="Y"),AND(D1146="Pension",Inputs!$B$17="Y"),AND(D1146="OCIO",Inputs!$B$18="Y"),AND(D1146="Other",Inputs!$B$19="Y")))),A1146&lt;&gt;in_ClientOrg,NOT(AND(in_ExclHarvard="Y",ISNUMBER(SEARCH("Harvard",A1146))))),$AD1146="Y",K1146&lt;&gt;"",S1146&gt;0),"Y","")</f>
        <v/>
      </c>
      <c r="V1146" s="30" t="n">
        <v>0.3652851190498394</v>
      </c>
      <c r="W1146" t="inlineStr"/>
      <c r="X1146" s="28">
        <f>IF(L1146+M1146=0,"",L1146+M1146)</f>
        <v/>
      </c>
      <c r="Y1146" s="38">
        <f>IF(L1146=0,"",M1146/L1146)</f>
        <v/>
      </c>
      <c r="Z1146" t="inlineStr">
        <is>
          <t>Director &amp; Investment Officer</t>
        </is>
      </c>
      <c r="AA1146" t="inlineStr">
        <is>
          <t>Investments</t>
        </is>
      </c>
      <c r="AB1146" s="50" t="inlineStr"/>
      <c r="AC1146" s="43">
        <f>HYPERLINK("https://projects.propublica.org/nonprofits/organizations/131887440/202311319349302326/full","view filing")</f>
        <v/>
      </c>
      <c r="AD1146" s="50" t="inlineStr"/>
    </row>
    <row r="1147">
      <c r="A1147" t="inlineStr">
        <is>
          <t>The Pittsburgh Foundation</t>
        </is>
      </c>
      <c r="B1147" s="50" t="inlineStr">
        <is>
          <t>PA</t>
        </is>
      </c>
      <c r="C1147" s="52" t="n">
        <v>1.32</v>
      </c>
      <c r="D1147" t="inlineStr">
        <is>
          <t>Foundation</t>
        </is>
      </c>
      <c r="E1147" s="50" t="n">
        <v>2024</v>
      </c>
      <c r="F1147" s="50" t="inlineStr">
        <is>
          <t>2025-11-14</t>
        </is>
      </c>
      <c r="G1147" s="50" t="inlineStr">
        <is>
          <t>2024-12-31</t>
        </is>
      </c>
      <c r="H1147" t="inlineStr">
        <is>
          <t>Jonathan Brelsford</t>
        </is>
      </c>
      <c r="I1147" t="inlineStr">
        <is>
          <t>CIO &amp; SVP OPERATIONS</t>
        </is>
      </c>
      <c r="J1147" t="inlineStr">
        <is>
          <t>CIO</t>
        </is>
      </c>
      <c r="K1147" t="inlineStr">
        <is>
          <t>CIO - Top Investment Executive</t>
        </is>
      </c>
      <c r="L1147" s="28" t="n">
        <v>304833</v>
      </c>
      <c r="M1147" s="28" t="n">
        <v>0</v>
      </c>
      <c r="N1147" s="28" t="n">
        <v>2449</v>
      </c>
      <c r="O1147" s="28" t="n">
        <v>31255</v>
      </c>
      <c r="P1147" s="28" t="n">
        <v>40968</v>
      </c>
      <c r="Q1147" s="28" t="n">
        <v>379505</v>
      </c>
      <c r="R1147" s="28" t="n">
        <v>0</v>
      </c>
      <c r="S1147" s="28">
        <f>Q1147-R1147</f>
        <v/>
      </c>
      <c r="T1147" s="28">
        <f>IF(S1147="","",S1147*(1+in_GrowthRate)^(YEARFRAC(DATE(2024,12,31),in_AgeToDate)*IF(in_AgeToDate&lt;DATE(2024,12,31),-1,1)+1))</f>
        <v/>
      </c>
      <c r="U1147" s="50">
        <f>IF(AND(AND(OR(in_Mode="All Funds",AND(C1147&gt;=in_BandFloor,C1147&lt;=in_BandCeiling,OR(in_Geography="National",COUNTIFS(lst_GeoPreset,in_Geography,lst_GeoState,B1147)&gt;0,AND(in_Geography="Custom",ISNUMBER(SEARCH(B1147,SUBSTITUTE(in_CustomStates," ",""))))),OR(AND(D1147="Endowment",Inputs!$B$14="Y"),AND(D1147="Foundation",Inputs!$B$15="Y"),AND(D1147="Healthcare",Inputs!$B$16="Y"),AND(D1147="Pension",Inputs!$B$17="Y"),AND(D1147="OCIO",Inputs!$B$18="Y"),AND(D1147="Other",Inputs!$B$19="Y")))),A1147&lt;&gt;in_ClientOrg,NOT(AND(in_ExclHarvard="Y",ISNUMBER(SEARCH("Harvard",A1147))))),$AD1147="Y",K1147&lt;&gt;"",S1147&gt;0),"Y","")</f>
        <v/>
      </c>
      <c r="V1147" s="30" t="n">
        <v>1</v>
      </c>
      <c r="W1147" t="inlineStr"/>
      <c r="X1147" s="28">
        <f>IF(L1147+M1147=0,"",L1147+M1147)</f>
        <v/>
      </c>
      <c r="Y1147" s="38">
        <f>IF(L1147=0,"",M1147/L1147)</f>
        <v/>
      </c>
      <c r="Z1147" t="inlineStr">
        <is>
          <t>CIO - Top Investment Executive</t>
        </is>
      </c>
      <c r="AA1147" t="inlineStr">
        <is>
          <t>Leadership</t>
        </is>
      </c>
      <c r="AB1147" s="50" t="inlineStr">
        <is>
          <t>Y</t>
        </is>
      </c>
      <c r="AC1147" s="43">
        <f>HYPERLINK("https://projects.propublica.org/nonprofits/organizations/250965466/202523189349308222/full","view filing")</f>
        <v/>
      </c>
      <c r="AD1147" s="50" t="inlineStr">
        <is>
          <t>Y</t>
        </is>
      </c>
    </row>
    <row r="1148">
      <c r="A1148" t="inlineStr">
        <is>
          <t>The Pittsburgh Foundation</t>
        </is>
      </c>
      <c r="B1148" s="50" t="inlineStr">
        <is>
          <t>PA</t>
        </is>
      </c>
      <c r="C1148" s="52" t="n">
        <v>1.32</v>
      </c>
      <c r="D1148" t="inlineStr">
        <is>
          <t>Foundation</t>
        </is>
      </c>
      <c r="E1148" s="50" t="n">
        <v>2023</v>
      </c>
      <c r="F1148" s="50" t="inlineStr">
        <is>
          <t>2024-11-14</t>
        </is>
      </c>
      <c r="G1148" s="50" t="inlineStr">
        <is>
          <t>2023-12-31</t>
        </is>
      </c>
      <c r="H1148" t="inlineStr">
        <is>
          <t>Jonathan Brelsford</t>
        </is>
      </c>
      <c r="I1148" t="inlineStr">
        <is>
          <t>CIO &amp; SVP OPERATIONS</t>
        </is>
      </c>
      <c r="J1148" t="inlineStr">
        <is>
          <t>CIO</t>
        </is>
      </c>
      <c r="K1148" t="inlineStr">
        <is>
          <t>CIO - Top Investment Executive</t>
        </is>
      </c>
      <c r="L1148" s="28" t="n">
        <v>290865</v>
      </c>
      <c r="M1148" s="28" t="n">
        <v>0</v>
      </c>
      <c r="N1148" s="28" t="n">
        <v>2322</v>
      </c>
      <c r="O1148" s="28" t="n">
        <v>29767</v>
      </c>
      <c r="P1148" s="28" t="n">
        <v>38498</v>
      </c>
      <c r="Q1148" s="28" t="n">
        <v>361452</v>
      </c>
      <c r="R1148" s="28" t="n">
        <v>0</v>
      </c>
      <c r="S1148" s="28">
        <f>Q1148-R1148</f>
        <v/>
      </c>
      <c r="T1148" s="28">
        <f>IF(S1148="","",S1148*(1+in_GrowthRate)^(YEARFRAC(DATE(2023,12,31),in_AgeToDate)*IF(in_AgeToDate&lt;DATE(2023,12,31),-1,1)+1))</f>
        <v/>
      </c>
      <c r="U1148" s="50">
        <f>IF(AND(AND(OR(in_Mode="All Funds",AND(C1148&gt;=in_BandFloor,C1148&lt;=in_BandCeiling,OR(in_Geography="National",COUNTIFS(lst_GeoPreset,in_Geography,lst_GeoState,B1148)&gt;0,AND(in_Geography="Custom",ISNUMBER(SEARCH(B1148,SUBSTITUTE(in_CustomStates," ",""))))),OR(AND(D1148="Endowment",Inputs!$B$14="Y"),AND(D1148="Foundation",Inputs!$B$15="Y"),AND(D1148="Healthcare",Inputs!$B$16="Y"),AND(D1148="Pension",Inputs!$B$17="Y"),AND(D1148="OCIO",Inputs!$B$18="Y"),AND(D1148="Other",Inputs!$B$19="Y")))),A1148&lt;&gt;in_ClientOrg,NOT(AND(in_ExclHarvard="Y",ISNUMBER(SEARCH("Harvard",A1148))))),$AD1148="Y",K1148&lt;&gt;"",S1148&gt;0),"Y","")</f>
        <v/>
      </c>
      <c r="V1148" s="30" t="n">
        <v>1</v>
      </c>
      <c r="W1148" t="inlineStr"/>
      <c r="X1148" s="28">
        <f>IF(L1148+M1148=0,"",L1148+M1148)</f>
        <v/>
      </c>
      <c r="Y1148" s="38">
        <f>IF(L1148=0,"",M1148/L1148)</f>
        <v/>
      </c>
      <c r="Z1148" t="inlineStr">
        <is>
          <t>CIO - Top Investment Executive</t>
        </is>
      </c>
      <c r="AA1148" t="inlineStr">
        <is>
          <t>Leadership</t>
        </is>
      </c>
      <c r="AB1148" s="50" t="inlineStr">
        <is>
          <t>Y</t>
        </is>
      </c>
      <c r="AC1148" s="43">
        <f>HYPERLINK("https://projects.propublica.org/nonprofits/organizations/250965466/202443199349313144/full","view filing")</f>
        <v/>
      </c>
      <c r="AD1148" s="50" t="inlineStr"/>
    </row>
    <row r="1149">
      <c r="A1149" t="inlineStr">
        <is>
          <t>The Trustees Of Grinnell College</t>
        </is>
      </c>
      <c r="B1149" s="50" t="inlineStr">
        <is>
          <t>IA</t>
        </is>
      </c>
      <c r="C1149" s="52" t="n">
        <v>2.85</v>
      </c>
      <c r="D1149" t="inlineStr">
        <is>
          <t>Endowment</t>
        </is>
      </c>
      <c r="E1149" s="50" t="n">
        <v>2025</v>
      </c>
      <c r="F1149" s="50" t="inlineStr">
        <is>
          <t>2026-05-06</t>
        </is>
      </c>
      <c r="G1149" s="50" t="inlineStr">
        <is>
          <t>2025-06-30</t>
        </is>
      </c>
      <c r="H1149" t="inlineStr">
        <is>
          <t>Jainen Thayer</t>
        </is>
      </c>
      <c r="I1149" t="inlineStr">
        <is>
          <t>CHIEF INVESTMENT OFFICER</t>
        </is>
      </c>
      <c r="J1149" t="inlineStr">
        <is>
          <t>CIO</t>
        </is>
      </c>
      <c r="K1149" t="inlineStr">
        <is>
          <t>CIO - Top Investment Executive</t>
        </is>
      </c>
      <c r="L1149" s="28" t="n">
        <v>631676</v>
      </c>
      <c r="M1149" s="28" t="n">
        <v>370288</v>
      </c>
      <c r="N1149" s="28" t="n">
        <v>966</v>
      </c>
      <c r="O1149" s="28" t="n">
        <v>34500</v>
      </c>
      <c r="P1149" s="28" t="n">
        <v>35670</v>
      </c>
      <c r="Q1149" s="28" t="n">
        <v>1073100</v>
      </c>
      <c r="R1149" s="28" t="n">
        <v>0</v>
      </c>
      <c r="S1149" s="28">
        <f>Q1149-R1149</f>
        <v/>
      </c>
      <c r="T1149" s="28">
        <f>IF(S1149="","",S1149*(1+in_GrowthRate)^(YEARFRAC(DATE(2025,6,30),in_AgeToDate)*IF(in_AgeToDate&lt;DATE(2025,6,30),-1,1)+1))</f>
        <v/>
      </c>
      <c r="U1149" s="50">
        <f>IF(AND(AND(OR(in_Mode="All Funds",AND(C1149&gt;=in_BandFloor,C1149&lt;=in_BandCeiling,OR(in_Geography="National",COUNTIFS(lst_GeoPreset,in_Geography,lst_GeoState,B1149)&gt;0,AND(in_Geography="Custom",ISNUMBER(SEARCH(B1149,SUBSTITUTE(in_CustomStates," ",""))))),OR(AND(D1149="Endowment",Inputs!$B$14="Y"),AND(D1149="Foundation",Inputs!$B$15="Y"),AND(D1149="Healthcare",Inputs!$B$16="Y"),AND(D1149="Pension",Inputs!$B$17="Y"),AND(D1149="OCIO",Inputs!$B$18="Y"),AND(D1149="Other",Inputs!$B$19="Y")))),A1149&lt;&gt;in_ClientOrg,NOT(AND(in_ExclHarvard="Y",ISNUMBER(SEARCH("Harvard",A1149))))),$AD1149="Y",K1149&lt;&gt;"",S1149&gt;0),"Y","")</f>
        <v/>
      </c>
      <c r="V1149" s="30" t="n">
        <v>1</v>
      </c>
      <c r="W1149" t="inlineStr"/>
      <c r="X1149" s="28">
        <f>IF(L1149+M1149=0,"",L1149+M1149)</f>
        <v/>
      </c>
      <c r="Y1149" s="38">
        <f>IF(L1149=0,"",M1149/L1149)</f>
        <v/>
      </c>
      <c r="Z1149" t="inlineStr">
        <is>
          <t>CIO - Top Investment Executive</t>
        </is>
      </c>
      <c r="AA1149" t="inlineStr">
        <is>
          <t>Leadership</t>
        </is>
      </c>
      <c r="AB1149" s="50" t="inlineStr">
        <is>
          <t>Y</t>
        </is>
      </c>
      <c r="AC1149" s="43">
        <f>HYPERLINK("https://projects.propublica.org/nonprofits/organizations/420680387/202631269349301868/full","view filing")</f>
        <v/>
      </c>
      <c r="AD1149" s="50" t="inlineStr">
        <is>
          <t>Y</t>
        </is>
      </c>
    </row>
    <row r="1150">
      <c r="A1150" t="inlineStr">
        <is>
          <t>The Trustees Of Grinnell College</t>
        </is>
      </c>
      <c r="B1150" s="50" t="inlineStr">
        <is>
          <t>IA</t>
        </is>
      </c>
      <c r="C1150" s="52" t="n">
        <v>2.85</v>
      </c>
      <c r="D1150" t="inlineStr">
        <is>
          <t>Endowment</t>
        </is>
      </c>
      <c r="E1150" s="50" t="n">
        <v>2025</v>
      </c>
      <c r="F1150" s="50" t="inlineStr">
        <is>
          <t>2026-05-06</t>
        </is>
      </c>
      <c r="G1150" s="50" t="inlineStr">
        <is>
          <t>2025-06-30</t>
        </is>
      </c>
      <c r="H1150" t="inlineStr">
        <is>
          <t>Kerri Gandin</t>
        </is>
      </c>
      <c r="I1150" t="inlineStr">
        <is>
          <t>MANAGING DIRECTOR, INVEST. OPERATIONS</t>
        </is>
      </c>
      <c r="J1150" t="inlineStr">
        <is>
          <t>Managing Director</t>
        </is>
      </c>
      <c r="K1150" t="inlineStr">
        <is>
          <t>COO (Investment Office)</t>
        </is>
      </c>
      <c r="L1150" s="28" t="n">
        <v>370486</v>
      </c>
      <c r="M1150" s="28" t="n">
        <v>150000</v>
      </c>
      <c r="N1150" s="28" t="n">
        <v>95</v>
      </c>
      <c r="O1150" s="28" t="n">
        <v>34500</v>
      </c>
      <c r="P1150" s="28" t="n">
        <v>31592</v>
      </c>
      <c r="Q1150" s="28" t="n">
        <v>586673</v>
      </c>
      <c r="R1150" s="28" t="n">
        <v>0</v>
      </c>
      <c r="S1150" s="28">
        <f>Q1150-R1150</f>
        <v/>
      </c>
      <c r="T1150" s="28">
        <f>IF(S1150="","",S1150*(1+in_GrowthRate)^(YEARFRAC(DATE(2025,6,30),in_AgeToDate)*IF(in_AgeToDate&lt;DATE(2025,6,30),-1,1)+1))</f>
        <v/>
      </c>
      <c r="U1150" s="50">
        <f>IF(AND(AND(OR(in_Mode="All Funds",AND(C1150&gt;=in_BandFloor,C1150&lt;=in_BandCeiling,OR(in_Geography="National",COUNTIFS(lst_GeoPreset,in_Geography,lst_GeoState,B1150)&gt;0,AND(in_Geography="Custom",ISNUMBER(SEARCH(B1150,SUBSTITUTE(in_CustomStates," ",""))))),OR(AND(D1150="Endowment",Inputs!$B$14="Y"),AND(D1150="Foundation",Inputs!$B$15="Y"),AND(D1150="Healthcare",Inputs!$B$16="Y"),AND(D1150="Pension",Inputs!$B$17="Y"),AND(D1150="OCIO",Inputs!$B$18="Y"),AND(D1150="Other",Inputs!$B$19="Y")))),A1150&lt;&gt;in_ClientOrg,NOT(AND(in_ExclHarvard="Y",ISNUMBER(SEARCH("Harvard",A1150))))),$AD1150="Y",K1150&lt;&gt;"",S1150&gt;0),"Y","")</f>
        <v/>
      </c>
      <c r="V1150" s="30" t="n">
        <v>0.5467086012487187</v>
      </c>
      <c r="W1150" t="inlineStr"/>
      <c r="X1150" s="28">
        <f>IF(L1150+M1150=0,"",L1150+M1150)</f>
        <v/>
      </c>
      <c r="Y1150" s="38">
        <f>IF(L1150=0,"",M1150/L1150)</f>
        <v/>
      </c>
      <c r="Z1150" t="inlineStr">
        <is>
          <t>COO (Investment Office)</t>
        </is>
      </c>
      <c r="AA1150" t="inlineStr">
        <is>
          <t>Operations &amp; Control</t>
        </is>
      </c>
      <c r="AB1150" s="50" t="inlineStr"/>
      <c r="AC1150" s="43">
        <f>HYPERLINK("https://projects.propublica.org/nonprofits/organizations/420680387/202631269349301868/full","view filing")</f>
        <v/>
      </c>
      <c r="AD1150" s="50" t="inlineStr">
        <is>
          <t>Y</t>
        </is>
      </c>
    </row>
    <row r="1151">
      <c r="A1151" t="inlineStr">
        <is>
          <t>The Trustees Of Grinnell College</t>
        </is>
      </c>
      <c r="B1151" s="50" t="inlineStr">
        <is>
          <t>IA</t>
        </is>
      </c>
      <c r="C1151" s="52" t="n">
        <v>2.85</v>
      </c>
      <c r="D1151" t="inlineStr">
        <is>
          <t>Endowment</t>
        </is>
      </c>
      <c r="E1151" s="50" t="n">
        <v>2025</v>
      </c>
      <c r="F1151" s="50" t="inlineStr">
        <is>
          <t>2026-05-06</t>
        </is>
      </c>
      <c r="G1151" s="50" t="inlineStr">
        <is>
          <t>2025-06-30</t>
        </is>
      </c>
      <c r="H1151" t="inlineStr">
        <is>
          <t>Lacey Johnson</t>
        </is>
      </c>
      <c r="I1151" t="inlineStr">
        <is>
          <t>MANAGING DIRECTOR, INVESTMENTS</t>
        </is>
      </c>
      <c r="J1151" t="inlineStr">
        <is>
          <t>Managing Director</t>
        </is>
      </c>
      <c r="K1151" t="inlineStr">
        <is>
          <t>Sr Investment Professional</t>
        </is>
      </c>
      <c r="L1151" s="28" t="n">
        <v>367279</v>
      </c>
      <c r="M1151" s="28" t="n">
        <v>250000</v>
      </c>
      <c r="N1151" s="28" t="n">
        <v>378</v>
      </c>
      <c r="O1151" s="28" t="n">
        <v>34500</v>
      </c>
      <c r="P1151" s="28" t="n">
        <v>30790</v>
      </c>
      <c r="Q1151" s="28" t="n">
        <v>682947</v>
      </c>
      <c r="R1151" s="28" t="n">
        <v>0</v>
      </c>
      <c r="S1151" s="28">
        <f>Q1151-R1151</f>
        <v/>
      </c>
      <c r="T1151" s="28">
        <f>IF(S1151="","",S1151*(1+in_GrowthRate)^(YEARFRAC(DATE(2025,6,30),in_AgeToDate)*IF(in_AgeToDate&lt;DATE(2025,6,30),-1,1)+1))</f>
        <v/>
      </c>
      <c r="U1151" s="50">
        <f>IF(AND(AND(OR(in_Mode="All Funds",AND(C1151&gt;=in_BandFloor,C1151&lt;=in_BandCeiling,OR(in_Geography="National",COUNTIFS(lst_GeoPreset,in_Geography,lst_GeoState,B1151)&gt;0,AND(in_Geography="Custom",ISNUMBER(SEARCH(B1151,SUBSTITUTE(in_CustomStates," ",""))))),OR(AND(D1151="Endowment",Inputs!$B$14="Y"),AND(D1151="Foundation",Inputs!$B$15="Y"),AND(D1151="Healthcare",Inputs!$B$16="Y"),AND(D1151="Pension",Inputs!$B$17="Y"),AND(D1151="OCIO",Inputs!$B$18="Y"),AND(D1151="Other",Inputs!$B$19="Y")))),A1151&lt;&gt;in_ClientOrg,NOT(AND(in_ExclHarvard="Y",ISNUMBER(SEARCH("Harvard",A1151))))),$AD1151="Y",K1151&lt;&gt;"",S1151&gt;0),"Y","")</f>
        <v/>
      </c>
      <c r="V1151" s="30" t="n">
        <v>0.6364243779703662</v>
      </c>
      <c r="W1151" t="inlineStr"/>
      <c r="X1151" s="28">
        <f>IF(L1151+M1151=0,"",L1151+M1151)</f>
        <v/>
      </c>
      <c r="Y1151" s="38">
        <f>IF(L1151=0,"",M1151/L1151)</f>
        <v/>
      </c>
      <c r="Z1151" t="inlineStr">
        <is>
          <t>Managing Director</t>
        </is>
      </c>
      <c r="AA1151" t="inlineStr">
        <is>
          <t>Investments</t>
        </is>
      </c>
      <c r="AB1151" s="50" t="inlineStr"/>
      <c r="AC1151" s="43">
        <f>HYPERLINK("https://projects.propublica.org/nonprofits/organizations/420680387/202631269349301868/full","view filing")</f>
        <v/>
      </c>
      <c r="AD1151" s="50" t="inlineStr">
        <is>
          <t>Y</t>
        </is>
      </c>
    </row>
    <row r="1152">
      <c r="A1152" t="inlineStr">
        <is>
          <t>The Trustees Of Grinnell College</t>
        </is>
      </c>
      <c r="B1152" s="50" t="inlineStr">
        <is>
          <t>IA</t>
        </is>
      </c>
      <c r="C1152" s="52" t="n">
        <v>2.85</v>
      </c>
      <c r="D1152" t="inlineStr">
        <is>
          <t>Endowment</t>
        </is>
      </c>
      <c r="E1152" s="50" t="n">
        <v>2025</v>
      </c>
      <c r="F1152" s="50" t="inlineStr">
        <is>
          <t>2026-05-06</t>
        </is>
      </c>
      <c r="G1152" s="50" t="inlineStr">
        <is>
          <t>2025-06-30</t>
        </is>
      </c>
      <c r="H1152" t="inlineStr">
        <is>
          <t>Robert Welch</t>
        </is>
      </c>
      <c r="I1152" t="inlineStr">
        <is>
          <t>DIRECTOR OF INVESTMENTS</t>
        </is>
      </c>
      <c r="J1152" t="inlineStr">
        <is>
          <t>Director of Investments</t>
        </is>
      </c>
      <c r="K1152" t="inlineStr">
        <is>
          <t>Sr Investment Professional</t>
        </is>
      </c>
      <c r="L1152" s="28" t="n">
        <v>253437</v>
      </c>
      <c r="M1152" s="28" t="n">
        <v>50000</v>
      </c>
      <c r="N1152" s="28" t="n">
        <v>351</v>
      </c>
      <c r="O1152" s="28" t="n">
        <v>30344</v>
      </c>
      <c r="P1152" s="28" t="n">
        <v>2151</v>
      </c>
      <c r="Q1152" s="28" t="n">
        <v>336283</v>
      </c>
      <c r="R1152" s="28" t="n">
        <v>0</v>
      </c>
      <c r="S1152" s="28">
        <f>Q1152-R1152</f>
        <v/>
      </c>
      <c r="T1152" s="28">
        <f>IF(S1152="","",S1152*(1+in_GrowthRate)^(YEARFRAC(DATE(2025,6,30),in_AgeToDate)*IF(in_AgeToDate&lt;DATE(2025,6,30),-1,1)+1))</f>
        <v/>
      </c>
      <c r="U1152" s="50">
        <f>IF(AND(AND(OR(in_Mode="All Funds",AND(C1152&gt;=in_BandFloor,C1152&lt;=in_BandCeiling,OR(in_Geography="National",COUNTIFS(lst_GeoPreset,in_Geography,lst_GeoState,B1152)&gt;0,AND(in_Geography="Custom",ISNUMBER(SEARCH(B1152,SUBSTITUTE(in_CustomStates," ",""))))),OR(AND(D1152="Endowment",Inputs!$B$14="Y"),AND(D1152="Foundation",Inputs!$B$15="Y"),AND(D1152="Healthcare",Inputs!$B$16="Y"),AND(D1152="Pension",Inputs!$B$17="Y"),AND(D1152="OCIO",Inputs!$B$18="Y"),AND(D1152="Other",Inputs!$B$19="Y")))),A1152&lt;&gt;in_ClientOrg,NOT(AND(in_ExclHarvard="Y",ISNUMBER(SEARCH("Harvard",A1152))))),$AD1152="Y",K1152&lt;&gt;"",S1152&gt;0),"Y","")</f>
        <v/>
      </c>
      <c r="V1152" s="30" t="n">
        <v>0.3133752679153853</v>
      </c>
      <c r="W1152" t="inlineStr"/>
      <c r="X1152" s="28">
        <f>IF(L1152+M1152=0,"",L1152+M1152)</f>
        <v/>
      </c>
      <c r="Y1152" s="38">
        <f>IF(L1152=0,"",M1152/L1152)</f>
        <v/>
      </c>
      <c r="Z1152" t="inlineStr">
        <is>
          <t>Director &amp; Investment Officer</t>
        </is>
      </c>
      <c r="AA1152" t="inlineStr">
        <is>
          <t>Investments</t>
        </is>
      </c>
      <c r="AB1152" s="50" t="inlineStr"/>
      <c r="AC1152" s="43">
        <f>HYPERLINK("https://projects.propublica.org/nonprofits/organizations/420680387/202631269349301868/full","view filing")</f>
        <v/>
      </c>
      <c r="AD1152" s="50" t="inlineStr">
        <is>
          <t>Y</t>
        </is>
      </c>
    </row>
    <row r="1153">
      <c r="A1153" t="inlineStr">
        <is>
          <t>The Trustees Of Grinnell College</t>
        </is>
      </c>
      <c r="B1153" s="50" t="inlineStr">
        <is>
          <t>IA</t>
        </is>
      </c>
      <c r="C1153" s="52" t="n">
        <v>2.85</v>
      </c>
      <c r="D1153" t="inlineStr">
        <is>
          <t>Endowment</t>
        </is>
      </c>
      <c r="E1153" s="50" t="n">
        <v>2025</v>
      </c>
      <c r="F1153" s="50" t="inlineStr">
        <is>
          <t>2026-05-06</t>
        </is>
      </c>
      <c r="G1153" s="50" t="inlineStr">
        <is>
          <t>2025-06-30</t>
        </is>
      </c>
      <c r="H1153" t="inlineStr">
        <is>
          <t>Valbona Schwab</t>
        </is>
      </c>
      <c r="I1153" t="inlineStr">
        <is>
          <t>DEPUTY CHIEF INVESTMENT OFFICER</t>
        </is>
      </c>
      <c r="J1153" t="inlineStr">
        <is>
          <t>Deputy CIO</t>
        </is>
      </c>
      <c r="K1153" t="inlineStr">
        <is>
          <t>Sr Investment Professional</t>
        </is>
      </c>
      <c r="L1153" s="28" t="n">
        <v>426215</v>
      </c>
      <c r="M1153" s="28" t="n">
        <v>303178</v>
      </c>
      <c r="N1153" s="28" t="n">
        <v>966</v>
      </c>
      <c r="O1153" s="28" t="n">
        <v>34500</v>
      </c>
      <c r="P1153" s="28" t="n">
        <v>86976</v>
      </c>
      <c r="Q1153" s="28" t="n">
        <v>851835</v>
      </c>
      <c r="R1153" s="28" t="n">
        <v>0</v>
      </c>
      <c r="S1153" s="28">
        <f>Q1153-R1153</f>
        <v/>
      </c>
      <c r="T1153" s="28">
        <f>IF(S1153="","",S1153*(1+in_GrowthRate)^(YEARFRAC(DATE(2025,6,30),in_AgeToDate)*IF(in_AgeToDate&lt;DATE(2025,6,30),-1,1)+1))</f>
        <v/>
      </c>
      <c r="U1153" s="50">
        <f>IF(AND(AND(OR(in_Mode="All Funds",AND(C1153&gt;=in_BandFloor,C1153&lt;=in_BandCeiling,OR(in_Geography="National",COUNTIFS(lst_GeoPreset,in_Geography,lst_GeoState,B1153)&gt;0,AND(in_Geography="Custom",ISNUMBER(SEARCH(B1153,SUBSTITUTE(in_CustomStates," ",""))))),OR(AND(D1153="Endowment",Inputs!$B$14="Y"),AND(D1153="Foundation",Inputs!$B$15="Y"),AND(D1153="Healthcare",Inputs!$B$16="Y"),AND(D1153="Pension",Inputs!$B$17="Y"),AND(D1153="OCIO",Inputs!$B$18="Y"),AND(D1153="Other",Inputs!$B$19="Y")))),A1153&lt;&gt;in_ClientOrg,NOT(AND(in_ExclHarvard="Y",ISNUMBER(SEARCH("Harvard",A1153))))),$AD1153="Y",K1153&lt;&gt;"",S1153&gt;0),"Y","")</f>
        <v/>
      </c>
      <c r="V1153" s="30" t="n">
        <v>0.7938076600503216</v>
      </c>
      <c r="W1153" t="inlineStr"/>
      <c r="X1153" s="28">
        <f>IF(L1153+M1153=0,"",L1153+M1153)</f>
        <v/>
      </c>
      <c r="Y1153" s="38">
        <f>IF(L1153=0,"",M1153/L1153)</f>
        <v/>
      </c>
      <c r="Z1153" t="inlineStr">
        <is>
          <t>Deputy CIO</t>
        </is>
      </c>
      <c r="AA1153" t="inlineStr">
        <is>
          <t>Leadership</t>
        </is>
      </c>
      <c r="AB1153" s="50" t="inlineStr"/>
      <c r="AC1153" s="43">
        <f>HYPERLINK("https://projects.propublica.org/nonprofits/organizations/420680387/202631269349301868/full","view filing")</f>
        <v/>
      </c>
      <c r="AD1153" s="50" t="inlineStr">
        <is>
          <t>Y</t>
        </is>
      </c>
    </row>
    <row r="1154">
      <c r="A1154" t="inlineStr">
        <is>
          <t>The Trustees Of Grinnell College</t>
        </is>
      </c>
      <c r="B1154" s="50" t="inlineStr">
        <is>
          <t>IA</t>
        </is>
      </c>
      <c r="C1154" s="52" t="n">
        <v>2.85</v>
      </c>
      <c r="D1154" t="inlineStr">
        <is>
          <t>Endowment</t>
        </is>
      </c>
      <c r="E1154" s="50" t="n">
        <v>2024</v>
      </c>
      <c r="F1154" s="50" t="inlineStr">
        <is>
          <t>2025-06-30</t>
        </is>
      </c>
      <c r="G1154" s="50" t="inlineStr">
        <is>
          <t>2024-06-30</t>
        </is>
      </c>
      <c r="H1154" t="inlineStr">
        <is>
          <t>Jainen Thayer</t>
        </is>
      </c>
      <c r="I1154" t="inlineStr">
        <is>
          <t>CHIEF INVESTMENT OFFICER</t>
        </is>
      </c>
      <c r="J1154" t="inlineStr">
        <is>
          <t>CIO</t>
        </is>
      </c>
      <c r="K1154" t="inlineStr">
        <is>
          <t>CIO - Top Investment Executive</t>
        </is>
      </c>
      <c r="L1154" s="28" t="n">
        <v>586253</v>
      </c>
      <c r="M1154" s="28" t="n">
        <v>445939</v>
      </c>
      <c r="N1154" s="28" t="n">
        <v>1016</v>
      </c>
      <c r="O1154" s="28" t="n">
        <v>33000</v>
      </c>
      <c r="P1154" s="28" t="n">
        <v>39831</v>
      </c>
      <c r="Q1154" s="28" t="n">
        <v>1106039</v>
      </c>
      <c r="R1154" s="28" t="n">
        <v>0</v>
      </c>
      <c r="S1154" s="28">
        <f>Q1154-R1154</f>
        <v/>
      </c>
      <c r="T1154" s="28">
        <f>IF(S1154="","",S1154*(1+in_GrowthRate)^(YEARFRAC(DATE(2024,6,30),in_AgeToDate)*IF(in_AgeToDate&lt;DATE(2024,6,30),-1,1)+1))</f>
        <v/>
      </c>
      <c r="U1154" s="50">
        <f>IF(AND(AND(OR(in_Mode="All Funds",AND(C1154&gt;=in_BandFloor,C1154&lt;=in_BandCeiling,OR(in_Geography="National",COUNTIFS(lst_GeoPreset,in_Geography,lst_GeoState,B1154)&gt;0,AND(in_Geography="Custom",ISNUMBER(SEARCH(B1154,SUBSTITUTE(in_CustomStates," ",""))))),OR(AND(D1154="Endowment",Inputs!$B$14="Y"),AND(D1154="Foundation",Inputs!$B$15="Y"),AND(D1154="Healthcare",Inputs!$B$16="Y"),AND(D1154="Pension",Inputs!$B$17="Y"),AND(D1154="OCIO",Inputs!$B$18="Y"),AND(D1154="Other",Inputs!$B$19="Y")))),A1154&lt;&gt;in_ClientOrg,NOT(AND(in_ExclHarvard="Y",ISNUMBER(SEARCH("Harvard",A1154))))),$AD1154="Y",K1154&lt;&gt;"",S1154&gt;0),"Y","")</f>
        <v/>
      </c>
      <c r="V1154" s="30" t="n">
        <v>1</v>
      </c>
      <c r="W1154" t="inlineStr"/>
      <c r="X1154" s="28">
        <f>IF(L1154+M1154=0,"",L1154+M1154)</f>
        <v/>
      </c>
      <c r="Y1154" s="38">
        <f>IF(L1154=0,"",M1154/L1154)</f>
        <v/>
      </c>
      <c r="Z1154" t="inlineStr">
        <is>
          <t>CIO - Top Investment Executive</t>
        </is>
      </c>
      <c r="AA1154" t="inlineStr">
        <is>
          <t>Leadership</t>
        </is>
      </c>
      <c r="AB1154" s="50" t="inlineStr">
        <is>
          <t>Y</t>
        </is>
      </c>
      <c r="AC1154" s="43">
        <f>HYPERLINK("https://projects.propublica.org/nonprofits/organizations/420680387/202511289349300406/full","view filing")</f>
        <v/>
      </c>
      <c r="AD1154" s="50" t="inlineStr"/>
    </row>
    <row r="1155">
      <c r="A1155" t="inlineStr">
        <is>
          <t>The Trustees Of Grinnell College</t>
        </is>
      </c>
      <c r="B1155" s="50" t="inlineStr">
        <is>
          <t>IA</t>
        </is>
      </c>
      <c r="C1155" s="52" t="n">
        <v>2.85</v>
      </c>
      <c r="D1155" t="inlineStr">
        <is>
          <t>Endowment</t>
        </is>
      </c>
      <c r="E1155" s="50" t="n">
        <v>2024</v>
      </c>
      <c r="F1155" s="50" t="inlineStr">
        <is>
          <t>2025-06-30</t>
        </is>
      </c>
      <c r="G1155" s="50" t="inlineStr">
        <is>
          <t>2024-06-30</t>
        </is>
      </c>
      <c r="H1155" t="inlineStr">
        <is>
          <t>Lacey F Johnson</t>
        </is>
      </c>
      <c r="I1155" t="inlineStr">
        <is>
          <t>MANAGING DIRECTOR</t>
        </is>
      </c>
      <c r="J1155" t="inlineStr">
        <is>
          <t>Managing Director</t>
        </is>
      </c>
      <c r="K1155" t="inlineStr">
        <is>
          <t>Sr Investment Professional</t>
        </is>
      </c>
      <c r="L1155" s="28" t="n">
        <v>311016</v>
      </c>
      <c r="M1155" s="28" t="n">
        <v>90000</v>
      </c>
      <c r="N1155" s="28" t="n">
        <v>378</v>
      </c>
      <c r="O1155" s="28" t="n">
        <v>33000</v>
      </c>
      <c r="P1155" s="28" t="n">
        <v>12322</v>
      </c>
      <c r="Q1155" s="28" t="n">
        <v>446716</v>
      </c>
      <c r="R1155" s="28" t="n">
        <v>0</v>
      </c>
      <c r="S1155" s="28">
        <f>Q1155-R1155</f>
        <v/>
      </c>
      <c r="T1155" s="28">
        <f>IF(S1155="","",S1155*(1+in_GrowthRate)^(YEARFRAC(DATE(2024,6,30),in_AgeToDate)*IF(in_AgeToDate&lt;DATE(2024,6,30),-1,1)+1))</f>
        <v/>
      </c>
      <c r="U1155" s="50">
        <f>IF(AND(AND(OR(in_Mode="All Funds",AND(C1155&gt;=in_BandFloor,C1155&lt;=in_BandCeiling,OR(in_Geography="National",COUNTIFS(lst_GeoPreset,in_Geography,lst_GeoState,B1155)&gt;0,AND(in_Geography="Custom",ISNUMBER(SEARCH(B1155,SUBSTITUTE(in_CustomStates," ",""))))),OR(AND(D1155="Endowment",Inputs!$B$14="Y"),AND(D1155="Foundation",Inputs!$B$15="Y"),AND(D1155="Healthcare",Inputs!$B$16="Y"),AND(D1155="Pension",Inputs!$B$17="Y"),AND(D1155="OCIO",Inputs!$B$18="Y"),AND(D1155="Other",Inputs!$B$19="Y")))),A1155&lt;&gt;in_ClientOrg,NOT(AND(in_ExclHarvard="Y",ISNUMBER(SEARCH("Harvard",A1155))))),$AD1155="Y",K1155&lt;&gt;"",S1155&gt;0),"Y","")</f>
        <v/>
      </c>
      <c r="V1155" s="30" t="n">
        <v>0.4038881088279889</v>
      </c>
      <c r="W1155" t="inlineStr"/>
      <c r="X1155" s="28">
        <f>IF(L1155+M1155=0,"",L1155+M1155)</f>
        <v/>
      </c>
      <c r="Y1155" s="38">
        <f>IF(L1155=0,"",M1155/L1155)</f>
        <v/>
      </c>
      <c r="Z1155" t="inlineStr">
        <is>
          <t>Managing Director</t>
        </is>
      </c>
      <c r="AA1155" t="inlineStr">
        <is>
          <t>Investments</t>
        </is>
      </c>
      <c r="AB1155" s="50" t="inlineStr"/>
      <c r="AC1155" s="43">
        <f>HYPERLINK("https://projects.propublica.org/nonprofits/organizations/420680387/202511289349300406/full","view filing")</f>
        <v/>
      </c>
      <c r="AD1155" s="50" t="inlineStr"/>
    </row>
    <row r="1156">
      <c r="A1156" t="inlineStr">
        <is>
          <t>The Trustees Of Grinnell College</t>
        </is>
      </c>
      <c r="B1156" s="50" t="inlineStr">
        <is>
          <t>IA</t>
        </is>
      </c>
      <c r="C1156" s="52" t="n">
        <v>2.85</v>
      </c>
      <c r="D1156" t="inlineStr">
        <is>
          <t>Endowment</t>
        </is>
      </c>
      <c r="E1156" s="50" t="n">
        <v>2024</v>
      </c>
      <c r="F1156" s="50" t="inlineStr">
        <is>
          <t>2025-06-30</t>
        </is>
      </c>
      <c r="G1156" s="50" t="inlineStr">
        <is>
          <t>2024-06-30</t>
        </is>
      </c>
      <c r="H1156" t="inlineStr">
        <is>
          <t>Robert Welch</t>
        </is>
      </c>
      <c r="I1156" t="inlineStr">
        <is>
          <t>DIRECTOR OF INVESTMENTS</t>
        </is>
      </c>
      <c r="J1156" t="inlineStr">
        <is>
          <t>Director of Investments</t>
        </is>
      </c>
      <c r="K1156" t="inlineStr">
        <is>
          <t>Sr Investment Professional</t>
        </is>
      </c>
      <c r="L1156" s="28" t="n">
        <v>213875</v>
      </c>
      <c r="M1156" s="28" t="n">
        <v>40704</v>
      </c>
      <c r="N1156" s="28" t="n">
        <v>311</v>
      </c>
      <c r="O1156" s="28" t="n">
        <v>25460</v>
      </c>
      <c r="P1156" s="28" t="n">
        <v>2450</v>
      </c>
      <c r="Q1156" s="28" t="n">
        <v>282800</v>
      </c>
      <c r="R1156" s="28" t="n">
        <v>0</v>
      </c>
      <c r="S1156" s="28">
        <f>Q1156-R1156</f>
        <v/>
      </c>
      <c r="T1156" s="28">
        <f>IF(S1156="","",S1156*(1+in_GrowthRate)^(YEARFRAC(DATE(2024,6,30),in_AgeToDate)*IF(in_AgeToDate&lt;DATE(2024,6,30),-1,1)+1))</f>
        <v/>
      </c>
      <c r="U1156" s="50">
        <f>IF(AND(AND(OR(in_Mode="All Funds",AND(C1156&gt;=in_BandFloor,C1156&lt;=in_BandCeiling,OR(in_Geography="National",COUNTIFS(lst_GeoPreset,in_Geography,lst_GeoState,B1156)&gt;0,AND(in_Geography="Custom",ISNUMBER(SEARCH(B1156,SUBSTITUTE(in_CustomStates," ",""))))),OR(AND(D1156="Endowment",Inputs!$B$14="Y"),AND(D1156="Foundation",Inputs!$B$15="Y"),AND(D1156="Healthcare",Inputs!$B$16="Y"),AND(D1156="Pension",Inputs!$B$17="Y"),AND(D1156="OCIO",Inputs!$B$18="Y"),AND(D1156="Other",Inputs!$B$19="Y")))),A1156&lt;&gt;in_ClientOrg,NOT(AND(in_ExclHarvard="Y",ISNUMBER(SEARCH("Harvard",A1156))))),$AD1156="Y",K1156&lt;&gt;"",S1156&gt;0),"Y","")</f>
        <v/>
      </c>
      <c r="V1156" s="30" t="n">
        <v>0.2556871864373679</v>
      </c>
      <c r="W1156" t="inlineStr"/>
      <c r="X1156" s="28">
        <f>IF(L1156+M1156=0,"",L1156+M1156)</f>
        <v/>
      </c>
      <c r="Y1156" s="38">
        <f>IF(L1156=0,"",M1156/L1156)</f>
        <v/>
      </c>
      <c r="Z1156" t="inlineStr">
        <is>
          <t>Director &amp; Investment Officer</t>
        </is>
      </c>
      <c r="AA1156" t="inlineStr">
        <is>
          <t>Investments</t>
        </is>
      </c>
      <c r="AB1156" s="50" t="inlineStr"/>
      <c r="AC1156" s="43">
        <f>HYPERLINK("https://projects.propublica.org/nonprofits/organizations/420680387/202511289349300406/full","view filing")</f>
        <v/>
      </c>
      <c r="AD1156" s="50" t="inlineStr"/>
    </row>
    <row r="1157">
      <c r="A1157" t="inlineStr">
        <is>
          <t>The Trustees Of Grinnell College</t>
        </is>
      </c>
      <c r="B1157" s="50" t="inlineStr">
        <is>
          <t>IA</t>
        </is>
      </c>
      <c r="C1157" s="52" t="n">
        <v>2.85</v>
      </c>
      <c r="D1157" t="inlineStr">
        <is>
          <t>Endowment</t>
        </is>
      </c>
      <c r="E1157" s="50" t="n">
        <v>2024</v>
      </c>
      <c r="F1157" s="50" t="inlineStr">
        <is>
          <t>2025-06-30</t>
        </is>
      </c>
      <c r="G1157" s="50" t="inlineStr">
        <is>
          <t>2024-06-30</t>
        </is>
      </c>
      <c r="H1157" t="inlineStr">
        <is>
          <t>Valbona Schwab</t>
        </is>
      </c>
      <c r="I1157" t="inlineStr">
        <is>
          <t>DEPUTY CHIEF INVESTMENT OFFICER</t>
        </is>
      </c>
      <c r="J1157" t="inlineStr">
        <is>
          <t>Deputy CIO</t>
        </is>
      </c>
      <c r="K1157" t="inlineStr">
        <is>
          <t>Sr Investment Professional</t>
        </is>
      </c>
      <c r="L1157" s="28" t="n">
        <v>414426</v>
      </c>
      <c r="M1157" s="28" t="n">
        <v>204690</v>
      </c>
      <c r="N1157" s="28" t="n">
        <v>630</v>
      </c>
      <c r="O1157" s="28" t="n">
        <v>33000</v>
      </c>
      <c r="P1157" s="28" t="n">
        <v>28078</v>
      </c>
      <c r="Q1157" s="28" t="n">
        <v>680824</v>
      </c>
      <c r="R1157" s="28" t="n">
        <v>0</v>
      </c>
      <c r="S1157" s="28">
        <f>Q1157-R1157</f>
        <v/>
      </c>
      <c r="T1157" s="28">
        <f>IF(S1157="","",S1157*(1+in_GrowthRate)^(YEARFRAC(DATE(2024,6,30),in_AgeToDate)*IF(in_AgeToDate&lt;DATE(2024,6,30),-1,1)+1))</f>
        <v/>
      </c>
      <c r="U1157" s="50">
        <f>IF(AND(AND(OR(in_Mode="All Funds",AND(C1157&gt;=in_BandFloor,C1157&lt;=in_BandCeiling,OR(in_Geography="National",COUNTIFS(lst_GeoPreset,in_Geography,lst_GeoState,B1157)&gt;0,AND(in_Geography="Custom",ISNUMBER(SEARCH(B1157,SUBSTITUTE(in_CustomStates," ",""))))),OR(AND(D1157="Endowment",Inputs!$B$14="Y"),AND(D1157="Foundation",Inputs!$B$15="Y"),AND(D1157="Healthcare",Inputs!$B$16="Y"),AND(D1157="Pension",Inputs!$B$17="Y"),AND(D1157="OCIO",Inputs!$B$18="Y"),AND(D1157="Other",Inputs!$B$19="Y")))),A1157&lt;&gt;in_ClientOrg,NOT(AND(in_ExclHarvard="Y",ISNUMBER(SEARCH("Harvard",A1157))))),$AD1157="Y",K1157&lt;&gt;"",S1157&gt;0),"Y","")</f>
        <v/>
      </c>
      <c r="V1157" s="30" t="n">
        <v>0.6155515311847051</v>
      </c>
      <c r="W1157" t="inlineStr"/>
      <c r="X1157" s="28">
        <f>IF(L1157+M1157=0,"",L1157+M1157)</f>
        <v/>
      </c>
      <c r="Y1157" s="38">
        <f>IF(L1157=0,"",M1157/L1157)</f>
        <v/>
      </c>
      <c r="Z1157" t="inlineStr">
        <is>
          <t>Deputy CIO</t>
        </is>
      </c>
      <c r="AA1157" t="inlineStr">
        <is>
          <t>Leadership</t>
        </is>
      </c>
      <c r="AB1157" s="50" t="inlineStr"/>
      <c r="AC1157" s="43">
        <f>HYPERLINK("https://projects.propublica.org/nonprofits/organizations/420680387/202511289349300406/full","view filing")</f>
        <v/>
      </c>
      <c r="AD1157" s="50" t="inlineStr"/>
    </row>
    <row r="1158">
      <c r="A1158" t="inlineStr">
        <is>
          <t>The Trustees Of Grinnell College</t>
        </is>
      </c>
      <c r="B1158" s="50" t="inlineStr">
        <is>
          <t>IA</t>
        </is>
      </c>
      <c r="C1158" s="52" t="n">
        <v>2.85</v>
      </c>
      <c r="D1158" t="inlineStr">
        <is>
          <t>Endowment</t>
        </is>
      </c>
      <c r="E1158" s="50" t="n">
        <v>2023</v>
      </c>
      <c r="F1158" s="50" t="inlineStr">
        <is>
          <t>2024-05-09</t>
        </is>
      </c>
      <c r="G1158" s="50" t="inlineStr">
        <is>
          <t>2023-06-30</t>
        </is>
      </c>
      <c r="H1158" t="inlineStr">
        <is>
          <t>Jainen Thayer</t>
        </is>
      </c>
      <c r="I1158" t="inlineStr">
        <is>
          <t>CHIEF INVESTMENT OFFICER</t>
        </is>
      </c>
      <c r="J1158" t="inlineStr">
        <is>
          <t>CIO</t>
        </is>
      </c>
      <c r="K1158" t="inlineStr">
        <is>
          <t>CIO - Top Investment Executive</t>
        </is>
      </c>
      <c r="L1158" s="28" t="n">
        <v>540970</v>
      </c>
      <c r="M1158" s="28" t="n">
        <v>541433</v>
      </c>
      <c r="N1158" s="28" t="n">
        <v>966</v>
      </c>
      <c r="O1158" s="28" t="n">
        <v>30500</v>
      </c>
      <c r="P1158" s="28" t="n">
        <v>41195</v>
      </c>
      <c r="Q1158" s="28" t="n">
        <v>1155064</v>
      </c>
      <c r="R1158" s="28" t="n">
        <v>0</v>
      </c>
      <c r="S1158" s="28">
        <f>Q1158-R1158</f>
        <v/>
      </c>
      <c r="T1158" s="28">
        <f>IF(S1158="","",S1158*(1+in_GrowthRate)^(YEARFRAC(DATE(2023,6,30),in_AgeToDate)*IF(in_AgeToDate&lt;DATE(2023,6,30),-1,1)+1))</f>
        <v/>
      </c>
      <c r="U1158" s="50">
        <f>IF(AND(AND(OR(in_Mode="All Funds",AND(C1158&gt;=in_BandFloor,C1158&lt;=in_BandCeiling,OR(in_Geography="National",COUNTIFS(lst_GeoPreset,in_Geography,lst_GeoState,B1158)&gt;0,AND(in_Geography="Custom",ISNUMBER(SEARCH(B1158,SUBSTITUTE(in_CustomStates," ",""))))),OR(AND(D1158="Endowment",Inputs!$B$14="Y"),AND(D1158="Foundation",Inputs!$B$15="Y"),AND(D1158="Healthcare",Inputs!$B$16="Y"),AND(D1158="Pension",Inputs!$B$17="Y"),AND(D1158="OCIO",Inputs!$B$18="Y"),AND(D1158="Other",Inputs!$B$19="Y")))),A1158&lt;&gt;in_ClientOrg,NOT(AND(in_ExclHarvard="Y",ISNUMBER(SEARCH("Harvard",A1158))))),$AD1158="Y",K1158&lt;&gt;"",S1158&gt;0),"Y","")</f>
        <v/>
      </c>
      <c r="V1158" s="30" t="n">
        <v>1</v>
      </c>
      <c r="W1158" t="inlineStr"/>
      <c r="X1158" s="28">
        <f>IF(L1158+M1158=0,"",L1158+M1158)</f>
        <v/>
      </c>
      <c r="Y1158" s="38">
        <f>IF(L1158=0,"",M1158/L1158)</f>
        <v/>
      </c>
      <c r="Z1158" t="inlineStr">
        <is>
          <t>CIO - Top Investment Executive</t>
        </is>
      </c>
      <c r="AA1158" t="inlineStr">
        <is>
          <t>Leadership</t>
        </is>
      </c>
      <c r="AB1158" s="50" t="inlineStr">
        <is>
          <t>Y</t>
        </is>
      </c>
      <c r="AC1158" s="43">
        <f>HYPERLINK("https://projects.propublica.org/nonprofits/organizations/420680387/202441309349301774/full","view filing")</f>
        <v/>
      </c>
      <c r="AD1158" s="50" t="inlineStr"/>
    </row>
    <row r="1159">
      <c r="A1159" t="inlineStr">
        <is>
          <t>The Trustees Of Grinnell College</t>
        </is>
      </c>
      <c r="B1159" s="50" t="inlineStr">
        <is>
          <t>IA</t>
        </is>
      </c>
      <c r="C1159" s="52" t="n">
        <v>2.85</v>
      </c>
      <c r="D1159" t="inlineStr">
        <is>
          <t>Endowment</t>
        </is>
      </c>
      <c r="E1159" s="50" t="n">
        <v>2023</v>
      </c>
      <c r="F1159" s="50" t="inlineStr">
        <is>
          <t>2024-05-09</t>
        </is>
      </c>
      <c r="G1159" s="50" t="inlineStr">
        <is>
          <t>2023-06-30</t>
        </is>
      </c>
      <c r="H1159" t="inlineStr">
        <is>
          <t>Paige L Carlson</t>
        </is>
      </c>
      <c r="I1159" t="inlineStr">
        <is>
          <t>ASSOCIATE DIRECTOR OF INVESTMENTS</t>
        </is>
      </c>
      <c r="J1159" t="inlineStr">
        <is>
          <t>Director of Investments</t>
        </is>
      </c>
      <c r="K1159" t="inlineStr">
        <is>
          <t>Sr Investment Professional</t>
        </is>
      </c>
      <c r="L1159" s="28" t="n">
        <v>247286</v>
      </c>
      <c r="M1159" s="28" t="n">
        <v>0</v>
      </c>
      <c r="N1159" s="28" t="n">
        <v>14136</v>
      </c>
      <c r="O1159" s="28" t="n">
        <v>26795</v>
      </c>
      <c r="P1159" s="28" t="n">
        <v>26399</v>
      </c>
      <c r="Q1159" s="28" t="n">
        <v>314616</v>
      </c>
      <c r="R1159" s="28" t="n">
        <v>0</v>
      </c>
      <c r="S1159" s="28">
        <f>Q1159-R1159</f>
        <v/>
      </c>
      <c r="T1159" s="28">
        <f>IF(S1159="","",S1159*(1+in_GrowthRate)^(YEARFRAC(DATE(2023,6,30),in_AgeToDate)*IF(in_AgeToDate&lt;DATE(2023,6,30),-1,1)+1))</f>
        <v/>
      </c>
      <c r="U1159" s="50">
        <f>IF(AND(AND(OR(in_Mode="All Funds",AND(C1159&gt;=in_BandFloor,C1159&lt;=in_BandCeiling,OR(in_Geography="National",COUNTIFS(lst_GeoPreset,in_Geography,lst_GeoState,B1159)&gt;0,AND(in_Geography="Custom",ISNUMBER(SEARCH(B1159,SUBSTITUTE(in_CustomStates," ",""))))),OR(AND(D1159="Endowment",Inputs!$B$14="Y"),AND(D1159="Foundation",Inputs!$B$15="Y"),AND(D1159="Healthcare",Inputs!$B$16="Y"),AND(D1159="Pension",Inputs!$B$17="Y"),AND(D1159="OCIO",Inputs!$B$18="Y"),AND(D1159="Other",Inputs!$B$19="Y")))),A1159&lt;&gt;in_ClientOrg,NOT(AND(in_ExclHarvard="Y",ISNUMBER(SEARCH("Harvard",A1159))))),$AD1159="Y",K1159&lt;&gt;"",S1159&gt;0),"Y","")</f>
        <v/>
      </c>
      <c r="V1159" s="30" t="n">
        <v>0.2723797122929985</v>
      </c>
      <c r="W1159" t="inlineStr"/>
      <c r="X1159" s="28">
        <f>IF(L1159+M1159=0,"",L1159+M1159)</f>
        <v/>
      </c>
      <c r="Y1159" s="38">
        <f>IF(L1159=0,"",M1159/L1159)</f>
        <v/>
      </c>
      <c r="Z1159" t="inlineStr">
        <is>
          <t>Director &amp; Investment Officer</t>
        </is>
      </c>
      <c r="AA1159" t="inlineStr">
        <is>
          <t>Investments</t>
        </is>
      </c>
      <c r="AB1159" s="50" t="inlineStr"/>
      <c r="AC1159" s="43">
        <f>HYPERLINK("https://projects.propublica.org/nonprofits/organizations/420680387/202441309349301774/full","view filing")</f>
        <v/>
      </c>
      <c r="AD1159" s="50" t="inlineStr"/>
    </row>
    <row r="1160">
      <c r="A1160" t="inlineStr">
        <is>
          <t>The Trustees Of Grinnell College</t>
        </is>
      </c>
      <c r="B1160" s="50" t="inlineStr">
        <is>
          <t>IA</t>
        </is>
      </c>
      <c r="C1160" s="52" t="n">
        <v>2.85</v>
      </c>
      <c r="D1160" t="inlineStr">
        <is>
          <t>Endowment</t>
        </is>
      </c>
      <c r="E1160" s="50" t="n">
        <v>2023</v>
      </c>
      <c r="F1160" s="50" t="inlineStr">
        <is>
          <t>2024-05-09</t>
        </is>
      </c>
      <c r="G1160" s="50" t="inlineStr">
        <is>
          <t>2023-06-30</t>
        </is>
      </c>
      <c r="H1160" t="inlineStr">
        <is>
          <t>Valbona Schwab</t>
        </is>
      </c>
      <c r="I1160" t="inlineStr">
        <is>
          <t>DEPUTY CHIEF INVESTMENT OFFICER</t>
        </is>
      </c>
      <c r="J1160" t="inlineStr">
        <is>
          <t>Deputy CIO</t>
        </is>
      </c>
      <c r="K1160" t="inlineStr">
        <is>
          <t>Sr Investment Professional</t>
        </is>
      </c>
      <c r="L1160" s="28" t="n">
        <v>401950</v>
      </c>
      <c r="M1160" s="28" t="n">
        <v>200000</v>
      </c>
      <c r="N1160" s="28" t="n">
        <v>630</v>
      </c>
      <c r="O1160" s="28" t="n">
        <v>23800</v>
      </c>
      <c r="P1160" s="28" t="n">
        <v>26331</v>
      </c>
      <c r="Q1160" s="28" t="n">
        <v>652711</v>
      </c>
      <c r="R1160" s="28" t="n">
        <v>0</v>
      </c>
      <c r="S1160" s="28">
        <f>Q1160-R1160</f>
        <v/>
      </c>
      <c r="T1160" s="28">
        <f>IF(S1160="","",S1160*(1+in_GrowthRate)^(YEARFRAC(DATE(2023,6,30),in_AgeToDate)*IF(in_AgeToDate&lt;DATE(2023,6,30),-1,1)+1))</f>
        <v/>
      </c>
      <c r="U1160" s="50">
        <f>IF(AND(AND(OR(in_Mode="All Funds",AND(C1160&gt;=in_BandFloor,C1160&lt;=in_BandCeiling,OR(in_Geography="National",COUNTIFS(lst_GeoPreset,in_Geography,lst_GeoState,B1160)&gt;0,AND(in_Geography="Custom",ISNUMBER(SEARCH(B1160,SUBSTITUTE(in_CustomStates," ",""))))),OR(AND(D1160="Endowment",Inputs!$B$14="Y"),AND(D1160="Foundation",Inputs!$B$15="Y"),AND(D1160="Healthcare",Inputs!$B$16="Y"),AND(D1160="Pension",Inputs!$B$17="Y"),AND(D1160="OCIO",Inputs!$B$18="Y"),AND(D1160="Other",Inputs!$B$19="Y")))),A1160&lt;&gt;in_ClientOrg,NOT(AND(in_ExclHarvard="Y",ISNUMBER(SEARCH("Harvard",A1160))))),$AD1160="Y",K1160&lt;&gt;"",S1160&gt;0),"Y","")</f>
        <v/>
      </c>
      <c r="V1160" s="30" t="n">
        <v>0.5650864367688717</v>
      </c>
      <c r="W1160" t="inlineStr"/>
      <c r="X1160" s="28">
        <f>IF(L1160+M1160=0,"",L1160+M1160)</f>
        <v/>
      </c>
      <c r="Y1160" s="38">
        <f>IF(L1160=0,"",M1160/L1160)</f>
        <v/>
      </c>
      <c r="Z1160" t="inlineStr">
        <is>
          <t>Deputy CIO</t>
        </is>
      </c>
      <c r="AA1160" t="inlineStr">
        <is>
          <t>Leadership</t>
        </is>
      </c>
      <c r="AB1160" s="50" t="inlineStr"/>
      <c r="AC1160" s="43">
        <f>HYPERLINK("https://projects.propublica.org/nonprofits/organizations/420680387/202441309349301774/full","view filing")</f>
        <v/>
      </c>
      <c r="AD1160" s="50" t="inlineStr"/>
    </row>
    <row r="1161">
      <c r="A1161" t="inlineStr">
        <is>
          <t>The Trustees Of Grinnell College</t>
        </is>
      </c>
      <c r="B1161" s="50" t="inlineStr">
        <is>
          <t>IA</t>
        </is>
      </c>
      <c r="C1161" s="52" t="n">
        <v>2.85</v>
      </c>
      <c r="D1161" t="inlineStr">
        <is>
          <t>Endowment</t>
        </is>
      </c>
      <c r="E1161" s="50" t="n">
        <v>2022</v>
      </c>
      <c r="F1161" s="50" t="inlineStr">
        <is>
          <t>2024-03-19</t>
        </is>
      </c>
      <c r="G1161" s="50" t="inlineStr">
        <is>
          <t>2022-06-30</t>
        </is>
      </c>
      <c r="H1161" t="inlineStr">
        <is>
          <t>Jainen Thayer</t>
        </is>
      </c>
      <c r="I1161" t="inlineStr">
        <is>
          <t>CHIEF INVESTMENT OFFICER</t>
        </is>
      </c>
      <c r="J1161" t="inlineStr">
        <is>
          <t>CIO</t>
        </is>
      </c>
      <c r="K1161" t="inlineStr">
        <is>
          <t>CIO - Top Investment Executive</t>
        </is>
      </c>
      <c r="L1161" s="28" t="n">
        <v>523454</v>
      </c>
      <c r="M1161" s="28" t="n">
        <v>565602</v>
      </c>
      <c r="N1161" s="28" t="n">
        <v>686</v>
      </c>
      <c r="O1161" s="28" t="n">
        <v>29000</v>
      </c>
      <c r="P1161" s="28" t="n">
        <v>32658</v>
      </c>
      <c r="Q1161" s="28" t="n">
        <v>1151400</v>
      </c>
      <c r="R1161" s="28" t="n">
        <v>0</v>
      </c>
      <c r="S1161" s="28">
        <f>Q1161-R1161</f>
        <v/>
      </c>
      <c r="T1161" s="28">
        <f>IF(S1161="","",S1161*(1+in_GrowthRate)^(YEARFRAC(DATE(2022,6,30),in_AgeToDate)*IF(in_AgeToDate&lt;DATE(2022,6,30),-1,1)+1))</f>
        <v/>
      </c>
      <c r="U1161" s="50">
        <f>IF(AND(AND(OR(in_Mode="All Funds",AND(C1161&gt;=in_BandFloor,C1161&lt;=in_BandCeiling,OR(in_Geography="National",COUNTIFS(lst_GeoPreset,in_Geography,lst_GeoState,B1161)&gt;0,AND(in_Geography="Custom",ISNUMBER(SEARCH(B1161,SUBSTITUTE(in_CustomStates," ",""))))),OR(AND(D1161="Endowment",Inputs!$B$14="Y"),AND(D1161="Foundation",Inputs!$B$15="Y"),AND(D1161="Healthcare",Inputs!$B$16="Y"),AND(D1161="Pension",Inputs!$B$17="Y"),AND(D1161="OCIO",Inputs!$B$18="Y"),AND(D1161="Other",Inputs!$B$19="Y")))),A1161&lt;&gt;in_ClientOrg,NOT(AND(in_ExclHarvard="Y",ISNUMBER(SEARCH("Harvard",A1161))))),$AD1161="Y",K1161&lt;&gt;"",S1161&gt;0),"Y","")</f>
        <v/>
      </c>
      <c r="V1161" s="30" t="n">
        <v>1</v>
      </c>
      <c r="W1161" t="inlineStr"/>
      <c r="X1161" s="28">
        <f>IF(L1161+M1161=0,"",L1161+M1161)</f>
        <v/>
      </c>
      <c r="Y1161" s="38">
        <f>IF(L1161=0,"",M1161/L1161)</f>
        <v/>
      </c>
      <c r="Z1161" t="inlineStr">
        <is>
          <t>CIO - Top Investment Executive</t>
        </is>
      </c>
      <c r="AA1161" t="inlineStr">
        <is>
          <t>Leadership</t>
        </is>
      </c>
      <c r="AB1161" s="50" t="inlineStr">
        <is>
          <t>Y</t>
        </is>
      </c>
      <c r="AC1161" s="43">
        <f>HYPERLINK("https://projects.propublica.org/nonprofits/organizations/420680387/202311329349303386/full","view filing")</f>
        <v/>
      </c>
      <c r="AD1161" s="50" t="inlineStr"/>
    </row>
    <row r="1162">
      <c r="A1162" t="inlineStr">
        <is>
          <t>The Trustees Of Grinnell College</t>
        </is>
      </c>
      <c r="B1162" s="50" t="inlineStr">
        <is>
          <t>IA</t>
        </is>
      </c>
      <c r="C1162" s="52" t="n">
        <v>2.85</v>
      </c>
      <c r="D1162" t="inlineStr">
        <is>
          <t>Endowment</t>
        </is>
      </c>
      <c r="E1162" s="50" t="n">
        <v>2022</v>
      </c>
      <c r="F1162" s="50" t="inlineStr">
        <is>
          <t>2024-03-19</t>
        </is>
      </c>
      <c r="G1162" s="50" t="inlineStr">
        <is>
          <t>2022-06-30</t>
        </is>
      </c>
      <c r="H1162" t="inlineStr">
        <is>
          <t>Kelly Sandquist</t>
        </is>
      </c>
      <c r="I1162" t="inlineStr">
        <is>
          <t>DIRECTOR OF INVESTMENT OPERATIONS</t>
        </is>
      </c>
      <c r="J1162" t="inlineStr">
        <is>
          <t>Head of Inv Ops (Inv Entity)</t>
        </is>
      </c>
      <c r="K1162" t="inlineStr">
        <is>
          <t>COO (Investment Office)</t>
        </is>
      </c>
      <c r="L1162" s="28" t="n">
        <v>160250</v>
      </c>
      <c r="M1162" s="28" t="n">
        <v>43876</v>
      </c>
      <c r="N1162" s="28" t="n">
        <v>196</v>
      </c>
      <c r="O1162" s="28" t="n">
        <v>20438</v>
      </c>
      <c r="P1162" s="28" t="n">
        <v>2245</v>
      </c>
      <c r="Q1162" s="28" t="n">
        <v>227005</v>
      </c>
      <c r="R1162" s="28" t="n">
        <v>0</v>
      </c>
      <c r="S1162" s="28">
        <f>Q1162-R1162</f>
        <v/>
      </c>
      <c r="T1162" s="28">
        <f>IF(S1162="","",S1162*(1+in_GrowthRate)^(YEARFRAC(DATE(2022,6,30),in_AgeToDate)*IF(in_AgeToDate&lt;DATE(2022,6,30),-1,1)+1))</f>
        <v/>
      </c>
      <c r="U1162" s="50">
        <f>IF(AND(AND(OR(in_Mode="All Funds",AND(C1162&gt;=in_BandFloor,C1162&lt;=in_BandCeiling,OR(in_Geography="National",COUNTIFS(lst_GeoPreset,in_Geography,lst_GeoState,B1162)&gt;0,AND(in_Geography="Custom",ISNUMBER(SEARCH(B1162,SUBSTITUTE(in_CustomStates," ",""))))),OR(AND(D1162="Endowment",Inputs!$B$14="Y"),AND(D1162="Foundation",Inputs!$B$15="Y"),AND(D1162="Healthcare",Inputs!$B$16="Y"),AND(D1162="Pension",Inputs!$B$17="Y"),AND(D1162="OCIO",Inputs!$B$18="Y"),AND(D1162="Other",Inputs!$B$19="Y")))),A1162&lt;&gt;in_ClientOrg,NOT(AND(in_ExclHarvard="Y",ISNUMBER(SEARCH("Harvard",A1162))))),$AD1162="Y",K1162&lt;&gt;"",S1162&gt;0),"Y","")</f>
        <v/>
      </c>
      <c r="V1162" s="30" t="n">
        <v>0.1971556366162932</v>
      </c>
      <c r="W1162" t="inlineStr"/>
      <c r="X1162" s="28">
        <f>IF(L1162+M1162=0,"",L1162+M1162)</f>
        <v/>
      </c>
      <c r="Y1162" s="38">
        <f>IF(L1162=0,"",M1162/L1162)</f>
        <v/>
      </c>
      <c r="Z1162" t="inlineStr">
        <is>
          <t>COO (Investment Office)</t>
        </is>
      </c>
      <c r="AA1162" t="inlineStr">
        <is>
          <t>Operations &amp; Control</t>
        </is>
      </c>
      <c r="AB1162" s="50" t="inlineStr"/>
      <c r="AC1162" s="43">
        <f>HYPERLINK("https://projects.propublica.org/nonprofits/organizations/420680387/202311329349303386/full","view filing")</f>
        <v/>
      </c>
      <c r="AD1162" s="50" t="inlineStr"/>
    </row>
    <row r="1163">
      <c r="A1163" t="inlineStr">
        <is>
          <t>The Trustees Of Grinnell College</t>
        </is>
      </c>
      <c r="B1163" s="50" t="inlineStr">
        <is>
          <t>IA</t>
        </is>
      </c>
      <c r="C1163" s="52" t="n">
        <v>2.85</v>
      </c>
      <c r="D1163" t="inlineStr">
        <is>
          <t>Endowment</t>
        </is>
      </c>
      <c r="E1163" s="50" t="n">
        <v>2022</v>
      </c>
      <c r="F1163" s="50" t="inlineStr">
        <is>
          <t>2024-03-19</t>
        </is>
      </c>
      <c r="G1163" s="50" t="inlineStr">
        <is>
          <t>2022-06-30</t>
        </is>
      </c>
      <c r="H1163" t="inlineStr">
        <is>
          <t>Paige L Carlson</t>
        </is>
      </c>
      <c r="I1163" t="inlineStr">
        <is>
          <t>ASSOCIATE DIRECTOR OF INVESTMENTS</t>
        </is>
      </c>
      <c r="J1163" t="inlineStr">
        <is>
          <t>Director of Investments</t>
        </is>
      </c>
      <c r="K1163" t="inlineStr">
        <is>
          <t>Sr Investment Professional</t>
        </is>
      </c>
      <c r="L1163" s="28" t="n">
        <v>243904</v>
      </c>
      <c r="M1163" s="28" t="n">
        <v>171751</v>
      </c>
      <c r="N1163" s="28" t="n">
        <v>410</v>
      </c>
      <c r="O1163" s="28" t="n">
        <v>29000</v>
      </c>
      <c r="P1163" s="28" t="n">
        <v>26848</v>
      </c>
      <c r="Q1163" s="28" t="n">
        <v>471913</v>
      </c>
      <c r="R1163" s="28" t="n">
        <v>0</v>
      </c>
      <c r="S1163" s="28">
        <f>Q1163-R1163</f>
        <v/>
      </c>
      <c r="T1163" s="28">
        <f>IF(S1163="","",S1163*(1+in_GrowthRate)^(YEARFRAC(DATE(2022,6,30),in_AgeToDate)*IF(in_AgeToDate&lt;DATE(2022,6,30),-1,1)+1))</f>
        <v/>
      </c>
      <c r="U1163" s="50">
        <f>IF(AND(AND(OR(in_Mode="All Funds",AND(C1163&gt;=in_BandFloor,C1163&lt;=in_BandCeiling,OR(in_Geography="National",COUNTIFS(lst_GeoPreset,in_Geography,lst_GeoState,B1163)&gt;0,AND(in_Geography="Custom",ISNUMBER(SEARCH(B1163,SUBSTITUTE(in_CustomStates," ",""))))),OR(AND(D1163="Endowment",Inputs!$B$14="Y"),AND(D1163="Foundation",Inputs!$B$15="Y"),AND(D1163="Healthcare",Inputs!$B$16="Y"),AND(D1163="Pension",Inputs!$B$17="Y"),AND(D1163="OCIO",Inputs!$B$18="Y"),AND(D1163="Other",Inputs!$B$19="Y")))),A1163&lt;&gt;in_ClientOrg,NOT(AND(in_ExclHarvard="Y",ISNUMBER(SEARCH("Harvard",A1163))))),$AD1163="Y",K1163&lt;&gt;"",S1163&gt;0),"Y","")</f>
        <v/>
      </c>
      <c r="V1163" s="30" t="n">
        <v>0.4098601702275491</v>
      </c>
      <c r="W1163" t="inlineStr"/>
      <c r="X1163" s="28">
        <f>IF(L1163+M1163=0,"",L1163+M1163)</f>
        <v/>
      </c>
      <c r="Y1163" s="38">
        <f>IF(L1163=0,"",M1163/L1163)</f>
        <v/>
      </c>
      <c r="Z1163" t="inlineStr">
        <is>
          <t>Director &amp; Investment Officer</t>
        </is>
      </c>
      <c r="AA1163" t="inlineStr">
        <is>
          <t>Investments</t>
        </is>
      </c>
      <c r="AB1163" s="50" t="inlineStr"/>
      <c r="AC1163" s="43">
        <f>HYPERLINK("https://projects.propublica.org/nonprofits/organizations/420680387/202311329349303386/full","view filing")</f>
        <v/>
      </c>
      <c r="AD1163" s="50" t="inlineStr"/>
    </row>
    <row r="1164">
      <c r="A1164" t="inlineStr">
        <is>
          <t>The Ucla Foundation</t>
        </is>
      </c>
      <c r="B1164" s="50" t="inlineStr">
        <is>
          <t>CA</t>
        </is>
      </c>
      <c r="C1164" s="52" t="n">
        <v>4.77</v>
      </c>
      <c r="D1164" t="inlineStr">
        <is>
          <t>Foundation</t>
        </is>
      </c>
      <c r="E1164" s="50" t="n">
        <v>2025</v>
      </c>
      <c r="F1164" s="50" t="inlineStr">
        <is>
          <t>2026-05-13</t>
        </is>
      </c>
      <c r="G1164" s="50" t="inlineStr">
        <is>
          <t>2025-06-30</t>
        </is>
      </c>
      <c r="H1164" t="inlineStr">
        <is>
          <t>Justin E Barton</t>
        </is>
      </c>
      <c r="I1164" t="inlineStr">
        <is>
          <t>PRESIDENT/CIO</t>
        </is>
      </c>
      <c r="J1164" t="inlineStr">
        <is>
          <t>CIO</t>
        </is>
      </c>
      <c r="K1164" t="inlineStr">
        <is>
          <t>CIO - Top Investment Executive</t>
        </is>
      </c>
      <c r="L1164" s="28" t="n">
        <v>0</v>
      </c>
      <c r="M1164" s="28" t="n">
        <v>0</v>
      </c>
      <c r="N1164" s="28" t="n">
        <v>0</v>
      </c>
      <c r="O1164" s="28" t="n">
        <v>0</v>
      </c>
      <c r="P1164" s="28" t="n">
        <v>0</v>
      </c>
      <c r="Q1164" s="28" t="n">
        <v>1198187</v>
      </c>
      <c r="R1164" s="28" t="n">
        <v>0</v>
      </c>
      <c r="S1164" s="28">
        <f>Q1164-R1164</f>
        <v/>
      </c>
      <c r="T1164" s="28">
        <f>IF(S1164="","",S1164*(1+in_GrowthRate)^(YEARFRAC(DATE(2025,6,30),in_AgeToDate)*IF(in_AgeToDate&lt;DATE(2025,6,30),-1,1)+1))</f>
        <v/>
      </c>
      <c r="U1164" s="50">
        <f>IF(AND(AND(OR(in_Mode="All Funds",AND(C1164&gt;=in_BandFloor,C1164&lt;=in_BandCeiling,OR(in_Geography="National",COUNTIFS(lst_GeoPreset,in_Geography,lst_GeoState,B1164)&gt;0,AND(in_Geography="Custom",ISNUMBER(SEARCH(B1164,SUBSTITUTE(in_CustomStates," ",""))))),OR(AND(D1164="Endowment",Inputs!$B$14="Y"),AND(D1164="Foundation",Inputs!$B$15="Y"),AND(D1164="Healthcare",Inputs!$B$16="Y"),AND(D1164="Pension",Inputs!$B$17="Y"),AND(D1164="OCIO",Inputs!$B$18="Y"),AND(D1164="Other",Inputs!$B$19="Y")))),A1164&lt;&gt;in_ClientOrg,NOT(AND(in_ExclHarvard="Y",ISNUMBER(SEARCH("Harvard",A1164))))),$AD1164="Y",K1164&lt;&gt;"",S1164&gt;0),"Y","")</f>
        <v/>
      </c>
      <c r="V1164" s="30" t="n">
        <v>1</v>
      </c>
      <c r="W1164" t="inlineStr"/>
      <c r="X1164" s="28">
        <f>IF(L1164+M1164=0,"",L1164+M1164)</f>
        <v/>
      </c>
      <c r="Y1164" s="38">
        <f>IF(L1164=0,"",M1164/L1164)</f>
        <v/>
      </c>
      <c r="Z1164" t="inlineStr">
        <is>
          <t>CIO - Top Investment Executive</t>
        </is>
      </c>
      <c r="AA1164" t="inlineStr">
        <is>
          <t>Leadership</t>
        </is>
      </c>
      <c r="AB1164" s="50" t="inlineStr">
        <is>
          <t>Y</t>
        </is>
      </c>
      <c r="AC1164" s="43">
        <f>HYPERLINK("https://projects.propublica.org/nonprofits/organizations/952250801/202621339349305882/full","view filing")</f>
        <v/>
      </c>
      <c r="AD1164" s="50" t="inlineStr">
        <is>
          <t>Y</t>
        </is>
      </c>
    </row>
    <row r="1165">
      <c r="A1165" t="inlineStr">
        <is>
          <t>The Ucla Foundation</t>
        </is>
      </c>
      <c r="B1165" s="50" t="inlineStr">
        <is>
          <t>CA</t>
        </is>
      </c>
      <c r="C1165" s="52" t="n">
        <v>4.77</v>
      </c>
      <c r="D1165" t="inlineStr">
        <is>
          <t>Foundation</t>
        </is>
      </c>
      <c r="E1165" s="50" t="n">
        <v>2024</v>
      </c>
      <c r="F1165" s="50" t="inlineStr">
        <is>
          <t>2025-05-14</t>
        </is>
      </c>
      <c r="G1165" s="50" t="inlineStr">
        <is>
          <t>2024-06-30</t>
        </is>
      </c>
      <c r="H1165" t="inlineStr">
        <is>
          <t>Justin E Barton</t>
        </is>
      </c>
      <c r="I1165" t="inlineStr">
        <is>
          <t>PRESIDENT/CIO</t>
        </is>
      </c>
      <c r="J1165" t="inlineStr">
        <is>
          <t>CIO</t>
        </is>
      </c>
      <c r="K1165" t="inlineStr">
        <is>
          <t>CIO - Top Investment Executive</t>
        </is>
      </c>
      <c r="L1165" s="28" t="n">
        <v>0</v>
      </c>
      <c r="M1165" s="28" t="n">
        <v>0</v>
      </c>
      <c r="N1165" s="28" t="n">
        <v>0</v>
      </c>
      <c r="O1165" s="28" t="n">
        <v>0</v>
      </c>
      <c r="P1165" s="28" t="n">
        <v>0</v>
      </c>
      <c r="Q1165" s="28" t="n">
        <v>1036041</v>
      </c>
      <c r="R1165" s="28" t="n">
        <v>0</v>
      </c>
      <c r="S1165" s="28">
        <f>Q1165-R1165</f>
        <v/>
      </c>
      <c r="T1165" s="28">
        <f>IF(S1165="","",S1165*(1+in_GrowthRate)^(YEARFRAC(DATE(2024,6,30),in_AgeToDate)*IF(in_AgeToDate&lt;DATE(2024,6,30),-1,1)+1))</f>
        <v/>
      </c>
      <c r="U1165" s="50">
        <f>IF(AND(AND(OR(in_Mode="All Funds",AND(C1165&gt;=in_BandFloor,C1165&lt;=in_BandCeiling,OR(in_Geography="National",COUNTIFS(lst_GeoPreset,in_Geography,lst_GeoState,B1165)&gt;0,AND(in_Geography="Custom",ISNUMBER(SEARCH(B1165,SUBSTITUTE(in_CustomStates," ",""))))),OR(AND(D1165="Endowment",Inputs!$B$14="Y"),AND(D1165="Foundation",Inputs!$B$15="Y"),AND(D1165="Healthcare",Inputs!$B$16="Y"),AND(D1165="Pension",Inputs!$B$17="Y"),AND(D1165="OCIO",Inputs!$B$18="Y"),AND(D1165="Other",Inputs!$B$19="Y")))),A1165&lt;&gt;in_ClientOrg,NOT(AND(in_ExclHarvard="Y",ISNUMBER(SEARCH("Harvard",A1165))))),$AD1165="Y",K1165&lt;&gt;"",S1165&gt;0),"Y","")</f>
        <v/>
      </c>
      <c r="V1165" s="30" t="n">
        <v>1</v>
      </c>
      <c r="W1165" t="inlineStr"/>
      <c r="X1165" s="28">
        <f>IF(L1165+M1165=0,"",L1165+M1165)</f>
        <v/>
      </c>
      <c r="Y1165" s="38">
        <f>IF(L1165=0,"",M1165/L1165)</f>
        <v/>
      </c>
      <c r="Z1165" t="inlineStr">
        <is>
          <t>CIO - Top Investment Executive</t>
        </is>
      </c>
      <c r="AA1165" t="inlineStr">
        <is>
          <t>Leadership</t>
        </is>
      </c>
      <c r="AB1165" s="50" t="inlineStr">
        <is>
          <t>Y</t>
        </is>
      </c>
      <c r="AC1165" s="43">
        <f>HYPERLINK("https://projects.propublica.org/nonprofits/organizations/952250801/202521349349311822/full","view filing")</f>
        <v/>
      </c>
      <c r="AD1165" s="50" t="inlineStr"/>
    </row>
    <row r="1166">
      <c r="A1166" t="inlineStr">
        <is>
          <t>The Ucla Foundation</t>
        </is>
      </c>
      <c r="B1166" s="50" t="inlineStr">
        <is>
          <t>CA</t>
        </is>
      </c>
      <c r="C1166" s="52" t="n">
        <v>4.77</v>
      </c>
      <c r="D1166" t="inlineStr">
        <is>
          <t>Foundation</t>
        </is>
      </c>
      <c r="E1166" s="50" t="n">
        <v>2023</v>
      </c>
      <c r="F1166" s="50" t="inlineStr">
        <is>
          <t>2024-05-09</t>
        </is>
      </c>
      <c r="G1166" s="50" t="inlineStr">
        <is>
          <t>2023-06-30</t>
        </is>
      </c>
      <c r="H1166" t="inlineStr">
        <is>
          <t>Justin E Barton</t>
        </is>
      </c>
      <c r="I1166" t="inlineStr">
        <is>
          <t>CHIEF INVESTMENT OFFICER</t>
        </is>
      </c>
      <c r="J1166" t="inlineStr">
        <is>
          <t>CIO</t>
        </is>
      </c>
      <c r="K1166" t="inlineStr">
        <is>
          <t>CIO - Top Investment Executive</t>
        </is>
      </c>
      <c r="L1166" s="28" t="n">
        <v>0</v>
      </c>
      <c r="M1166" s="28" t="n">
        <v>0</v>
      </c>
      <c r="N1166" s="28" t="n">
        <v>0</v>
      </c>
      <c r="O1166" s="28" t="n">
        <v>0</v>
      </c>
      <c r="P1166" s="28" t="n">
        <v>0</v>
      </c>
      <c r="Q1166" s="28" t="n">
        <v>1058008</v>
      </c>
      <c r="R1166" s="28" t="n">
        <v>0</v>
      </c>
      <c r="S1166" s="28">
        <f>Q1166-R1166</f>
        <v/>
      </c>
      <c r="T1166" s="28">
        <f>IF(S1166="","",S1166*(1+in_GrowthRate)^(YEARFRAC(DATE(2023,6,30),in_AgeToDate)*IF(in_AgeToDate&lt;DATE(2023,6,30),-1,1)+1))</f>
        <v/>
      </c>
      <c r="U1166" s="50">
        <f>IF(AND(AND(OR(in_Mode="All Funds",AND(C1166&gt;=in_BandFloor,C1166&lt;=in_BandCeiling,OR(in_Geography="National",COUNTIFS(lst_GeoPreset,in_Geography,lst_GeoState,B1166)&gt;0,AND(in_Geography="Custom",ISNUMBER(SEARCH(B1166,SUBSTITUTE(in_CustomStates," ",""))))),OR(AND(D1166="Endowment",Inputs!$B$14="Y"),AND(D1166="Foundation",Inputs!$B$15="Y"),AND(D1166="Healthcare",Inputs!$B$16="Y"),AND(D1166="Pension",Inputs!$B$17="Y"),AND(D1166="OCIO",Inputs!$B$18="Y"),AND(D1166="Other",Inputs!$B$19="Y")))),A1166&lt;&gt;in_ClientOrg,NOT(AND(in_ExclHarvard="Y",ISNUMBER(SEARCH("Harvard",A1166))))),$AD1166="Y",K1166&lt;&gt;"",S1166&gt;0),"Y","")</f>
        <v/>
      </c>
      <c r="V1166" s="30" t="n">
        <v>1</v>
      </c>
      <c r="W1166" t="inlineStr"/>
      <c r="X1166" s="28">
        <f>IF(L1166+M1166=0,"",L1166+M1166)</f>
        <v/>
      </c>
      <c r="Y1166" s="38">
        <f>IF(L1166=0,"",M1166/L1166)</f>
        <v/>
      </c>
      <c r="Z1166" t="inlineStr">
        <is>
          <t>CIO - Top Investment Executive</t>
        </is>
      </c>
      <c r="AA1166" t="inlineStr">
        <is>
          <t>Leadership</t>
        </is>
      </c>
      <c r="AB1166" s="50" t="inlineStr">
        <is>
          <t>Y</t>
        </is>
      </c>
      <c r="AC1166" s="43">
        <f>HYPERLINK("https://projects.propublica.org/nonprofits/organizations/952250801/202411309349304501/full","view filing")</f>
        <v/>
      </c>
      <c r="AD1166" s="50" t="inlineStr"/>
    </row>
    <row r="1167">
      <c r="A1167" t="inlineStr">
        <is>
          <t>The Ucla Foundation</t>
        </is>
      </c>
      <c r="B1167" s="50" t="inlineStr">
        <is>
          <t>CA</t>
        </is>
      </c>
      <c r="C1167" s="52" t="n">
        <v>4.77</v>
      </c>
      <c r="D1167" t="inlineStr">
        <is>
          <t>Foundation</t>
        </is>
      </c>
      <c r="E1167" s="50" t="n">
        <v>2022</v>
      </c>
      <c r="F1167" s="50" t="inlineStr">
        <is>
          <t>2023-05-12</t>
        </is>
      </c>
      <c r="G1167" s="50" t="inlineStr">
        <is>
          <t>2022-06-30</t>
        </is>
      </c>
      <c r="H1167" t="inlineStr">
        <is>
          <t>Justin E Barton</t>
        </is>
      </c>
      <c r="I1167" t="inlineStr">
        <is>
          <t>CHIEF INVESTMENT OFFICER</t>
        </is>
      </c>
      <c r="J1167" t="inlineStr">
        <is>
          <t>CIO</t>
        </is>
      </c>
      <c r="K1167" t="inlineStr">
        <is>
          <t>CIO - Top Investment Executive</t>
        </is>
      </c>
      <c r="L1167" s="28" t="n">
        <v>0</v>
      </c>
      <c r="M1167" s="28" t="n">
        <v>0</v>
      </c>
      <c r="N1167" s="28" t="n">
        <v>0</v>
      </c>
      <c r="O1167" s="28" t="n">
        <v>0</v>
      </c>
      <c r="P1167" s="28" t="n">
        <v>0</v>
      </c>
      <c r="Q1167" s="28" t="n">
        <v>806804</v>
      </c>
      <c r="R1167" s="28" t="n">
        <v>0</v>
      </c>
      <c r="S1167" s="28">
        <f>Q1167-R1167</f>
        <v/>
      </c>
      <c r="T1167" s="28">
        <f>IF(S1167="","",S1167*(1+in_GrowthRate)^(YEARFRAC(DATE(2022,6,30),in_AgeToDate)*IF(in_AgeToDate&lt;DATE(2022,6,30),-1,1)+1))</f>
        <v/>
      </c>
      <c r="U1167" s="50">
        <f>IF(AND(AND(OR(in_Mode="All Funds",AND(C1167&gt;=in_BandFloor,C1167&lt;=in_BandCeiling,OR(in_Geography="National",COUNTIFS(lst_GeoPreset,in_Geography,lst_GeoState,B1167)&gt;0,AND(in_Geography="Custom",ISNUMBER(SEARCH(B1167,SUBSTITUTE(in_CustomStates," ",""))))),OR(AND(D1167="Endowment",Inputs!$B$14="Y"),AND(D1167="Foundation",Inputs!$B$15="Y"),AND(D1167="Healthcare",Inputs!$B$16="Y"),AND(D1167="Pension",Inputs!$B$17="Y"),AND(D1167="OCIO",Inputs!$B$18="Y"),AND(D1167="Other",Inputs!$B$19="Y")))),A1167&lt;&gt;in_ClientOrg,NOT(AND(in_ExclHarvard="Y",ISNUMBER(SEARCH("Harvard",A1167))))),$AD1167="Y",K1167&lt;&gt;"",S1167&gt;0),"Y","")</f>
        <v/>
      </c>
      <c r="V1167" s="30" t="n">
        <v>1</v>
      </c>
      <c r="W1167" t="inlineStr"/>
      <c r="X1167" s="28">
        <f>IF(L1167+M1167=0,"",L1167+M1167)</f>
        <v/>
      </c>
      <c r="Y1167" s="38">
        <f>IF(L1167=0,"",M1167/L1167)</f>
        <v/>
      </c>
      <c r="Z1167" t="inlineStr">
        <is>
          <t>CIO - Top Investment Executive</t>
        </is>
      </c>
      <c r="AA1167" t="inlineStr">
        <is>
          <t>Leadership</t>
        </is>
      </c>
      <c r="AB1167" s="50" t="inlineStr">
        <is>
          <t>Y</t>
        </is>
      </c>
      <c r="AC1167" s="43">
        <f>HYPERLINK("https://projects.propublica.org/nonprofits/organizations/952250801/202341329349308234/full","view filing")</f>
        <v/>
      </c>
      <c r="AD1167" s="50" t="inlineStr"/>
    </row>
    <row r="1168">
      <c r="A1168" t="inlineStr">
        <is>
          <t>The University Of Texas Texas A M Investment Management Company</t>
        </is>
      </c>
      <c r="B1168" s="50" t="inlineStr">
        <is>
          <t>TX</t>
        </is>
      </c>
      <c r="C1168" s="52" t="n">
        <v>67.84</v>
      </c>
      <c r="D1168" t="inlineStr">
        <is>
          <t>Endowment</t>
        </is>
      </c>
      <c r="E1168" s="50" t="n">
        <v>2025</v>
      </c>
      <c r="F1168" s="50" t="inlineStr">
        <is>
          <t>2026-07-01</t>
        </is>
      </c>
      <c r="G1168" s="50" t="inlineStr">
        <is>
          <t>2025-08-31</t>
        </is>
      </c>
      <c r="H1168" t="inlineStr">
        <is>
          <t>Alison Rogers-Mccoy</t>
        </is>
      </c>
      <c r="I1168" t="inlineStr">
        <is>
          <t>MANAGING DIRECTOR AND CHIEF HUMAN RESOURCES OFFICER</t>
        </is>
      </c>
      <c r="J1168" t="inlineStr">
        <is>
          <t>CHRO (Inv Entity)</t>
        </is>
      </c>
      <c r="K1168" t="inlineStr">
        <is>
          <t>Other disclosed professionals</t>
        </is>
      </c>
      <c r="L1168" s="28" t="n">
        <v>343501</v>
      </c>
      <c r="M1168" s="28" t="n">
        <v>171500</v>
      </c>
      <c r="N1168" s="28" t="n">
        <v>3751</v>
      </c>
      <c r="O1168" s="28" t="n">
        <v>374021</v>
      </c>
      <c r="P1168" s="28" t="n">
        <v>34601</v>
      </c>
      <c r="Q1168" s="28" t="n">
        <v>927374</v>
      </c>
      <c r="R1168" s="28" t="n">
        <v>171500</v>
      </c>
      <c r="S1168" s="28">
        <f>Q1168-R1168</f>
        <v/>
      </c>
      <c r="T1168" s="28">
        <f>IF(S1168="","",S1168*(1+in_GrowthRate)^(YEARFRAC(DATE(2025,8,31),in_AgeToDate)*IF(in_AgeToDate&lt;DATE(2025,8,31),-1,1)+1))</f>
        <v/>
      </c>
      <c r="U1168" s="50">
        <f>IF(AND(AND(OR(in_Mode="All Funds",AND(C1168&gt;=in_BandFloor,C1168&lt;=in_BandCeiling,OR(in_Geography="National",COUNTIFS(lst_GeoPreset,in_Geography,lst_GeoState,B1168)&gt;0,AND(in_Geography="Custom",ISNUMBER(SEARCH(B1168,SUBSTITUTE(in_CustomStates," ",""))))),OR(AND(D1168="Endowment",Inputs!$B$14="Y"),AND(D1168="Foundation",Inputs!$B$15="Y"),AND(D1168="Healthcare",Inputs!$B$16="Y"),AND(D1168="Pension",Inputs!$B$17="Y"),AND(D1168="OCIO",Inputs!$B$18="Y"),AND(D1168="Other",Inputs!$B$19="Y")))),A1168&lt;&gt;in_ClientOrg,NOT(AND(in_ExclHarvard="Y",ISNUMBER(SEARCH("Harvard",A1168))))),$AD1168="Y",K1168&lt;&gt;"",S1168&gt;0),"Y","")</f>
        <v/>
      </c>
      <c r="V1168" s="30" t="n">
        <v>0.2147501096658204</v>
      </c>
      <c r="W1168" t="inlineStr">
        <is>
          <t>Other disclosed professionals</t>
        </is>
      </c>
      <c r="X1168" s="28">
        <f>IF(L1168+M1168=0,"",L1168+M1168)</f>
        <v/>
      </c>
      <c r="Y1168" s="38">
        <f>IF(L1168=0,"",M1168/L1168)</f>
        <v/>
      </c>
      <c r="Z1168" t="inlineStr">
        <is>
          <t>Other disclosed professionals</t>
        </is>
      </c>
      <c r="AA1168" t="inlineStr">
        <is>
          <t>Operations &amp; Control</t>
        </is>
      </c>
      <c r="AB1168" s="50" t="inlineStr"/>
      <c r="AC1168" s="43">
        <f>HYPERLINK("https://projects.propublica.org/nonprofits/organizations/742765082/202641829349300024/full","view filing")</f>
        <v/>
      </c>
      <c r="AD1168" s="50" t="inlineStr">
        <is>
          <t>Y</t>
        </is>
      </c>
    </row>
    <row r="1169">
      <c r="A1169" t="inlineStr">
        <is>
          <t>The University Of Texas Texas A M Investment Management Company</t>
        </is>
      </c>
      <c r="B1169" s="50" t="inlineStr">
        <is>
          <t>TX</t>
        </is>
      </c>
      <c r="C1169" s="52" t="n">
        <v>67.84</v>
      </c>
      <c r="D1169" t="inlineStr">
        <is>
          <t>Endowment</t>
        </is>
      </c>
      <c r="E1169" s="50" t="n">
        <v>2025</v>
      </c>
      <c r="F1169" s="50" t="inlineStr">
        <is>
          <t>2026-07-01</t>
        </is>
      </c>
      <c r="G1169" s="50" t="inlineStr">
        <is>
          <t>2025-08-31</t>
        </is>
      </c>
      <c r="H1169" t="inlineStr">
        <is>
          <t>Amanda Hopper</t>
        </is>
      </c>
      <c r="I1169" t="inlineStr">
        <is>
          <t>MANAGING DIRECTOR - INVESTMENTS</t>
        </is>
      </c>
      <c r="J1169" t="inlineStr">
        <is>
          <t>Managing Director</t>
        </is>
      </c>
      <c r="K1169" t="inlineStr">
        <is>
          <t>Sr Investment Professional</t>
        </is>
      </c>
      <c r="L1169" s="28" t="n">
        <v>375477</v>
      </c>
      <c r="M1169" s="28" t="n">
        <v>360881</v>
      </c>
      <c r="N1169" s="28" t="n">
        <v>3128</v>
      </c>
      <c r="O1169" s="28" t="n">
        <v>945069</v>
      </c>
      <c r="P1169" s="28" t="n">
        <v>30551</v>
      </c>
      <c r="Q1169" s="28" t="n">
        <v>1715106</v>
      </c>
      <c r="R1169" s="28" t="n">
        <v>341981</v>
      </c>
      <c r="S1169" s="28">
        <f>Q1169-R1169</f>
        <v/>
      </c>
      <c r="T1169" s="28">
        <f>IF(S1169="","",S1169*(1+in_GrowthRate)^(YEARFRAC(DATE(2025,8,31),in_AgeToDate)*IF(in_AgeToDate&lt;DATE(2025,8,31),-1,1)+1))</f>
        <v/>
      </c>
      <c r="U1169" s="50">
        <f>IF(AND(AND(OR(in_Mode="All Funds",AND(C1169&gt;=in_BandFloor,C1169&lt;=in_BandCeiling,OR(in_Geography="National",COUNTIFS(lst_GeoPreset,in_Geography,lst_GeoState,B1169)&gt;0,AND(in_Geography="Custom",ISNUMBER(SEARCH(B1169,SUBSTITUTE(in_CustomStates," ",""))))),OR(AND(D1169="Endowment",Inputs!$B$14="Y"),AND(D1169="Foundation",Inputs!$B$15="Y"),AND(D1169="Healthcare",Inputs!$B$16="Y"),AND(D1169="Pension",Inputs!$B$17="Y"),AND(D1169="OCIO",Inputs!$B$18="Y"),AND(D1169="Other",Inputs!$B$19="Y")))),A1169&lt;&gt;in_ClientOrg,NOT(AND(in_ExclHarvard="Y",ISNUMBER(SEARCH("Harvard",A1169))))),$AD1169="Y",K1169&lt;&gt;"",S1169&gt;0),"Y","")</f>
        <v/>
      </c>
      <c r="V1169" s="30" t="n">
        <v>0.3901162684982942</v>
      </c>
      <c r="W1169" t="inlineStr"/>
      <c r="X1169" s="28">
        <f>IF(L1169+M1169=0,"",L1169+M1169)</f>
        <v/>
      </c>
      <c r="Y1169" s="38">
        <f>IF(L1169=0,"",M1169/L1169)</f>
        <v/>
      </c>
      <c r="Z1169" t="inlineStr">
        <is>
          <t>Managing Director</t>
        </is>
      </c>
      <c r="AA1169" t="inlineStr">
        <is>
          <t>Investments</t>
        </is>
      </c>
      <c r="AB1169" s="50" t="inlineStr"/>
      <c r="AC1169" s="43">
        <f>HYPERLINK("https://projects.propublica.org/nonprofits/organizations/742765082/202641829349300024/full","view filing")</f>
        <v/>
      </c>
      <c r="AD1169" s="50" t="inlineStr">
        <is>
          <t>Y</t>
        </is>
      </c>
    </row>
    <row r="1170">
      <c r="A1170" t="inlineStr">
        <is>
          <t>The University Of Texas Texas A M Investment Management Company</t>
        </is>
      </c>
      <c r="B1170" s="50" t="inlineStr">
        <is>
          <t>TX</t>
        </is>
      </c>
      <c r="C1170" s="52" t="n">
        <v>67.84</v>
      </c>
      <c r="D1170" t="inlineStr">
        <is>
          <t>Endowment</t>
        </is>
      </c>
      <c r="E1170" s="50" t="n">
        <v>2025</v>
      </c>
      <c r="F1170" s="50" t="inlineStr">
        <is>
          <t>2026-07-01</t>
        </is>
      </c>
      <c r="G1170" s="50" t="inlineStr">
        <is>
          <t>2025-08-31</t>
        </is>
      </c>
      <c r="H1170" t="inlineStr">
        <is>
          <t>Anthony Caruso</t>
        </is>
      </c>
      <c r="I1170" t="inlineStr">
        <is>
          <t>MANAGING DIRECTOR - INVESTMENTS</t>
        </is>
      </c>
      <c r="J1170" t="inlineStr">
        <is>
          <t>Managing Director</t>
        </is>
      </c>
      <c r="K1170" t="inlineStr">
        <is>
          <t>Sr Investment Professional</t>
        </is>
      </c>
      <c r="L1170" s="28" t="n">
        <v>364538</v>
      </c>
      <c r="M1170" s="28" t="n">
        <v>476602</v>
      </c>
      <c r="N1170" s="28" t="n">
        <v>2991</v>
      </c>
      <c r="O1170" s="28" t="n">
        <v>979941</v>
      </c>
      <c r="P1170" s="28" t="n">
        <v>29451</v>
      </c>
      <c r="Q1170" s="28" t="n">
        <v>1853523</v>
      </c>
      <c r="R1170" s="28" t="n">
        <v>458490</v>
      </c>
      <c r="S1170" s="28">
        <f>Q1170-R1170</f>
        <v/>
      </c>
      <c r="T1170" s="28">
        <f>IF(S1170="","",S1170*(1+in_GrowthRate)^(YEARFRAC(DATE(2025,8,31),in_AgeToDate)*IF(in_AgeToDate&lt;DATE(2025,8,31),-1,1)+1))</f>
        <v/>
      </c>
      <c r="U1170" s="50">
        <f>IF(AND(AND(OR(in_Mode="All Funds",AND(C1170&gt;=in_BandFloor,C1170&lt;=in_BandCeiling,OR(in_Geography="National",COUNTIFS(lst_GeoPreset,in_Geography,lst_GeoState,B1170)&gt;0,AND(in_Geography="Custom",ISNUMBER(SEARCH(B1170,SUBSTITUTE(in_CustomStates," ",""))))),OR(AND(D1170="Endowment",Inputs!$B$14="Y"),AND(D1170="Foundation",Inputs!$B$15="Y"),AND(D1170="Healthcare",Inputs!$B$16="Y"),AND(D1170="Pension",Inputs!$B$17="Y"),AND(D1170="OCIO",Inputs!$B$18="Y"),AND(D1170="Other",Inputs!$B$19="Y")))),A1170&lt;&gt;in_ClientOrg,NOT(AND(in_ExclHarvard="Y",ISNUMBER(SEARCH("Harvard",A1170))))),$AD1170="Y",K1170&lt;&gt;"",S1170&gt;0),"Y","")</f>
        <v/>
      </c>
      <c r="V1170" s="30" t="n">
        <v>0.3963405140770002</v>
      </c>
      <c r="W1170" t="inlineStr"/>
      <c r="X1170" s="28">
        <f>IF(L1170+M1170=0,"",L1170+M1170)</f>
        <v/>
      </c>
      <c r="Y1170" s="38">
        <f>IF(L1170=0,"",M1170/L1170)</f>
        <v/>
      </c>
      <c r="Z1170" t="inlineStr">
        <is>
          <t>Managing Director</t>
        </is>
      </c>
      <c r="AA1170" t="inlineStr">
        <is>
          <t>Investments</t>
        </is>
      </c>
      <c r="AB1170" s="50" t="inlineStr"/>
      <c r="AC1170" s="43">
        <f>HYPERLINK("https://projects.propublica.org/nonprofits/organizations/742765082/202641829349300024/full","view filing")</f>
        <v/>
      </c>
      <c r="AD1170" s="50" t="inlineStr">
        <is>
          <t>Y</t>
        </is>
      </c>
    </row>
    <row r="1171">
      <c r="A1171" t="inlineStr">
        <is>
          <t>The University Of Texas Texas A M Investment Management Company</t>
        </is>
      </c>
      <c r="B1171" s="50" t="inlineStr">
        <is>
          <t>TX</t>
        </is>
      </c>
      <c r="C1171" s="52" t="n">
        <v>67.84</v>
      </c>
      <c r="D1171" t="inlineStr">
        <is>
          <t>Endowment</t>
        </is>
      </c>
      <c r="E1171" s="50" t="n">
        <v>2025</v>
      </c>
      <c r="F1171" s="50" t="inlineStr">
        <is>
          <t>2026-07-01</t>
        </is>
      </c>
      <c r="G1171" s="50" t="inlineStr">
        <is>
          <t>2025-08-31</t>
        </is>
      </c>
      <c r="H1171" t="inlineStr">
        <is>
          <t>Carolina De Onis</t>
        </is>
      </c>
      <c r="I1171" t="inlineStr">
        <is>
          <t>GENERAL COUNSEL &amp; CHIEF COMPLIANCE OFFICER</t>
        </is>
      </c>
      <c r="J1171" t="inlineStr">
        <is>
          <t>General Counsel (Inv Entity)</t>
        </is>
      </c>
      <c r="K1171" t="inlineStr">
        <is>
          <t>Other disclosed professionals</t>
        </is>
      </c>
      <c r="L1171" s="28" t="n">
        <v>436995</v>
      </c>
      <c r="M1171" s="28" t="n">
        <v>243097</v>
      </c>
      <c r="N1171" s="28" t="n">
        <v>3434</v>
      </c>
      <c r="O1171" s="28" t="n">
        <v>567724</v>
      </c>
      <c r="P1171" s="28" t="n">
        <v>30737</v>
      </c>
      <c r="Q1171" s="28" t="n">
        <v>1281987</v>
      </c>
      <c r="R1171" s="28" t="n">
        <v>235474</v>
      </c>
      <c r="S1171" s="28">
        <f>Q1171-R1171</f>
        <v/>
      </c>
      <c r="T1171" s="28">
        <f>IF(S1171="","",S1171*(1+in_GrowthRate)^(YEARFRAC(DATE(2025,8,31),in_AgeToDate)*IF(in_AgeToDate&lt;DATE(2025,8,31),-1,1)+1))</f>
        <v/>
      </c>
      <c r="U1171" s="50">
        <f>IF(AND(AND(OR(in_Mode="All Funds",AND(C1171&gt;=in_BandFloor,C1171&lt;=in_BandCeiling,OR(in_Geography="National",COUNTIFS(lst_GeoPreset,in_Geography,lst_GeoState,B1171)&gt;0,AND(in_Geography="Custom",ISNUMBER(SEARCH(B1171,SUBSTITUTE(in_CustomStates," ",""))))),OR(AND(D1171="Endowment",Inputs!$B$14="Y"),AND(D1171="Foundation",Inputs!$B$15="Y"),AND(D1171="Healthcare",Inputs!$B$16="Y"),AND(D1171="Pension",Inputs!$B$17="Y"),AND(D1171="OCIO",Inputs!$B$18="Y"),AND(D1171="Other",Inputs!$B$19="Y")))),A1171&lt;&gt;in_ClientOrg,NOT(AND(in_ExclHarvard="Y",ISNUMBER(SEARCH("Harvard",A1171))))),$AD1171="Y",K1171&lt;&gt;"",S1171&gt;0),"Y","")</f>
        <v/>
      </c>
      <c r="V1171" s="30" t="n">
        <v>0.2973230743704727</v>
      </c>
      <c r="W1171" t="inlineStr">
        <is>
          <t>Other disclosed professionals</t>
        </is>
      </c>
      <c r="X1171" s="28">
        <f>IF(L1171+M1171=0,"",L1171+M1171)</f>
        <v/>
      </c>
      <c r="Y1171" s="38">
        <f>IF(L1171=0,"",M1171/L1171)</f>
        <v/>
      </c>
      <c r="Z1171" t="inlineStr">
        <is>
          <t>Other disclosed professionals</t>
        </is>
      </c>
      <c r="AA1171" t="inlineStr">
        <is>
          <t>Operations &amp; Control</t>
        </is>
      </c>
      <c r="AB1171" s="50" t="inlineStr"/>
      <c r="AC1171" s="43">
        <f>HYPERLINK("https://projects.propublica.org/nonprofits/organizations/742765082/202641829349300024/full","view filing")</f>
        <v/>
      </c>
      <c r="AD1171" s="50" t="inlineStr">
        <is>
          <t>Y</t>
        </is>
      </c>
    </row>
    <row r="1172">
      <c r="A1172" t="inlineStr">
        <is>
          <t>The University Of Texas Texas A M Investment Management Company</t>
        </is>
      </c>
      <c r="B1172" s="50" t="inlineStr">
        <is>
          <t>TX</t>
        </is>
      </c>
      <c r="C1172" s="52" t="n">
        <v>67.84</v>
      </c>
      <c r="D1172" t="inlineStr">
        <is>
          <t>Endowment</t>
        </is>
      </c>
      <c r="E1172" s="50" t="n">
        <v>2025</v>
      </c>
      <c r="F1172" s="50" t="inlineStr">
        <is>
          <t>2026-07-01</t>
        </is>
      </c>
      <c r="G1172" s="50" t="inlineStr">
        <is>
          <t>2025-08-31</t>
        </is>
      </c>
      <c r="H1172" t="inlineStr">
        <is>
          <t>Courtney Powers</t>
        </is>
      </c>
      <c r="I1172" t="inlineStr">
        <is>
          <t>MANAGING DIRECTOR - INVESTMENTS</t>
        </is>
      </c>
      <c r="J1172" t="inlineStr">
        <is>
          <t>Managing Director</t>
        </is>
      </c>
      <c r="K1172" t="inlineStr">
        <is>
          <t>Sr Investment Professional</t>
        </is>
      </c>
      <c r="L1172" s="28" t="n">
        <v>375328</v>
      </c>
      <c r="M1172" s="28" t="n">
        <v>551474</v>
      </c>
      <c r="N1172" s="28" t="n">
        <v>3424</v>
      </c>
      <c r="O1172" s="28" t="n">
        <v>978083</v>
      </c>
      <c r="P1172" s="28" t="n">
        <v>30699</v>
      </c>
      <c r="Q1172" s="28" t="n">
        <v>1939008</v>
      </c>
      <c r="R1172" s="28" t="n">
        <v>525917</v>
      </c>
      <c r="S1172" s="28">
        <f>Q1172-R1172</f>
        <v/>
      </c>
      <c r="T1172" s="28">
        <f>IF(S1172="","",S1172*(1+in_GrowthRate)^(YEARFRAC(DATE(2025,8,31),in_AgeToDate)*IF(in_AgeToDate&lt;DATE(2025,8,31),-1,1)+1))</f>
        <v/>
      </c>
      <c r="U1172" s="50">
        <f>IF(AND(AND(OR(in_Mode="All Funds",AND(C1172&gt;=in_BandFloor,C1172&lt;=in_BandCeiling,OR(in_Geography="National",COUNTIFS(lst_GeoPreset,in_Geography,lst_GeoState,B1172)&gt;0,AND(in_Geography="Custom",ISNUMBER(SEARCH(B1172,SUBSTITUTE(in_CustomStates," ",""))))),OR(AND(D1172="Endowment",Inputs!$B$14="Y"),AND(D1172="Foundation",Inputs!$B$15="Y"),AND(D1172="Healthcare",Inputs!$B$16="Y"),AND(D1172="Pension",Inputs!$B$17="Y"),AND(D1172="OCIO",Inputs!$B$18="Y"),AND(D1172="Other",Inputs!$B$19="Y")))),A1172&lt;&gt;in_ClientOrg,NOT(AND(in_ExclHarvard="Y",ISNUMBER(SEARCH("Harvard",A1172))))),$AD1172="Y",K1172&lt;&gt;"",S1172&gt;0),"Y","")</f>
        <v/>
      </c>
      <c r="V1172" s="30" t="n">
        <v>0.4014709425351101</v>
      </c>
      <c r="W1172" t="inlineStr"/>
      <c r="X1172" s="28">
        <f>IF(L1172+M1172=0,"",L1172+M1172)</f>
        <v/>
      </c>
      <c r="Y1172" s="38">
        <f>IF(L1172=0,"",M1172/L1172)</f>
        <v/>
      </c>
      <c r="Z1172" t="inlineStr">
        <is>
          <t>Managing Director</t>
        </is>
      </c>
      <c r="AA1172" t="inlineStr">
        <is>
          <t>Investments</t>
        </is>
      </c>
      <c r="AB1172" s="50" t="inlineStr"/>
      <c r="AC1172" s="43">
        <f>HYPERLINK("https://projects.propublica.org/nonprofits/organizations/742765082/202641829349300024/full","view filing")</f>
        <v/>
      </c>
      <c r="AD1172" s="50" t="inlineStr">
        <is>
          <t>Y</t>
        </is>
      </c>
    </row>
    <row r="1173">
      <c r="A1173" t="inlineStr">
        <is>
          <t>The University Of Texas Texas A M Investment Management Company</t>
        </is>
      </c>
      <c r="B1173" s="50" t="inlineStr">
        <is>
          <t>TX</t>
        </is>
      </c>
      <c r="C1173" s="52" t="n">
        <v>67.84</v>
      </c>
      <c r="D1173" t="inlineStr">
        <is>
          <t>Endowment</t>
        </is>
      </c>
      <c r="E1173" s="50" t="n">
        <v>2025</v>
      </c>
      <c r="F1173" s="50" t="inlineStr">
        <is>
          <t>2026-07-01</t>
        </is>
      </c>
      <c r="G1173" s="50" t="inlineStr">
        <is>
          <t>2025-08-31</t>
        </is>
      </c>
      <c r="H1173" t="inlineStr">
        <is>
          <t>Craig Thomas</t>
        </is>
      </c>
      <c r="I1173" t="inlineStr">
        <is>
          <t>MANAGING DIRECTOR - INVESTMENTS</t>
        </is>
      </c>
      <c r="J1173" t="inlineStr">
        <is>
          <t>Managing Director</t>
        </is>
      </c>
      <c r="K1173" t="inlineStr">
        <is>
          <t>Sr Investment Professional</t>
        </is>
      </c>
      <c r="L1173" s="28" t="n">
        <v>344872</v>
      </c>
      <c r="M1173" s="28" t="n">
        <v>293564</v>
      </c>
      <c r="N1173" s="28" t="n">
        <v>2668</v>
      </c>
      <c r="O1173" s="28" t="n">
        <v>817732</v>
      </c>
      <c r="P1173" s="28" t="n">
        <v>29431</v>
      </c>
      <c r="Q1173" s="28" t="n">
        <v>1488267</v>
      </c>
      <c r="R1173" s="28" t="n">
        <v>169979</v>
      </c>
      <c r="S1173" s="28">
        <f>Q1173-R1173</f>
        <v/>
      </c>
      <c r="T1173" s="28">
        <f>IF(S1173="","",S1173*(1+in_GrowthRate)^(YEARFRAC(DATE(2025,8,31),in_AgeToDate)*IF(in_AgeToDate&lt;DATE(2025,8,31),-1,1)+1))</f>
        <v/>
      </c>
      <c r="U1173" s="50">
        <f>IF(AND(AND(OR(in_Mode="All Funds",AND(C1173&gt;=in_BandFloor,C1173&lt;=in_BandCeiling,OR(in_Geography="National",COUNTIFS(lst_GeoPreset,in_Geography,lst_GeoState,B1173)&gt;0,AND(in_Geography="Custom",ISNUMBER(SEARCH(B1173,SUBSTITUTE(in_CustomStates," ",""))))),OR(AND(D1173="Endowment",Inputs!$B$14="Y"),AND(D1173="Foundation",Inputs!$B$15="Y"),AND(D1173="Healthcare",Inputs!$B$16="Y"),AND(D1173="Pension",Inputs!$B$17="Y"),AND(D1173="OCIO",Inputs!$B$18="Y"),AND(D1173="Other",Inputs!$B$19="Y")))),A1173&lt;&gt;in_ClientOrg,NOT(AND(in_ExclHarvard="Y",ISNUMBER(SEARCH("Harvard",A1173))))),$AD1173="Y",K1173&lt;&gt;"",S1173&gt;0),"Y","")</f>
        <v/>
      </c>
      <c r="V1173" s="30" t="n">
        <v>0.3745366192925475</v>
      </c>
      <c r="W1173" t="inlineStr"/>
      <c r="X1173" s="28">
        <f>IF(L1173+M1173=0,"",L1173+M1173)</f>
        <v/>
      </c>
      <c r="Y1173" s="38">
        <f>IF(L1173=0,"",M1173/L1173)</f>
        <v/>
      </c>
      <c r="Z1173" t="inlineStr">
        <is>
          <t>Managing Director</t>
        </is>
      </c>
      <c r="AA1173" t="inlineStr">
        <is>
          <t>Investments</t>
        </is>
      </c>
      <c r="AB1173" s="50" t="inlineStr"/>
      <c r="AC1173" s="43">
        <f>HYPERLINK("https://projects.propublica.org/nonprofits/organizations/742765082/202641829349300024/full","view filing")</f>
        <v/>
      </c>
      <c r="AD1173" s="50" t="inlineStr">
        <is>
          <t>Y</t>
        </is>
      </c>
    </row>
    <row r="1174">
      <c r="A1174" t="inlineStr">
        <is>
          <t>The University Of Texas Texas A M Investment Management Company</t>
        </is>
      </c>
      <c r="B1174" s="50" t="inlineStr">
        <is>
          <t>TX</t>
        </is>
      </c>
      <c r="C1174" s="52" t="n">
        <v>67.84</v>
      </c>
      <c r="D1174" t="inlineStr">
        <is>
          <t>Endowment</t>
        </is>
      </c>
      <c r="E1174" s="50" t="n">
        <v>2025</v>
      </c>
      <c r="F1174" s="50" t="inlineStr">
        <is>
          <t>2026-07-01</t>
        </is>
      </c>
      <c r="G1174" s="50" t="inlineStr">
        <is>
          <t>2025-08-31</t>
        </is>
      </c>
      <c r="H1174" t="inlineStr">
        <is>
          <t>Edward Lewis</t>
        </is>
      </c>
      <c r="I1174" t="inlineStr">
        <is>
          <t>SENIOR MANAGING DIRECTOR - INVESTMENTS</t>
        </is>
      </c>
      <c r="J1174" t="inlineStr">
        <is>
          <t>Senior Managing Director</t>
        </is>
      </c>
      <c r="K1174" t="inlineStr">
        <is>
          <t>Sr Investment Professional</t>
        </is>
      </c>
      <c r="L1174" s="28" t="n">
        <v>479136</v>
      </c>
      <c r="M1174" s="28" t="n">
        <v>543889</v>
      </c>
      <c r="N1174" s="28" t="n">
        <v>3236</v>
      </c>
      <c r="O1174" s="28" t="n">
        <v>1147333</v>
      </c>
      <c r="P1174" s="28" t="n">
        <v>30300</v>
      </c>
      <c r="Q1174" s="28" t="n">
        <v>2203894</v>
      </c>
      <c r="R1174" s="28" t="n">
        <v>516037</v>
      </c>
      <c r="S1174" s="28">
        <f>Q1174-R1174</f>
        <v/>
      </c>
      <c r="T1174" s="28">
        <f>IF(S1174="","",S1174*(1+in_GrowthRate)^(YEARFRAC(DATE(2025,8,31),in_AgeToDate)*IF(in_AgeToDate&lt;DATE(2025,8,31),-1,1)+1))</f>
        <v/>
      </c>
      <c r="U1174" s="50">
        <f>IF(AND(AND(OR(in_Mode="All Funds",AND(C1174&gt;=in_BandFloor,C1174&lt;=in_BandCeiling,OR(in_Geography="National",COUNTIFS(lst_GeoPreset,in_Geography,lst_GeoState,B1174)&gt;0,AND(in_Geography="Custom",ISNUMBER(SEARCH(B1174,SUBSTITUTE(in_CustomStates," ",""))))),OR(AND(D1174="Endowment",Inputs!$B$14="Y"),AND(D1174="Foundation",Inputs!$B$15="Y"),AND(D1174="Healthcare",Inputs!$B$16="Y"),AND(D1174="Pension",Inputs!$B$17="Y"),AND(D1174="OCIO",Inputs!$B$18="Y"),AND(D1174="Other",Inputs!$B$19="Y")))),A1174&lt;&gt;in_ClientOrg,NOT(AND(in_ExclHarvard="Y",ISNUMBER(SEARCH("Harvard",A1174))))),$AD1174="Y",K1174&lt;&gt;"",S1174&gt;0),"Y","")</f>
        <v/>
      </c>
      <c r="V1174" s="30" t="n">
        <v>0.4795342555111337</v>
      </c>
      <c r="W1174" t="inlineStr"/>
      <c r="X1174" s="28">
        <f>IF(L1174+M1174=0,"",L1174+M1174)</f>
        <v/>
      </c>
      <c r="Y1174" s="38">
        <f>IF(L1174=0,"",M1174/L1174)</f>
        <v/>
      </c>
      <c r="Z1174" t="inlineStr">
        <is>
          <t>Managing Director</t>
        </is>
      </c>
      <c r="AA1174" t="inlineStr">
        <is>
          <t>Investments</t>
        </is>
      </c>
      <c r="AB1174" s="50" t="inlineStr"/>
      <c r="AC1174" s="43">
        <f>HYPERLINK("https://projects.propublica.org/nonprofits/organizations/742765082/202641829349300024/full","view filing")</f>
        <v/>
      </c>
      <c r="AD1174" s="50" t="inlineStr">
        <is>
          <t>Y</t>
        </is>
      </c>
    </row>
    <row r="1175">
      <c r="A1175" t="inlineStr">
        <is>
          <t>The University Of Texas Texas A M Investment Management Company</t>
        </is>
      </c>
      <c r="B1175" s="50" t="inlineStr">
        <is>
          <t>TX</t>
        </is>
      </c>
      <c r="C1175" s="52" t="n">
        <v>67.84</v>
      </c>
      <c r="D1175" t="inlineStr">
        <is>
          <t>Endowment</t>
        </is>
      </c>
      <c r="E1175" s="50" t="n">
        <v>2025</v>
      </c>
      <c r="F1175" s="50" t="inlineStr">
        <is>
          <t>2026-07-01</t>
        </is>
      </c>
      <c r="G1175" s="50" t="inlineStr">
        <is>
          <t>2025-08-31</t>
        </is>
      </c>
      <c r="H1175" t="inlineStr">
        <is>
          <t>Edward Morris</t>
        </is>
      </c>
      <c r="I1175" t="inlineStr">
        <is>
          <t>SENIOR DIRECTOR-INVESTMENTS</t>
        </is>
      </c>
      <c r="J1175" t="inlineStr">
        <is>
          <t>Director of Investments</t>
        </is>
      </c>
      <c r="K1175" t="inlineStr">
        <is>
          <t>Sr Investment Professional</t>
        </is>
      </c>
      <c r="L1175" s="28" t="n">
        <v>274822</v>
      </c>
      <c r="M1175" s="28" t="n">
        <v>235704</v>
      </c>
      <c r="N1175" s="28" t="n">
        <v>4487</v>
      </c>
      <c r="O1175" s="28" t="n">
        <v>451553</v>
      </c>
      <c r="P1175" s="28" t="n">
        <v>29308</v>
      </c>
      <c r="Q1175" s="28" t="n">
        <v>995874</v>
      </c>
      <c r="R1175" s="28" t="n">
        <v>165824</v>
      </c>
      <c r="S1175" s="28">
        <f>Q1175-R1175</f>
        <v/>
      </c>
      <c r="T1175" s="28">
        <f>IF(S1175="","",S1175*(1+in_GrowthRate)^(YEARFRAC(DATE(2025,8,31),in_AgeToDate)*IF(in_AgeToDate&lt;DATE(2025,8,31),-1,1)+1))</f>
        <v/>
      </c>
      <c r="U1175" s="50">
        <f>IF(AND(AND(OR(in_Mode="All Funds",AND(C1175&gt;=in_BandFloor,C1175&lt;=in_BandCeiling,OR(in_Geography="National",COUNTIFS(lst_GeoPreset,in_Geography,lst_GeoState,B1175)&gt;0,AND(in_Geography="Custom",ISNUMBER(SEARCH(B1175,SUBSTITUTE(in_CustomStates," ",""))))),OR(AND(D1175="Endowment",Inputs!$B$14="Y"),AND(D1175="Foundation",Inputs!$B$15="Y"),AND(D1175="Healthcare",Inputs!$B$16="Y"),AND(D1175="Pension",Inputs!$B$17="Y"),AND(D1175="OCIO",Inputs!$B$18="Y"),AND(D1175="Other",Inputs!$B$19="Y")))),A1175&lt;&gt;in_ClientOrg,NOT(AND(in_ExclHarvard="Y",ISNUMBER(SEARCH("Harvard",A1175))))),$AD1175="Y",K1175&lt;&gt;"",S1175&gt;0),"Y","")</f>
        <v/>
      </c>
      <c r="V1175" s="30" t="n">
        <v>0.2358241301170754</v>
      </c>
      <c r="W1175" t="inlineStr"/>
      <c r="X1175" s="28">
        <f>IF(L1175+M1175=0,"",L1175+M1175)</f>
        <v/>
      </c>
      <c r="Y1175" s="38">
        <f>IF(L1175=0,"",M1175/L1175)</f>
        <v/>
      </c>
      <c r="Z1175" t="inlineStr">
        <is>
          <t>Director &amp; Investment Officer</t>
        </is>
      </c>
      <c r="AA1175" t="inlineStr">
        <is>
          <t>Investments</t>
        </is>
      </c>
      <c r="AB1175" s="50" t="inlineStr"/>
      <c r="AC1175" s="43">
        <f>HYPERLINK("https://projects.propublica.org/nonprofits/organizations/742765082/202641829349300024/full","view filing")</f>
        <v/>
      </c>
      <c r="AD1175" s="50" t="inlineStr">
        <is>
          <t>Y</t>
        </is>
      </c>
    </row>
    <row r="1176">
      <c r="A1176" t="inlineStr">
        <is>
          <t>The University Of Texas Texas A M Investment Management Company</t>
        </is>
      </c>
      <c r="B1176" s="50" t="inlineStr">
        <is>
          <t>TX</t>
        </is>
      </c>
      <c r="C1176" s="52" t="n">
        <v>67.84</v>
      </c>
      <c r="D1176" t="inlineStr">
        <is>
          <t>Endowment</t>
        </is>
      </c>
      <c r="E1176" s="50" t="n">
        <v>2025</v>
      </c>
      <c r="F1176" s="50" t="inlineStr">
        <is>
          <t>2026-07-01</t>
        </is>
      </c>
      <c r="G1176" s="50" t="inlineStr">
        <is>
          <t>2025-08-31</t>
        </is>
      </c>
      <c r="H1176" t="inlineStr">
        <is>
          <t>Gary Hill</t>
        </is>
      </c>
      <c r="I1176" t="inlineStr">
        <is>
          <t>MANAGING DIRECTOR - OPERATIONS, ACCOUNTING &amp; REPORTING</t>
        </is>
      </c>
      <c r="J1176" t="inlineStr">
        <is>
          <t>Managing Director</t>
        </is>
      </c>
      <c r="K1176" t="inlineStr">
        <is>
          <t>Other disclosed professionals</t>
        </is>
      </c>
      <c r="L1176" s="28" t="n">
        <v>312662</v>
      </c>
      <c r="M1176" s="28" t="n">
        <v>146010</v>
      </c>
      <c r="N1176" s="28" t="n">
        <v>2444</v>
      </c>
      <c r="O1176" s="28" t="n">
        <v>367941</v>
      </c>
      <c r="P1176" s="28" t="n">
        <v>31469</v>
      </c>
      <c r="Q1176" s="28" t="n">
        <v>860526</v>
      </c>
      <c r="R1176" s="28" t="n">
        <v>146010</v>
      </c>
      <c r="S1176" s="28">
        <f>Q1176-R1176</f>
        <v/>
      </c>
      <c r="T1176" s="28">
        <f>IF(S1176="","",S1176*(1+in_GrowthRate)^(YEARFRAC(DATE(2025,8,31),in_AgeToDate)*IF(in_AgeToDate&lt;DATE(2025,8,31),-1,1)+1))</f>
        <v/>
      </c>
      <c r="U1176" s="50">
        <f>IF(AND(AND(OR(in_Mode="All Funds",AND(C1176&gt;=in_BandFloor,C1176&lt;=in_BandCeiling,OR(in_Geography="National",COUNTIFS(lst_GeoPreset,in_Geography,lst_GeoState,B1176)&gt;0,AND(in_Geography="Custom",ISNUMBER(SEARCH(B1176,SUBSTITUTE(in_CustomStates," ",""))))),OR(AND(D1176="Endowment",Inputs!$B$14="Y"),AND(D1176="Foundation",Inputs!$B$15="Y"),AND(D1176="Healthcare",Inputs!$B$16="Y"),AND(D1176="Pension",Inputs!$B$17="Y"),AND(D1176="OCIO",Inputs!$B$18="Y"),AND(D1176="Other",Inputs!$B$19="Y")))),A1176&lt;&gt;in_ClientOrg,NOT(AND(in_ExclHarvard="Y",ISNUMBER(SEARCH("Harvard",A1176))))),$AD1176="Y",K1176&lt;&gt;"",S1176&gt;0),"Y","")</f>
        <v/>
      </c>
      <c r="V1176" s="30" t="n">
        <v>0.2029999568155319</v>
      </c>
      <c r="W1176" t="inlineStr">
        <is>
          <t>Other disclosed professionals</t>
        </is>
      </c>
      <c r="X1176" s="28">
        <f>IF(L1176+M1176=0,"",L1176+M1176)</f>
        <v/>
      </c>
      <c r="Y1176" s="38">
        <f>IF(L1176=0,"",M1176/L1176)</f>
        <v/>
      </c>
      <c r="Z1176" t="inlineStr">
        <is>
          <t>Other disclosed professionals</t>
        </is>
      </c>
      <c r="AA1176" t="inlineStr">
        <is>
          <t>Operations &amp; Control</t>
        </is>
      </c>
      <c r="AB1176" s="50" t="inlineStr"/>
      <c r="AC1176" s="43">
        <f>HYPERLINK("https://projects.propublica.org/nonprofits/organizations/742765082/202641829349300024/full","view filing")</f>
        <v/>
      </c>
      <c r="AD1176" s="50" t="inlineStr">
        <is>
          <t>Y</t>
        </is>
      </c>
    </row>
    <row r="1177">
      <c r="A1177" t="inlineStr">
        <is>
          <t>The University Of Texas Texas A M Investment Management Company</t>
        </is>
      </c>
      <c r="B1177" s="50" t="inlineStr">
        <is>
          <t>TX</t>
        </is>
      </c>
      <c r="C1177" s="52" t="n">
        <v>67.84</v>
      </c>
      <c r="D1177" t="inlineStr">
        <is>
          <t>Endowment</t>
        </is>
      </c>
      <c r="E1177" s="50" t="n">
        <v>2025</v>
      </c>
      <c r="F1177" s="50" t="inlineStr">
        <is>
          <t>2026-07-01</t>
        </is>
      </c>
      <c r="G1177" s="50" t="inlineStr">
        <is>
          <t>2025-08-31</t>
        </is>
      </c>
      <c r="H1177" t="inlineStr">
        <is>
          <t>Gus Deering</t>
        </is>
      </c>
      <c r="I1177" t="inlineStr">
        <is>
          <t>MANAGING DIRECTOR AND CHIEF TECHNOLOGY OFFICER</t>
        </is>
      </c>
      <c r="J1177" t="inlineStr">
        <is>
          <t>CTO (Inv Entity)</t>
        </is>
      </c>
      <c r="K1177" t="inlineStr">
        <is>
          <t>Other disclosed professionals</t>
        </is>
      </c>
      <c r="L1177" s="28" t="n">
        <v>376822</v>
      </c>
      <c r="M1177" s="28" t="n">
        <v>163606</v>
      </c>
      <c r="N1177" s="28" t="n">
        <v>3879</v>
      </c>
      <c r="O1177" s="28" t="n">
        <v>419992</v>
      </c>
      <c r="P1177" s="28" t="n">
        <v>30546</v>
      </c>
      <c r="Q1177" s="28" t="n">
        <v>994845</v>
      </c>
      <c r="R1177" s="28" t="n">
        <v>161631</v>
      </c>
      <c r="S1177" s="28">
        <f>Q1177-R1177</f>
        <v/>
      </c>
      <c r="T1177" s="28">
        <f>IF(S1177="","",S1177*(1+in_GrowthRate)^(YEARFRAC(DATE(2025,8,31),in_AgeToDate)*IF(in_AgeToDate&lt;DATE(2025,8,31),-1,1)+1))</f>
        <v/>
      </c>
      <c r="U1177" s="50">
        <f>IF(AND(AND(OR(in_Mode="All Funds",AND(C1177&gt;=in_BandFloor,C1177&lt;=in_BandCeiling,OR(in_Geography="National",COUNTIFS(lst_GeoPreset,in_Geography,lst_GeoState,B1177)&gt;0,AND(in_Geography="Custom",ISNUMBER(SEARCH(B1177,SUBSTITUTE(in_CustomStates," ",""))))),OR(AND(D1177="Endowment",Inputs!$B$14="Y"),AND(D1177="Foundation",Inputs!$B$15="Y"),AND(D1177="Healthcare",Inputs!$B$16="Y"),AND(D1177="Pension",Inputs!$B$17="Y"),AND(D1177="OCIO",Inputs!$B$18="Y"),AND(D1177="Other",Inputs!$B$19="Y")))),A1177&lt;&gt;in_ClientOrg,NOT(AND(in_ExclHarvard="Y",ISNUMBER(SEARCH("Harvard",A1177))))),$AD1177="Y",K1177&lt;&gt;"",S1177&gt;0),"Y","")</f>
        <v/>
      </c>
      <c r="V1177" s="30" t="n">
        <v>0.2367230489143652</v>
      </c>
      <c r="W1177" t="inlineStr">
        <is>
          <t>Other disclosed professionals</t>
        </is>
      </c>
      <c r="X1177" s="28">
        <f>IF(L1177+M1177=0,"",L1177+M1177)</f>
        <v/>
      </c>
      <c r="Y1177" s="38">
        <f>IF(L1177=0,"",M1177/L1177)</f>
        <v/>
      </c>
      <c r="Z1177" t="inlineStr">
        <is>
          <t>Other disclosed professionals</t>
        </is>
      </c>
      <c r="AA1177" t="inlineStr">
        <is>
          <t>Operations &amp; Control</t>
        </is>
      </c>
      <c r="AB1177" s="50" t="inlineStr"/>
      <c r="AC1177" s="43">
        <f>HYPERLINK("https://projects.propublica.org/nonprofits/organizations/742765082/202641829349300024/full","view filing")</f>
        <v/>
      </c>
      <c r="AD1177" s="50" t="inlineStr">
        <is>
          <t>Y</t>
        </is>
      </c>
    </row>
    <row r="1178">
      <c r="A1178" t="inlineStr">
        <is>
          <t>The University Of Texas Texas A M Investment Management Company</t>
        </is>
      </c>
      <c r="B1178" s="50" t="inlineStr">
        <is>
          <t>TX</t>
        </is>
      </c>
      <c r="C1178" s="52" t="n">
        <v>67.84</v>
      </c>
      <c r="D1178" t="inlineStr">
        <is>
          <t>Endowment</t>
        </is>
      </c>
      <c r="E1178" s="50" t="n">
        <v>2025</v>
      </c>
      <c r="F1178" s="50" t="inlineStr">
        <is>
          <t>2026-07-01</t>
        </is>
      </c>
      <c r="G1178" s="50" t="inlineStr">
        <is>
          <t>2025-08-31</t>
        </is>
      </c>
      <c r="H1178" t="inlineStr">
        <is>
          <t>Harland Doak</t>
        </is>
      </c>
      <c r="I1178" t="inlineStr">
        <is>
          <t>SENIOR DIRECTOR - INVESTMENTS</t>
        </is>
      </c>
      <c r="J1178" t="inlineStr">
        <is>
          <t>Director of Investments</t>
        </is>
      </c>
      <c r="K1178" t="inlineStr">
        <is>
          <t>Sr Investment Professional</t>
        </is>
      </c>
      <c r="L1178" s="28" t="n">
        <v>329626</v>
      </c>
      <c r="M1178" s="28" t="n">
        <v>201471</v>
      </c>
      <c r="N1178" s="28" t="n">
        <v>1844</v>
      </c>
      <c r="O1178" s="28" t="n">
        <v>393116</v>
      </c>
      <c r="P1178" s="28" t="n">
        <v>24430</v>
      </c>
      <c r="Q1178" s="28" t="n">
        <v>950487</v>
      </c>
      <c r="R1178" s="28" t="n">
        <v>0</v>
      </c>
      <c r="S1178" s="28">
        <f>Q1178-R1178</f>
        <v/>
      </c>
      <c r="T1178" s="28">
        <f>IF(S1178="","",S1178*(1+in_GrowthRate)^(YEARFRAC(DATE(2025,8,31),in_AgeToDate)*IF(in_AgeToDate&lt;DATE(2025,8,31),-1,1)+1))</f>
        <v/>
      </c>
      <c r="U1178" s="50">
        <f>IF(AND(AND(OR(in_Mode="All Funds",AND(C1178&gt;=in_BandFloor,C1178&lt;=in_BandCeiling,OR(in_Geography="National",COUNTIFS(lst_GeoPreset,in_Geography,lst_GeoState,B1178)&gt;0,AND(in_Geography="Custom",ISNUMBER(SEARCH(B1178,SUBSTITUTE(in_CustomStates," ",""))))),OR(AND(D1178="Endowment",Inputs!$B$14="Y"),AND(D1178="Foundation",Inputs!$B$15="Y"),AND(D1178="Healthcare",Inputs!$B$16="Y"),AND(D1178="Pension",Inputs!$B$17="Y"),AND(D1178="OCIO",Inputs!$B$18="Y"),AND(D1178="Other",Inputs!$B$19="Y")))),A1178&lt;&gt;in_ClientOrg,NOT(AND(in_ExclHarvard="Y",ISNUMBER(SEARCH("Harvard",A1178))))),$AD1178="Y",K1178&lt;&gt;"",S1178&gt;0),"Y","")</f>
        <v/>
      </c>
      <c r="V1178" s="30" t="n">
        <v>0.2700412866244065</v>
      </c>
      <c r="W1178" t="inlineStr"/>
      <c r="X1178" s="28">
        <f>IF(L1178+M1178=0,"",L1178+M1178)</f>
        <v/>
      </c>
      <c r="Y1178" s="38">
        <f>IF(L1178=0,"",M1178/L1178)</f>
        <v/>
      </c>
      <c r="Z1178" t="inlineStr">
        <is>
          <t>Director &amp; Investment Officer</t>
        </is>
      </c>
      <c r="AA1178" t="inlineStr">
        <is>
          <t>Investments</t>
        </is>
      </c>
      <c r="AB1178" s="50" t="inlineStr"/>
      <c r="AC1178" s="43">
        <f>HYPERLINK("https://projects.propublica.org/nonprofits/organizations/742765082/202641829349300024/full","view filing")</f>
        <v/>
      </c>
      <c r="AD1178" s="50" t="inlineStr">
        <is>
          <t>Y</t>
        </is>
      </c>
    </row>
    <row r="1179">
      <c r="A1179" t="inlineStr">
        <is>
          <t>The University Of Texas Texas A M Investment Management Company</t>
        </is>
      </c>
      <c r="B1179" s="50" t="inlineStr">
        <is>
          <t>TX</t>
        </is>
      </c>
      <c r="C1179" s="52" t="n">
        <v>67.84</v>
      </c>
      <c r="D1179" t="inlineStr">
        <is>
          <t>Endowment</t>
        </is>
      </c>
      <c r="E1179" s="50" t="n">
        <v>2025</v>
      </c>
      <c r="F1179" s="50" t="inlineStr">
        <is>
          <t>2026-07-01</t>
        </is>
      </c>
      <c r="G1179" s="50" t="inlineStr">
        <is>
          <t>2025-08-31</t>
        </is>
      </c>
      <c r="H1179" t="inlineStr">
        <is>
          <t>James R Kampfe</t>
        </is>
      </c>
      <c r="I1179" t="inlineStr">
        <is>
          <t>MANAGING DIRECTOR - INVESTMENTS</t>
        </is>
      </c>
      <c r="J1179" t="inlineStr">
        <is>
          <t>Managing Director</t>
        </is>
      </c>
      <c r="K1179" t="inlineStr">
        <is>
          <t>Sr Investment Professional</t>
        </is>
      </c>
      <c r="L1179" s="28" t="n">
        <v>355355</v>
      </c>
      <c r="M1179" s="28" t="n">
        <v>209576</v>
      </c>
      <c r="N1179" s="28" t="n">
        <v>885</v>
      </c>
      <c r="O1179" s="28" t="n">
        <v>638138</v>
      </c>
      <c r="P1179" s="28" t="n">
        <v>29705</v>
      </c>
      <c r="Q1179" s="28" t="n">
        <v>1233659</v>
      </c>
      <c r="R1179" s="28" t="n">
        <v>209576</v>
      </c>
      <c r="S1179" s="28">
        <f>Q1179-R1179</f>
        <v/>
      </c>
      <c r="T1179" s="28">
        <f>IF(S1179="","",S1179*(1+in_GrowthRate)^(YEARFRAC(DATE(2025,8,31),in_AgeToDate)*IF(in_AgeToDate&lt;DATE(2025,8,31),-1,1)+1))</f>
        <v/>
      </c>
      <c r="U1179" s="50">
        <f>IF(AND(AND(OR(in_Mode="All Funds",AND(C1179&gt;=in_BandFloor,C1179&lt;=in_BandCeiling,OR(in_Geography="National",COUNTIFS(lst_GeoPreset,in_Geography,lst_GeoState,B1179)&gt;0,AND(in_Geography="Custom",ISNUMBER(SEARCH(B1179,SUBSTITUTE(in_CustomStates," ",""))))),OR(AND(D1179="Endowment",Inputs!$B$14="Y"),AND(D1179="Foundation",Inputs!$B$15="Y"),AND(D1179="Healthcare",Inputs!$B$16="Y"),AND(D1179="Pension",Inputs!$B$17="Y"),AND(D1179="OCIO",Inputs!$B$18="Y"),AND(D1179="Other",Inputs!$B$19="Y")))),A1179&lt;&gt;in_ClientOrg,NOT(AND(in_ExclHarvard="Y",ISNUMBER(SEARCH("Harvard",A1179))))),$AD1179="Y",K1179&lt;&gt;"",S1179&gt;0),"Y","")</f>
        <v/>
      </c>
      <c r="V1179" s="30" t="n">
        <v>0.2909505242367145</v>
      </c>
      <c r="W1179" t="inlineStr"/>
      <c r="X1179" s="28">
        <f>IF(L1179+M1179=0,"",L1179+M1179)</f>
        <v/>
      </c>
      <c r="Y1179" s="38">
        <f>IF(L1179=0,"",M1179/L1179)</f>
        <v/>
      </c>
      <c r="Z1179" t="inlineStr">
        <is>
          <t>Managing Director</t>
        </is>
      </c>
      <c r="AA1179" t="inlineStr">
        <is>
          <t>Investments</t>
        </is>
      </c>
      <c r="AB1179" s="50" t="inlineStr"/>
      <c r="AC1179" s="43">
        <f>HYPERLINK("https://projects.propublica.org/nonprofits/organizations/742765082/202641829349300024/full","view filing")</f>
        <v/>
      </c>
      <c r="AD1179" s="50" t="inlineStr">
        <is>
          <t>Y</t>
        </is>
      </c>
    </row>
    <row r="1180">
      <c r="A1180" t="inlineStr">
        <is>
          <t>The University Of Texas Texas A M Investment Management Company</t>
        </is>
      </c>
      <c r="B1180" s="50" t="inlineStr">
        <is>
          <t>TX</t>
        </is>
      </c>
      <c r="C1180" s="52" t="n">
        <v>67.84</v>
      </c>
      <c r="D1180" t="inlineStr">
        <is>
          <t>Endowment</t>
        </is>
      </c>
      <c r="E1180" s="50" t="n">
        <v>2025</v>
      </c>
      <c r="F1180" s="50" t="inlineStr">
        <is>
          <t>2026-07-01</t>
        </is>
      </c>
      <c r="G1180" s="50" t="inlineStr">
        <is>
          <t>2025-08-31</t>
        </is>
      </c>
      <c r="H1180" t="inlineStr">
        <is>
          <t>Joan Moeller</t>
        </is>
      </c>
      <c r="I1180" t="inlineStr">
        <is>
          <t>COO, CORP. SECRETARY &amp; TREASURER</t>
        </is>
      </c>
      <c r="J1180" t="inlineStr">
        <is>
          <t>COO (Inv Entity)</t>
        </is>
      </c>
      <c r="K1180" t="inlineStr">
        <is>
          <t>COO (Investment Office)</t>
        </is>
      </c>
      <c r="L1180" s="28" t="n">
        <v>467350</v>
      </c>
      <c r="M1180" s="28" t="n">
        <v>287953</v>
      </c>
      <c r="N1180" s="28" t="n">
        <v>2444</v>
      </c>
      <c r="O1180" s="28" t="n">
        <v>806165</v>
      </c>
      <c r="P1180" s="28" t="n">
        <v>12607</v>
      </c>
      <c r="Q1180" s="28" t="n">
        <v>1576519</v>
      </c>
      <c r="R1180" s="28" t="n">
        <v>287953</v>
      </c>
      <c r="S1180" s="28">
        <f>Q1180-R1180</f>
        <v/>
      </c>
      <c r="T1180" s="28">
        <f>IF(S1180="","",S1180*(1+in_GrowthRate)^(YEARFRAC(DATE(2025,8,31),in_AgeToDate)*IF(in_AgeToDate&lt;DATE(2025,8,31),-1,1)+1))</f>
        <v/>
      </c>
      <c r="U1180" s="50">
        <f>IF(AND(AND(OR(in_Mode="All Funds",AND(C1180&gt;=in_BandFloor,C1180&lt;=in_BandCeiling,OR(in_Geography="National",COUNTIFS(lst_GeoPreset,in_Geography,lst_GeoState,B1180)&gt;0,AND(in_Geography="Custom",ISNUMBER(SEARCH(B1180,SUBSTITUTE(in_CustomStates," ",""))))),OR(AND(D1180="Endowment",Inputs!$B$14="Y"),AND(D1180="Foundation",Inputs!$B$15="Y"),AND(D1180="Healthcare",Inputs!$B$16="Y"),AND(D1180="Pension",Inputs!$B$17="Y"),AND(D1180="OCIO",Inputs!$B$18="Y"),AND(D1180="Other",Inputs!$B$19="Y")))),A1180&lt;&gt;in_ClientOrg,NOT(AND(in_ExclHarvard="Y",ISNUMBER(SEARCH("Harvard",A1180))))),$AD1180="Y",K1180&lt;&gt;"",S1180&gt;0),"Y","")</f>
        <v/>
      </c>
      <c r="V1180" s="30" t="n">
        <v>0.3660923511215461</v>
      </c>
      <c r="W1180" t="inlineStr"/>
      <c r="X1180" s="28">
        <f>IF(L1180+M1180=0,"",L1180+M1180)</f>
        <v/>
      </c>
      <c r="Y1180" s="38">
        <f>IF(L1180=0,"",M1180/L1180)</f>
        <v/>
      </c>
      <c r="Z1180" t="inlineStr">
        <is>
          <t>COO (Investment Office)</t>
        </is>
      </c>
      <c r="AA1180" t="inlineStr">
        <is>
          <t>Operations &amp; Control</t>
        </is>
      </c>
      <c r="AB1180" s="50" t="inlineStr"/>
      <c r="AC1180" s="43">
        <f>HYPERLINK("https://projects.propublica.org/nonprofits/organizations/742765082/202641829349300024/full","view filing")</f>
        <v/>
      </c>
      <c r="AD1180" s="50" t="inlineStr">
        <is>
          <t>Y</t>
        </is>
      </c>
    </row>
    <row r="1181">
      <c r="A1181" t="inlineStr">
        <is>
          <t>The University Of Texas Texas A M Investment Management Company</t>
        </is>
      </c>
      <c r="B1181" s="50" t="inlineStr">
        <is>
          <t>TX</t>
        </is>
      </c>
      <c r="C1181" s="52" t="n">
        <v>67.84</v>
      </c>
      <c r="D1181" t="inlineStr">
        <is>
          <t>Endowment</t>
        </is>
      </c>
      <c r="E1181" s="50" t="n">
        <v>2025</v>
      </c>
      <c r="F1181" s="50" t="inlineStr">
        <is>
          <t>2026-07-01</t>
        </is>
      </c>
      <c r="G1181" s="50" t="inlineStr">
        <is>
          <t>2025-08-31</t>
        </is>
      </c>
      <c r="H1181" t="inlineStr">
        <is>
          <t>Kenneth Standley</t>
        </is>
      </c>
      <c r="I1181" t="inlineStr">
        <is>
          <t>SENIOR DIRECTOR - INVESTMENTS</t>
        </is>
      </c>
      <c r="J1181" t="inlineStr">
        <is>
          <t>Director of Investments</t>
        </is>
      </c>
      <c r="K1181" t="inlineStr">
        <is>
          <t>Sr Investment Professional</t>
        </is>
      </c>
      <c r="L1181" s="28" t="n">
        <v>278491</v>
      </c>
      <c r="M1181" s="28" t="n">
        <v>298270</v>
      </c>
      <c r="N1181" s="28" t="n">
        <v>2512</v>
      </c>
      <c r="O1181" s="28" t="n">
        <v>416648</v>
      </c>
      <c r="P1181" s="28" t="n">
        <v>30576</v>
      </c>
      <c r="Q1181" s="28" t="n">
        <v>1026497</v>
      </c>
      <c r="R1181" s="28" t="n">
        <v>285141</v>
      </c>
      <c r="S1181" s="28">
        <f>Q1181-R1181</f>
        <v/>
      </c>
      <c r="T1181" s="28">
        <f>IF(S1181="","",S1181*(1+in_GrowthRate)^(YEARFRAC(DATE(2025,8,31),in_AgeToDate)*IF(in_AgeToDate&lt;DATE(2025,8,31),-1,1)+1))</f>
        <v/>
      </c>
      <c r="U1181" s="50">
        <f>IF(AND(AND(OR(in_Mode="All Funds",AND(C1181&gt;=in_BandFloor,C1181&lt;=in_BandCeiling,OR(in_Geography="National",COUNTIFS(lst_GeoPreset,in_Geography,lst_GeoState,B1181)&gt;0,AND(in_Geography="Custom",ISNUMBER(SEARCH(B1181,SUBSTITUTE(in_CustomStates," ",""))))),OR(AND(D1181="Endowment",Inputs!$B$14="Y"),AND(D1181="Foundation",Inputs!$B$15="Y"),AND(D1181="Healthcare",Inputs!$B$16="Y"),AND(D1181="Pension",Inputs!$B$17="Y"),AND(D1181="OCIO",Inputs!$B$18="Y"),AND(D1181="Other",Inputs!$B$19="Y")))),A1181&lt;&gt;in_ClientOrg,NOT(AND(in_ExclHarvard="Y",ISNUMBER(SEARCH("Harvard",A1181))))),$AD1181="Y",K1181&lt;&gt;"",S1181&gt;0),"Y","")</f>
        <v/>
      </c>
      <c r="V1181" s="30" t="n">
        <v>0.2106254247419728</v>
      </c>
      <c r="W1181" t="inlineStr"/>
      <c r="X1181" s="28">
        <f>IF(L1181+M1181=0,"",L1181+M1181)</f>
        <v/>
      </c>
      <c r="Y1181" s="38">
        <f>IF(L1181=0,"",M1181/L1181)</f>
        <v/>
      </c>
      <c r="Z1181" t="inlineStr">
        <is>
          <t>Director &amp; Investment Officer</t>
        </is>
      </c>
      <c r="AA1181" t="inlineStr">
        <is>
          <t>Investments</t>
        </is>
      </c>
      <c r="AB1181" s="50" t="inlineStr"/>
      <c r="AC1181" s="43">
        <f>HYPERLINK("https://projects.propublica.org/nonprofits/organizations/742765082/202641829349300024/full","view filing")</f>
        <v/>
      </c>
      <c r="AD1181" s="50" t="inlineStr">
        <is>
          <t>Y</t>
        </is>
      </c>
    </row>
    <row r="1182">
      <c r="A1182" t="inlineStr">
        <is>
          <t>The University Of Texas Texas A M Investment Management Company</t>
        </is>
      </c>
      <c r="B1182" s="50" t="inlineStr">
        <is>
          <t>TX</t>
        </is>
      </c>
      <c r="C1182" s="52" t="n">
        <v>67.84</v>
      </c>
      <c r="D1182" t="inlineStr">
        <is>
          <t>Endowment</t>
        </is>
      </c>
      <c r="E1182" s="50" t="n">
        <v>2025</v>
      </c>
      <c r="F1182" s="50" t="inlineStr">
        <is>
          <t>2026-07-01</t>
        </is>
      </c>
      <c r="G1182" s="50" t="inlineStr">
        <is>
          <t>2025-08-31</t>
        </is>
      </c>
      <c r="H1182" t="inlineStr">
        <is>
          <t>Kyle Burhop</t>
        </is>
      </c>
      <c r="I1182" t="inlineStr">
        <is>
          <t>SENIOR DIRECTOR - INVESTMENTS</t>
        </is>
      </c>
      <c r="J1182" t="inlineStr">
        <is>
          <t>Director of Investments</t>
        </is>
      </c>
      <c r="K1182" t="inlineStr">
        <is>
          <t>Sr Investment Professional</t>
        </is>
      </c>
      <c r="L1182" s="28" t="n">
        <v>260333</v>
      </c>
      <c r="M1182" s="28" t="n">
        <v>267374</v>
      </c>
      <c r="N1182" s="28" t="n">
        <v>1845</v>
      </c>
      <c r="O1182" s="28" t="n">
        <v>423538</v>
      </c>
      <c r="P1182" s="28" t="n">
        <v>9957</v>
      </c>
      <c r="Q1182" s="28" t="n">
        <v>963047</v>
      </c>
      <c r="R1182" s="28" t="n">
        <v>170981</v>
      </c>
      <c r="S1182" s="28">
        <f>Q1182-R1182</f>
        <v/>
      </c>
      <c r="T1182" s="28">
        <f>IF(S1182="","",S1182*(1+in_GrowthRate)^(YEARFRAC(DATE(2025,8,31),in_AgeToDate)*IF(in_AgeToDate&lt;DATE(2025,8,31),-1,1)+1))</f>
        <v/>
      </c>
      <c r="U1182" s="50">
        <f>IF(AND(AND(OR(in_Mode="All Funds",AND(C1182&gt;=in_BandFloor,C1182&lt;=in_BandCeiling,OR(in_Geography="National",COUNTIFS(lst_GeoPreset,in_Geography,lst_GeoState,B1182)&gt;0,AND(in_Geography="Custom",ISNUMBER(SEARCH(B1182,SUBSTITUTE(in_CustomStates," ",""))))),OR(AND(D1182="Endowment",Inputs!$B$14="Y"),AND(D1182="Foundation",Inputs!$B$15="Y"),AND(D1182="Healthcare",Inputs!$B$16="Y"),AND(D1182="Pension",Inputs!$B$17="Y"),AND(D1182="OCIO",Inputs!$B$18="Y"),AND(D1182="Other",Inputs!$B$19="Y")))),A1182&lt;&gt;in_ClientOrg,NOT(AND(in_ExclHarvard="Y",ISNUMBER(SEARCH("Harvard",A1182))))),$AD1182="Y",K1182&lt;&gt;"",S1182&gt;0),"Y","")</f>
        <v/>
      </c>
      <c r="V1182" s="30" t="n">
        <v>0.2250325588161092</v>
      </c>
      <c r="W1182" t="inlineStr"/>
      <c r="X1182" s="28">
        <f>IF(L1182+M1182=0,"",L1182+M1182)</f>
        <v/>
      </c>
      <c r="Y1182" s="38">
        <f>IF(L1182=0,"",M1182/L1182)</f>
        <v/>
      </c>
      <c r="Z1182" t="inlineStr">
        <is>
          <t>Director &amp; Investment Officer</t>
        </is>
      </c>
      <c r="AA1182" t="inlineStr">
        <is>
          <t>Investments</t>
        </is>
      </c>
      <c r="AB1182" s="50" t="inlineStr"/>
      <c r="AC1182" s="43">
        <f>HYPERLINK("https://projects.propublica.org/nonprofits/organizations/742765082/202641829349300024/full","view filing")</f>
        <v/>
      </c>
      <c r="AD1182" s="50" t="inlineStr">
        <is>
          <t>Y</t>
        </is>
      </c>
    </row>
    <row r="1183">
      <c r="A1183" t="inlineStr">
        <is>
          <t>The University Of Texas Texas A M Investment Management Company</t>
        </is>
      </c>
      <c r="B1183" s="50" t="inlineStr">
        <is>
          <t>TX</t>
        </is>
      </c>
      <c r="C1183" s="52" t="n">
        <v>67.84</v>
      </c>
      <c r="D1183" t="inlineStr">
        <is>
          <t>Endowment</t>
        </is>
      </c>
      <c r="E1183" s="50" t="n">
        <v>2025</v>
      </c>
      <c r="F1183" s="50" t="inlineStr">
        <is>
          <t>2026-07-01</t>
        </is>
      </c>
      <c r="G1183" s="50" t="inlineStr">
        <is>
          <t>2025-08-31</t>
        </is>
      </c>
      <c r="H1183" t="inlineStr">
        <is>
          <t>Mukund Joshi</t>
        </is>
      </c>
      <c r="I1183" t="inlineStr">
        <is>
          <t>MANAGING DIRECTOR - INVESTMENTS</t>
        </is>
      </c>
      <c r="J1183" t="inlineStr">
        <is>
          <t>Managing Director</t>
        </is>
      </c>
      <c r="K1183" t="inlineStr">
        <is>
          <t>Sr Investment Professional</t>
        </is>
      </c>
      <c r="L1183" s="28" t="n">
        <v>364489</v>
      </c>
      <c r="M1183" s="28" t="n">
        <v>317022</v>
      </c>
      <c r="N1183" s="28" t="n">
        <v>3114</v>
      </c>
      <c r="O1183" s="28" t="n">
        <v>793203</v>
      </c>
      <c r="P1183" s="28" t="n">
        <v>29531</v>
      </c>
      <c r="Q1183" s="28" t="n">
        <v>1507359</v>
      </c>
      <c r="R1183" s="28" t="n">
        <v>302831</v>
      </c>
      <c r="S1183" s="28">
        <f>Q1183-R1183</f>
        <v/>
      </c>
      <c r="T1183" s="28">
        <f>IF(S1183="","",S1183*(1+in_GrowthRate)^(YEARFRAC(DATE(2025,8,31),in_AgeToDate)*IF(in_AgeToDate&lt;DATE(2025,8,31),-1,1)+1))</f>
        <v/>
      </c>
      <c r="U1183" s="50">
        <f>IF(AND(AND(OR(in_Mode="All Funds",AND(C1183&gt;=in_BandFloor,C1183&lt;=in_BandCeiling,OR(in_Geography="National",COUNTIFS(lst_GeoPreset,in_Geography,lst_GeoState,B1183)&gt;0,AND(in_Geography="Custom",ISNUMBER(SEARCH(B1183,SUBSTITUTE(in_CustomStates," ",""))))),OR(AND(D1183="Endowment",Inputs!$B$14="Y"),AND(D1183="Foundation",Inputs!$B$15="Y"),AND(D1183="Healthcare",Inputs!$B$16="Y"),AND(D1183="Pension",Inputs!$B$17="Y"),AND(D1183="OCIO",Inputs!$B$18="Y"),AND(D1183="Other",Inputs!$B$19="Y")))),A1183&lt;&gt;in_ClientOrg,NOT(AND(in_ExclHarvard="Y",ISNUMBER(SEARCH("Harvard",A1183))))),$AD1183="Y",K1183&lt;&gt;"",S1183&gt;0),"Y","")</f>
        <v/>
      </c>
      <c r="V1183" s="30" t="n">
        <v>0.3422164541915072</v>
      </c>
      <c r="W1183" t="inlineStr"/>
      <c r="X1183" s="28">
        <f>IF(L1183+M1183=0,"",L1183+M1183)</f>
        <v/>
      </c>
      <c r="Y1183" s="38">
        <f>IF(L1183=0,"",M1183/L1183)</f>
        <v/>
      </c>
      <c r="Z1183" t="inlineStr">
        <is>
          <t>Managing Director</t>
        </is>
      </c>
      <c r="AA1183" t="inlineStr">
        <is>
          <t>Investments</t>
        </is>
      </c>
      <c r="AB1183" s="50" t="inlineStr"/>
      <c r="AC1183" s="43">
        <f>HYPERLINK("https://projects.propublica.org/nonprofits/organizations/742765082/202641829349300024/full","view filing")</f>
        <v/>
      </c>
      <c r="AD1183" s="50" t="inlineStr">
        <is>
          <t>Y</t>
        </is>
      </c>
    </row>
    <row r="1184">
      <c r="A1184" t="inlineStr">
        <is>
          <t>The University Of Texas Texas A M Investment Management Company</t>
        </is>
      </c>
      <c r="B1184" s="50" t="inlineStr">
        <is>
          <t>TX</t>
        </is>
      </c>
      <c r="C1184" s="52" t="n">
        <v>67.84</v>
      </c>
      <c r="D1184" t="inlineStr">
        <is>
          <t>Endowment</t>
        </is>
      </c>
      <c r="E1184" s="50" t="n">
        <v>2025</v>
      </c>
      <c r="F1184" s="50" t="inlineStr">
        <is>
          <t>2026-07-01</t>
        </is>
      </c>
      <c r="G1184" s="50" t="inlineStr">
        <is>
          <t>2025-08-31</t>
        </is>
      </c>
      <c r="H1184" t="inlineStr">
        <is>
          <t>Patrick Pace</t>
        </is>
      </c>
      <c r="I1184" t="inlineStr">
        <is>
          <t>SENIOR MANAGING DIRECTOR - INVESTMENTS</t>
        </is>
      </c>
      <c r="J1184" t="inlineStr">
        <is>
          <t>Senior Managing Director</t>
        </is>
      </c>
      <c r="K1184" t="inlineStr">
        <is>
          <t>Sr Investment Professional</t>
        </is>
      </c>
      <c r="L1184" s="28" t="n">
        <v>460709</v>
      </c>
      <c r="M1184" s="28" t="n">
        <v>551135</v>
      </c>
      <c r="N1184" s="28" t="n">
        <v>7971</v>
      </c>
      <c r="O1184" s="28" t="n">
        <v>1110660</v>
      </c>
      <c r="P1184" s="28" t="n">
        <v>30377</v>
      </c>
      <c r="Q1184" s="28" t="n">
        <v>2160852</v>
      </c>
      <c r="R1184" s="28" t="n">
        <v>521184</v>
      </c>
      <c r="S1184" s="28">
        <f>Q1184-R1184</f>
        <v/>
      </c>
      <c r="T1184" s="28">
        <f>IF(S1184="","",S1184*(1+in_GrowthRate)^(YEARFRAC(DATE(2025,8,31),in_AgeToDate)*IF(in_AgeToDate&lt;DATE(2025,8,31),-1,1)+1))</f>
        <v/>
      </c>
      <c r="U1184" s="50">
        <f>IF(AND(AND(OR(in_Mode="All Funds",AND(C1184&gt;=in_BandFloor,C1184&lt;=in_BandCeiling,OR(in_Geography="National",COUNTIFS(lst_GeoPreset,in_Geography,lst_GeoState,B1184)&gt;0,AND(in_Geography="Custom",ISNUMBER(SEARCH(B1184,SUBSTITUTE(in_CustomStates," ",""))))),OR(AND(D1184="Endowment",Inputs!$B$14="Y"),AND(D1184="Foundation",Inputs!$B$15="Y"),AND(D1184="Healthcare",Inputs!$B$16="Y"),AND(D1184="Pension",Inputs!$B$17="Y"),AND(D1184="OCIO",Inputs!$B$18="Y"),AND(D1184="Other",Inputs!$B$19="Y")))),A1184&lt;&gt;in_ClientOrg,NOT(AND(in_ExclHarvard="Y",ISNUMBER(SEARCH("Harvard",A1184))))),$AD1184="Y",K1184&lt;&gt;"",S1184&gt;0),"Y","")</f>
        <v/>
      </c>
      <c r="V1184" s="30" t="n">
        <v>0.4658433585697304</v>
      </c>
      <c r="W1184" t="inlineStr"/>
      <c r="X1184" s="28">
        <f>IF(L1184+M1184=0,"",L1184+M1184)</f>
        <v/>
      </c>
      <c r="Y1184" s="38">
        <f>IF(L1184=0,"",M1184/L1184)</f>
        <v/>
      </c>
      <c r="Z1184" t="inlineStr">
        <is>
          <t>Managing Director</t>
        </is>
      </c>
      <c r="AA1184" t="inlineStr">
        <is>
          <t>Investments</t>
        </is>
      </c>
      <c r="AB1184" s="50" t="inlineStr"/>
      <c r="AC1184" s="43">
        <f>HYPERLINK("https://projects.propublica.org/nonprofits/organizations/742765082/202641829349300024/full","view filing")</f>
        <v/>
      </c>
      <c r="AD1184" s="50" t="inlineStr">
        <is>
          <t>Y</t>
        </is>
      </c>
    </row>
    <row r="1185">
      <c r="A1185" t="inlineStr">
        <is>
          <t>The University Of Texas Texas A M Investment Management Company</t>
        </is>
      </c>
      <c r="B1185" s="50" t="inlineStr">
        <is>
          <t>TX</t>
        </is>
      </c>
      <c r="C1185" s="52" t="n">
        <v>67.84</v>
      </c>
      <c r="D1185" t="inlineStr">
        <is>
          <t>Endowment</t>
        </is>
      </c>
      <c r="E1185" s="50" t="n">
        <v>2025</v>
      </c>
      <c r="F1185" s="50" t="inlineStr">
        <is>
          <t>2026-07-01</t>
        </is>
      </c>
      <c r="G1185" s="50" t="inlineStr">
        <is>
          <t>2025-08-31</t>
        </is>
      </c>
      <c r="H1185" t="inlineStr">
        <is>
          <t>Richard L Hall</t>
        </is>
      </c>
      <c r="I1185" t="inlineStr">
        <is>
          <t>PRESIDENT, CHIEF EXECUTIVE OFFICER AND CHIEF INVESTMENT OFFICER</t>
        </is>
      </c>
      <c r="J1185" t="inlineStr">
        <is>
          <t>CIO</t>
        </is>
      </c>
      <c r="K1185" t="inlineStr">
        <is>
          <t>CIO - Top Investment Executive</t>
        </is>
      </c>
      <c r="L1185" s="28" t="n">
        <v>877333</v>
      </c>
      <c r="M1185" s="28" t="n">
        <v>1751908</v>
      </c>
      <c r="N1185" s="28" t="n">
        <v>4293</v>
      </c>
      <c r="O1185" s="28" t="n">
        <v>2519247</v>
      </c>
      <c r="P1185" s="28" t="n">
        <v>10130</v>
      </c>
      <c r="Q1185" s="28" t="n">
        <v>5162911</v>
      </c>
      <c r="R1185" s="28" t="n">
        <v>1643127</v>
      </c>
      <c r="S1185" s="28">
        <f>Q1185-R1185</f>
        <v/>
      </c>
      <c r="T1185" s="28">
        <f>IF(S1185="","",S1185*(1+in_GrowthRate)^(YEARFRAC(DATE(2025,8,31),in_AgeToDate)*IF(in_AgeToDate&lt;DATE(2025,8,31),-1,1)+1))</f>
        <v/>
      </c>
      <c r="U1185" s="50">
        <f>IF(AND(AND(OR(in_Mode="All Funds",AND(C1185&gt;=in_BandFloor,C1185&lt;=in_BandCeiling,OR(in_Geography="National",COUNTIFS(lst_GeoPreset,in_Geography,lst_GeoState,B1185)&gt;0,AND(in_Geography="Custom",ISNUMBER(SEARCH(B1185,SUBSTITUTE(in_CustomStates," ",""))))),OR(AND(D1185="Endowment",Inputs!$B$14="Y"),AND(D1185="Foundation",Inputs!$B$15="Y"),AND(D1185="Healthcare",Inputs!$B$16="Y"),AND(D1185="Pension",Inputs!$B$17="Y"),AND(D1185="OCIO",Inputs!$B$18="Y"),AND(D1185="Other",Inputs!$B$19="Y")))),A1185&lt;&gt;in_ClientOrg,NOT(AND(in_ExclHarvard="Y",ISNUMBER(SEARCH("Harvard",A1185))))),$AD1185="Y",K1185&lt;&gt;"",S1185&gt;0),"Y","")</f>
        <v/>
      </c>
      <c r="V1185" s="30" t="n">
        <v>1</v>
      </c>
      <c r="W1185" t="inlineStr"/>
      <c r="X1185" s="28">
        <f>IF(L1185+M1185=0,"",L1185+M1185)</f>
        <v/>
      </c>
      <c r="Y1185" s="38">
        <f>IF(L1185=0,"",M1185/L1185)</f>
        <v/>
      </c>
      <c r="Z1185" t="inlineStr">
        <is>
          <t>CIO - Top Investment Executive</t>
        </is>
      </c>
      <c r="AA1185" t="inlineStr">
        <is>
          <t>Leadership</t>
        </is>
      </c>
      <c r="AB1185" s="50" t="inlineStr">
        <is>
          <t>Y</t>
        </is>
      </c>
      <c r="AC1185" s="43">
        <f>HYPERLINK("https://projects.propublica.org/nonprofits/organizations/742765082/202641829349300024/full","view filing")</f>
        <v/>
      </c>
      <c r="AD1185" s="50" t="inlineStr">
        <is>
          <t>Y</t>
        </is>
      </c>
    </row>
    <row r="1186">
      <c r="A1186" t="inlineStr">
        <is>
          <t>The University Of Texas Texas A M Investment Management Company</t>
        </is>
      </c>
      <c r="B1186" s="50" t="inlineStr">
        <is>
          <t>TX</t>
        </is>
      </c>
      <c r="C1186" s="52" t="n">
        <v>67.84</v>
      </c>
      <c r="D1186" t="inlineStr">
        <is>
          <t>Endowment</t>
        </is>
      </c>
      <c r="E1186" s="50" t="n">
        <v>2025</v>
      </c>
      <c r="F1186" s="50" t="inlineStr">
        <is>
          <t>2026-07-01</t>
        </is>
      </c>
      <c r="G1186" s="50" t="inlineStr">
        <is>
          <t>2025-08-31</t>
        </is>
      </c>
      <c r="H1186" t="inlineStr">
        <is>
          <t>Rodney R Ruebsahm</t>
        </is>
      </c>
      <c r="I1186" t="inlineStr">
        <is>
          <t>SENIOR MANAGING DIRECTOR - INVESTMENTS</t>
        </is>
      </c>
      <c r="J1186" t="inlineStr">
        <is>
          <t>Senior Managing Director</t>
        </is>
      </c>
      <c r="K1186" t="inlineStr">
        <is>
          <t>Sr Investment Professional</t>
        </is>
      </c>
      <c r="L1186" s="28" t="n">
        <v>495709</v>
      </c>
      <c r="M1186" s="28" t="n">
        <v>892971</v>
      </c>
      <c r="N1186" s="28" t="n">
        <v>3038</v>
      </c>
      <c r="O1186" s="28" t="n">
        <v>1411452</v>
      </c>
      <c r="P1186" s="28" t="n">
        <v>30408</v>
      </c>
      <c r="Q1186" s="28" t="n">
        <v>2833578</v>
      </c>
      <c r="R1186" s="28" t="n">
        <v>846988</v>
      </c>
      <c r="S1186" s="28">
        <f>Q1186-R1186</f>
        <v/>
      </c>
      <c r="T1186" s="28">
        <f>IF(S1186="","",S1186*(1+in_GrowthRate)^(YEARFRAC(DATE(2025,8,31),in_AgeToDate)*IF(in_AgeToDate&lt;DATE(2025,8,31),-1,1)+1))</f>
        <v/>
      </c>
      <c r="U1186" s="50">
        <f>IF(AND(AND(OR(in_Mode="All Funds",AND(C1186&gt;=in_BandFloor,C1186&lt;=in_BandCeiling,OR(in_Geography="National",COUNTIFS(lst_GeoPreset,in_Geography,lst_GeoState,B1186)&gt;0,AND(in_Geography="Custom",ISNUMBER(SEARCH(B1186,SUBSTITUTE(in_CustomStates," ",""))))),OR(AND(D1186="Endowment",Inputs!$B$14="Y"),AND(D1186="Foundation",Inputs!$B$15="Y"),AND(D1186="Healthcare",Inputs!$B$16="Y"),AND(D1186="Pension",Inputs!$B$17="Y"),AND(D1186="OCIO",Inputs!$B$18="Y"),AND(D1186="Other",Inputs!$B$19="Y")))),A1186&lt;&gt;in_ClientOrg,NOT(AND(in_ExclHarvard="Y",ISNUMBER(SEARCH("Harvard",A1186))))),$AD1186="Y",K1186&lt;&gt;"",S1186&gt;0),"Y","")</f>
        <v/>
      </c>
      <c r="V1186" s="30" t="n">
        <v>0.5644067931441248</v>
      </c>
      <c r="W1186" t="inlineStr"/>
      <c r="X1186" s="28">
        <f>IF(L1186+M1186=0,"",L1186+M1186)</f>
        <v/>
      </c>
      <c r="Y1186" s="38">
        <f>IF(L1186=0,"",M1186/L1186)</f>
        <v/>
      </c>
      <c r="Z1186" t="inlineStr">
        <is>
          <t>Managing Director</t>
        </is>
      </c>
      <c r="AA1186" t="inlineStr">
        <is>
          <t>Investments</t>
        </is>
      </c>
      <c r="AB1186" s="50" t="inlineStr"/>
      <c r="AC1186" s="43">
        <f>HYPERLINK("https://projects.propublica.org/nonprofits/organizations/742765082/202641829349300024/full","view filing")</f>
        <v/>
      </c>
      <c r="AD1186" s="50" t="inlineStr">
        <is>
          <t>Y</t>
        </is>
      </c>
    </row>
    <row r="1187">
      <c r="A1187" t="inlineStr">
        <is>
          <t>The University Of Texas Texas A M Investment Management Company</t>
        </is>
      </c>
      <c r="B1187" s="50" t="inlineStr">
        <is>
          <t>TX</t>
        </is>
      </c>
      <c r="C1187" s="52" t="n">
        <v>67.84</v>
      </c>
      <c r="D1187" t="inlineStr">
        <is>
          <t>Endowment</t>
        </is>
      </c>
      <c r="E1187" s="50" t="n">
        <v>2025</v>
      </c>
      <c r="F1187" s="50" t="inlineStr">
        <is>
          <t>2026-07-01</t>
        </is>
      </c>
      <c r="G1187" s="50" t="inlineStr">
        <is>
          <t>2025-08-31</t>
        </is>
      </c>
      <c r="H1187" t="inlineStr">
        <is>
          <t>Susan Chen</t>
        </is>
      </c>
      <c r="I1187" t="inlineStr">
        <is>
          <t>SENIOR MANAGING DIRECTOR - INVESTMENTS</t>
        </is>
      </c>
      <c r="J1187" t="inlineStr">
        <is>
          <t>Senior Managing Director</t>
        </is>
      </c>
      <c r="K1187" t="inlineStr">
        <is>
          <t>Sr Investment Professional</t>
        </is>
      </c>
      <c r="L1187" s="28" t="n">
        <v>499953</v>
      </c>
      <c r="M1187" s="28" t="n">
        <v>603057</v>
      </c>
      <c r="N1187" s="28" t="n">
        <v>3285</v>
      </c>
      <c r="O1187" s="28" t="n">
        <v>1376557</v>
      </c>
      <c r="P1187" s="28" t="n">
        <v>21164</v>
      </c>
      <c r="Q1187" s="28" t="n">
        <v>2504016</v>
      </c>
      <c r="R1187" s="28" t="n">
        <v>568961</v>
      </c>
      <c r="S1187" s="28">
        <f>Q1187-R1187</f>
        <v/>
      </c>
      <c r="T1187" s="28">
        <f>IF(S1187="","",S1187*(1+in_GrowthRate)^(YEARFRAC(DATE(2025,8,31),in_AgeToDate)*IF(in_AgeToDate&lt;DATE(2025,8,31),-1,1)+1))</f>
        <v/>
      </c>
      <c r="U1187" s="50">
        <f>IF(AND(AND(OR(in_Mode="All Funds",AND(C1187&gt;=in_BandFloor,C1187&lt;=in_BandCeiling,OR(in_Geography="National",COUNTIFS(lst_GeoPreset,in_Geography,lst_GeoState,B1187)&gt;0,AND(in_Geography="Custom",ISNUMBER(SEARCH(B1187,SUBSTITUTE(in_CustomStates," ",""))))),OR(AND(D1187="Endowment",Inputs!$B$14="Y"),AND(D1187="Foundation",Inputs!$B$15="Y"),AND(D1187="Healthcare",Inputs!$B$16="Y"),AND(D1187="Pension",Inputs!$B$17="Y"),AND(D1187="OCIO",Inputs!$B$18="Y"),AND(D1187="Other",Inputs!$B$19="Y")))),A1187&lt;&gt;in_ClientOrg,NOT(AND(in_ExclHarvard="Y",ISNUMBER(SEARCH("Harvard",A1187))))),$AD1187="Y",K1187&lt;&gt;"",S1187&gt;0),"Y","")</f>
        <v/>
      </c>
      <c r="V1187" s="30" t="n">
        <v>0.5497652696870036</v>
      </c>
      <c r="W1187" t="inlineStr"/>
      <c r="X1187" s="28">
        <f>IF(L1187+M1187=0,"",L1187+M1187)</f>
        <v/>
      </c>
      <c r="Y1187" s="38">
        <f>IF(L1187=0,"",M1187/L1187)</f>
        <v/>
      </c>
      <c r="Z1187" t="inlineStr">
        <is>
          <t>Managing Director</t>
        </is>
      </c>
      <c r="AA1187" t="inlineStr">
        <is>
          <t>Investments</t>
        </is>
      </c>
      <c r="AB1187" s="50" t="inlineStr"/>
      <c r="AC1187" s="43">
        <f>HYPERLINK("https://projects.propublica.org/nonprofits/organizations/742765082/202641829349300024/full","view filing")</f>
        <v/>
      </c>
      <c r="AD1187" s="50" t="inlineStr">
        <is>
          <t>Y</t>
        </is>
      </c>
    </row>
    <row r="1188">
      <c r="A1188" t="inlineStr">
        <is>
          <t>The University Of Texas Texas A M Investment Management Company</t>
        </is>
      </c>
      <c r="B1188" s="50" t="inlineStr">
        <is>
          <t>TX</t>
        </is>
      </c>
      <c r="C1188" s="52" t="n">
        <v>67.84</v>
      </c>
      <c r="D1188" t="inlineStr">
        <is>
          <t>Endowment</t>
        </is>
      </c>
      <c r="E1188" s="50" t="n">
        <v>2025</v>
      </c>
      <c r="F1188" s="50" t="inlineStr">
        <is>
          <t>2026-07-01</t>
        </is>
      </c>
      <c r="G1188" s="50" t="inlineStr">
        <is>
          <t>2025-08-31</t>
        </is>
      </c>
      <c r="H1188" t="inlineStr">
        <is>
          <t>Timothy Jones</t>
        </is>
      </c>
      <c r="I1188" t="inlineStr">
        <is>
          <t>SENIOR DIRECTOR - RISK MANAGMENT</t>
        </is>
      </c>
      <c r="J1188" t="inlineStr">
        <is>
          <t>Director of Investments</t>
        </is>
      </c>
      <c r="K1188" t="inlineStr">
        <is>
          <t>Sr Investment Professional</t>
        </is>
      </c>
      <c r="L1188" s="28" t="n">
        <v>280380</v>
      </c>
      <c r="M1188" s="28" t="n">
        <v>268583</v>
      </c>
      <c r="N1188" s="28" t="n">
        <v>2495</v>
      </c>
      <c r="O1188" s="28" t="n">
        <v>424548</v>
      </c>
      <c r="P1188" s="28" t="n">
        <v>29385</v>
      </c>
      <c r="Q1188" s="28" t="n">
        <v>1005391</v>
      </c>
      <c r="R1188" s="28" t="n">
        <v>189089</v>
      </c>
      <c r="S1188" s="28">
        <f>Q1188-R1188</f>
        <v/>
      </c>
      <c r="T1188" s="28">
        <f>IF(S1188="","",S1188*(1+in_GrowthRate)^(YEARFRAC(DATE(2025,8,31),in_AgeToDate)*IF(in_AgeToDate&lt;DATE(2025,8,31),-1,1)+1))</f>
        <v/>
      </c>
      <c r="U1188" s="50">
        <f>IF(AND(AND(OR(in_Mode="All Funds",AND(C1188&gt;=in_BandFloor,C1188&lt;=in_BandCeiling,OR(in_Geography="National",COUNTIFS(lst_GeoPreset,in_Geography,lst_GeoState,B1188)&gt;0,AND(in_Geography="Custom",ISNUMBER(SEARCH(B1188,SUBSTITUTE(in_CustomStates," ",""))))),OR(AND(D1188="Endowment",Inputs!$B$14="Y"),AND(D1188="Foundation",Inputs!$B$15="Y"),AND(D1188="Healthcare",Inputs!$B$16="Y"),AND(D1188="Pension",Inputs!$B$17="Y"),AND(D1188="OCIO",Inputs!$B$18="Y"),AND(D1188="Other",Inputs!$B$19="Y")))),A1188&lt;&gt;in_ClientOrg,NOT(AND(in_ExclHarvard="Y",ISNUMBER(SEARCH("Harvard",A1188))))),$AD1188="Y",K1188&lt;&gt;"",S1188&gt;0),"Y","")</f>
        <v/>
      </c>
      <c r="V1188" s="30" t="n">
        <v>0.231918208617347</v>
      </c>
      <c r="W1188" t="inlineStr"/>
      <c r="X1188" s="28">
        <f>IF(L1188+M1188=0,"",L1188+M1188)</f>
        <v/>
      </c>
      <c r="Y1188" s="38">
        <f>IF(L1188=0,"",M1188/L1188)</f>
        <v/>
      </c>
      <c r="Z1188" t="inlineStr">
        <is>
          <t>Director &amp; Investment Officer</t>
        </is>
      </c>
      <c r="AA1188" t="inlineStr">
        <is>
          <t>Investments</t>
        </is>
      </c>
      <c r="AB1188" s="50" t="inlineStr"/>
      <c r="AC1188" s="43">
        <f>HYPERLINK("https://projects.propublica.org/nonprofits/organizations/742765082/202641829349300024/full","view filing")</f>
        <v/>
      </c>
      <c r="AD1188" s="50" t="inlineStr">
        <is>
          <t>Y</t>
        </is>
      </c>
    </row>
    <row r="1189">
      <c r="A1189" t="inlineStr">
        <is>
          <t>The University Of Texas Texas A M Investment Management Company</t>
        </is>
      </c>
      <c r="B1189" s="50" t="inlineStr">
        <is>
          <t>TX</t>
        </is>
      </c>
      <c r="C1189" s="52" t="n">
        <v>67.84</v>
      </c>
      <c r="D1189" t="inlineStr">
        <is>
          <t>Endowment</t>
        </is>
      </c>
      <c r="E1189" s="50" t="n">
        <v>2025</v>
      </c>
      <c r="F1189" s="50" t="inlineStr">
        <is>
          <t>2026-07-01</t>
        </is>
      </c>
      <c r="G1189" s="50" t="inlineStr">
        <is>
          <t>2025-08-31</t>
        </is>
      </c>
      <c r="H1189" t="inlineStr">
        <is>
          <t>Uziel Yoeli</t>
        </is>
      </c>
      <c r="I1189" t="inlineStr">
        <is>
          <t>MANAGING DIRECTOR - RISK MANAGEMENT</t>
        </is>
      </c>
      <c r="J1189" t="inlineStr">
        <is>
          <t>Managing Director</t>
        </is>
      </c>
      <c r="K1189" t="inlineStr">
        <is>
          <t>Sr Investment Professional</t>
        </is>
      </c>
      <c r="L1189" s="28" t="n">
        <v>383566</v>
      </c>
      <c r="M1189" s="28" t="n">
        <v>268198</v>
      </c>
      <c r="N1189" s="28" t="n">
        <v>4592</v>
      </c>
      <c r="O1189" s="28" t="n">
        <v>724325</v>
      </c>
      <c r="P1189" s="28" t="n">
        <v>19982</v>
      </c>
      <c r="Q1189" s="28" t="n">
        <v>1400663</v>
      </c>
      <c r="R1189" s="28" t="n">
        <v>268198</v>
      </c>
      <c r="S1189" s="28">
        <f>Q1189-R1189</f>
        <v/>
      </c>
      <c r="T1189" s="28">
        <f>IF(S1189="","",S1189*(1+in_GrowthRate)^(YEARFRAC(DATE(2025,8,31),in_AgeToDate)*IF(in_AgeToDate&lt;DATE(2025,8,31),-1,1)+1))</f>
        <v/>
      </c>
      <c r="U1189" s="50">
        <f>IF(AND(AND(OR(in_Mode="All Funds",AND(C1189&gt;=in_BandFloor,C1189&lt;=in_BandCeiling,OR(in_Geography="National",COUNTIFS(lst_GeoPreset,in_Geography,lst_GeoState,B1189)&gt;0,AND(in_Geography="Custom",ISNUMBER(SEARCH(B1189,SUBSTITUTE(in_CustomStates," ",""))))),OR(AND(D1189="Endowment",Inputs!$B$14="Y"),AND(D1189="Foundation",Inputs!$B$15="Y"),AND(D1189="Healthcare",Inputs!$B$16="Y"),AND(D1189="Pension",Inputs!$B$17="Y"),AND(D1189="OCIO",Inputs!$B$18="Y"),AND(D1189="Other",Inputs!$B$19="Y")))),A1189&lt;&gt;in_ClientOrg,NOT(AND(in_ExclHarvard="Y",ISNUMBER(SEARCH("Harvard",A1189))))),$AD1189="Y",K1189&lt;&gt;"",S1189&gt;0),"Y","")</f>
        <v/>
      </c>
      <c r="V1189" s="30" t="n">
        <v>0.3217427546690365</v>
      </c>
      <c r="W1189" t="inlineStr"/>
      <c r="X1189" s="28">
        <f>IF(L1189+M1189=0,"",L1189+M1189)</f>
        <v/>
      </c>
      <c r="Y1189" s="38">
        <f>IF(L1189=0,"",M1189/L1189)</f>
        <v/>
      </c>
      <c r="Z1189" t="inlineStr">
        <is>
          <t>Managing Director</t>
        </is>
      </c>
      <c r="AA1189" t="inlineStr">
        <is>
          <t>Investments</t>
        </is>
      </c>
      <c r="AB1189" s="50" t="inlineStr"/>
      <c r="AC1189" s="43">
        <f>HYPERLINK("https://projects.propublica.org/nonprofits/organizations/742765082/202641829349300024/full","view filing")</f>
        <v/>
      </c>
      <c r="AD1189" s="50" t="inlineStr">
        <is>
          <t>Y</t>
        </is>
      </c>
    </row>
    <row r="1190">
      <c r="A1190" t="inlineStr">
        <is>
          <t>The University Of Texas Texas A M Investment Management Company</t>
        </is>
      </c>
      <c r="B1190" s="50" t="inlineStr">
        <is>
          <t>TX</t>
        </is>
      </c>
      <c r="C1190" s="52" t="n">
        <v>67.84</v>
      </c>
      <c r="D1190" t="inlineStr">
        <is>
          <t>Endowment</t>
        </is>
      </c>
      <c r="E1190" s="50" t="n">
        <v>2024</v>
      </c>
      <c r="F1190" s="50" t="inlineStr">
        <is>
          <t>2025-07-08</t>
        </is>
      </c>
      <c r="G1190" s="50" t="inlineStr">
        <is>
          <t>2024-08-31</t>
        </is>
      </c>
      <c r="H1190" t="inlineStr">
        <is>
          <t>Alison Rogers-Mccoy</t>
        </is>
      </c>
      <c r="I1190" t="inlineStr">
        <is>
          <t>MANAGING DIRECTOR AND CHIEF HUMAN RESOURCES OFFICER</t>
        </is>
      </c>
      <c r="J1190" t="inlineStr">
        <is>
          <t>CHRO (Inv Entity)</t>
        </is>
      </c>
      <c r="K1190" t="inlineStr">
        <is>
          <t>Other disclosed professionals</t>
        </is>
      </c>
      <c r="L1190" s="28" t="n">
        <v>32678</v>
      </c>
      <c r="M1190" s="28" t="n">
        <v>225000</v>
      </c>
      <c r="N1190" s="28" t="n">
        <v>510</v>
      </c>
      <c r="O1190" s="28" t="n">
        <v>247479</v>
      </c>
      <c r="P1190" s="28" t="n">
        <v>531</v>
      </c>
      <c r="Q1190" s="28" t="n">
        <v>506198</v>
      </c>
      <c r="R1190" s="28" t="n">
        <v>0</v>
      </c>
      <c r="S1190" s="28">
        <f>Q1190-R1190</f>
        <v/>
      </c>
      <c r="T1190" s="28">
        <f>IF(S1190="","",S1190*(1+in_GrowthRate)^(YEARFRAC(DATE(2024,8,31),in_AgeToDate)*IF(in_AgeToDate&lt;DATE(2024,8,31),-1,1)+1))</f>
        <v/>
      </c>
      <c r="U1190" s="50">
        <f>IF(AND(AND(OR(in_Mode="All Funds",AND(C1190&gt;=in_BandFloor,C1190&lt;=in_BandCeiling,OR(in_Geography="National",COUNTIFS(lst_GeoPreset,in_Geography,lst_GeoState,B1190)&gt;0,AND(in_Geography="Custom",ISNUMBER(SEARCH(B1190,SUBSTITUTE(in_CustomStates," ",""))))),OR(AND(D1190="Endowment",Inputs!$B$14="Y"),AND(D1190="Foundation",Inputs!$B$15="Y"),AND(D1190="Healthcare",Inputs!$B$16="Y"),AND(D1190="Pension",Inputs!$B$17="Y"),AND(D1190="OCIO",Inputs!$B$18="Y"),AND(D1190="Other",Inputs!$B$19="Y")))),A1190&lt;&gt;in_ClientOrg,NOT(AND(in_ExclHarvard="Y",ISNUMBER(SEARCH("Harvard",A1190))))),$AD1190="Y",K1190&lt;&gt;"",S1190&gt;0),"Y","")</f>
        <v/>
      </c>
      <c r="V1190" s="30" t="n">
        <v>0.2371195158283289</v>
      </c>
      <c r="W1190" t="inlineStr">
        <is>
          <t>Other disclosed professionals</t>
        </is>
      </c>
      <c r="X1190" s="28">
        <f>IF(L1190+M1190=0,"",L1190+M1190)</f>
        <v/>
      </c>
      <c r="Y1190" s="38">
        <f>IF(L1190=0,"",M1190/L1190)</f>
        <v/>
      </c>
      <c r="Z1190" t="inlineStr">
        <is>
          <t>Other disclosed professionals</t>
        </is>
      </c>
      <c r="AA1190" t="inlineStr">
        <is>
          <t>Operations &amp; Control</t>
        </is>
      </c>
      <c r="AB1190" s="50" t="inlineStr"/>
      <c r="AC1190" s="43">
        <f>HYPERLINK("https://projects.propublica.org/nonprofits/organizations/742765082/202541899349300034/full","view filing")</f>
        <v/>
      </c>
      <c r="AD1190" s="50" t="inlineStr"/>
    </row>
    <row r="1191">
      <c r="A1191" t="inlineStr">
        <is>
          <t>The University Of Texas Texas A M Investment Management Company</t>
        </is>
      </c>
      <c r="B1191" s="50" t="inlineStr">
        <is>
          <t>TX</t>
        </is>
      </c>
      <c r="C1191" s="52" t="n">
        <v>67.84</v>
      </c>
      <c r="D1191" t="inlineStr">
        <is>
          <t>Endowment</t>
        </is>
      </c>
      <c r="E1191" s="50" t="n">
        <v>2024</v>
      </c>
      <c r="F1191" s="50" t="inlineStr">
        <is>
          <t>2025-07-08</t>
        </is>
      </c>
      <c r="G1191" s="50" t="inlineStr">
        <is>
          <t>2024-08-31</t>
        </is>
      </c>
      <c r="H1191" t="inlineStr">
        <is>
          <t>Amanda Hopper</t>
        </is>
      </c>
      <c r="I1191" t="inlineStr">
        <is>
          <t>MANAGING DIRECTOR - INVESTMENTS</t>
        </is>
      </c>
      <c r="J1191" t="inlineStr">
        <is>
          <t>Managing Director</t>
        </is>
      </c>
      <c r="K1191" t="inlineStr">
        <is>
          <t>Sr Investment Professional</t>
        </is>
      </c>
      <c r="L1191" s="28" t="n">
        <v>349991</v>
      </c>
      <c r="M1191" s="28" t="n">
        <v>722806</v>
      </c>
      <c r="N1191" s="28" t="n">
        <v>2556</v>
      </c>
      <c r="O1191" s="28" t="n">
        <v>303470</v>
      </c>
      <c r="P1191" s="28" t="n">
        <v>30038</v>
      </c>
      <c r="Q1191" s="28" t="n">
        <v>1408861</v>
      </c>
      <c r="R1191" s="28" t="n">
        <v>709220</v>
      </c>
      <c r="S1191" s="28">
        <f>Q1191-R1191</f>
        <v/>
      </c>
      <c r="T1191" s="28">
        <f>IF(S1191="","",S1191*(1+in_GrowthRate)^(YEARFRAC(DATE(2024,8,31),in_AgeToDate)*IF(in_AgeToDate&lt;DATE(2024,8,31),-1,1)+1))</f>
        <v/>
      </c>
      <c r="U1191" s="50">
        <f>IF(AND(AND(OR(in_Mode="All Funds",AND(C1191&gt;=in_BandFloor,C1191&lt;=in_BandCeiling,OR(in_Geography="National",COUNTIFS(lst_GeoPreset,in_Geography,lst_GeoState,B1191)&gt;0,AND(in_Geography="Custom",ISNUMBER(SEARCH(B1191,SUBSTITUTE(in_CustomStates," ",""))))),OR(AND(D1191="Endowment",Inputs!$B$14="Y"),AND(D1191="Foundation",Inputs!$B$15="Y"),AND(D1191="Healthcare",Inputs!$B$16="Y"),AND(D1191="Pension",Inputs!$B$17="Y"),AND(D1191="OCIO",Inputs!$B$18="Y"),AND(D1191="Other",Inputs!$B$19="Y")))),A1191&lt;&gt;in_ClientOrg,NOT(AND(in_ExclHarvard="Y",ISNUMBER(SEARCH("Harvard",A1191))))),$AD1191="Y",K1191&lt;&gt;"",S1191&gt;0),"Y","")</f>
        <v/>
      </c>
      <c r="V1191" s="30" t="n">
        <v>0.3277344738099476</v>
      </c>
      <c r="W1191" t="inlineStr"/>
      <c r="X1191" s="28">
        <f>IF(L1191+M1191=0,"",L1191+M1191)</f>
        <v/>
      </c>
      <c r="Y1191" s="38">
        <f>IF(L1191=0,"",M1191/L1191)</f>
        <v/>
      </c>
      <c r="Z1191" t="inlineStr">
        <is>
          <t>Managing Director</t>
        </is>
      </c>
      <c r="AA1191" t="inlineStr">
        <is>
          <t>Investments</t>
        </is>
      </c>
      <c r="AB1191" s="50" t="inlineStr"/>
      <c r="AC1191" s="43">
        <f>HYPERLINK("https://projects.propublica.org/nonprofits/organizations/742765082/202541899349300034/full","view filing")</f>
        <v/>
      </c>
      <c r="AD1191" s="50" t="inlineStr"/>
    </row>
    <row r="1192">
      <c r="A1192" t="inlineStr">
        <is>
          <t>The University Of Texas Texas A M Investment Management Company</t>
        </is>
      </c>
      <c r="B1192" s="50" t="inlineStr">
        <is>
          <t>TX</t>
        </is>
      </c>
      <c r="C1192" s="52" t="n">
        <v>67.84</v>
      </c>
      <c r="D1192" t="inlineStr">
        <is>
          <t>Endowment</t>
        </is>
      </c>
      <c r="E1192" s="50" t="n">
        <v>2024</v>
      </c>
      <c r="F1192" s="50" t="inlineStr">
        <is>
          <t>2025-07-08</t>
        </is>
      </c>
      <c r="G1192" s="50" t="inlineStr">
        <is>
          <t>2024-08-31</t>
        </is>
      </c>
      <c r="H1192" t="inlineStr">
        <is>
          <t>Anthony Caruso</t>
        </is>
      </c>
      <c r="I1192" t="inlineStr">
        <is>
          <t>MANAGING DIRECTOR - INVESTMENTS</t>
        </is>
      </c>
      <c r="J1192" t="inlineStr">
        <is>
          <t>Managing Director</t>
        </is>
      </c>
      <c r="K1192" t="inlineStr">
        <is>
          <t>Sr Investment Professional</t>
        </is>
      </c>
      <c r="L1192" s="28" t="n">
        <v>336799</v>
      </c>
      <c r="M1192" s="28" t="n">
        <v>770006</v>
      </c>
      <c r="N1192" s="28" t="n">
        <v>2556</v>
      </c>
      <c r="O1192" s="28" t="n">
        <v>484939</v>
      </c>
      <c r="P1192" s="28" t="n">
        <v>28809</v>
      </c>
      <c r="Q1192" s="28" t="n">
        <v>1623109</v>
      </c>
      <c r="R1192" s="28" t="n">
        <v>688728</v>
      </c>
      <c r="S1192" s="28">
        <f>Q1192-R1192</f>
        <v/>
      </c>
      <c r="T1192" s="28">
        <f>IF(S1192="","",S1192*(1+in_GrowthRate)^(YEARFRAC(DATE(2024,8,31),in_AgeToDate)*IF(in_AgeToDate&lt;DATE(2024,8,31),-1,1)+1))</f>
        <v/>
      </c>
      <c r="U1192" s="50">
        <f>IF(AND(AND(OR(in_Mode="All Funds",AND(C1192&gt;=in_BandFloor,C1192&lt;=in_BandCeiling,OR(in_Geography="National",COUNTIFS(lst_GeoPreset,in_Geography,lst_GeoState,B1192)&gt;0,AND(in_Geography="Custom",ISNUMBER(SEARCH(B1192,SUBSTITUTE(in_CustomStates," ",""))))),OR(AND(D1192="Endowment",Inputs!$B$14="Y"),AND(D1192="Foundation",Inputs!$B$15="Y"),AND(D1192="Healthcare",Inputs!$B$16="Y"),AND(D1192="Pension",Inputs!$B$17="Y"),AND(D1192="OCIO",Inputs!$B$18="Y"),AND(D1192="Other",Inputs!$B$19="Y")))),A1192&lt;&gt;in_ClientOrg,NOT(AND(in_ExclHarvard="Y",ISNUMBER(SEARCH("Harvard",A1192))))),$AD1192="Y",K1192&lt;&gt;"",S1192&gt;0),"Y","")</f>
        <v/>
      </c>
      <c r="V1192" s="30" t="n">
        <v>0.4376942823148053</v>
      </c>
      <c r="W1192" t="inlineStr"/>
      <c r="X1192" s="28">
        <f>IF(L1192+M1192=0,"",L1192+M1192)</f>
        <v/>
      </c>
      <c r="Y1192" s="38">
        <f>IF(L1192=0,"",M1192/L1192)</f>
        <v/>
      </c>
      <c r="Z1192" t="inlineStr">
        <is>
          <t>Managing Director</t>
        </is>
      </c>
      <c r="AA1192" t="inlineStr">
        <is>
          <t>Investments</t>
        </is>
      </c>
      <c r="AB1192" s="50" t="inlineStr"/>
      <c r="AC1192" s="43">
        <f>HYPERLINK("https://projects.propublica.org/nonprofits/organizations/742765082/202541899349300034/full","view filing")</f>
        <v/>
      </c>
      <c r="AD1192" s="50" t="inlineStr"/>
    </row>
    <row r="1193">
      <c r="A1193" t="inlineStr">
        <is>
          <t>The University Of Texas Texas A M Investment Management Company</t>
        </is>
      </c>
      <c r="B1193" s="50" t="inlineStr">
        <is>
          <t>TX</t>
        </is>
      </c>
      <c r="C1193" s="52" t="n">
        <v>67.84</v>
      </c>
      <c r="D1193" t="inlineStr">
        <is>
          <t>Endowment</t>
        </is>
      </c>
      <c r="E1193" s="50" t="n">
        <v>2024</v>
      </c>
      <c r="F1193" s="50" t="inlineStr">
        <is>
          <t>2025-07-08</t>
        </is>
      </c>
      <c r="G1193" s="50" t="inlineStr">
        <is>
          <t>2024-08-31</t>
        </is>
      </c>
      <c r="H1193" t="inlineStr">
        <is>
          <t>Brad Mccarter</t>
        </is>
      </c>
      <c r="I1193" t="inlineStr">
        <is>
          <t>SENIOR DIRECTOR - INVESTMENTS</t>
        </is>
      </c>
      <c r="J1193" t="inlineStr">
        <is>
          <t>Director of Investments</t>
        </is>
      </c>
      <c r="K1193" t="inlineStr">
        <is>
          <t>Sr Investment Professional</t>
        </is>
      </c>
      <c r="L1193" s="28" t="n">
        <v>269798</v>
      </c>
      <c r="M1193" s="28" t="n">
        <v>426250</v>
      </c>
      <c r="N1193" s="28" t="n">
        <v>2591</v>
      </c>
      <c r="O1193" s="28" t="n">
        <v>206225</v>
      </c>
      <c r="P1193" s="28" t="n">
        <v>30180</v>
      </c>
      <c r="Q1193" s="28" t="n">
        <v>935044</v>
      </c>
      <c r="R1193" s="28" t="n">
        <v>0</v>
      </c>
      <c r="S1193" s="28">
        <f>Q1193-R1193</f>
        <v/>
      </c>
      <c r="T1193" s="28">
        <f>IF(S1193="","",S1193*(1+in_GrowthRate)^(YEARFRAC(DATE(2024,8,31),in_AgeToDate)*IF(in_AgeToDate&lt;DATE(2024,8,31),-1,1)+1))</f>
        <v/>
      </c>
      <c r="U1193" s="50">
        <f>IF(AND(AND(OR(in_Mode="All Funds",AND(C1193&gt;=in_BandFloor,C1193&lt;=in_BandCeiling,OR(in_Geography="National",COUNTIFS(lst_GeoPreset,in_Geography,lst_GeoState,B1193)&gt;0,AND(in_Geography="Custom",ISNUMBER(SEARCH(B1193,SUBSTITUTE(in_CustomStates," ",""))))),OR(AND(D1193="Endowment",Inputs!$B$14="Y"),AND(D1193="Foundation",Inputs!$B$15="Y"),AND(D1193="Healthcare",Inputs!$B$16="Y"),AND(D1193="Pension",Inputs!$B$17="Y"),AND(D1193="OCIO",Inputs!$B$18="Y"),AND(D1193="Other",Inputs!$B$19="Y")))),A1193&lt;&gt;in_ClientOrg,NOT(AND(in_ExclHarvard="Y",ISNUMBER(SEARCH("Harvard",A1193))))),$AD1193="Y",K1193&lt;&gt;"",S1193&gt;0),"Y","")</f>
        <v/>
      </c>
      <c r="V1193" s="30" t="n">
        <v>0.4380048529590871</v>
      </c>
      <c r="W1193" t="inlineStr"/>
      <c r="X1193" s="28">
        <f>IF(L1193+M1193=0,"",L1193+M1193)</f>
        <v/>
      </c>
      <c r="Y1193" s="38">
        <f>IF(L1193=0,"",M1193/L1193)</f>
        <v/>
      </c>
      <c r="Z1193" t="inlineStr">
        <is>
          <t>Director &amp; Investment Officer</t>
        </is>
      </c>
      <c r="AA1193" t="inlineStr">
        <is>
          <t>Investments</t>
        </is>
      </c>
      <c r="AB1193" s="50" t="inlineStr"/>
      <c r="AC1193" s="43">
        <f>HYPERLINK("https://projects.propublica.org/nonprofits/organizations/742765082/202541899349300034/full","view filing")</f>
        <v/>
      </c>
      <c r="AD1193" s="50" t="inlineStr"/>
    </row>
    <row r="1194">
      <c r="A1194" t="inlineStr">
        <is>
          <t>The University Of Texas Texas A M Investment Management Company</t>
        </is>
      </c>
      <c r="B1194" s="50" t="inlineStr">
        <is>
          <t>TX</t>
        </is>
      </c>
      <c r="C1194" s="52" t="n">
        <v>67.84</v>
      </c>
      <c r="D1194" t="inlineStr">
        <is>
          <t>Endowment</t>
        </is>
      </c>
      <c r="E1194" s="50" t="n">
        <v>2024</v>
      </c>
      <c r="F1194" s="50" t="inlineStr">
        <is>
          <t>2025-07-08</t>
        </is>
      </c>
      <c r="G1194" s="50" t="inlineStr">
        <is>
          <t>2024-08-31</t>
        </is>
      </c>
      <c r="H1194" t="inlineStr">
        <is>
          <t>Carolina De Onis</t>
        </is>
      </c>
      <c r="I1194" t="inlineStr">
        <is>
          <t>GENERAL COUNSEL &amp; CHIEF COMPLIANCE OFFICER</t>
        </is>
      </c>
      <c r="J1194" t="inlineStr">
        <is>
          <t>General Counsel (Inv Entity)</t>
        </is>
      </c>
      <c r="K1194" t="inlineStr">
        <is>
          <t>Other disclosed professionals</t>
        </is>
      </c>
      <c r="L1194" s="28" t="n">
        <v>403516</v>
      </c>
      <c r="M1194" s="28" t="n">
        <v>392496</v>
      </c>
      <c r="N1194" s="28" t="n">
        <v>2555</v>
      </c>
      <c r="O1194" s="28" t="n">
        <v>258349</v>
      </c>
      <c r="P1194" s="28" t="n">
        <v>30180</v>
      </c>
      <c r="Q1194" s="28" t="n">
        <v>1087096</v>
      </c>
      <c r="R1194" s="28" t="n">
        <v>383951</v>
      </c>
      <c r="S1194" s="28">
        <f>Q1194-R1194</f>
        <v/>
      </c>
      <c r="T1194" s="28">
        <f>IF(S1194="","",S1194*(1+in_GrowthRate)^(YEARFRAC(DATE(2024,8,31),in_AgeToDate)*IF(in_AgeToDate&lt;DATE(2024,8,31),-1,1)+1))</f>
        <v/>
      </c>
      <c r="U1194" s="50">
        <f>IF(AND(AND(OR(in_Mode="All Funds",AND(C1194&gt;=in_BandFloor,C1194&lt;=in_BandCeiling,OR(in_Geography="National",COUNTIFS(lst_GeoPreset,in_Geography,lst_GeoState,B1194)&gt;0,AND(in_Geography="Custom",ISNUMBER(SEARCH(B1194,SUBSTITUTE(in_CustomStates," ",""))))),OR(AND(D1194="Endowment",Inputs!$B$14="Y"),AND(D1194="Foundation",Inputs!$B$15="Y"),AND(D1194="Healthcare",Inputs!$B$16="Y"),AND(D1194="Pension",Inputs!$B$17="Y"),AND(D1194="OCIO",Inputs!$B$18="Y"),AND(D1194="Other",Inputs!$B$19="Y")))),A1194&lt;&gt;in_ClientOrg,NOT(AND(in_ExclHarvard="Y",ISNUMBER(SEARCH("Harvard",A1194))))),$AD1194="Y",K1194&lt;&gt;"",S1194&gt;0),"Y","")</f>
        <v/>
      </c>
      <c r="V1194" s="30" t="n">
        <v>0.3293758607444327</v>
      </c>
      <c r="W1194" t="inlineStr">
        <is>
          <t>Other disclosed professionals</t>
        </is>
      </c>
      <c r="X1194" s="28">
        <f>IF(L1194+M1194=0,"",L1194+M1194)</f>
        <v/>
      </c>
      <c r="Y1194" s="38">
        <f>IF(L1194=0,"",M1194/L1194)</f>
        <v/>
      </c>
      <c r="Z1194" t="inlineStr">
        <is>
          <t>Other disclosed professionals</t>
        </is>
      </c>
      <c r="AA1194" t="inlineStr">
        <is>
          <t>Operations &amp; Control</t>
        </is>
      </c>
      <c r="AB1194" s="50" t="inlineStr"/>
      <c r="AC1194" s="43">
        <f>HYPERLINK("https://projects.propublica.org/nonprofits/organizations/742765082/202541899349300034/full","view filing")</f>
        <v/>
      </c>
      <c r="AD1194" s="50" t="inlineStr"/>
    </row>
    <row r="1195">
      <c r="A1195" t="inlineStr">
        <is>
          <t>The University Of Texas Texas A M Investment Management Company</t>
        </is>
      </c>
      <c r="B1195" s="50" t="inlineStr">
        <is>
          <t>TX</t>
        </is>
      </c>
      <c r="C1195" s="52" t="n">
        <v>67.84</v>
      </c>
      <c r="D1195" t="inlineStr">
        <is>
          <t>Endowment</t>
        </is>
      </c>
      <c r="E1195" s="50" t="n">
        <v>2024</v>
      </c>
      <c r="F1195" s="50" t="inlineStr">
        <is>
          <t>2025-07-08</t>
        </is>
      </c>
      <c r="G1195" s="50" t="inlineStr">
        <is>
          <t>2024-08-31</t>
        </is>
      </c>
      <c r="H1195" t="inlineStr">
        <is>
          <t>Courtney Powers</t>
        </is>
      </c>
      <c r="I1195" t="inlineStr">
        <is>
          <t>MANAGING DIRECTOR - INVESTMENTS</t>
        </is>
      </c>
      <c r="J1195" t="inlineStr">
        <is>
          <t>Managing Director</t>
        </is>
      </c>
      <c r="K1195" t="inlineStr">
        <is>
          <t>Sr Investment Professional</t>
        </is>
      </c>
      <c r="L1195" s="28" t="n">
        <v>349849</v>
      </c>
      <c r="M1195" s="28" t="n">
        <v>956439</v>
      </c>
      <c r="N1195" s="28" t="n">
        <v>2976</v>
      </c>
      <c r="O1195" s="28" t="n">
        <v>500262</v>
      </c>
      <c r="P1195" s="28" t="n">
        <v>30180</v>
      </c>
      <c r="Q1195" s="28" t="n">
        <v>1839706</v>
      </c>
      <c r="R1195" s="28" t="n">
        <v>937770</v>
      </c>
      <c r="S1195" s="28">
        <f>Q1195-R1195</f>
        <v/>
      </c>
      <c r="T1195" s="28">
        <f>IF(S1195="","",S1195*(1+in_GrowthRate)^(YEARFRAC(DATE(2024,8,31),in_AgeToDate)*IF(in_AgeToDate&lt;DATE(2024,8,31),-1,1)+1))</f>
        <v/>
      </c>
      <c r="U1195" s="50">
        <f>IF(AND(AND(OR(in_Mode="All Funds",AND(C1195&gt;=in_BandFloor,C1195&lt;=in_BandCeiling,OR(in_Geography="National",COUNTIFS(lst_GeoPreset,in_Geography,lst_GeoState,B1195)&gt;0,AND(in_Geography="Custom",ISNUMBER(SEARCH(B1195,SUBSTITUTE(in_CustomStates," ",""))))),OR(AND(D1195="Endowment",Inputs!$B$14="Y"),AND(D1195="Foundation",Inputs!$B$15="Y"),AND(D1195="Healthcare",Inputs!$B$16="Y"),AND(D1195="Pension",Inputs!$B$17="Y"),AND(D1195="OCIO",Inputs!$B$18="Y"),AND(D1195="Other",Inputs!$B$19="Y")))),A1195&lt;&gt;in_ClientOrg,NOT(AND(in_ExclHarvard="Y",ISNUMBER(SEARCH("Harvard",A1195))))),$AD1195="Y",K1195&lt;&gt;"",S1195&gt;0),"Y","")</f>
        <v/>
      </c>
      <c r="V1195" s="30" t="n">
        <v>0.4224959949034561</v>
      </c>
      <c r="W1195" t="inlineStr"/>
      <c r="X1195" s="28">
        <f>IF(L1195+M1195=0,"",L1195+M1195)</f>
        <v/>
      </c>
      <c r="Y1195" s="38">
        <f>IF(L1195=0,"",M1195/L1195)</f>
        <v/>
      </c>
      <c r="Z1195" t="inlineStr">
        <is>
          <t>Managing Director</t>
        </is>
      </c>
      <c r="AA1195" t="inlineStr">
        <is>
          <t>Investments</t>
        </is>
      </c>
      <c r="AB1195" s="50" t="inlineStr"/>
      <c r="AC1195" s="43">
        <f>HYPERLINK("https://projects.propublica.org/nonprofits/organizations/742765082/202541899349300034/full","view filing")</f>
        <v/>
      </c>
      <c r="AD1195" s="50" t="inlineStr"/>
    </row>
    <row r="1196">
      <c r="A1196" t="inlineStr">
        <is>
          <t>The University Of Texas Texas A M Investment Management Company</t>
        </is>
      </c>
      <c r="B1196" s="50" t="inlineStr">
        <is>
          <t>TX</t>
        </is>
      </c>
      <c r="C1196" s="52" t="n">
        <v>67.84</v>
      </c>
      <c r="D1196" t="inlineStr">
        <is>
          <t>Endowment</t>
        </is>
      </c>
      <c r="E1196" s="50" t="n">
        <v>2024</v>
      </c>
      <c r="F1196" s="50" t="inlineStr">
        <is>
          <t>2025-07-08</t>
        </is>
      </c>
      <c r="G1196" s="50" t="inlineStr">
        <is>
          <t>2024-08-31</t>
        </is>
      </c>
      <c r="H1196" t="inlineStr">
        <is>
          <t>Craig Thomas</t>
        </is>
      </c>
      <c r="I1196" t="inlineStr">
        <is>
          <t>MANAGING DIRECTOR - INVESTMENTS</t>
        </is>
      </c>
      <c r="J1196" t="inlineStr">
        <is>
          <t>Managing Director</t>
        </is>
      </c>
      <c r="K1196" t="inlineStr">
        <is>
          <t>Sr Investment Professional</t>
        </is>
      </c>
      <c r="L1196" s="28" t="n">
        <v>284466</v>
      </c>
      <c r="M1196" s="28" t="n">
        <v>486952</v>
      </c>
      <c r="N1196" s="28" t="n">
        <v>2527</v>
      </c>
      <c r="O1196" s="28" t="n">
        <v>308147</v>
      </c>
      <c r="P1196" s="28" t="n">
        <v>28809</v>
      </c>
      <c r="Q1196" s="28" t="n">
        <v>1110901</v>
      </c>
      <c r="R1196" s="28" t="n">
        <v>0</v>
      </c>
      <c r="S1196" s="28">
        <f>Q1196-R1196</f>
        <v/>
      </c>
      <c r="T1196" s="28">
        <f>IF(S1196="","",S1196*(1+in_GrowthRate)^(YEARFRAC(DATE(2024,8,31),in_AgeToDate)*IF(in_AgeToDate&lt;DATE(2024,8,31),-1,1)+1))</f>
        <v/>
      </c>
      <c r="U1196" s="50">
        <f>IF(AND(AND(OR(in_Mode="All Funds",AND(C1196&gt;=in_BandFloor,C1196&lt;=in_BandCeiling,OR(in_Geography="National",COUNTIFS(lst_GeoPreset,in_Geography,lst_GeoState,B1196)&gt;0,AND(in_Geography="Custom",ISNUMBER(SEARCH(B1196,SUBSTITUTE(in_CustomStates," ",""))))),OR(AND(D1196="Endowment",Inputs!$B$14="Y"),AND(D1196="Foundation",Inputs!$B$15="Y"),AND(D1196="Healthcare",Inputs!$B$16="Y"),AND(D1196="Pension",Inputs!$B$17="Y"),AND(D1196="OCIO",Inputs!$B$18="Y"),AND(D1196="Other",Inputs!$B$19="Y")))),A1196&lt;&gt;in_ClientOrg,NOT(AND(in_ExclHarvard="Y",ISNUMBER(SEARCH("Harvard",A1196))))),$AD1196="Y",K1196&lt;&gt;"",S1196&gt;0),"Y","")</f>
        <v/>
      </c>
      <c r="V1196" s="30" t="n">
        <v>0.5203819597335557</v>
      </c>
      <c r="W1196" t="inlineStr"/>
      <c r="X1196" s="28">
        <f>IF(L1196+M1196=0,"",L1196+M1196)</f>
        <v/>
      </c>
      <c r="Y1196" s="38">
        <f>IF(L1196=0,"",M1196/L1196)</f>
        <v/>
      </c>
      <c r="Z1196" t="inlineStr">
        <is>
          <t>Managing Director</t>
        </is>
      </c>
      <c r="AA1196" t="inlineStr">
        <is>
          <t>Investments</t>
        </is>
      </c>
      <c r="AB1196" s="50" t="inlineStr"/>
      <c r="AC1196" s="43">
        <f>HYPERLINK("https://projects.propublica.org/nonprofits/organizations/742765082/202541899349300034/full","view filing")</f>
        <v/>
      </c>
      <c r="AD1196" s="50" t="inlineStr"/>
    </row>
    <row r="1197">
      <c r="A1197" t="inlineStr">
        <is>
          <t>The University Of Texas Texas A M Investment Management Company</t>
        </is>
      </c>
      <c r="B1197" s="50" t="inlineStr">
        <is>
          <t>TX</t>
        </is>
      </c>
      <c r="C1197" s="52" t="n">
        <v>67.84</v>
      </c>
      <c r="D1197" t="inlineStr">
        <is>
          <t>Endowment</t>
        </is>
      </c>
      <c r="E1197" s="50" t="n">
        <v>2024</v>
      </c>
      <c r="F1197" s="50" t="inlineStr">
        <is>
          <t>2025-07-08</t>
        </is>
      </c>
      <c r="G1197" s="50" t="inlineStr">
        <is>
          <t>2024-08-31</t>
        </is>
      </c>
      <c r="H1197" t="inlineStr">
        <is>
          <t>Edward Lewis</t>
        </is>
      </c>
      <c r="I1197" t="inlineStr">
        <is>
          <t>SENIOR MANAGING DIRECTOR - INVESTMENTS</t>
        </is>
      </c>
      <c r="J1197" t="inlineStr">
        <is>
          <t>Senior Managing Director</t>
        </is>
      </c>
      <c r="K1197" t="inlineStr">
        <is>
          <t>Sr Investment Professional</t>
        </is>
      </c>
      <c r="L1197" s="28" t="n">
        <v>452216</v>
      </c>
      <c r="M1197" s="28" t="n">
        <v>1057691</v>
      </c>
      <c r="N1197" s="28" t="n">
        <v>2855</v>
      </c>
      <c r="O1197" s="28" t="n">
        <v>466046</v>
      </c>
      <c r="P1197" s="28" t="n">
        <v>28813</v>
      </c>
      <c r="Q1197" s="28" t="n">
        <v>2007621</v>
      </c>
      <c r="R1197" s="28" t="n">
        <v>1042435</v>
      </c>
      <c r="S1197" s="28">
        <f>Q1197-R1197</f>
        <v/>
      </c>
      <c r="T1197" s="28">
        <f>IF(S1197="","",S1197*(1+in_GrowthRate)^(YEARFRAC(DATE(2024,8,31),in_AgeToDate)*IF(in_AgeToDate&lt;DATE(2024,8,31),-1,1)+1))</f>
        <v/>
      </c>
      <c r="U1197" s="50">
        <f>IF(AND(AND(OR(in_Mode="All Funds",AND(C1197&gt;=in_BandFloor,C1197&lt;=in_BandCeiling,OR(in_Geography="National",COUNTIFS(lst_GeoPreset,in_Geography,lst_GeoState,B1197)&gt;0,AND(in_Geography="Custom",ISNUMBER(SEARCH(B1197,SUBSTITUTE(in_CustomStates," ",""))))),OR(AND(D1197="Endowment",Inputs!$B$14="Y"),AND(D1197="Foundation",Inputs!$B$15="Y"),AND(D1197="Healthcare",Inputs!$B$16="Y"),AND(D1197="Pension",Inputs!$B$17="Y"),AND(D1197="OCIO",Inputs!$B$18="Y"),AND(D1197="Other",Inputs!$B$19="Y")))),A1197&lt;&gt;in_ClientOrg,NOT(AND(in_ExclHarvard="Y",ISNUMBER(SEARCH("Harvard",A1197))))),$AD1197="Y",K1197&lt;&gt;"",S1197&gt;0),"Y","")</f>
        <v/>
      </c>
      <c r="V1197" s="30" t="n">
        <v>0.4521243406814754</v>
      </c>
      <c r="W1197" t="inlineStr"/>
      <c r="X1197" s="28">
        <f>IF(L1197+M1197=0,"",L1197+M1197)</f>
        <v/>
      </c>
      <c r="Y1197" s="38">
        <f>IF(L1197=0,"",M1197/L1197)</f>
        <v/>
      </c>
      <c r="Z1197" t="inlineStr">
        <is>
          <t>Managing Director</t>
        </is>
      </c>
      <c r="AA1197" t="inlineStr">
        <is>
          <t>Investments</t>
        </is>
      </c>
      <c r="AB1197" s="50" t="inlineStr"/>
      <c r="AC1197" s="43">
        <f>HYPERLINK("https://projects.propublica.org/nonprofits/organizations/742765082/202541899349300034/full","view filing")</f>
        <v/>
      </c>
      <c r="AD1197" s="50" t="inlineStr"/>
    </row>
    <row r="1198">
      <c r="A1198" t="inlineStr">
        <is>
          <t>The University Of Texas Texas A M Investment Management Company</t>
        </is>
      </c>
      <c r="B1198" s="50" t="inlineStr">
        <is>
          <t>TX</t>
        </is>
      </c>
      <c r="C1198" s="52" t="n">
        <v>67.84</v>
      </c>
      <c r="D1198" t="inlineStr">
        <is>
          <t>Endowment</t>
        </is>
      </c>
      <c r="E1198" s="50" t="n">
        <v>2024</v>
      </c>
      <c r="F1198" s="50" t="inlineStr">
        <is>
          <t>2025-07-08</t>
        </is>
      </c>
      <c r="G1198" s="50" t="inlineStr">
        <is>
          <t>2024-08-31</t>
        </is>
      </c>
      <c r="H1198" t="inlineStr">
        <is>
          <t>Edward Morris</t>
        </is>
      </c>
      <c r="I1198" t="inlineStr">
        <is>
          <t>SENIOR DIRECTOR-INVESTMENTS</t>
        </is>
      </c>
      <c r="J1198" t="inlineStr">
        <is>
          <t>Director of Investments</t>
        </is>
      </c>
      <c r="K1198" t="inlineStr">
        <is>
          <t>Sr Investment Professional</t>
        </is>
      </c>
      <c r="L1198" s="28" t="n">
        <v>257323</v>
      </c>
      <c r="M1198" s="28" t="n">
        <v>493521</v>
      </c>
      <c r="N1198" s="28" t="n">
        <v>2256</v>
      </c>
      <c r="O1198" s="28" t="n">
        <v>213392</v>
      </c>
      <c r="P1198" s="28" t="n">
        <v>29039</v>
      </c>
      <c r="Q1198" s="28" t="n">
        <v>995531</v>
      </c>
      <c r="R1198" s="28" t="n">
        <v>433503</v>
      </c>
      <c r="S1198" s="28">
        <f>Q1198-R1198</f>
        <v/>
      </c>
      <c r="T1198" s="28">
        <f>IF(S1198="","",S1198*(1+in_GrowthRate)^(YEARFRAC(DATE(2024,8,31),in_AgeToDate)*IF(in_AgeToDate&lt;DATE(2024,8,31),-1,1)+1))</f>
        <v/>
      </c>
      <c r="U1198" s="50">
        <f>IF(AND(AND(OR(in_Mode="All Funds",AND(C1198&gt;=in_BandFloor,C1198&lt;=in_BandCeiling,OR(in_Geography="National",COUNTIFS(lst_GeoPreset,in_Geography,lst_GeoState,B1198)&gt;0,AND(in_Geography="Custom",ISNUMBER(SEARCH(B1198,SUBSTITUTE(in_CustomStates," ",""))))),OR(AND(D1198="Endowment",Inputs!$B$14="Y"),AND(D1198="Foundation",Inputs!$B$15="Y"),AND(D1198="Healthcare",Inputs!$B$16="Y"),AND(D1198="Pension",Inputs!$B$17="Y"),AND(D1198="OCIO",Inputs!$B$18="Y"),AND(D1198="Other",Inputs!$B$19="Y")))),A1198&lt;&gt;in_ClientOrg,NOT(AND(in_ExclHarvard="Y",ISNUMBER(SEARCH("Harvard",A1198))))),$AD1198="Y",K1198&lt;&gt;"",S1198&gt;0),"Y","")</f>
        <v/>
      </c>
      <c r="V1198" s="30" t="n">
        <v>0.2632720936115197</v>
      </c>
      <c r="W1198" t="inlineStr"/>
      <c r="X1198" s="28">
        <f>IF(L1198+M1198=0,"",L1198+M1198)</f>
        <v/>
      </c>
      <c r="Y1198" s="38">
        <f>IF(L1198=0,"",M1198/L1198)</f>
        <v/>
      </c>
      <c r="Z1198" t="inlineStr">
        <is>
          <t>Director &amp; Investment Officer</t>
        </is>
      </c>
      <c r="AA1198" t="inlineStr">
        <is>
          <t>Investments</t>
        </is>
      </c>
      <c r="AB1198" s="50" t="inlineStr"/>
      <c r="AC1198" s="43">
        <f>HYPERLINK("https://projects.propublica.org/nonprofits/organizations/742765082/202541899349300034/full","view filing")</f>
        <v/>
      </c>
      <c r="AD1198" s="50" t="inlineStr"/>
    </row>
    <row r="1199">
      <c r="A1199" t="inlineStr">
        <is>
          <t>The University Of Texas Texas A M Investment Management Company</t>
        </is>
      </c>
      <c r="B1199" s="50" t="inlineStr">
        <is>
          <t>TX</t>
        </is>
      </c>
      <c r="C1199" s="52" t="n">
        <v>67.84</v>
      </c>
      <c r="D1199" t="inlineStr">
        <is>
          <t>Endowment</t>
        </is>
      </c>
      <c r="E1199" s="50" t="n">
        <v>2024</v>
      </c>
      <c r="F1199" s="50" t="inlineStr">
        <is>
          <t>2025-07-08</t>
        </is>
      </c>
      <c r="G1199" s="50" t="inlineStr">
        <is>
          <t>2024-08-31</t>
        </is>
      </c>
      <c r="H1199" t="inlineStr">
        <is>
          <t>Gary Hill</t>
        </is>
      </c>
      <c r="I1199" t="inlineStr">
        <is>
          <t>MANAGING DIRECTOR - OPERATIONS, ACCOUNTING &amp; REPORTING</t>
        </is>
      </c>
      <c r="J1199" t="inlineStr">
        <is>
          <t>Managing Director</t>
        </is>
      </c>
      <c r="K1199" t="inlineStr">
        <is>
          <t>Other disclosed professionals</t>
        </is>
      </c>
      <c r="L1199" s="28" t="n">
        <v>285849</v>
      </c>
      <c r="M1199" s="28" t="n">
        <v>158197</v>
      </c>
      <c r="N1199" s="28" t="n">
        <v>2856</v>
      </c>
      <c r="O1199" s="28" t="n">
        <v>171170</v>
      </c>
      <c r="P1199" s="28" t="n">
        <v>31180</v>
      </c>
      <c r="Q1199" s="28" t="n">
        <v>649252</v>
      </c>
      <c r="R1199" s="28" t="n">
        <v>158197</v>
      </c>
      <c r="S1199" s="28">
        <f>Q1199-R1199</f>
        <v/>
      </c>
      <c r="T1199" s="28">
        <f>IF(S1199="","",S1199*(1+in_GrowthRate)^(YEARFRAC(DATE(2024,8,31),in_AgeToDate)*IF(in_AgeToDate&lt;DATE(2024,8,31),-1,1)+1))</f>
        <v/>
      </c>
      <c r="U1199" s="50">
        <f>IF(AND(AND(OR(in_Mode="All Funds",AND(C1199&gt;=in_BandFloor,C1199&lt;=in_BandCeiling,OR(in_Geography="National",COUNTIFS(lst_GeoPreset,in_Geography,lst_GeoState,B1199)&gt;0,AND(in_Geography="Custom",ISNUMBER(SEARCH(B1199,SUBSTITUTE(in_CustomStates," ",""))))),OR(AND(D1199="Endowment",Inputs!$B$14="Y"),AND(D1199="Foundation",Inputs!$B$15="Y"),AND(D1199="Healthcare",Inputs!$B$16="Y"),AND(D1199="Pension",Inputs!$B$17="Y"),AND(D1199="OCIO",Inputs!$B$18="Y"),AND(D1199="Other",Inputs!$B$19="Y")))),A1199&lt;&gt;in_ClientOrg,NOT(AND(in_ExclHarvard="Y",ISNUMBER(SEARCH("Harvard",A1199))))),$AD1199="Y",K1199&lt;&gt;"",S1199&gt;0),"Y","")</f>
        <v/>
      </c>
      <c r="V1199" s="30" t="n">
        <v>0.230026044838344</v>
      </c>
      <c r="W1199" t="inlineStr">
        <is>
          <t>Other disclosed professionals</t>
        </is>
      </c>
      <c r="X1199" s="28">
        <f>IF(L1199+M1199=0,"",L1199+M1199)</f>
        <v/>
      </c>
      <c r="Y1199" s="38">
        <f>IF(L1199=0,"",M1199/L1199)</f>
        <v/>
      </c>
      <c r="Z1199" t="inlineStr">
        <is>
          <t>Other disclosed professionals</t>
        </is>
      </c>
      <c r="AA1199" t="inlineStr">
        <is>
          <t>Operations &amp; Control</t>
        </is>
      </c>
      <c r="AB1199" s="50" t="inlineStr"/>
      <c r="AC1199" s="43">
        <f>HYPERLINK("https://projects.propublica.org/nonprofits/organizations/742765082/202541899349300034/full","view filing")</f>
        <v/>
      </c>
      <c r="AD1199" s="50" t="inlineStr"/>
    </row>
    <row r="1200">
      <c r="A1200" t="inlineStr">
        <is>
          <t>The University Of Texas Texas A M Investment Management Company</t>
        </is>
      </c>
      <c r="B1200" s="50" t="inlineStr">
        <is>
          <t>TX</t>
        </is>
      </c>
      <c r="C1200" s="52" t="n">
        <v>67.84</v>
      </c>
      <c r="D1200" t="inlineStr">
        <is>
          <t>Endowment</t>
        </is>
      </c>
      <c r="E1200" s="50" t="n">
        <v>2024</v>
      </c>
      <c r="F1200" s="50" t="inlineStr">
        <is>
          <t>2025-07-08</t>
        </is>
      </c>
      <c r="G1200" s="50" t="inlineStr">
        <is>
          <t>2024-08-31</t>
        </is>
      </c>
      <c r="H1200" t="inlineStr">
        <is>
          <t>Gus Deering</t>
        </is>
      </c>
      <c r="I1200" t="inlineStr">
        <is>
          <t>MANAGING DIRECTOR AND CHIEF TECHNOLOGY OFFICER</t>
        </is>
      </c>
      <c r="J1200" t="inlineStr">
        <is>
          <t>CTO (Inv Entity)</t>
        </is>
      </c>
      <c r="K1200" t="inlineStr">
        <is>
          <t>Other disclosed professionals</t>
        </is>
      </c>
      <c r="L1200" s="28" t="n">
        <v>360990</v>
      </c>
      <c r="M1200" s="28" t="n">
        <v>126679</v>
      </c>
      <c r="N1200" s="28" t="n">
        <v>2556</v>
      </c>
      <c r="O1200" s="28" t="n">
        <v>220172</v>
      </c>
      <c r="P1200" s="28" t="n">
        <v>30039</v>
      </c>
      <c r="Q1200" s="28" t="n">
        <v>740436</v>
      </c>
      <c r="R1200" s="28" t="n">
        <v>126679</v>
      </c>
      <c r="S1200" s="28">
        <f>Q1200-R1200</f>
        <v/>
      </c>
      <c r="T1200" s="28">
        <f>IF(S1200="","",S1200*(1+in_GrowthRate)^(YEARFRAC(DATE(2024,8,31),in_AgeToDate)*IF(in_AgeToDate&lt;DATE(2024,8,31),-1,1)+1))</f>
        <v/>
      </c>
      <c r="U1200" s="50">
        <f>IF(AND(AND(OR(in_Mode="All Funds",AND(C1200&gt;=in_BandFloor,C1200&lt;=in_BandCeiling,OR(in_Geography="National",COUNTIFS(lst_GeoPreset,in_Geography,lst_GeoState,B1200)&gt;0,AND(in_Geography="Custom",ISNUMBER(SEARCH(B1200,SUBSTITUTE(in_CustomStates," ",""))))),OR(AND(D1200="Endowment",Inputs!$B$14="Y"),AND(D1200="Foundation",Inputs!$B$15="Y"),AND(D1200="Healthcare",Inputs!$B$16="Y"),AND(D1200="Pension",Inputs!$B$17="Y"),AND(D1200="OCIO",Inputs!$B$18="Y"),AND(D1200="Other",Inputs!$B$19="Y")))),A1200&lt;&gt;in_ClientOrg,NOT(AND(in_ExclHarvard="Y",ISNUMBER(SEARCH("Harvard",A1200))))),$AD1200="Y",K1200&lt;&gt;"",S1200&gt;0),"Y","")</f>
        <v/>
      </c>
      <c r="V1200" s="30" t="n">
        <v>0.2875036303506684</v>
      </c>
      <c r="W1200" t="inlineStr">
        <is>
          <t>Other disclosed professionals</t>
        </is>
      </c>
      <c r="X1200" s="28">
        <f>IF(L1200+M1200=0,"",L1200+M1200)</f>
        <v/>
      </c>
      <c r="Y1200" s="38">
        <f>IF(L1200=0,"",M1200/L1200)</f>
        <v/>
      </c>
      <c r="Z1200" t="inlineStr">
        <is>
          <t>Other disclosed professionals</t>
        </is>
      </c>
      <c r="AA1200" t="inlineStr">
        <is>
          <t>Operations &amp; Control</t>
        </is>
      </c>
      <c r="AB1200" s="50" t="inlineStr"/>
      <c r="AC1200" s="43">
        <f>HYPERLINK("https://projects.propublica.org/nonprofits/organizations/742765082/202541899349300034/full","view filing")</f>
        <v/>
      </c>
      <c r="AD1200" s="50" t="inlineStr"/>
    </row>
    <row r="1201">
      <c r="A1201" t="inlineStr">
        <is>
          <t>The University Of Texas Texas A M Investment Management Company</t>
        </is>
      </c>
      <c r="B1201" s="50" t="inlineStr">
        <is>
          <t>TX</t>
        </is>
      </c>
      <c r="C1201" s="52" t="n">
        <v>67.84</v>
      </c>
      <c r="D1201" t="inlineStr">
        <is>
          <t>Endowment</t>
        </is>
      </c>
      <c r="E1201" s="50" t="n">
        <v>2024</v>
      </c>
      <c r="F1201" s="50" t="inlineStr">
        <is>
          <t>2025-07-08</t>
        </is>
      </c>
      <c r="G1201" s="50" t="inlineStr">
        <is>
          <t>2024-08-31</t>
        </is>
      </c>
      <c r="H1201" t="inlineStr">
        <is>
          <t>James R Kampfe</t>
        </is>
      </c>
      <c r="I1201" t="inlineStr">
        <is>
          <t>MANAGING DIRECTOR - INVESTMENTS</t>
        </is>
      </c>
      <c r="J1201" t="inlineStr">
        <is>
          <t>Managing Director</t>
        </is>
      </c>
      <c r="K1201" t="inlineStr">
        <is>
          <t>Sr Investment Professional</t>
        </is>
      </c>
      <c r="L1201" s="28" t="n">
        <v>337475</v>
      </c>
      <c r="M1201" s="28" t="n">
        <v>414129</v>
      </c>
      <c r="N1201" s="28" t="n">
        <v>756</v>
      </c>
      <c r="O1201" s="28" t="n">
        <v>237626</v>
      </c>
      <c r="P1201" s="28" t="n">
        <v>26991</v>
      </c>
      <c r="Q1201" s="28" t="n">
        <v>1016977</v>
      </c>
      <c r="R1201" s="28" t="n">
        <v>414129</v>
      </c>
      <c r="S1201" s="28">
        <f>Q1201-R1201</f>
        <v/>
      </c>
      <c r="T1201" s="28">
        <f>IF(S1201="","",S1201*(1+in_GrowthRate)^(YEARFRAC(DATE(2024,8,31),in_AgeToDate)*IF(in_AgeToDate&lt;DATE(2024,8,31),-1,1)+1))</f>
        <v/>
      </c>
      <c r="U1201" s="50">
        <f>IF(AND(AND(OR(in_Mode="All Funds",AND(C1201&gt;=in_BandFloor,C1201&lt;=in_BandCeiling,OR(in_Geography="National",COUNTIFS(lst_GeoPreset,in_Geography,lst_GeoState,B1201)&gt;0,AND(in_Geography="Custom",ISNUMBER(SEARCH(B1201,SUBSTITUTE(in_CustomStates," ",""))))),OR(AND(D1201="Endowment",Inputs!$B$14="Y"),AND(D1201="Foundation",Inputs!$B$15="Y"),AND(D1201="Healthcare",Inputs!$B$16="Y"),AND(D1201="Pension",Inputs!$B$17="Y"),AND(D1201="OCIO",Inputs!$B$18="Y"),AND(D1201="Other",Inputs!$B$19="Y")))),A1201&lt;&gt;in_ClientOrg,NOT(AND(in_ExclHarvard="Y",ISNUMBER(SEARCH("Harvard",A1201))))),$AD1201="Y",K1201&lt;&gt;"",S1201&gt;0),"Y","")</f>
        <v/>
      </c>
      <c r="V1201" s="30" t="n">
        <v>0.2823935019065196</v>
      </c>
      <c r="W1201" t="inlineStr"/>
      <c r="X1201" s="28">
        <f>IF(L1201+M1201=0,"",L1201+M1201)</f>
        <v/>
      </c>
      <c r="Y1201" s="38">
        <f>IF(L1201=0,"",M1201/L1201)</f>
        <v/>
      </c>
      <c r="Z1201" t="inlineStr">
        <is>
          <t>Managing Director</t>
        </is>
      </c>
      <c r="AA1201" t="inlineStr">
        <is>
          <t>Investments</t>
        </is>
      </c>
      <c r="AB1201" s="50" t="inlineStr"/>
      <c r="AC1201" s="43">
        <f>HYPERLINK("https://projects.propublica.org/nonprofits/organizations/742765082/202541899349300034/full","view filing")</f>
        <v/>
      </c>
      <c r="AD1201" s="50" t="inlineStr"/>
    </row>
    <row r="1202">
      <c r="A1202" t="inlineStr">
        <is>
          <t>The University Of Texas Texas A M Investment Management Company</t>
        </is>
      </c>
      <c r="B1202" s="50" t="inlineStr">
        <is>
          <t>TX</t>
        </is>
      </c>
      <c r="C1202" s="52" t="n">
        <v>67.84</v>
      </c>
      <c r="D1202" t="inlineStr">
        <is>
          <t>Endowment</t>
        </is>
      </c>
      <c r="E1202" s="50" t="n">
        <v>2024</v>
      </c>
      <c r="F1202" s="50" t="inlineStr">
        <is>
          <t>2025-07-08</t>
        </is>
      </c>
      <c r="G1202" s="50" t="inlineStr">
        <is>
          <t>2024-08-31</t>
        </is>
      </c>
      <c r="H1202" t="inlineStr">
        <is>
          <t>Joan Moeller</t>
        </is>
      </c>
      <c r="I1202" t="inlineStr">
        <is>
          <t>COO, CORP. SECRETARY &amp; TREASURER</t>
        </is>
      </c>
      <c r="J1202" t="inlineStr">
        <is>
          <t>COO (Inv Entity)</t>
        </is>
      </c>
      <c r="K1202" t="inlineStr">
        <is>
          <t>COO (Investment Office)</t>
        </is>
      </c>
      <c r="L1202" s="28" t="n">
        <v>435317</v>
      </c>
      <c r="M1202" s="28" t="n">
        <v>303261</v>
      </c>
      <c r="N1202" s="28" t="n">
        <v>2855</v>
      </c>
      <c r="O1202" s="28" t="n">
        <v>316003</v>
      </c>
      <c r="P1202" s="28" t="n">
        <v>12403</v>
      </c>
      <c r="Q1202" s="28" t="n">
        <v>1069839</v>
      </c>
      <c r="R1202" s="28" t="n">
        <v>303261</v>
      </c>
      <c r="S1202" s="28">
        <f>Q1202-R1202</f>
        <v/>
      </c>
      <c r="T1202" s="28">
        <f>IF(S1202="","",S1202*(1+in_GrowthRate)^(YEARFRAC(DATE(2024,8,31),in_AgeToDate)*IF(in_AgeToDate&lt;DATE(2024,8,31),-1,1)+1))</f>
        <v/>
      </c>
      <c r="U1202" s="50">
        <f>IF(AND(AND(OR(in_Mode="All Funds",AND(C1202&gt;=in_BandFloor,C1202&lt;=in_BandCeiling,OR(in_Geography="National",COUNTIFS(lst_GeoPreset,in_Geography,lst_GeoState,B1202)&gt;0,AND(in_Geography="Custom",ISNUMBER(SEARCH(B1202,SUBSTITUTE(in_CustomStates," ",""))))),OR(AND(D1202="Endowment",Inputs!$B$14="Y"),AND(D1202="Foundation",Inputs!$B$15="Y"),AND(D1202="Healthcare",Inputs!$B$16="Y"),AND(D1202="Pension",Inputs!$B$17="Y"),AND(D1202="OCIO",Inputs!$B$18="Y"),AND(D1202="Other",Inputs!$B$19="Y")))),A1202&lt;&gt;in_ClientOrg,NOT(AND(in_ExclHarvard="Y",ISNUMBER(SEARCH("Harvard",A1202))))),$AD1202="Y",K1202&lt;&gt;"",S1202&gt;0),"Y","")</f>
        <v/>
      </c>
      <c r="V1202" s="30" t="n">
        <v>0.3590899296414619</v>
      </c>
      <c r="W1202" t="inlineStr"/>
      <c r="X1202" s="28">
        <f>IF(L1202+M1202=0,"",L1202+M1202)</f>
        <v/>
      </c>
      <c r="Y1202" s="38">
        <f>IF(L1202=0,"",M1202/L1202)</f>
        <v/>
      </c>
      <c r="Z1202" t="inlineStr">
        <is>
          <t>COO (Investment Office)</t>
        </is>
      </c>
      <c r="AA1202" t="inlineStr">
        <is>
          <t>Operations &amp; Control</t>
        </is>
      </c>
      <c r="AB1202" s="50" t="inlineStr"/>
      <c r="AC1202" s="43">
        <f>HYPERLINK("https://projects.propublica.org/nonprofits/organizations/742765082/202541899349300034/full","view filing")</f>
        <v/>
      </c>
      <c r="AD1202" s="50" t="inlineStr"/>
    </row>
    <row r="1203">
      <c r="A1203" t="inlineStr">
        <is>
          <t>The University Of Texas Texas A M Investment Management Company</t>
        </is>
      </c>
      <c r="B1203" s="50" t="inlineStr">
        <is>
          <t>TX</t>
        </is>
      </c>
      <c r="C1203" s="52" t="n">
        <v>67.84</v>
      </c>
      <c r="D1203" t="inlineStr">
        <is>
          <t>Endowment</t>
        </is>
      </c>
      <c r="E1203" s="50" t="n">
        <v>2024</v>
      </c>
      <c r="F1203" s="50" t="inlineStr">
        <is>
          <t>2025-07-08</t>
        </is>
      </c>
      <c r="G1203" s="50" t="inlineStr">
        <is>
          <t>2024-08-31</t>
        </is>
      </c>
      <c r="H1203" t="inlineStr">
        <is>
          <t>Kenneth Standley</t>
        </is>
      </c>
      <c r="I1203" t="inlineStr">
        <is>
          <t>SENIOR DIRECTOR - INVESTMENTS</t>
        </is>
      </c>
      <c r="J1203" t="inlineStr">
        <is>
          <t>Director of Investments</t>
        </is>
      </c>
      <c r="K1203" t="inlineStr">
        <is>
          <t>Sr Investment Professional</t>
        </is>
      </c>
      <c r="L1203" s="28" t="n">
        <v>264899</v>
      </c>
      <c r="M1203" s="28" t="n">
        <v>609183</v>
      </c>
      <c r="N1203" s="28" t="n">
        <v>2256</v>
      </c>
      <c r="O1203" s="28" t="n">
        <v>270210</v>
      </c>
      <c r="P1203" s="28" t="n">
        <v>30180</v>
      </c>
      <c r="Q1203" s="28" t="n">
        <v>1176728</v>
      </c>
      <c r="R1203" s="28" t="n">
        <v>598646</v>
      </c>
      <c r="S1203" s="28">
        <f>Q1203-R1203</f>
        <v/>
      </c>
      <c r="T1203" s="28">
        <f>IF(S1203="","",S1203*(1+in_GrowthRate)^(YEARFRAC(DATE(2024,8,31),in_AgeToDate)*IF(in_AgeToDate&lt;DATE(2024,8,31),-1,1)+1))</f>
        <v/>
      </c>
      <c r="U1203" s="50">
        <f>IF(AND(AND(OR(in_Mode="All Funds",AND(C1203&gt;=in_BandFloor,C1203&lt;=in_BandCeiling,OR(in_Geography="National",COUNTIFS(lst_GeoPreset,in_Geography,lst_GeoState,B1203)&gt;0,AND(in_Geography="Custom",ISNUMBER(SEARCH(B1203,SUBSTITUTE(in_CustomStates," ",""))))),OR(AND(D1203="Endowment",Inputs!$B$14="Y"),AND(D1203="Foundation",Inputs!$B$15="Y"),AND(D1203="Healthcare",Inputs!$B$16="Y"),AND(D1203="Pension",Inputs!$B$17="Y"),AND(D1203="OCIO",Inputs!$B$18="Y"),AND(D1203="Other",Inputs!$B$19="Y")))),A1203&lt;&gt;in_ClientOrg,NOT(AND(in_ExclHarvard="Y",ISNUMBER(SEARCH("Harvard",A1203))))),$AD1203="Y",K1203&lt;&gt;"",S1203&gt;0),"Y","")</f>
        <v/>
      </c>
      <c r="V1203" s="30" t="n">
        <v>0.2707923064671769</v>
      </c>
      <c r="W1203" t="inlineStr"/>
      <c r="X1203" s="28">
        <f>IF(L1203+M1203=0,"",L1203+M1203)</f>
        <v/>
      </c>
      <c r="Y1203" s="38">
        <f>IF(L1203=0,"",M1203/L1203)</f>
        <v/>
      </c>
      <c r="Z1203" t="inlineStr">
        <is>
          <t>Director &amp; Investment Officer</t>
        </is>
      </c>
      <c r="AA1203" t="inlineStr">
        <is>
          <t>Investments</t>
        </is>
      </c>
      <c r="AB1203" s="50" t="inlineStr"/>
      <c r="AC1203" s="43">
        <f>HYPERLINK("https://projects.propublica.org/nonprofits/organizations/742765082/202541899349300034/full","view filing")</f>
        <v/>
      </c>
      <c r="AD1203" s="50" t="inlineStr"/>
    </row>
    <row r="1204">
      <c r="A1204" t="inlineStr">
        <is>
          <t>The University Of Texas Texas A M Investment Management Company</t>
        </is>
      </c>
      <c r="B1204" s="50" t="inlineStr">
        <is>
          <t>TX</t>
        </is>
      </c>
      <c r="C1204" s="52" t="n">
        <v>67.84</v>
      </c>
      <c r="D1204" t="inlineStr">
        <is>
          <t>Endowment</t>
        </is>
      </c>
      <c r="E1204" s="50" t="n">
        <v>2024</v>
      </c>
      <c r="F1204" s="50" t="inlineStr">
        <is>
          <t>2025-07-08</t>
        </is>
      </c>
      <c r="G1204" s="50" t="inlineStr">
        <is>
          <t>2024-08-31</t>
        </is>
      </c>
      <c r="H1204" t="inlineStr">
        <is>
          <t>Kyle Burhop</t>
        </is>
      </c>
      <c r="I1204" t="inlineStr">
        <is>
          <t>SENIOR DIRECTOR - INVESTMENTS</t>
        </is>
      </c>
      <c r="J1204" t="inlineStr">
        <is>
          <t>Director of Investments</t>
        </is>
      </c>
      <c r="K1204" t="inlineStr">
        <is>
          <t>Sr Investment Professional</t>
        </is>
      </c>
      <c r="L1204" s="28" t="n">
        <v>244333</v>
      </c>
      <c r="M1204" s="28" t="n">
        <v>485103</v>
      </c>
      <c r="N1204" s="28" t="n">
        <v>2356</v>
      </c>
      <c r="O1204" s="28" t="n">
        <v>265027</v>
      </c>
      <c r="P1204" s="28" t="n">
        <v>10053</v>
      </c>
      <c r="Q1204" s="28" t="n">
        <v>1006872</v>
      </c>
      <c r="R1204" s="28" t="n">
        <v>0</v>
      </c>
      <c r="S1204" s="28">
        <f>Q1204-R1204</f>
        <v/>
      </c>
      <c r="T1204" s="28">
        <f>IF(S1204="","",S1204*(1+in_GrowthRate)^(YEARFRAC(DATE(2024,8,31),in_AgeToDate)*IF(in_AgeToDate&lt;DATE(2024,8,31),-1,1)+1))</f>
        <v/>
      </c>
      <c r="U1204" s="50">
        <f>IF(AND(AND(OR(in_Mode="All Funds",AND(C1204&gt;=in_BandFloor,C1204&lt;=in_BandCeiling,OR(in_Geography="National",COUNTIFS(lst_GeoPreset,in_Geography,lst_GeoState,B1204)&gt;0,AND(in_Geography="Custom",ISNUMBER(SEARCH(B1204,SUBSTITUTE(in_CustomStates," ",""))))),OR(AND(D1204="Endowment",Inputs!$B$14="Y"),AND(D1204="Foundation",Inputs!$B$15="Y"),AND(D1204="Healthcare",Inputs!$B$16="Y"),AND(D1204="Pension",Inputs!$B$17="Y"),AND(D1204="OCIO",Inputs!$B$18="Y"),AND(D1204="Other",Inputs!$B$19="Y")))),A1204&lt;&gt;in_ClientOrg,NOT(AND(in_ExclHarvard="Y",ISNUMBER(SEARCH("Harvard",A1204))))),$AD1204="Y",K1204&lt;&gt;"",S1204&gt;0),"Y","")</f>
        <v/>
      </c>
      <c r="V1204" s="30" t="n">
        <v>0.4716514113866535</v>
      </c>
      <c r="W1204" t="inlineStr"/>
      <c r="X1204" s="28">
        <f>IF(L1204+M1204=0,"",L1204+M1204)</f>
        <v/>
      </c>
      <c r="Y1204" s="38">
        <f>IF(L1204=0,"",M1204/L1204)</f>
        <v/>
      </c>
      <c r="Z1204" t="inlineStr">
        <is>
          <t>Director &amp; Investment Officer</t>
        </is>
      </c>
      <c r="AA1204" t="inlineStr">
        <is>
          <t>Investments</t>
        </is>
      </c>
      <c r="AB1204" s="50" t="inlineStr"/>
      <c r="AC1204" s="43">
        <f>HYPERLINK("https://projects.propublica.org/nonprofits/organizations/742765082/202541899349300034/full","view filing")</f>
        <v/>
      </c>
      <c r="AD1204" s="50" t="inlineStr"/>
    </row>
    <row r="1205">
      <c r="A1205" t="inlineStr">
        <is>
          <t>The University Of Texas Texas A M Investment Management Company</t>
        </is>
      </c>
      <c r="B1205" s="50" t="inlineStr">
        <is>
          <t>TX</t>
        </is>
      </c>
      <c r="C1205" s="52" t="n">
        <v>67.84</v>
      </c>
      <c r="D1205" t="inlineStr">
        <is>
          <t>Endowment</t>
        </is>
      </c>
      <c r="E1205" s="50" t="n">
        <v>2024</v>
      </c>
      <c r="F1205" s="50" t="inlineStr">
        <is>
          <t>2025-07-08</t>
        </is>
      </c>
      <c r="G1205" s="50" t="inlineStr">
        <is>
          <t>2024-08-31</t>
        </is>
      </c>
      <c r="H1205" t="inlineStr">
        <is>
          <t>Mukund Joshi</t>
        </is>
      </c>
      <c r="I1205" t="inlineStr">
        <is>
          <t>MANAGING DIRECTOR - INVESTMENTS</t>
        </is>
      </c>
      <c r="J1205" t="inlineStr">
        <is>
          <t>Managing Director</t>
        </is>
      </c>
      <c r="K1205" t="inlineStr">
        <is>
          <t>Sr Investment Professional</t>
        </is>
      </c>
      <c r="L1205" s="28" t="n">
        <v>336657</v>
      </c>
      <c r="M1205" s="28" t="n">
        <v>620008</v>
      </c>
      <c r="N1205" s="28" t="n">
        <v>2556</v>
      </c>
      <c r="O1205" s="28" t="n">
        <v>294383</v>
      </c>
      <c r="P1205" s="28" t="n">
        <v>29039</v>
      </c>
      <c r="Q1205" s="28" t="n">
        <v>1282643</v>
      </c>
      <c r="R1205" s="28" t="n">
        <v>610531</v>
      </c>
      <c r="S1205" s="28">
        <f>Q1205-R1205</f>
        <v/>
      </c>
      <c r="T1205" s="28">
        <f>IF(S1205="","",S1205*(1+in_GrowthRate)^(YEARFRAC(DATE(2024,8,31),in_AgeToDate)*IF(in_AgeToDate&lt;DATE(2024,8,31),-1,1)+1))</f>
        <v/>
      </c>
      <c r="U1205" s="50">
        <f>IF(AND(AND(OR(in_Mode="All Funds",AND(C1205&gt;=in_BandFloor,C1205&lt;=in_BandCeiling,OR(in_Geography="National",COUNTIFS(lst_GeoPreset,in_Geography,lst_GeoState,B1205)&gt;0,AND(in_Geography="Custom",ISNUMBER(SEARCH(B1205,SUBSTITUTE(in_CustomStates," ",""))))),OR(AND(D1205="Endowment",Inputs!$B$14="Y"),AND(D1205="Foundation",Inputs!$B$15="Y"),AND(D1205="Healthcare",Inputs!$B$16="Y"),AND(D1205="Pension",Inputs!$B$17="Y"),AND(D1205="OCIO",Inputs!$B$18="Y"),AND(D1205="Other",Inputs!$B$19="Y")))),A1205&lt;&gt;in_ClientOrg,NOT(AND(in_ExclHarvard="Y",ISNUMBER(SEARCH("Harvard",A1205))))),$AD1205="Y",K1205&lt;&gt;"",S1205&gt;0),"Y","")</f>
        <v/>
      </c>
      <c r="V1205" s="30" t="n">
        <v>0.3148389998032584</v>
      </c>
      <c r="W1205" t="inlineStr"/>
      <c r="X1205" s="28">
        <f>IF(L1205+M1205=0,"",L1205+M1205)</f>
        <v/>
      </c>
      <c r="Y1205" s="38">
        <f>IF(L1205=0,"",M1205/L1205)</f>
        <v/>
      </c>
      <c r="Z1205" t="inlineStr">
        <is>
          <t>Managing Director</t>
        </is>
      </c>
      <c r="AA1205" t="inlineStr">
        <is>
          <t>Investments</t>
        </is>
      </c>
      <c r="AB1205" s="50" t="inlineStr"/>
      <c r="AC1205" s="43">
        <f>HYPERLINK("https://projects.propublica.org/nonprofits/organizations/742765082/202541899349300034/full","view filing")</f>
        <v/>
      </c>
      <c r="AD1205" s="50" t="inlineStr"/>
    </row>
    <row r="1206">
      <c r="A1206" t="inlineStr">
        <is>
          <t>The University Of Texas Texas A M Investment Management Company</t>
        </is>
      </c>
      <c r="B1206" s="50" t="inlineStr">
        <is>
          <t>TX</t>
        </is>
      </c>
      <c r="C1206" s="52" t="n">
        <v>67.84</v>
      </c>
      <c r="D1206" t="inlineStr">
        <is>
          <t>Endowment</t>
        </is>
      </c>
      <c r="E1206" s="50" t="n">
        <v>2024</v>
      </c>
      <c r="F1206" s="50" t="inlineStr">
        <is>
          <t>2025-07-08</t>
        </is>
      </c>
      <c r="G1206" s="50" t="inlineStr">
        <is>
          <t>2024-08-31</t>
        </is>
      </c>
      <c r="H1206" t="inlineStr">
        <is>
          <t>Patrick Pace</t>
        </is>
      </c>
      <c r="I1206" t="inlineStr">
        <is>
          <t>MANAGING DIRECTOR - INVESTMENTS</t>
        </is>
      </c>
      <c r="J1206" t="inlineStr">
        <is>
          <t>Managing Director</t>
        </is>
      </c>
      <c r="K1206" t="inlineStr">
        <is>
          <t>Sr Investment Professional</t>
        </is>
      </c>
      <c r="L1206" s="28" t="n">
        <v>420991</v>
      </c>
      <c r="M1206" s="28" t="n">
        <v>1172051</v>
      </c>
      <c r="N1206" s="28" t="n">
        <v>3110</v>
      </c>
      <c r="O1206" s="28" t="n">
        <v>423353</v>
      </c>
      <c r="P1206" s="28" t="n">
        <v>29039</v>
      </c>
      <c r="Q1206" s="28" t="n">
        <v>2048544</v>
      </c>
      <c r="R1206" s="28" t="n">
        <v>1152075</v>
      </c>
      <c r="S1206" s="28">
        <f>Q1206-R1206</f>
        <v/>
      </c>
      <c r="T1206" s="28">
        <f>IF(S1206="","",S1206*(1+in_GrowthRate)^(YEARFRAC(DATE(2024,8,31),in_AgeToDate)*IF(in_AgeToDate&lt;DATE(2024,8,31),-1,1)+1))</f>
        <v/>
      </c>
      <c r="U1206" s="50">
        <f>IF(AND(AND(OR(in_Mode="All Funds",AND(C1206&gt;=in_BandFloor,C1206&lt;=in_BandCeiling,OR(in_Geography="National",COUNTIFS(lst_GeoPreset,in_Geography,lst_GeoState,B1206)&gt;0,AND(in_Geography="Custom",ISNUMBER(SEARCH(B1206,SUBSTITUTE(in_CustomStates," ",""))))),OR(AND(D1206="Endowment",Inputs!$B$14="Y"),AND(D1206="Foundation",Inputs!$B$15="Y"),AND(D1206="Healthcare",Inputs!$B$16="Y"),AND(D1206="Pension",Inputs!$B$17="Y"),AND(D1206="OCIO",Inputs!$B$18="Y"),AND(D1206="Other",Inputs!$B$19="Y")))),A1206&lt;&gt;in_ClientOrg,NOT(AND(in_ExclHarvard="Y",ISNUMBER(SEARCH("Harvard",A1206))))),$AD1206="Y",K1206&lt;&gt;"",S1206&gt;0),"Y","")</f>
        <v/>
      </c>
      <c r="V1206" s="30" t="n">
        <v>0.4199350752770777</v>
      </c>
      <c r="W1206" t="inlineStr"/>
      <c r="X1206" s="28">
        <f>IF(L1206+M1206=0,"",L1206+M1206)</f>
        <v/>
      </c>
      <c r="Y1206" s="38">
        <f>IF(L1206=0,"",M1206/L1206)</f>
        <v/>
      </c>
      <c r="Z1206" t="inlineStr">
        <is>
          <t>Managing Director</t>
        </is>
      </c>
      <c r="AA1206" t="inlineStr">
        <is>
          <t>Investments</t>
        </is>
      </c>
      <c r="AB1206" s="50" t="inlineStr"/>
      <c r="AC1206" s="43">
        <f>HYPERLINK("https://projects.propublica.org/nonprofits/organizations/742765082/202541899349300034/full","view filing")</f>
        <v/>
      </c>
      <c r="AD1206" s="50" t="inlineStr"/>
    </row>
    <row r="1207">
      <c r="A1207" t="inlineStr">
        <is>
          <t>The University Of Texas Texas A M Investment Management Company</t>
        </is>
      </c>
      <c r="B1207" s="50" t="inlineStr">
        <is>
          <t>TX</t>
        </is>
      </c>
      <c r="C1207" s="52" t="n">
        <v>67.84</v>
      </c>
      <c r="D1207" t="inlineStr">
        <is>
          <t>Endowment</t>
        </is>
      </c>
      <c r="E1207" s="50" t="n">
        <v>2024</v>
      </c>
      <c r="F1207" s="50" t="inlineStr">
        <is>
          <t>2025-07-08</t>
        </is>
      </c>
      <c r="G1207" s="50" t="inlineStr">
        <is>
          <t>2024-08-31</t>
        </is>
      </c>
      <c r="H1207" t="inlineStr">
        <is>
          <t>Richard L Hall</t>
        </is>
      </c>
      <c r="I1207" t="inlineStr">
        <is>
          <t>PRESIDENT, CHIEF EXECUTIVE OFFICER AND CHIEF INVESTMENT OFFICER</t>
        </is>
      </c>
      <c r="J1207" t="inlineStr">
        <is>
          <t>CIO</t>
        </is>
      </c>
      <c r="K1207" t="inlineStr">
        <is>
          <t>CIO - Top Investment Executive</t>
        </is>
      </c>
      <c r="L1207" s="28" t="n">
        <v>793250</v>
      </c>
      <c r="M1207" s="28" t="n">
        <v>3255172</v>
      </c>
      <c r="N1207" s="28" t="n">
        <v>2555</v>
      </c>
      <c r="O1207" s="28" t="n">
        <v>1280473</v>
      </c>
      <c r="P1207" s="28" t="n">
        <v>9063</v>
      </c>
      <c r="Q1207" s="28" t="n">
        <v>5340513</v>
      </c>
      <c r="R1207" s="28" t="n">
        <v>3205733</v>
      </c>
      <c r="S1207" s="28">
        <f>Q1207-R1207</f>
        <v/>
      </c>
      <c r="T1207" s="28">
        <f>IF(S1207="","",S1207*(1+in_GrowthRate)^(YEARFRAC(DATE(2024,8,31),in_AgeToDate)*IF(in_AgeToDate&lt;DATE(2024,8,31),-1,1)+1))</f>
        <v/>
      </c>
      <c r="U1207" s="50">
        <f>IF(AND(AND(OR(in_Mode="All Funds",AND(C1207&gt;=in_BandFloor,C1207&lt;=in_BandCeiling,OR(in_Geography="National",COUNTIFS(lst_GeoPreset,in_Geography,lst_GeoState,B1207)&gt;0,AND(in_Geography="Custom",ISNUMBER(SEARCH(B1207,SUBSTITUTE(in_CustomStates," ",""))))),OR(AND(D1207="Endowment",Inputs!$B$14="Y"),AND(D1207="Foundation",Inputs!$B$15="Y"),AND(D1207="Healthcare",Inputs!$B$16="Y"),AND(D1207="Pension",Inputs!$B$17="Y"),AND(D1207="OCIO",Inputs!$B$18="Y"),AND(D1207="Other",Inputs!$B$19="Y")))),A1207&lt;&gt;in_ClientOrg,NOT(AND(in_ExclHarvard="Y",ISNUMBER(SEARCH("Harvard",A1207))))),$AD1207="Y",K1207&lt;&gt;"",S1207&gt;0),"Y","")</f>
        <v/>
      </c>
      <c r="V1207" s="30" t="n">
        <v>1</v>
      </c>
      <c r="W1207" t="inlineStr"/>
      <c r="X1207" s="28">
        <f>IF(L1207+M1207=0,"",L1207+M1207)</f>
        <v/>
      </c>
      <c r="Y1207" s="38">
        <f>IF(L1207=0,"",M1207/L1207)</f>
        <v/>
      </c>
      <c r="Z1207" t="inlineStr">
        <is>
          <t>CIO - Top Investment Executive</t>
        </is>
      </c>
      <c r="AA1207" t="inlineStr">
        <is>
          <t>Leadership</t>
        </is>
      </c>
      <c r="AB1207" s="50" t="inlineStr">
        <is>
          <t>Y</t>
        </is>
      </c>
      <c r="AC1207" s="43">
        <f>HYPERLINK("https://projects.propublica.org/nonprofits/organizations/742765082/202541899349300034/full","view filing")</f>
        <v/>
      </c>
      <c r="AD1207" s="50" t="inlineStr"/>
    </row>
    <row r="1208">
      <c r="A1208" t="inlineStr">
        <is>
          <t>The University Of Texas Texas A M Investment Management Company</t>
        </is>
      </c>
      <c r="B1208" s="50" t="inlineStr">
        <is>
          <t>TX</t>
        </is>
      </c>
      <c r="C1208" s="52" t="n">
        <v>67.84</v>
      </c>
      <c r="D1208" t="inlineStr">
        <is>
          <t>Endowment</t>
        </is>
      </c>
      <c r="E1208" s="50" t="n">
        <v>2024</v>
      </c>
      <c r="F1208" s="50" t="inlineStr">
        <is>
          <t>2025-07-08</t>
        </is>
      </c>
      <c r="G1208" s="50" t="inlineStr">
        <is>
          <t>2024-08-31</t>
        </is>
      </c>
      <c r="H1208" t="inlineStr">
        <is>
          <t>Rodney R Ruebsahm</t>
        </is>
      </c>
      <c r="I1208" t="inlineStr">
        <is>
          <t>SENIOR MANAGING DIRECTOR - INVESTMENTS</t>
        </is>
      </c>
      <c r="J1208" t="inlineStr">
        <is>
          <t>Senior Managing Director</t>
        </is>
      </c>
      <c r="K1208" t="inlineStr">
        <is>
          <t>Sr Investment Professional</t>
        </is>
      </c>
      <c r="L1208" s="28" t="n">
        <v>472657</v>
      </c>
      <c r="M1208" s="28" t="n">
        <v>1502289</v>
      </c>
      <c r="N1208" s="28" t="n">
        <v>2855</v>
      </c>
      <c r="O1208" s="28" t="n">
        <v>776626</v>
      </c>
      <c r="P1208" s="28" t="n">
        <v>29038</v>
      </c>
      <c r="Q1208" s="28" t="n">
        <v>2783465</v>
      </c>
      <c r="R1208" s="28" t="n">
        <v>1475023</v>
      </c>
      <c r="S1208" s="28">
        <f>Q1208-R1208</f>
        <v/>
      </c>
      <c r="T1208" s="28">
        <f>IF(S1208="","",S1208*(1+in_GrowthRate)^(YEARFRAC(DATE(2024,8,31),in_AgeToDate)*IF(in_AgeToDate&lt;DATE(2024,8,31),-1,1)+1))</f>
        <v/>
      </c>
      <c r="U1208" s="50">
        <f>IF(AND(AND(OR(in_Mode="All Funds",AND(C1208&gt;=in_BandFloor,C1208&lt;=in_BandCeiling,OR(in_Geography="National",COUNTIFS(lst_GeoPreset,in_Geography,lst_GeoState,B1208)&gt;0,AND(in_Geography="Custom",ISNUMBER(SEARCH(B1208,SUBSTITUTE(in_CustomStates," ",""))))),OR(AND(D1208="Endowment",Inputs!$B$14="Y"),AND(D1208="Foundation",Inputs!$B$15="Y"),AND(D1208="Healthcare",Inputs!$B$16="Y"),AND(D1208="Pension",Inputs!$B$17="Y"),AND(D1208="OCIO",Inputs!$B$18="Y"),AND(D1208="Other",Inputs!$B$19="Y")))),A1208&lt;&gt;in_ClientOrg,NOT(AND(in_ExclHarvard="Y",ISNUMBER(SEARCH("Harvard",A1208))))),$AD1208="Y",K1208&lt;&gt;"",S1208&gt;0),"Y","")</f>
        <v/>
      </c>
      <c r="V1208" s="30" t="n">
        <v>0.6129165534621834</v>
      </c>
      <c r="W1208" t="inlineStr"/>
      <c r="X1208" s="28">
        <f>IF(L1208+M1208=0,"",L1208+M1208)</f>
        <v/>
      </c>
      <c r="Y1208" s="38">
        <f>IF(L1208=0,"",M1208/L1208)</f>
        <v/>
      </c>
      <c r="Z1208" t="inlineStr">
        <is>
          <t>Managing Director</t>
        </is>
      </c>
      <c r="AA1208" t="inlineStr">
        <is>
          <t>Investments</t>
        </is>
      </c>
      <c r="AB1208" s="50" t="inlineStr"/>
      <c r="AC1208" s="43">
        <f>HYPERLINK("https://projects.propublica.org/nonprofits/organizations/742765082/202541899349300034/full","view filing")</f>
        <v/>
      </c>
      <c r="AD1208" s="50" t="inlineStr"/>
    </row>
    <row r="1209">
      <c r="A1209" t="inlineStr">
        <is>
          <t>The University Of Texas Texas A M Investment Management Company</t>
        </is>
      </c>
      <c r="B1209" s="50" t="inlineStr">
        <is>
          <t>TX</t>
        </is>
      </c>
      <c r="C1209" s="52" t="n">
        <v>67.84</v>
      </c>
      <c r="D1209" t="inlineStr">
        <is>
          <t>Endowment</t>
        </is>
      </c>
      <c r="E1209" s="50" t="n">
        <v>2024</v>
      </c>
      <c r="F1209" s="50" t="inlineStr">
        <is>
          <t>2025-07-08</t>
        </is>
      </c>
      <c r="G1209" s="50" t="inlineStr">
        <is>
          <t>2024-08-31</t>
        </is>
      </c>
      <c r="H1209" t="inlineStr">
        <is>
          <t>Susan Chen</t>
        </is>
      </c>
      <c r="I1209" t="inlineStr">
        <is>
          <t>SENIOR MANAGING DIRECTOR - INVESTMENTS</t>
        </is>
      </c>
      <c r="J1209" t="inlineStr">
        <is>
          <t>Senior Managing Director</t>
        </is>
      </c>
      <c r="K1209" t="inlineStr">
        <is>
          <t>Sr Investment Professional</t>
        </is>
      </c>
      <c r="L1209" s="28" t="n">
        <v>475585</v>
      </c>
      <c r="M1209" s="28" t="n">
        <v>1153463</v>
      </c>
      <c r="N1209" s="28" t="n">
        <v>2556</v>
      </c>
      <c r="O1209" s="28" t="n">
        <v>483910</v>
      </c>
      <c r="P1209" s="28" t="n">
        <v>21033</v>
      </c>
      <c r="Q1209" s="28" t="n">
        <v>2136547</v>
      </c>
      <c r="R1209" s="28" t="n">
        <v>1134159</v>
      </c>
      <c r="S1209" s="28">
        <f>Q1209-R1209</f>
        <v/>
      </c>
      <c r="T1209" s="28">
        <f>IF(S1209="","",S1209*(1+in_GrowthRate)^(YEARFRAC(DATE(2024,8,31),in_AgeToDate)*IF(in_AgeToDate&lt;DATE(2024,8,31),-1,1)+1))</f>
        <v/>
      </c>
      <c r="U1209" s="50">
        <f>IF(AND(AND(OR(in_Mode="All Funds",AND(C1209&gt;=in_BandFloor,C1209&lt;=in_BandCeiling,OR(in_Geography="National",COUNTIFS(lst_GeoPreset,in_Geography,lst_GeoState,B1209)&gt;0,AND(in_Geography="Custom",ISNUMBER(SEARCH(B1209,SUBSTITUTE(in_CustomStates," ",""))))),OR(AND(D1209="Endowment",Inputs!$B$14="Y"),AND(D1209="Foundation",Inputs!$B$15="Y"),AND(D1209="Healthcare",Inputs!$B$16="Y"),AND(D1209="Pension",Inputs!$B$17="Y"),AND(D1209="OCIO",Inputs!$B$18="Y"),AND(D1209="Other",Inputs!$B$19="Y")))),A1209&lt;&gt;in_ClientOrg,NOT(AND(in_ExclHarvard="Y",ISNUMBER(SEARCH("Harvard",A1209))))),$AD1209="Y",K1209&lt;&gt;"",S1209&gt;0),"Y","")</f>
        <v/>
      </c>
      <c r="V1209" s="30" t="n">
        <v>0.4695509607547382</v>
      </c>
      <c r="W1209" t="inlineStr"/>
      <c r="X1209" s="28">
        <f>IF(L1209+M1209=0,"",L1209+M1209)</f>
        <v/>
      </c>
      <c r="Y1209" s="38">
        <f>IF(L1209=0,"",M1209/L1209)</f>
        <v/>
      </c>
      <c r="Z1209" t="inlineStr">
        <is>
          <t>Managing Director</t>
        </is>
      </c>
      <c r="AA1209" t="inlineStr">
        <is>
          <t>Investments</t>
        </is>
      </c>
      <c r="AB1209" s="50" t="inlineStr"/>
      <c r="AC1209" s="43">
        <f>HYPERLINK("https://projects.propublica.org/nonprofits/organizations/742765082/202541899349300034/full","view filing")</f>
        <v/>
      </c>
      <c r="AD1209" s="50" t="inlineStr"/>
    </row>
    <row r="1210">
      <c r="A1210" t="inlineStr">
        <is>
          <t>The University Of Texas Texas A M Investment Management Company</t>
        </is>
      </c>
      <c r="B1210" s="50" t="inlineStr">
        <is>
          <t>TX</t>
        </is>
      </c>
      <c r="C1210" s="52" t="n">
        <v>67.84</v>
      </c>
      <c r="D1210" t="inlineStr">
        <is>
          <t>Endowment</t>
        </is>
      </c>
      <c r="E1210" s="50" t="n">
        <v>2024</v>
      </c>
      <c r="F1210" s="50" t="inlineStr">
        <is>
          <t>2025-07-08</t>
        </is>
      </c>
      <c r="G1210" s="50" t="inlineStr">
        <is>
          <t>2024-08-31</t>
        </is>
      </c>
      <c r="H1210" t="inlineStr">
        <is>
          <t>Thomas Britton Harris Iv</t>
        </is>
      </c>
      <c r="I1210" t="inlineStr">
        <is>
          <t>PRESIDENT AND CHIEF EXECUTIVE OFFICER</t>
        </is>
      </c>
      <c r="J1210" t="inlineStr">
        <is>
          <t>CEO (Inv Entity)</t>
        </is>
      </c>
      <c r="K1210" t="inlineStr">
        <is>
          <t>Sr Investment Professional</t>
        </is>
      </c>
      <c r="L1210" s="28" t="n">
        <v>549700</v>
      </c>
      <c r="M1210" s="28" t="n">
        <v>2167359</v>
      </c>
      <c r="N1210" s="28" t="n">
        <v>1299</v>
      </c>
      <c r="O1210" s="28" t="n">
        <v>28050</v>
      </c>
      <c r="P1210" s="28" t="n">
        <v>12149</v>
      </c>
      <c r="Q1210" s="28" t="n">
        <v>2758557</v>
      </c>
      <c r="R1210" s="28" t="n">
        <v>2167359</v>
      </c>
      <c r="S1210" s="28">
        <f>Q1210-R1210</f>
        <v/>
      </c>
      <c r="T1210" s="28">
        <f>IF(S1210="","",S1210*(1+in_GrowthRate)^(YEARFRAC(DATE(2024,8,31),in_AgeToDate)*IF(in_AgeToDate&lt;DATE(2024,8,31),-1,1)+1))</f>
        <v/>
      </c>
      <c r="U1210" s="50">
        <f>IF(AND(AND(OR(in_Mode="All Funds",AND(C1210&gt;=in_BandFloor,C1210&lt;=in_BandCeiling,OR(in_Geography="National",COUNTIFS(lst_GeoPreset,in_Geography,lst_GeoState,B1210)&gt;0,AND(in_Geography="Custom",ISNUMBER(SEARCH(B1210,SUBSTITUTE(in_CustomStates," ",""))))),OR(AND(D1210="Endowment",Inputs!$B$14="Y"),AND(D1210="Foundation",Inputs!$B$15="Y"),AND(D1210="Healthcare",Inputs!$B$16="Y"),AND(D1210="Pension",Inputs!$B$17="Y"),AND(D1210="OCIO",Inputs!$B$18="Y"),AND(D1210="Other",Inputs!$B$19="Y")))),A1210&lt;&gt;in_ClientOrg,NOT(AND(in_ExclHarvard="Y",ISNUMBER(SEARCH("Harvard",A1210))))),$AD1210="Y",K1210&lt;&gt;"",S1210&gt;0),"Y","")</f>
        <v/>
      </c>
      <c r="V1210" s="30" t="n">
        <v>0.2769362650952323</v>
      </c>
      <c r="W1210" t="inlineStr"/>
      <c r="X1210" s="28">
        <f>IF(L1210+M1210=0,"",L1210+M1210)</f>
        <v/>
      </c>
      <c r="Y1210" s="38">
        <f>IF(L1210=0,"",M1210/L1210)</f>
        <v/>
      </c>
      <c r="Z1210" t="inlineStr">
        <is>
          <t>Deputy CIO</t>
        </is>
      </c>
      <c r="AA1210" t="inlineStr">
        <is>
          <t>Leadership</t>
        </is>
      </c>
      <c r="AB1210" s="50" t="inlineStr"/>
      <c r="AC1210" s="43">
        <f>HYPERLINK("https://projects.propublica.org/nonprofits/organizations/742765082/202541899349300034/full","view filing")</f>
        <v/>
      </c>
      <c r="AD1210" s="50" t="inlineStr"/>
    </row>
    <row r="1211">
      <c r="A1211" t="inlineStr">
        <is>
          <t>The University Of Texas Texas A M Investment Management Company</t>
        </is>
      </c>
      <c r="B1211" s="50" t="inlineStr">
        <is>
          <t>TX</t>
        </is>
      </c>
      <c r="C1211" s="52" t="n">
        <v>67.84</v>
      </c>
      <c r="D1211" t="inlineStr">
        <is>
          <t>Endowment</t>
        </is>
      </c>
      <c r="E1211" s="50" t="n">
        <v>2024</v>
      </c>
      <c r="F1211" s="50" t="inlineStr">
        <is>
          <t>2025-07-08</t>
        </is>
      </c>
      <c r="G1211" s="50" t="inlineStr">
        <is>
          <t>2024-08-31</t>
        </is>
      </c>
      <c r="H1211" t="inlineStr">
        <is>
          <t>Timothy Jones</t>
        </is>
      </c>
      <c r="I1211" t="inlineStr">
        <is>
          <t>SENIOR DIRECTOR - RISK MANAGMENT</t>
        </is>
      </c>
      <c r="J1211" t="inlineStr">
        <is>
          <t>Director of Investments</t>
        </is>
      </c>
      <c r="K1211" t="inlineStr">
        <is>
          <t>Sr Investment Professional</t>
        </is>
      </c>
      <c r="L1211" s="28" t="n">
        <v>267146</v>
      </c>
      <c r="M1211" s="28" t="n">
        <v>559698</v>
      </c>
      <c r="N1211" s="28" t="n">
        <v>2026</v>
      </c>
      <c r="O1211" s="28" t="n">
        <v>238702</v>
      </c>
      <c r="P1211" s="28" t="n">
        <v>28948</v>
      </c>
      <c r="Q1211" s="28" t="n">
        <v>1096520</v>
      </c>
      <c r="R1211" s="28" t="n">
        <v>498614</v>
      </c>
      <c r="S1211" s="28">
        <f>Q1211-R1211</f>
        <v/>
      </c>
      <c r="T1211" s="28">
        <f>IF(S1211="","",S1211*(1+in_GrowthRate)^(YEARFRAC(DATE(2024,8,31),in_AgeToDate)*IF(in_AgeToDate&lt;DATE(2024,8,31),-1,1)+1))</f>
        <v/>
      </c>
      <c r="U1211" s="50">
        <f>IF(AND(AND(OR(in_Mode="All Funds",AND(C1211&gt;=in_BandFloor,C1211&lt;=in_BandCeiling,OR(in_Geography="National",COUNTIFS(lst_GeoPreset,in_Geography,lst_GeoState,B1211)&gt;0,AND(in_Geography="Custom",ISNUMBER(SEARCH(B1211,SUBSTITUTE(in_CustomStates," ",""))))),OR(AND(D1211="Endowment",Inputs!$B$14="Y"),AND(D1211="Foundation",Inputs!$B$15="Y"),AND(D1211="Healthcare",Inputs!$B$16="Y"),AND(D1211="Pension",Inputs!$B$17="Y"),AND(D1211="OCIO",Inputs!$B$18="Y"),AND(D1211="Other",Inputs!$B$19="Y")))),A1211&lt;&gt;in_ClientOrg,NOT(AND(in_ExclHarvard="Y",ISNUMBER(SEARCH("Harvard",A1211))))),$AD1211="Y",K1211&lt;&gt;"",S1211&gt;0),"Y","")</f>
        <v/>
      </c>
      <c r="V1211" s="30" t="n">
        <v>0.2800785092609074</v>
      </c>
      <c r="W1211" t="inlineStr"/>
      <c r="X1211" s="28">
        <f>IF(L1211+M1211=0,"",L1211+M1211)</f>
        <v/>
      </c>
      <c r="Y1211" s="38">
        <f>IF(L1211=0,"",M1211/L1211)</f>
        <v/>
      </c>
      <c r="Z1211" t="inlineStr">
        <is>
          <t>Director &amp; Investment Officer</t>
        </is>
      </c>
      <c r="AA1211" t="inlineStr">
        <is>
          <t>Investments</t>
        </is>
      </c>
      <c r="AB1211" s="50" t="inlineStr"/>
      <c r="AC1211" s="43">
        <f>HYPERLINK("https://projects.propublica.org/nonprofits/organizations/742765082/202541899349300034/full","view filing")</f>
        <v/>
      </c>
      <c r="AD1211" s="50" t="inlineStr"/>
    </row>
    <row r="1212">
      <c r="A1212" t="inlineStr">
        <is>
          <t>The University Of Texas Texas A M Investment Management Company</t>
        </is>
      </c>
      <c r="B1212" s="50" t="inlineStr">
        <is>
          <t>TX</t>
        </is>
      </c>
      <c r="C1212" s="52" t="n">
        <v>67.84</v>
      </c>
      <c r="D1212" t="inlineStr">
        <is>
          <t>Endowment</t>
        </is>
      </c>
      <c r="E1212" s="50" t="n">
        <v>2024</v>
      </c>
      <c r="F1212" s="50" t="inlineStr">
        <is>
          <t>2025-07-08</t>
        </is>
      </c>
      <c r="G1212" s="50" t="inlineStr">
        <is>
          <t>2024-08-31</t>
        </is>
      </c>
      <c r="H1212" t="inlineStr">
        <is>
          <t>Uziel Yoeli</t>
        </is>
      </c>
      <c r="I1212" t="inlineStr">
        <is>
          <t>MANAGING DIRECTOR - RISK MANAGEMENT</t>
        </is>
      </c>
      <c r="J1212" t="inlineStr">
        <is>
          <t>Managing Director</t>
        </is>
      </c>
      <c r="K1212" t="inlineStr">
        <is>
          <t>Sr Investment Professional</t>
        </is>
      </c>
      <c r="L1212" s="28" t="n">
        <v>372795</v>
      </c>
      <c r="M1212" s="28" t="n">
        <v>416291</v>
      </c>
      <c r="N1212" s="28" t="n">
        <v>2856</v>
      </c>
      <c r="O1212" s="28" t="n">
        <v>296248</v>
      </c>
      <c r="P1212" s="28" t="n">
        <v>18306</v>
      </c>
      <c r="Q1212" s="28" t="n">
        <v>1106496</v>
      </c>
      <c r="R1212" s="28" t="n">
        <v>416291</v>
      </c>
      <c r="S1212" s="28">
        <f>Q1212-R1212</f>
        <v/>
      </c>
      <c r="T1212" s="28">
        <f>IF(S1212="","",S1212*(1+in_GrowthRate)^(YEARFRAC(DATE(2024,8,31),in_AgeToDate)*IF(in_AgeToDate&lt;DATE(2024,8,31),-1,1)+1))</f>
        <v/>
      </c>
      <c r="U1212" s="50">
        <f>IF(AND(AND(OR(in_Mode="All Funds",AND(C1212&gt;=in_BandFloor,C1212&lt;=in_BandCeiling,OR(in_Geography="National",COUNTIFS(lst_GeoPreset,in_Geography,lst_GeoState,B1212)&gt;0,AND(in_Geography="Custom",ISNUMBER(SEARCH(B1212,SUBSTITUTE(in_CustomStates," ",""))))),OR(AND(D1212="Endowment",Inputs!$B$14="Y"),AND(D1212="Foundation",Inputs!$B$15="Y"),AND(D1212="Healthcare",Inputs!$B$16="Y"),AND(D1212="Pension",Inputs!$B$17="Y"),AND(D1212="OCIO",Inputs!$B$18="Y"),AND(D1212="Other",Inputs!$B$19="Y")))),A1212&lt;&gt;in_ClientOrg,NOT(AND(in_ExclHarvard="Y",ISNUMBER(SEARCH("Harvard",A1212))))),$AD1212="Y",K1212&lt;&gt;"",S1212&gt;0),"Y","")</f>
        <v/>
      </c>
      <c r="V1212" s="30" t="n">
        <v>0.323314346208977</v>
      </c>
      <c r="W1212" t="inlineStr"/>
      <c r="X1212" s="28">
        <f>IF(L1212+M1212=0,"",L1212+M1212)</f>
        <v/>
      </c>
      <c r="Y1212" s="38">
        <f>IF(L1212=0,"",M1212/L1212)</f>
        <v/>
      </c>
      <c r="Z1212" t="inlineStr">
        <is>
          <t>Managing Director</t>
        </is>
      </c>
      <c r="AA1212" t="inlineStr">
        <is>
          <t>Investments</t>
        </is>
      </c>
      <c r="AB1212" s="50" t="inlineStr"/>
      <c r="AC1212" s="43">
        <f>HYPERLINK("https://projects.propublica.org/nonprofits/organizations/742765082/202541899349300034/full","view filing")</f>
        <v/>
      </c>
      <c r="AD1212" s="50" t="inlineStr"/>
    </row>
    <row r="1213">
      <c r="A1213" t="inlineStr">
        <is>
          <t>The University Of Texas Texas A M Investment Management Company</t>
        </is>
      </c>
      <c r="B1213" s="50" t="inlineStr">
        <is>
          <t>TX</t>
        </is>
      </c>
      <c r="C1213" s="52" t="n">
        <v>67.84</v>
      </c>
      <c r="D1213" t="inlineStr">
        <is>
          <t>Endowment</t>
        </is>
      </c>
      <c r="E1213" s="50" t="n">
        <v>2023</v>
      </c>
      <c r="F1213" s="50" t="inlineStr">
        <is>
          <t>2024-07-09</t>
        </is>
      </c>
      <c r="G1213" s="50" t="inlineStr">
        <is>
          <t>2023-08-31</t>
        </is>
      </c>
      <c r="H1213" t="inlineStr">
        <is>
          <t>Amanda Hopper</t>
        </is>
      </c>
      <c r="I1213" t="inlineStr">
        <is>
          <t>MANAGING DIRECTOR</t>
        </is>
      </c>
      <c r="J1213" t="inlineStr">
        <is>
          <t>Managing Director</t>
        </is>
      </c>
      <c r="K1213" t="inlineStr">
        <is>
          <t>Sr Investment Professional</t>
        </is>
      </c>
      <c r="L1213" s="28" t="n">
        <v>334559</v>
      </c>
      <c r="M1213" s="28" t="n">
        <v>144903</v>
      </c>
      <c r="N1213" s="28" t="n">
        <v>3008</v>
      </c>
      <c r="O1213" s="28" t="n">
        <v>400842</v>
      </c>
      <c r="P1213" s="28" t="n">
        <v>29907</v>
      </c>
      <c r="Q1213" s="28" t="n">
        <v>913219</v>
      </c>
      <c r="R1213" s="28" t="n">
        <v>141336</v>
      </c>
      <c r="S1213" s="28">
        <f>Q1213-R1213</f>
        <v/>
      </c>
      <c r="T1213" s="28">
        <f>IF(S1213="","",S1213*(1+in_GrowthRate)^(YEARFRAC(DATE(2023,8,31),in_AgeToDate)*IF(in_AgeToDate&lt;DATE(2023,8,31),-1,1)+1))</f>
        <v/>
      </c>
      <c r="U1213" s="50">
        <f>IF(AND(AND(OR(in_Mode="All Funds",AND(C1213&gt;=in_BandFloor,C1213&lt;=in_BandCeiling,OR(in_Geography="National",COUNTIFS(lst_GeoPreset,in_Geography,lst_GeoState,B1213)&gt;0,AND(in_Geography="Custom",ISNUMBER(SEARCH(B1213,SUBSTITUTE(in_CustomStates," ",""))))),OR(AND(D1213="Endowment",Inputs!$B$14="Y"),AND(D1213="Foundation",Inputs!$B$15="Y"),AND(D1213="Healthcare",Inputs!$B$16="Y"),AND(D1213="Pension",Inputs!$B$17="Y"),AND(D1213="OCIO",Inputs!$B$18="Y"),AND(D1213="Other",Inputs!$B$19="Y")))),A1213&lt;&gt;in_ClientOrg,NOT(AND(in_ExclHarvard="Y",ISNUMBER(SEARCH("Harvard",A1213))))),$AD1213="Y",K1213&lt;&gt;"",S1213&gt;0),"Y","")</f>
        <v/>
      </c>
      <c r="V1213" s="30" t="n">
        <v>0.2494502859417982</v>
      </c>
      <c r="W1213" t="inlineStr"/>
      <c r="X1213" s="28">
        <f>IF(L1213+M1213=0,"",L1213+M1213)</f>
        <v/>
      </c>
      <c r="Y1213" s="38">
        <f>IF(L1213=0,"",M1213/L1213)</f>
        <v/>
      </c>
      <c r="Z1213" t="inlineStr">
        <is>
          <t>Managing Director</t>
        </is>
      </c>
      <c r="AA1213" t="inlineStr">
        <is>
          <t>Investments</t>
        </is>
      </c>
      <c r="AB1213" s="50" t="inlineStr"/>
      <c r="AC1213" s="43">
        <f>HYPERLINK("https://projects.propublica.org/nonprofits/organizations/742765082/202421919349300237/full","view filing")</f>
        <v/>
      </c>
      <c r="AD1213" s="50" t="inlineStr"/>
    </row>
    <row r="1214">
      <c r="A1214" t="inlineStr">
        <is>
          <t>The University Of Texas Texas A M Investment Management Company</t>
        </is>
      </c>
      <c r="B1214" s="50" t="inlineStr">
        <is>
          <t>TX</t>
        </is>
      </c>
      <c r="C1214" s="52" t="n">
        <v>67.84</v>
      </c>
      <c r="D1214" t="inlineStr">
        <is>
          <t>Endowment</t>
        </is>
      </c>
      <c r="E1214" s="50" t="n">
        <v>2023</v>
      </c>
      <c r="F1214" s="50" t="inlineStr">
        <is>
          <t>2024-07-09</t>
        </is>
      </c>
      <c r="G1214" s="50" t="inlineStr">
        <is>
          <t>2023-08-31</t>
        </is>
      </c>
      <c r="H1214" t="inlineStr">
        <is>
          <t>Anthony Caruso</t>
        </is>
      </c>
      <c r="I1214" t="inlineStr">
        <is>
          <t>MANAGING DIRECTOR</t>
        </is>
      </c>
      <c r="J1214" t="inlineStr">
        <is>
          <t>Managing Director</t>
        </is>
      </c>
      <c r="K1214" t="inlineStr">
        <is>
          <t>Sr Investment Professional</t>
        </is>
      </c>
      <c r="L1214" s="28" t="n">
        <v>298516</v>
      </c>
      <c r="M1214" s="28" t="n">
        <v>118476</v>
      </c>
      <c r="N1214" s="28" t="n">
        <v>2538</v>
      </c>
      <c r="O1214" s="28" t="n">
        <v>552033</v>
      </c>
      <c r="P1214" s="28" t="n">
        <v>28704</v>
      </c>
      <c r="Q1214" s="28" t="n">
        <v>1000267</v>
      </c>
      <c r="R1214" s="28" t="n">
        <v>0</v>
      </c>
      <c r="S1214" s="28">
        <f>Q1214-R1214</f>
        <v/>
      </c>
      <c r="T1214" s="28">
        <f>IF(S1214="","",S1214*(1+in_GrowthRate)^(YEARFRAC(DATE(2023,8,31),in_AgeToDate)*IF(in_AgeToDate&lt;DATE(2023,8,31),-1,1)+1))</f>
        <v/>
      </c>
      <c r="U1214" s="50">
        <f>IF(AND(AND(OR(in_Mode="All Funds",AND(C1214&gt;=in_BandFloor,C1214&lt;=in_BandCeiling,OR(in_Geography="National",COUNTIFS(lst_GeoPreset,in_Geography,lst_GeoState,B1214)&gt;0,AND(in_Geography="Custom",ISNUMBER(SEARCH(B1214,SUBSTITUTE(in_CustomStates," ",""))))),OR(AND(D1214="Endowment",Inputs!$B$14="Y"),AND(D1214="Foundation",Inputs!$B$15="Y"),AND(D1214="Healthcare",Inputs!$B$16="Y"),AND(D1214="Pension",Inputs!$B$17="Y"),AND(D1214="OCIO",Inputs!$B$18="Y"),AND(D1214="Other",Inputs!$B$19="Y")))),A1214&lt;&gt;in_ClientOrg,NOT(AND(in_ExclHarvard="Y",ISNUMBER(SEARCH("Harvard",A1214))))),$AD1214="Y",K1214&lt;&gt;"",S1214&gt;0),"Y","")</f>
        <v/>
      </c>
      <c r="V1214" s="30" t="n">
        <v>0.3232573967403669</v>
      </c>
      <c r="W1214" t="inlineStr"/>
      <c r="X1214" s="28">
        <f>IF(L1214+M1214=0,"",L1214+M1214)</f>
        <v/>
      </c>
      <c r="Y1214" s="38">
        <f>IF(L1214=0,"",M1214/L1214)</f>
        <v/>
      </c>
      <c r="Z1214" t="inlineStr">
        <is>
          <t>Managing Director</t>
        </is>
      </c>
      <c r="AA1214" t="inlineStr">
        <is>
          <t>Investments</t>
        </is>
      </c>
      <c r="AB1214" s="50" t="inlineStr"/>
      <c r="AC1214" s="43">
        <f>HYPERLINK("https://projects.propublica.org/nonprofits/organizations/742765082/202421919349300237/full","view filing")</f>
        <v/>
      </c>
      <c r="AD1214" s="50" t="inlineStr"/>
    </row>
    <row r="1215">
      <c r="A1215" t="inlineStr">
        <is>
          <t>The University Of Texas Texas A M Investment Management Company</t>
        </is>
      </c>
      <c r="B1215" s="50" t="inlineStr">
        <is>
          <t>TX</t>
        </is>
      </c>
      <c r="C1215" s="52" t="n">
        <v>67.84</v>
      </c>
      <c r="D1215" t="inlineStr">
        <is>
          <t>Endowment</t>
        </is>
      </c>
      <c r="E1215" s="50" t="n">
        <v>2023</v>
      </c>
      <c r="F1215" s="50" t="inlineStr">
        <is>
          <t>2024-07-09</t>
        </is>
      </c>
      <c r="G1215" s="50" t="inlineStr">
        <is>
          <t>2023-08-31</t>
        </is>
      </c>
      <c r="H1215" t="inlineStr">
        <is>
          <t>Carolina De Onis</t>
        </is>
      </c>
      <c r="I1215" t="inlineStr">
        <is>
          <t>GENERAL COUNSEL &amp; CHIEF COMPLIANCE OFFICER</t>
        </is>
      </c>
      <c r="J1215" t="inlineStr">
        <is>
          <t>General Counsel (Inv Entity)</t>
        </is>
      </c>
      <c r="K1215" t="inlineStr">
        <is>
          <t>Other disclosed professionals</t>
        </is>
      </c>
      <c r="L1215" s="28" t="n">
        <v>383470</v>
      </c>
      <c r="M1215" s="28" t="n">
        <v>0</v>
      </c>
      <c r="N1215" s="28" t="n">
        <v>2938</v>
      </c>
      <c r="O1215" s="28" t="n">
        <v>271796</v>
      </c>
      <c r="P1215" s="28" t="n">
        <v>31705</v>
      </c>
      <c r="Q1215" s="28" t="n">
        <v>689909</v>
      </c>
      <c r="R1215" s="28" t="n">
        <v>0</v>
      </c>
      <c r="S1215" s="28">
        <f>Q1215-R1215</f>
        <v/>
      </c>
      <c r="T1215" s="28">
        <f>IF(S1215="","",S1215*(1+in_GrowthRate)^(YEARFRAC(DATE(2023,8,31),in_AgeToDate)*IF(in_AgeToDate&lt;DATE(2023,8,31),-1,1)+1))</f>
        <v/>
      </c>
      <c r="U1215" s="50">
        <f>IF(AND(AND(OR(in_Mode="All Funds",AND(C1215&gt;=in_BandFloor,C1215&lt;=in_BandCeiling,OR(in_Geography="National",COUNTIFS(lst_GeoPreset,in_Geography,lst_GeoState,B1215)&gt;0,AND(in_Geography="Custom",ISNUMBER(SEARCH(B1215,SUBSTITUTE(in_CustomStates," ",""))))),OR(AND(D1215="Endowment",Inputs!$B$14="Y"),AND(D1215="Foundation",Inputs!$B$15="Y"),AND(D1215="Healthcare",Inputs!$B$16="Y"),AND(D1215="Pension",Inputs!$B$17="Y"),AND(D1215="OCIO",Inputs!$B$18="Y"),AND(D1215="Other",Inputs!$B$19="Y")))),A1215&lt;&gt;in_ClientOrg,NOT(AND(in_ExclHarvard="Y",ISNUMBER(SEARCH("Harvard",A1215))))),$AD1215="Y",K1215&lt;&gt;"",S1215&gt;0),"Y","")</f>
        <v/>
      </c>
      <c r="V1215" s="30" t="n">
        <v>0.222958657366233</v>
      </c>
      <c r="W1215" t="inlineStr">
        <is>
          <t>Other disclosed professionals</t>
        </is>
      </c>
      <c r="X1215" s="28">
        <f>IF(L1215+M1215=0,"",L1215+M1215)</f>
        <v/>
      </c>
      <c r="Y1215" s="38">
        <f>IF(L1215=0,"",M1215/L1215)</f>
        <v/>
      </c>
      <c r="Z1215" t="inlineStr">
        <is>
          <t>Other disclosed professionals</t>
        </is>
      </c>
      <c r="AA1215" t="inlineStr">
        <is>
          <t>Operations &amp; Control</t>
        </is>
      </c>
      <c r="AB1215" s="50" t="inlineStr"/>
      <c r="AC1215" s="43">
        <f>HYPERLINK("https://projects.propublica.org/nonprofits/organizations/742765082/202421919349300237/full","view filing")</f>
        <v/>
      </c>
      <c r="AD1215" s="50" t="inlineStr"/>
    </row>
    <row r="1216">
      <c r="A1216" t="inlineStr">
        <is>
          <t>The University Of Texas Texas A M Investment Management Company</t>
        </is>
      </c>
      <c r="B1216" s="50" t="inlineStr">
        <is>
          <t>TX</t>
        </is>
      </c>
      <c r="C1216" s="52" t="n">
        <v>67.84</v>
      </c>
      <c r="D1216" t="inlineStr">
        <is>
          <t>Endowment</t>
        </is>
      </c>
      <c r="E1216" s="50" t="n">
        <v>2023</v>
      </c>
      <c r="F1216" s="50" t="inlineStr">
        <is>
          <t>2024-07-09</t>
        </is>
      </c>
      <c r="G1216" s="50" t="inlineStr">
        <is>
          <t>2023-08-31</t>
        </is>
      </c>
      <c r="H1216" t="inlineStr">
        <is>
          <t>Courtney Powers</t>
        </is>
      </c>
      <c r="I1216" t="inlineStr">
        <is>
          <t>MANAGING DIRECTOR</t>
        </is>
      </c>
      <c r="J1216" t="inlineStr">
        <is>
          <t>Managing Director</t>
        </is>
      </c>
      <c r="K1216" t="inlineStr">
        <is>
          <t>Sr Investment Professional</t>
        </is>
      </c>
      <c r="L1216" s="28" t="n">
        <v>334430</v>
      </c>
      <c r="M1216" s="28" t="n">
        <v>140046</v>
      </c>
      <c r="N1216" s="28" t="n">
        <v>2679</v>
      </c>
      <c r="O1216" s="28" t="n">
        <v>573113</v>
      </c>
      <c r="P1216" s="28" t="n">
        <v>30036</v>
      </c>
      <c r="Q1216" s="28" t="n">
        <v>1080304</v>
      </c>
      <c r="R1216" s="28" t="n">
        <v>136994</v>
      </c>
      <c r="S1216" s="28">
        <f>Q1216-R1216</f>
        <v/>
      </c>
      <c r="T1216" s="28">
        <f>IF(S1216="","",S1216*(1+in_GrowthRate)^(YEARFRAC(DATE(2023,8,31),in_AgeToDate)*IF(in_AgeToDate&lt;DATE(2023,8,31),-1,1)+1))</f>
        <v/>
      </c>
      <c r="U1216" s="50">
        <f>IF(AND(AND(OR(in_Mode="All Funds",AND(C1216&gt;=in_BandFloor,C1216&lt;=in_BandCeiling,OR(in_Geography="National",COUNTIFS(lst_GeoPreset,in_Geography,lst_GeoState,B1216)&gt;0,AND(in_Geography="Custom",ISNUMBER(SEARCH(B1216,SUBSTITUTE(in_CustomStates," ",""))))),OR(AND(D1216="Endowment",Inputs!$B$14="Y"),AND(D1216="Foundation",Inputs!$B$15="Y"),AND(D1216="Healthcare",Inputs!$B$16="Y"),AND(D1216="Pension",Inputs!$B$17="Y"),AND(D1216="OCIO",Inputs!$B$18="Y"),AND(D1216="Other",Inputs!$B$19="Y")))),A1216&lt;&gt;in_ClientOrg,NOT(AND(in_ExclHarvard="Y",ISNUMBER(SEARCH("Harvard",A1216))))),$AD1216="Y",K1216&lt;&gt;"",S1216&gt;0),"Y","")</f>
        <v/>
      </c>
      <c r="V1216" s="30" t="n">
        <v>0.3048505398250222</v>
      </c>
      <c r="W1216" t="inlineStr"/>
      <c r="X1216" s="28">
        <f>IF(L1216+M1216=0,"",L1216+M1216)</f>
        <v/>
      </c>
      <c r="Y1216" s="38">
        <f>IF(L1216=0,"",M1216/L1216)</f>
        <v/>
      </c>
      <c r="Z1216" t="inlineStr">
        <is>
          <t>Managing Director</t>
        </is>
      </c>
      <c r="AA1216" t="inlineStr">
        <is>
          <t>Investments</t>
        </is>
      </c>
      <c r="AB1216" s="50" t="inlineStr"/>
      <c r="AC1216" s="43">
        <f>HYPERLINK("https://projects.propublica.org/nonprofits/organizations/742765082/202421919349300237/full","view filing")</f>
        <v/>
      </c>
      <c r="AD1216" s="50" t="inlineStr"/>
    </row>
    <row r="1217">
      <c r="A1217" t="inlineStr">
        <is>
          <t>The University Of Texas Texas A M Investment Management Company</t>
        </is>
      </c>
      <c r="B1217" s="50" t="inlineStr">
        <is>
          <t>TX</t>
        </is>
      </c>
      <c r="C1217" s="52" t="n">
        <v>67.84</v>
      </c>
      <c r="D1217" t="inlineStr">
        <is>
          <t>Endowment</t>
        </is>
      </c>
      <c r="E1217" s="50" t="n">
        <v>2023</v>
      </c>
      <c r="F1217" s="50" t="inlineStr">
        <is>
          <t>2024-07-09</t>
        </is>
      </c>
      <c r="G1217" s="50" t="inlineStr">
        <is>
          <t>2023-08-31</t>
        </is>
      </c>
      <c r="H1217" t="inlineStr">
        <is>
          <t>Edward Lewis</t>
        </is>
      </c>
      <c r="I1217" t="inlineStr">
        <is>
          <t>SENIOR MANAGING DIRECTOR</t>
        </is>
      </c>
      <c r="J1217" t="inlineStr">
        <is>
          <t>Senior Managing Director</t>
        </is>
      </c>
      <c r="K1217" t="inlineStr">
        <is>
          <t>Sr Investment Professional</t>
        </is>
      </c>
      <c r="L1217" s="28" t="n">
        <v>417488</v>
      </c>
      <c r="M1217" s="28" t="n">
        <v>299615</v>
      </c>
      <c r="N1217" s="28" t="n">
        <v>2639</v>
      </c>
      <c r="O1217" s="28" t="n">
        <v>662421</v>
      </c>
      <c r="P1217" s="28" t="n">
        <v>28431</v>
      </c>
      <c r="Q1217" s="28" t="n">
        <v>1410594</v>
      </c>
      <c r="R1217" s="28" t="n">
        <v>293129</v>
      </c>
      <c r="S1217" s="28">
        <f>Q1217-R1217</f>
        <v/>
      </c>
      <c r="T1217" s="28">
        <f>IF(S1217="","",S1217*(1+in_GrowthRate)^(YEARFRAC(DATE(2023,8,31),in_AgeToDate)*IF(in_AgeToDate&lt;DATE(2023,8,31),-1,1)+1))</f>
        <v/>
      </c>
      <c r="U1217" s="50">
        <f>IF(AND(AND(OR(in_Mode="All Funds",AND(C1217&gt;=in_BandFloor,C1217&lt;=in_BandCeiling,OR(in_Geography="National",COUNTIFS(lst_GeoPreset,in_Geography,lst_GeoState,B1217)&gt;0,AND(in_Geography="Custom",ISNUMBER(SEARCH(B1217,SUBSTITUTE(in_CustomStates," ",""))))),OR(AND(D1217="Endowment",Inputs!$B$14="Y"),AND(D1217="Foundation",Inputs!$B$15="Y"),AND(D1217="Healthcare",Inputs!$B$16="Y"),AND(D1217="Pension",Inputs!$B$17="Y"),AND(D1217="OCIO",Inputs!$B$18="Y"),AND(D1217="Other",Inputs!$B$19="Y")))),A1217&lt;&gt;in_ClientOrg,NOT(AND(in_ExclHarvard="Y",ISNUMBER(SEARCH("Harvard",A1217))))),$AD1217="Y",K1217&lt;&gt;"",S1217&gt;0),"Y","")</f>
        <v/>
      </c>
      <c r="V1217" s="30" t="n">
        <v>0.3611324044964735</v>
      </c>
      <c r="W1217" t="inlineStr"/>
      <c r="X1217" s="28">
        <f>IF(L1217+M1217=0,"",L1217+M1217)</f>
        <v/>
      </c>
      <c r="Y1217" s="38">
        <f>IF(L1217=0,"",M1217/L1217)</f>
        <v/>
      </c>
      <c r="Z1217" t="inlineStr">
        <is>
          <t>Managing Director</t>
        </is>
      </c>
      <c r="AA1217" t="inlineStr">
        <is>
          <t>Investments</t>
        </is>
      </c>
      <c r="AB1217" s="50" t="inlineStr"/>
      <c r="AC1217" s="43">
        <f>HYPERLINK("https://projects.propublica.org/nonprofits/organizations/742765082/202421919349300237/full","view filing")</f>
        <v/>
      </c>
      <c r="AD1217" s="50" t="inlineStr"/>
    </row>
    <row r="1218">
      <c r="A1218" t="inlineStr">
        <is>
          <t>The University Of Texas Texas A M Investment Management Company</t>
        </is>
      </c>
      <c r="B1218" s="50" t="inlineStr">
        <is>
          <t>TX</t>
        </is>
      </c>
      <c r="C1218" s="52" t="n">
        <v>67.84</v>
      </c>
      <c r="D1218" t="inlineStr">
        <is>
          <t>Endowment</t>
        </is>
      </c>
      <c r="E1218" s="50" t="n">
        <v>2023</v>
      </c>
      <c r="F1218" s="50" t="inlineStr">
        <is>
          <t>2024-07-09</t>
        </is>
      </c>
      <c r="G1218" s="50" t="inlineStr">
        <is>
          <t>2023-08-31</t>
        </is>
      </c>
      <c r="H1218" t="inlineStr">
        <is>
          <t>Edward Morris</t>
        </is>
      </c>
      <c r="I1218" t="inlineStr">
        <is>
          <t>SENIOR DIRECTOR-INVESTMENTS</t>
        </is>
      </c>
      <c r="J1218" t="inlineStr">
        <is>
          <t>Director of Investments</t>
        </is>
      </c>
      <c r="K1218" t="inlineStr">
        <is>
          <t>Sr Investment Professional</t>
        </is>
      </c>
      <c r="L1218" s="28" t="n">
        <v>245886</v>
      </c>
      <c r="M1218" s="28" t="n">
        <v>93732</v>
      </c>
      <c r="N1218" s="28" t="n">
        <v>2039</v>
      </c>
      <c r="O1218" s="28" t="n">
        <v>260280</v>
      </c>
      <c r="P1218" s="28" t="n">
        <v>28913</v>
      </c>
      <c r="Q1218" s="28" t="n">
        <v>630850</v>
      </c>
      <c r="R1218" s="28" t="n">
        <v>0</v>
      </c>
      <c r="S1218" s="28">
        <f>Q1218-R1218</f>
        <v/>
      </c>
      <c r="T1218" s="28">
        <f>IF(S1218="","",S1218*(1+in_GrowthRate)^(YEARFRAC(DATE(2023,8,31),in_AgeToDate)*IF(in_AgeToDate&lt;DATE(2023,8,31),-1,1)+1))</f>
        <v/>
      </c>
      <c r="U1218" s="50">
        <f>IF(AND(AND(OR(in_Mode="All Funds",AND(C1218&gt;=in_BandFloor,C1218&lt;=in_BandCeiling,OR(in_Geography="National",COUNTIFS(lst_GeoPreset,in_Geography,lst_GeoState,B1218)&gt;0,AND(in_Geography="Custom",ISNUMBER(SEARCH(B1218,SUBSTITUTE(in_CustomStates," ",""))))),OR(AND(D1218="Endowment",Inputs!$B$14="Y"),AND(D1218="Foundation",Inputs!$B$15="Y"),AND(D1218="Healthcare",Inputs!$B$16="Y"),AND(D1218="Pension",Inputs!$B$17="Y"),AND(D1218="OCIO",Inputs!$B$18="Y"),AND(D1218="Other",Inputs!$B$19="Y")))),A1218&lt;&gt;in_ClientOrg,NOT(AND(in_ExclHarvard="Y",ISNUMBER(SEARCH("Harvard",A1218))))),$AD1218="Y",K1218&lt;&gt;"",S1218&gt;0),"Y","")</f>
        <v/>
      </c>
      <c r="V1218" s="30" t="n">
        <v>0.2038724947775549</v>
      </c>
      <c r="W1218" t="inlineStr"/>
      <c r="X1218" s="28">
        <f>IF(L1218+M1218=0,"",L1218+M1218)</f>
        <v/>
      </c>
      <c r="Y1218" s="38">
        <f>IF(L1218=0,"",M1218/L1218)</f>
        <v/>
      </c>
      <c r="Z1218" t="inlineStr">
        <is>
          <t>Director &amp; Investment Officer</t>
        </is>
      </c>
      <c r="AA1218" t="inlineStr">
        <is>
          <t>Investments</t>
        </is>
      </c>
      <c r="AB1218" s="50" t="inlineStr"/>
      <c r="AC1218" s="43">
        <f>HYPERLINK("https://projects.propublica.org/nonprofits/organizations/742765082/202421919349300237/full","view filing")</f>
        <v/>
      </c>
      <c r="AD1218" s="50" t="inlineStr"/>
    </row>
    <row r="1219">
      <c r="A1219" t="inlineStr">
        <is>
          <t>The University Of Texas Texas A M Investment Management Company</t>
        </is>
      </c>
      <c r="B1219" s="50" t="inlineStr">
        <is>
          <t>TX</t>
        </is>
      </c>
      <c r="C1219" s="52" t="n">
        <v>67.84</v>
      </c>
      <c r="D1219" t="inlineStr">
        <is>
          <t>Endowment</t>
        </is>
      </c>
      <c r="E1219" s="50" t="n">
        <v>2023</v>
      </c>
      <c r="F1219" s="50" t="inlineStr">
        <is>
          <t>2024-07-09</t>
        </is>
      </c>
      <c r="G1219" s="50" t="inlineStr">
        <is>
          <t>2023-08-31</t>
        </is>
      </c>
      <c r="H1219" t="inlineStr">
        <is>
          <t>Gary Hill</t>
        </is>
      </c>
      <c r="I1219" t="inlineStr">
        <is>
          <t>MANAGING DIRECTOR</t>
        </is>
      </c>
      <c r="J1219" t="inlineStr">
        <is>
          <t>Managing Director</t>
        </is>
      </c>
      <c r="K1219" t="inlineStr">
        <is>
          <t>Sr Investment Professional</t>
        </is>
      </c>
      <c r="L1219" s="28" t="n">
        <v>269930</v>
      </c>
      <c r="M1219" s="28" t="n">
        <v>170290</v>
      </c>
      <c r="N1219" s="28" t="n">
        <v>2639</v>
      </c>
      <c r="O1219" s="28" t="n">
        <v>181969</v>
      </c>
      <c r="P1219" s="28" t="n">
        <v>31036</v>
      </c>
      <c r="Q1219" s="28" t="n">
        <v>655864</v>
      </c>
      <c r="R1219" s="28" t="n">
        <v>170290</v>
      </c>
      <c r="S1219" s="28">
        <f>Q1219-R1219</f>
        <v/>
      </c>
      <c r="T1219" s="28">
        <f>IF(S1219="","",S1219*(1+in_GrowthRate)^(YEARFRAC(DATE(2023,8,31),in_AgeToDate)*IF(in_AgeToDate&lt;DATE(2023,8,31),-1,1)+1))</f>
        <v/>
      </c>
      <c r="U1219" s="50">
        <f>IF(AND(AND(OR(in_Mode="All Funds",AND(C1219&gt;=in_BandFloor,C1219&lt;=in_BandCeiling,OR(in_Geography="National",COUNTIFS(lst_GeoPreset,in_Geography,lst_GeoState,B1219)&gt;0,AND(in_Geography="Custom",ISNUMBER(SEARCH(B1219,SUBSTITUTE(in_CustomStates," ",""))))),OR(AND(D1219="Endowment",Inputs!$B$14="Y"),AND(D1219="Foundation",Inputs!$B$15="Y"),AND(D1219="Healthcare",Inputs!$B$16="Y"),AND(D1219="Pension",Inputs!$B$17="Y"),AND(D1219="OCIO",Inputs!$B$18="Y"),AND(D1219="Other",Inputs!$B$19="Y")))),A1219&lt;&gt;in_ClientOrg,NOT(AND(in_ExclHarvard="Y",ISNUMBER(SEARCH("Harvard",A1219))))),$AD1219="Y",K1219&lt;&gt;"",S1219&gt;0),"Y","")</f>
        <v/>
      </c>
      <c r="V1219" s="30" t="n">
        <v>0.1569234885933525</v>
      </c>
      <c r="W1219" t="inlineStr"/>
      <c r="X1219" s="28">
        <f>IF(L1219+M1219=0,"",L1219+M1219)</f>
        <v/>
      </c>
      <c r="Y1219" s="38">
        <f>IF(L1219=0,"",M1219/L1219)</f>
        <v/>
      </c>
      <c r="Z1219" t="inlineStr">
        <is>
          <t>Managing Director</t>
        </is>
      </c>
      <c r="AA1219" t="inlineStr">
        <is>
          <t>Investments</t>
        </is>
      </c>
      <c r="AB1219" s="50" t="inlineStr"/>
      <c r="AC1219" s="43">
        <f>HYPERLINK("https://projects.propublica.org/nonprofits/organizations/742765082/202421919349300237/full","view filing")</f>
        <v/>
      </c>
      <c r="AD1219" s="50" t="inlineStr"/>
    </row>
    <row r="1220">
      <c r="A1220" t="inlineStr">
        <is>
          <t>The University Of Texas Texas A M Investment Management Company</t>
        </is>
      </c>
      <c r="B1220" s="50" t="inlineStr">
        <is>
          <t>TX</t>
        </is>
      </c>
      <c r="C1220" s="52" t="n">
        <v>67.84</v>
      </c>
      <c r="D1220" t="inlineStr">
        <is>
          <t>Endowment</t>
        </is>
      </c>
      <c r="E1220" s="50" t="n">
        <v>2023</v>
      </c>
      <c r="F1220" s="50" t="inlineStr">
        <is>
          <t>2024-07-09</t>
        </is>
      </c>
      <c r="G1220" s="50" t="inlineStr">
        <is>
          <t>2023-08-31</t>
        </is>
      </c>
      <c r="H1220" t="inlineStr">
        <is>
          <t>Gus Deering</t>
        </is>
      </c>
      <c r="I1220" t="inlineStr">
        <is>
          <t>MANAGING DIRECTOR AND CHIEF TECHNOLOGY OFFICER</t>
        </is>
      </c>
      <c r="J1220" t="inlineStr">
        <is>
          <t>CTO (Inv Entity)</t>
        </is>
      </c>
      <c r="K1220" t="inlineStr">
        <is>
          <t>Other disclosed professionals</t>
        </is>
      </c>
      <c r="L1220" s="28" t="n">
        <v>122312</v>
      </c>
      <c r="M1220" s="28" t="n">
        <v>50000</v>
      </c>
      <c r="N1220" s="28" t="n">
        <v>1180</v>
      </c>
      <c r="O1220" s="28" t="n">
        <v>191312</v>
      </c>
      <c r="P1220" s="28" t="n">
        <v>10511</v>
      </c>
      <c r="Q1220" s="28" t="n">
        <v>375315</v>
      </c>
      <c r="R1220" s="28" t="n">
        <v>0</v>
      </c>
      <c r="S1220" s="28">
        <f>Q1220-R1220</f>
        <v/>
      </c>
      <c r="T1220" s="28">
        <f>IF(S1220="","",S1220*(1+in_GrowthRate)^(YEARFRAC(DATE(2023,8,31),in_AgeToDate)*IF(in_AgeToDate&lt;DATE(2023,8,31),-1,1)+1))</f>
        <v/>
      </c>
      <c r="U1220" s="50">
        <f>IF(AND(AND(OR(in_Mode="All Funds",AND(C1220&gt;=in_BandFloor,C1220&lt;=in_BandCeiling,OR(in_Geography="National",COUNTIFS(lst_GeoPreset,in_Geography,lst_GeoState,B1220)&gt;0,AND(in_Geography="Custom",ISNUMBER(SEARCH(B1220,SUBSTITUTE(in_CustomStates," ",""))))),OR(AND(D1220="Endowment",Inputs!$B$14="Y"),AND(D1220="Foundation",Inputs!$B$15="Y"),AND(D1220="Healthcare",Inputs!$B$16="Y"),AND(D1220="Pension",Inputs!$B$17="Y"),AND(D1220="OCIO",Inputs!$B$18="Y"),AND(D1220="Other",Inputs!$B$19="Y")))),A1220&lt;&gt;in_ClientOrg,NOT(AND(in_ExclHarvard="Y",ISNUMBER(SEARCH("Harvard",A1220))))),$AD1220="Y",K1220&lt;&gt;"",S1220&gt;0),"Y","")</f>
        <v/>
      </c>
      <c r="V1220" s="30" t="n">
        <v>0.1212909651699104</v>
      </c>
      <c r="W1220" t="inlineStr">
        <is>
          <t>Other disclosed professionals</t>
        </is>
      </c>
      <c r="X1220" s="28">
        <f>IF(L1220+M1220=0,"",L1220+M1220)</f>
        <v/>
      </c>
      <c r="Y1220" s="38">
        <f>IF(L1220=0,"",M1220/L1220)</f>
        <v/>
      </c>
      <c r="Z1220" t="inlineStr">
        <is>
          <t>Other disclosed professionals</t>
        </is>
      </c>
      <c r="AA1220" t="inlineStr">
        <is>
          <t>Operations &amp; Control</t>
        </is>
      </c>
      <c r="AB1220" s="50" t="inlineStr"/>
      <c r="AC1220" s="43">
        <f>HYPERLINK("https://projects.propublica.org/nonprofits/organizations/742765082/202421919349300237/full","view filing")</f>
        <v/>
      </c>
      <c r="AD1220" s="50" t="inlineStr"/>
    </row>
    <row r="1221">
      <c r="A1221" t="inlineStr">
        <is>
          <t>The University Of Texas Texas A M Investment Management Company</t>
        </is>
      </c>
      <c r="B1221" s="50" t="inlineStr">
        <is>
          <t>TX</t>
        </is>
      </c>
      <c r="C1221" s="52" t="n">
        <v>67.84</v>
      </c>
      <c r="D1221" t="inlineStr">
        <is>
          <t>Endowment</t>
        </is>
      </c>
      <c r="E1221" s="50" t="n">
        <v>2023</v>
      </c>
      <c r="F1221" s="50" t="inlineStr">
        <is>
          <t>2024-07-09</t>
        </is>
      </c>
      <c r="G1221" s="50" t="inlineStr">
        <is>
          <t>2023-08-31</t>
        </is>
      </c>
      <c r="H1221" t="inlineStr">
        <is>
          <t>Harland Doak</t>
        </is>
      </c>
      <c r="I1221" t="inlineStr">
        <is>
          <t>SENIOR DIRECTOR</t>
        </is>
      </c>
      <c r="J1221" t="inlineStr">
        <is>
          <t>Director of Investments</t>
        </is>
      </c>
      <c r="K1221" t="inlineStr">
        <is>
          <t>Sr Investment Professional</t>
        </is>
      </c>
      <c r="L1221" s="28" t="n">
        <v>302310</v>
      </c>
      <c r="M1221" s="28" t="n">
        <v>456930</v>
      </c>
      <c r="N1221" s="28" t="n">
        <v>2038</v>
      </c>
      <c r="O1221" s="28" t="n">
        <v>398391</v>
      </c>
      <c r="P1221" s="28" t="n">
        <v>26162</v>
      </c>
      <c r="Q1221" s="28" t="n">
        <v>1185831</v>
      </c>
      <c r="R1221" s="28" t="n">
        <v>456930</v>
      </c>
      <c r="S1221" s="28">
        <f>Q1221-R1221</f>
        <v/>
      </c>
      <c r="T1221" s="28">
        <f>IF(S1221="","",S1221*(1+in_GrowthRate)^(YEARFRAC(DATE(2023,8,31),in_AgeToDate)*IF(in_AgeToDate&lt;DATE(2023,8,31),-1,1)+1))</f>
        <v/>
      </c>
      <c r="U1221" s="50">
        <f>IF(AND(AND(OR(in_Mode="All Funds",AND(C1221&gt;=in_BandFloor,C1221&lt;=in_BandCeiling,OR(in_Geography="National",COUNTIFS(lst_GeoPreset,in_Geography,lst_GeoState,B1221)&gt;0,AND(in_Geography="Custom",ISNUMBER(SEARCH(B1221,SUBSTITUTE(in_CustomStates," ",""))))),OR(AND(D1221="Endowment",Inputs!$B$14="Y"),AND(D1221="Foundation",Inputs!$B$15="Y"),AND(D1221="Healthcare",Inputs!$B$16="Y"),AND(D1221="Pension",Inputs!$B$17="Y"),AND(D1221="OCIO",Inputs!$B$18="Y"),AND(D1221="Other",Inputs!$B$19="Y")))),A1221&lt;&gt;in_ClientOrg,NOT(AND(in_ExclHarvard="Y",ISNUMBER(SEARCH("Harvard",A1221))))),$AD1221="Y",K1221&lt;&gt;"",S1221&gt;0),"Y","")</f>
        <v/>
      </c>
      <c r="V1221" s="30" t="n">
        <v>0.2355597452894579</v>
      </c>
      <c r="W1221" t="inlineStr"/>
      <c r="X1221" s="28">
        <f>IF(L1221+M1221=0,"",L1221+M1221)</f>
        <v/>
      </c>
      <c r="Y1221" s="38">
        <f>IF(L1221=0,"",M1221/L1221)</f>
        <v/>
      </c>
      <c r="Z1221" t="inlineStr">
        <is>
          <t>Director &amp; Investment Officer</t>
        </is>
      </c>
      <c r="AA1221" t="inlineStr">
        <is>
          <t>Investments</t>
        </is>
      </c>
      <c r="AB1221" s="50" t="inlineStr"/>
      <c r="AC1221" s="43">
        <f>HYPERLINK("https://projects.propublica.org/nonprofits/organizations/742765082/202421919349300237/full","view filing")</f>
        <v/>
      </c>
      <c r="AD1221" s="50" t="inlineStr"/>
    </row>
    <row r="1222">
      <c r="A1222" t="inlineStr">
        <is>
          <t>The University Of Texas Texas A M Investment Management Company</t>
        </is>
      </c>
      <c r="B1222" s="50" t="inlineStr">
        <is>
          <t>TX</t>
        </is>
      </c>
      <c r="C1222" s="52" t="n">
        <v>67.84</v>
      </c>
      <c r="D1222" t="inlineStr">
        <is>
          <t>Endowment</t>
        </is>
      </c>
      <c r="E1222" s="50" t="n">
        <v>2023</v>
      </c>
      <c r="F1222" s="50" t="inlineStr">
        <is>
          <t>2024-07-09</t>
        </is>
      </c>
      <c r="G1222" s="50" t="inlineStr">
        <is>
          <t>2023-08-31</t>
        </is>
      </c>
      <c r="H1222" t="inlineStr">
        <is>
          <t>James R Kampfe</t>
        </is>
      </c>
      <c r="I1222" t="inlineStr">
        <is>
          <t>MANAGING DIRECTOR</t>
        </is>
      </c>
      <c r="J1222" t="inlineStr">
        <is>
          <t>Managing Director</t>
        </is>
      </c>
      <c r="K1222" t="inlineStr">
        <is>
          <t>Sr Investment Professional</t>
        </is>
      </c>
      <c r="L1222" s="28" t="n">
        <v>321203</v>
      </c>
      <c r="M1222" s="28" t="n">
        <v>516647</v>
      </c>
      <c r="N1222" s="28" t="n">
        <v>839</v>
      </c>
      <c r="O1222" s="28" t="n">
        <v>440054</v>
      </c>
      <c r="P1222" s="28" t="n">
        <v>28599</v>
      </c>
      <c r="Q1222" s="28" t="n">
        <v>1307342</v>
      </c>
      <c r="R1222" s="28" t="n">
        <v>516647</v>
      </c>
      <c r="S1222" s="28">
        <f>Q1222-R1222</f>
        <v/>
      </c>
      <c r="T1222" s="28">
        <f>IF(S1222="","",S1222*(1+in_GrowthRate)^(YEARFRAC(DATE(2023,8,31),in_AgeToDate)*IF(in_AgeToDate&lt;DATE(2023,8,31),-1,1)+1))</f>
        <v/>
      </c>
      <c r="U1222" s="50">
        <f>IF(AND(AND(OR(in_Mode="All Funds",AND(C1222&gt;=in_BandFloor,C1222&lt;=in_BandCeiling,OR(in_Geography="National",COUNTIFS(lst_GeoPreset,in_Geography,lst_GeoState,B1222)&gt;0,AND(in_Geography="Custom",ISNUMBER(SEARCH(B1222,SUBSTITUTE(in_CustomStates," ",""))))),OR(AND(D1222="Endowment",Inputs!$B$14="Y"),AND(D1222="Foundation",Inputs!$B$15="Y"),AND(D1222="Healthcare",Inputs!$B$16="Y"),AND(D1222="Pension",Inputs!$B$17="Y"),AND(D1222="OCIO",Inputs!$B$18="Y"),AND(D1222="Other",Inputs!$B$19="Y")))),A1222&lt;&gt;in_ClientOrg,NOT(AND(in_ExclHarvard="Y",ISNUMBER(SEARCH("Harvard",A1222))))),$AD1222="Y",K1222&lt;&gt;"",S1222&gt;0),"Y","")</f>
        <v/>
      </c>
      <c r="V1222" s="30" t="n">
        <v>0.2555297808641337</v>
      </c>
      <c r="W1222" t="inlineStr"/>
      <c r="X1222" s="28">
        <f>IF(L1222+M1222=0,"",L1222+M1222)</f>
        <v/>
      </c>
      <c r="Y1222" s="38">
        <f>IF(L1222=0,"",M1222/L1222)</f>
        <v/>
      </c>
      <c r="Z1222" t="inlineStr">
        <is>
          <t>Managing Director</t>
        </is>
      </c>
      <c r="AA1222" t="inlineStr">
        <is>
          <t>Investments</t>
        </is>
      </c>
      <c r="AB1222" s="50" t="inlineStr"/>
      <c r="AC1222" s="43">
        <f>HYPERLINK("https://projects.propublica.org/nonprofits/organizations/742765082/202421919349300237/full","view filing")</f>
        <v/>
      </c>
      <c r="AD1222" s="50" t="inlineStr"/>
    </row>
    <row r="1223">
      <c r="A1223" t="inlineStr">
        <is>
          <t>The University Of Texas Texas A M Investment Management Company</t>
        </is>
      </c>
      <c r="B1223" s="50" t="inlineStr">
        <is>
          <t>TX</t>
        </is>
      </c>
      <c r="C1223" s="52" t="n">
        <v>67.84</v>
      </c>
      <c r="D1223" t="inlineStr">
        <is>
          <t>Endowment</t>
        </is>
      </c>
      <c r="E1223" s="50" t="n">
        <v>2023</v>
      </c>
      <c r="F1223" s="50" t="inlineStr">
        <is>
          <t>2024-07-09</t>
        </is>
      </c>
      <c r="G1223" s="50" t="inlineStr">
        <is>
          <t>2023-08-31</t>
        </is>
      </c>
      <c r="H1223" t="inlineStr">
        <is>
          <t>Joan Moeller</t>
        </is>
      </c>
      <c r="I1223" t="inlineStr">
        <is>
          <t>COO, CORP. SECRETARY &amp; TREASURER</t>
        </is>
      </c>
      <c r="J1223" t="inlineStr">
        <is>
          <t>COO (Inv Entity)</t>
        </is>
      </c>
      <c r="K1223" t="inlineStr">
        <is>
          <t>COO (Investment Office)</t>
        </is>
      </c>
      <c r="L1223" s="28" t="n">
        <v>412567</v>
      </c>
      <c r="M1223" s="28" t="n">
        <v>313281</v>
      </c>
      <c r="N1223" s="28" t="n">
        <v>2639</v>
      </c>
      <c r="O1223" s="28" t="n">
        <v>329186</v>
      </c>
      <c r="P1223" s="28" t="n">
        <v>12311</v>
      </c>
      <c r="Q1223" s="28" t="n">
        <v>1069984</v>
      </c>
      <c r="R1223" s="28" t="n">
        <v>313281</v>
      </c>
      <c r="S1223" s="28">
        <f>Q1223-R1223</f>
        <v/>
      </c>
      <c r="T1223" s="28">
        <f>IF(S1223="","",S1223*(1+in_GrowthRate)^(YEARFRAC(DATE(2023,8,31),in_AgeToDate)*IF(in_AgeToDate&lt;DATE(2023,8,31),-1,1)+1))</f>
        <v/>
      </c>
      <c r="U1223" s="50">
        <f>IF(AND(AND(OR(in_Mode="All Funds",AND(C1223&gt;=in_BandFloor,C1223&lt;=in_BandCeiling,OR(in_Geography="National",COUNTIFS(lst_GeoPreset,in_Geography,lst_GeoState,B1223)&gt;0,AND(in_Geography="Custom",ISNUMBER(SEARCH(B1223,SUBSTITUTE(in_CustomStates," ",""))))),OR(AND(D1223="Endowment",Inputs!$B$14="Y"),AND(D1223="Foundation",Inputs!$B$15="Y"),AND(D1223="Healthcare",Inputs!$B$16="Y"),AND(D1223="Pension",Inputs!$B$17="Y"),AND(D1223="OCIO",Inputs!$B$18="Y"),AND(D1223="Other",Inputs!$B$19="Y")))),A1223&lt;&gt;in_ClientOrg,NOT(AND(in_ExclHarvard="Y",ISNUMBER(SEARCH("Harvard",A1223))))),$AD1223="Y",K1223&lt;&gt;"",S1223&gt;0),"Y","")</f>
        <v/>
      </c>
      <c r="V1223" s="30" t="n">
        <v>0.2445445484911787</v>
      </c>
      <c r="W1223" t="inlineStr"/>
      <c r="X1223" s="28">
        <f>IF(L1223+M1223=0,"",L1223+M1223)</f>
        <v/>
      </c>
      <c r="Y1223" s="38">
        <f>IF(L1223=0,"",M1223/L1223)</f>
        <v/>
      </c>
      <c r="Z1223" t="inlineStr">
        <is>
          <t>COO (Investment Office)</t>
        </is>
      </c>
      <c r="AA1223" t="inlineStr">
        <is>
          <t>Operations &amp; Control</t>
        </is>
      </c>
      <c r="AB1223" s="50" t="inlineStr"/>
      <c r="AC1223" s="43">
        <f>HYPERLINK("https://projects.propublica.org/nonprofits/organizations/742765082/202421919349300237/full","view filing")</f>
        <v/>
      </c>
      <c r="AD1223" s="50" t="inlineStr"/>
    </row>
    <row r="1224">
      <c r="A1224" t="inlineStr">
        <is>
          <t>The University Of Texas Texas A M Investment Management Company</t>
        </is>
      </c>
      <c r="B1224" s="50" t="inlineStr">
        <is>
          <t>TX</t>
        </is>
      </c>
      <c r="C1224" s="52" t="n">
        <v>67.84</v>
      </c>
      <c r="D1224" t="inlineStr">
        <is>
          <t>Endowment</t>
        </is>
      </c>
      <c r="E1224" s="50" t="n">
        <v>2023</v>
      </c>
      <c r="F1224" s="50" t="inlineStr">
        <is>
          <t>2024-07-09</t>
        </is>
      </c>
      <c r="G1224" s="50" t="inlineStr">
        <is>
          <t>2023-08-31</t>
        </is>
      </c>
      <c r="H1224" t="inlineStr">
        <is>
          <t>Kenneth Reeves Sr</t>
        </is>
      </c>
      <c r="I1224" t="inlineStr">
        <is>
          <t>MANAGING DIRECTOR</t>
        </is>
      </c>
      <c r="J1224" t="inlineStr">
        <is>
          <t>Managing Director</t>
        </is>
      </c>
      <c r="K1224" t="inlineStr">
        <is>
          <t>Sr Investment Professional</t>
        </is>
      </c>
      <c r="L1224" s="28" t="n">
        <v>239816</v>
      </c>
      <c r="M1224" s="28" t="n">
        <v>71073</v>
      </c>
      <c r="N1224" s="28" t="n">
        <v>52499</v>
      </c>
      <c r="O1224" s="28" t="n">
        <v>20923</v>
      </c>
      <c r="P1224" s="28" t="n">
        <v>23182</v>
      </c>
      <c r="Q1224" s="28" t="n">
        <v>407493</v>
      </c>
      <c r="R1224" s="28" t="n">
        <v>0</v>
      </c>
      <c r="S1224" s="28">
        <f>Q1224-R1224</f>
        <v/>
      </c>
      <c r="T1224" s="28">
        <f>IF(S1224="","",S1224*(1+in_GrowthRate)^(YEARFRAC(DATE(2023,8,31),in_AgeToDate)*IF(in_AgeToDate&lt;DATE(2023,8,31),-1,1)+1))</f>
        <v/>
      </c>
      <c r="U1224" s="50">
        <f>IF(AND(AND(OR(in_Mode="All Funds",AND(C1224&gt;=in_BandFloor,C1224&lt;=in_BandCeiling,OR(in_Geography="National",COUNTIFS(lst_GeoPreset,in_Geography,lst_GeoState,B1224)&gt;0,AND(in_Geography="Custom",ISNUMBER(SEARCH(B1224,SUBSTITUTE(in_CustomStates," ",""))))),OR(AND(D1224="Endowment",Inputs!$B$14="Y"),AND(D1224="Foundation",Inputs!$B$15="Y"),AND(D1224="Healthcare",Inputs!$B$16="Y"),AND(D1224="Pension",Inputs!$B$17="Y"),AND(D1224="OCIO",Inputs!$B$18="Y"),AND(D1224="Other",Inputs!$B$19="Y")))),A1224&lt;&gt;in_ClientOrg,NOT(AND(in_ExclHarvard="Y",ISNUMBER(SEARCH("Harvard",A1224))))),$AD1224="Y",K1224&lt;&gt;"",S1224&gt;0),"Y","")</f>
        <v/>
      </c>
      <c r="V1224" s="30" t="n">
        <v>0.1316899651492275</v>
      </c>
      <c r="W1224" t="inlineStr"/>
      <c r="X1224" s="28">
        <f>IF(L1224+M1224=0,"",L1224+M1224)</f>
        <v/>
      </c>
      <c r="Y1224" s="38">
        <f>IF(L1224=0,"",M1224/L1224)</f>
        <v/>
      </c>
      <c r="Z1224" t="inlineStr">
        <is>
          <t>Managing Director</t>
        </is>
      </c>
      <c r="AA1224" t="inlineStr">
        <is>
          <t>Investments</t>
        </is>
      </c>
      <c r="AB1224" s="50" t="inlineStr"/>
      <c r="AC1224" s="43">
        <f>HYPERLINK("https://projects.propublica.org/nonprofits/organizations/742765082/202421919349300237/full","view filing")</f>
        <v/>
      </c>
      <c r="AD1224" s="50" t="inlineStr"/>
    </row>
    <row r="1225">
      <c r="A1225" t="inlineStr">
        <is>
          <t>The University Of Texas Texas A M Investment Management Company</t>
        </is>
      </c>
      <c r="B1225" s="50" t="inlineStr">
        <is>
          <t>TX</t>
        </is>
      </c>
      <c r="C1225" s="52" t="n">
        <v>67.84</v>
      </c>
      <c r="D1225" t="inlineStr">
        <is>
          <t>Endowment</t>
        </is>
      </c>
      <c r="E1225" s="50" t="n">
        <v>2023</v>
      </c>
      <c r="F1225" s="50" t="inlineStr">
        <is>
          <t>2024-07-09</t>
        </is>
      </c>
      <c r="G1225" s="50" t="inlineStr">
        <is>
          <t>2023-08-31</t>
        </is>
      </c>
      <c r="H1225" t="inlineStr">
        <is>
          <t>Kenneth Standley</t>
        </is>
      </c>
      <c r="I1225" t="inlineStr">
        <is>
          <t>SENIOR DIRECTOR</t>
        </is>
      </c>
      <c r="J1225" t="inlineStr">
        <is>
          <t>Director of Investments</t>
        </is>
      </c>
      <c r="K1225" t="inlineStr">
        <is>
          <t>Sr Investment Professional</t>
        </is>
      </c>
      <c r="L1225" s="28" t="n">
        <v>233827</v>
      </c>
      <c r="M1225" s="28" t="n">
        <v>110337</v>
      </c>
      <c r="N1225" s="28" t="n">
        <v>2039</v>
      </c>
      <c r="O1225" s="28" t="n">
        <v>343937</v>
      </c>
      <c r="P1225" s="28" t="n">
        <v>30036</v>
      </c>
      <c r="Q1225" s="28" t="n">
        <v>720176</v>
      </c>
      <c r="R1225" s="28" t="n">
        <v>109175</v>
      </c>
      <c r="S1225" s="28">
        <f>Q1225-R1225</f>
        <v/>
      </c>
      <c r="T1225" s="28">
        <f>IF(S1225="","",S1225*(1+in_GrowthRate)^(YEARFRAC(DATE(2023,8,31),in_AgeToDate)*IF(in_AgeToDate&lt;DATE(2023,8,31),-1,1)+1))</f>
        <v/>
      </c>
      <c r="U1225" s="50">
        <f>IF(AND(AND(OR(in_Mode="All Funds",AND(C1225&gt;=in_BandFloor,C1225&lt;=in_BandCeiling,OR(in_Geography="National",COUNTIFS(lst_GeoPreset,in_Geography,lst_GeoState,B1225)&gt;0,AND(in_Geography="Custom",ISNUMBER(SEARCH(B1225,SUBSTITUTE(in_CustomStates," ",""))))),OR(AND(D1225="Endowment",Inputs!$B$14="Y"),AND(D1225="Foundation",Inputs!$B$15="Y"),AND(D1225="Healthcare",Inputs!$B$16="Y"),AND(D1225="Pension",Inputs!$B$17="Y"),AND(D1225="OCIO",Inputs!$B$18="Y"),AND(D1225="Other",Inputs!$B$19="Y")))),A1225&lt;&gt;in_ClientOrg,NOT(AND(in_ExclHarvard="Y",ISNUMBER(SEARCH("Harvard",A1225))))),$AD1225="Y",K1225&lt;&gt;"",S1225&gt;0),"Y","")</f>
        <v/>
      </c>
      <c r="V1225" s="30" t="n">
        <v>0.1974578714140933</v>
      </c>
      <c r="W1225" t="inlineStr"/>
      <c r="X1225" s="28">
        <f>IF(L1225+M1225=0,"",L1225+M1225)</f>
        <v/>
      </c>
      <c r="Y1225" s="38">
        <f>IF(L1225=0,"",M1225/L1225)</f>
        <v/>
      </c>
      <c r="Z1225" t="inlineStr">
        <is>
          <t>Director &amp; Investment Officer</t>
        </is>
      </c>
      <c r="AA1225" t="inlineStr">
        <is>
          <t>Investments</t>
        </is>
      </c>
      <c r="AB1225" s="50" t="inlineStr"/>
      <c r="AC1225" s="43">
        <f>HYPERLINK("https://projects.propublica.org/nonprofits/organizations/742765082/202421919349300237/full","view filing")</f>
        <v/>
      </c>
      <c r="AD1225" s="50" t="inlineStr"/>
    </row>
    <row r="1226">
      <c r="A1226" t="inlineStr">
        <is>
          <t>The University Of Texas Texas A M Investment Management Company</t>
        </is>
      </c>
      <c r="B1226" s="50" t="inlineStr">
        <is>
          <t>TX</t>
        </is>
      </c>
      <c r="C1226" s="52" t="n">
        <v>67.84</v>
      </c>
      <c r="D1226" t="inlineStr">
        <is>
          <t>Endowment</t>
        </is>
      </c>
      <c r="E1226" s="50" t="n">
        <v>2023</v>
      </c>
      <c r="F1226" s="50" t="inlineStr">
        <is>
          <t>2024-07-09</t>
        </is>
      </c>
      <c r="G1226" s="50" t="inlineStr">
        <is>
          <t>2023-08-31</t>
        </is>
      </c>
      <c r="H1226" t="inlineStr">
        <is>
          <t>Michael Dean</t>
        </is>
      </c>
      <c r="I1226" t="inlineStr">
        <is>
          <t>MANAGING DIRECTOR</t>
        </is>
      </c>
      <c r="J1226" t="inlineStr">
        <is>
          <t>Managing Director</t>
        </is>
      </c>
      <c r="K1226" t="inlineStr">
        <is>
          <t>Sr Investment Professional</t>
        </is>
      </c>
      <c r="L1226" s="28" t="n">
        <v>152039</v>
      </c>
      <c r="M1226" s="28" t="n">
        <v>231274</v>
      </c>
      <c r="N1226" s="28" t="n">
        <v>1319</v>
      </c>
      <c r="O1226" s="28" t="n">
        <v>13074</v>
      </c>
      <c r="P1226" s="28" t="n">
        <v>9157</v>
      </c>
      <c r="Q1226" s="28" t="n">
        <v>406863</v>
      </c>
      <c r="R1226" s="28" t="n">
        <v>211963</v>
      </c>
      <c r="S1226" s="28">
        <f>Q1226-R1226</f>
        <v/>
      </c>
      <c r="T1226" s="28">
        <f>IF(S1226="","",S1226*(1+in_GrowthRate)^(YEARFRAC(DATE(2023,8,31),in_AgeToDate)*IF(in_AgeToDate&lt;DATE(2023,8,31),-1,1)+1))</f>
        <v/>
      </c>
      <c r="U1226" s="50">
        <f>IF(AND(AND(OR(in_Mode="All Funds",AND(C1226&gt;=in_BandFloor,C1226&lt;=in_BandCeiling,OR(in_Geography="National",COUNTIFS(lst_GeoPreset,in_Geography,lst_GeoState,B1226)&gt;0,AND(in_Geography="Custom",ISNUMBER(SEARCH(B1226,SUBSTITUTE(in_CustomStates," ",""))))),OR(AND(D1226="Endowment",Inputs!$B$14="Y"),AND(D1226="Foundation",Inputs!$B$15="Y"),AND(D1226="Healthcare",Inputs!$B$16="Y"),AND(D1226="Pension",Inputs!$B$17="Y"),AND(D1226="OCIO",Inputs!$B$18="Y"),AND(D1226="Other",Inputs!$B$19="Y")))),A1226&lt;&gt;in_ClientOrg,NOT(AND(in_ExclHarvard="Y",ISNUMBER(SEARCH("Harvard",A1226))))),$AD1226="Y",K1226&lt;&gt;"",S1226&gt;0),"Y","")</f>
        <v/>
      </c>
      <c r="V1226" s="30" t="n">
        <v>0.06298604934952119</v>
      </c>
      <c r="W1226" t="inlineStr"/>
      <c r="X1226" s="28">
        <f>IF(L1226+M1226=0,"",L1226+M1226)</f>
        <v/>
      </c>
      <c r="Y1226" s="38">
        <f>IF(L1226=0,"",M1226/L1226)</f>
        <v/>
      </c>
      <c r="Z1226" t="inlineStr">
        <is>
          <t>Managing Director</t>
        </is>
      </c>
      <c r="AA1226" t="inlineStr">
        <is>
          <t>Investments</t>
        </is>
      </c>
      <c r="AB1226" s="50" t="inlineStr"/>
      <c r="AC1226" s="43">
        <f>HYPERLINK("https://projects.propublica.org/nonprofits/organizations/742765082/202421919349300237/full","view filing")</f>
        <v/>
      </c>
      <c r="AD1226" s="50" t="inlineStr"/>
    </row>
    <row r="1227">
      <c r="A1227" t="inlineStr">
        <is>
          <t>The University Of Texas Texas A M Investment Management Company</t>
        </is>
      </c>
      <c r="B1227" s="50" t="inlineStr">
        <is>
          <t>TX</t>
        </is>
      </c>
      <c r="C1227" s="52" t="n">
        <v>67.84</v>
      </c>
      <c r="D1227" t="inlineStr">
        <is>
          <t>Endowment</t>
        </is>
      </c>
      <c r="E1227" s="50" t="n">
        <v>2023</v>
      </c>
      <c r="F1227" s="50" t="inlineStr">
        <is>
          <t>2024-07-09</t>
        </is>
      </c>
      <c r="G1227" s="50" t="inlineStr">
        <is>
          <t>2023-08-31</t>
        </is>
      </c>
      <c r="H1227" t="inlineStr">
        <is>
          <t>Michael Sjolander</t>
        </is>
      </c>
      <c r="I1227" t="inlineStr">
        <is>
          <t>CHIEF TECHNOLOGY OFFICER</t>
        </is>
      </c>
      <c r="J1227" t="inlineStr">
        <is>
          <t>CTO (Inv Entity)</t>
        </is>
      </c>
      <c r="K1227" t="inlineStr">
        <is>
          <t>Other disclosed professionals</t>
        </is>
      </c>
      <c r="L1227" s="28" t="n">
        <v>321345</v>
      </c>
      <c r="M1227" s="28" t="n">
        <v>200796</v>
      </c>
      <c r="N1227" s="28" t="n">
        <v>2568</v>
      </c>
      <c r="O1227" s="28" t="n">
        <v>25925</v>
      </c>
      <c r="P1227" s="28" t="n">
        <v>11875</v>
      </c>
      <c r="Q1227" s="28" t="n">
        <v>562509</v>
      </c>
      <c r="R1227" s="28" t="n">
        <v>203427</v>
      </c>
      <c r="S1227" s="28">
        <f>Q1227-R1227</f>
        <v/>
      </c>
      <c r="T1227" s="28">
        <f>IF(S1227="","",S1227*(1+in_GrowthRate)^(YEARFRAC(DATE(2023,8,31),in_AgeToDate)*IF(in_AgeToDate&lt;DATE(2023,8,31),-1,1)+1))</f>
        <v/>
      </c>
      <c r="U1227" s="50">
        <f>IF(AND(AND(OR(in_Mode="All Funds",AND(C1227&gt;=in_BandFloor,C1227&lt;=in_BandCeiling,OR(in_Geography="National",COUNTIFS(lst_GeoPreset,in_Geography,lst_GeoState,B1227)&gt;0,AND(in_Geography="Custom",ISNUMBER(SEARCH(B1227,SUBSTITUTE(in_CustomStates," ",""))))),OR(AND(D1227="Endowment",Inputs!$B$14="Y"),AND(D1227="Foundation",Inputs!$B$15="Y"),AND(D1227="Healthcare",Inputs!$B$16="Y"),AND(D1227="Pension",Inputs!$B$17="Y"),AND(D1227="OCIO",Inputs!$B$18="Y"),AND(D1227="Other",Inputs!$B$19="Y")))),A1227&lt;&gt;in_ClientOrg,NOT(AND(in_ExclHarvard="Y",ISNUMBER(SEARCH("Harvard",A1227))))),$AD1227="Y",K1227&lt;&gt;"",S1227&gt;0),"Y","")</f>
        <v/>
      </c>
      <c r="V1227" s="30" t="n">
        <v>0.1160449285404041</v>
      </c>
      <c r="W1227" t="inlineStr">
        <is>
          <t>Other disclosed professionals</t>
        </is>
      </c>
      <c r="X1227" s="28">
        <f>IF(L1227+M1227=0,"",L1227+M1227)</f>
        <v/>
      </c>
      <c r="Y1227" s="38">
        <f>IF(L1227=0,"",M1227/L1227)</f>
        <v/>
      </c>
      <c r="Z1227" t="inlineStr">
        <is>
          <t>Other disclosed professionals</t>
        </is>
      </c>
      <c r="AA1227" t="inlineStr">
        <is>
          <t>Operations &amp; Control</t>
        </is>
      </c>
      <c r="AB1227" s="50" t="inlineStr"/>
      <c r="AC1227" s="43">
        <f>HYPERLINK("https://projects.propublica.org/nonprofits/organizations/742765082/202421919349300237/full","view filing")</f>
        <v/>
      </c>
      <c r="AD1227" s="50" t="inlineStr"/>
    </row>
    <row r="1228">
      <c r="A1228" t="inlineStr">
        <is>
          <t>The University Of Texas Texas A M Investment Management Company</t>
        </is>
      </c>
      <c r="B1228" s="50" t="inlineStr">
        <is>
          <t>TX</t>
        </is>
      </c>
      <c r="C1228" s="52" t="n">
        <v>67.84</v>
      </c>
      <c r="D1228" t="inlineStr">
        <is>
          <t>Endowment</t>
        </is>
      </c>
      <c r="E1228" s="50" t="n">
        <v>2023</v>
      </c>
      <c r="F1228" s="50" t="inlineStr">
        <is>
          <t>2024-07-09</t>
        </is>
      </c>
      <c r="G1228" s="50" t="inlineStr">
        <is>
          <t>2023-08-31</t>
        </is>
      </c>
      <c r="H1228" t="inlineStr">
        <is>
          <t>Mukund Joshi</t>
        </is>
      </c>
      <c r="I1228" t="inlineStr">
        <is>
          <t>MANAGING DIRECTOR</t>
        </is>
      </c>
      <c r="J1228" t="inlineStr">
        <is>
          <t>Managing Director</t>
        </is>
      </c>
      <c r="K1228" t="inlineStr">
        <is>
          <t>Sr Investment Professional</t>
        </is>
      </c>
      <c r="L1228" s="28" t="n">
        <v>301720</v>
      </c>
      <c r="M1228" s="28" t="n">
        <v>133538</v>
      </c>
      <c r="N1228" s="28" t="n">
        <v>2539</v>
      </c>
      <c r="O1228" s="28" t="n">
        <v>422376</v>
      </c>
      <c r="P1228" s="28" t="n">
        <v>28913</v>
      </c>
      <c r="Q1228" s="28" t="n">
        <v>889086</v>
      </c>
      <c r="R1228" s="28" t="n">
        <v>130424</v>
      </c>
      <c r="S1228" s="28">
        <f>Q1228-R1228</f>
        <v/>
      </c>
      <c r="T1228" s="28">
        <f>IF(S1228="","",S1228*(1+in_GrowthRate)^(YEARFRAC(DATE(2023,8,31),in_AgeToDate)*IF(in_AgeToDate&lt;DATE(2023,8,31),-1,1)+1))</f>
        <v/>
      </c>
      <c r="U1228" s="50">
        <f>IF(AND(AND(OR(in_Mode="All Funds",AND(C1228&gt;=in_BandFloor,C1228&lt;=in_BandCeiling,OR(in_Geography="National",COUNTIFS(lst_GeoPreset,in_Geography,lst_GeoState,B1228)&gt;0,AND(in_Geography="Custom",ISNUMBER(SEARCH(B1228,SUBSTITUTE(in_CustomStates," ",""))))),OR(AND(D1228="Endowment",Inputs!$B$14="Y"),AND(D1228="Foundation",Inputs!$B$15="Y"),AND(D1228="Healthcare",Inputs!$B$16="Y"),AND(D1228="Pension",Inputs!$B$17="Y"),AND(D1228="OCIO",Inputs!$B$18="Y"),AND(D1228="Other",Inputs!$B$19="Y")))),A1228&lt;&gt;in_ClientOrg,NOT(AND(in_ExclHarvard="Y",ISNUMBER(SEARCH("Harvard",A1228))))),$AD1228="Y",K1228&lt;&gt;"",S1228&gt;0),"Y","")</f>
        <v/>
      </c>
      <c r="V1228" s="30" t="n">
        <v>0.2451776406957745</v>
      </c>
      <c r="W1228" t="inlineStr"/>
      <c r="X1228" s="28">
        <f>IF(L1228+M1228=0,"",L1228+M1228)</f>
        <v/>
      </c>
      <c r="Y1228" s="38">
        <f>IF(L1228=0,"",M1228/L1228)</f>
        <v/>
      </c>
      <c r="Z1228" t="inlineStr">
        <is>
          <t>Managing Director</t>
        </is>
      </c>
      <c r="AA1228" t="inlineStr">
        <is>
          <t>Investments</t>
        </is>
      </c>
      <c r="AB1228" s="50" t="inlineStr"/>
      <c r="AC1228" s="43">
        <f>HYPERLINK("https://projects.propublica.org/nonprofits/organizations/742765082/202421919349300237/full","view filing")</f>
        <v/>
      </c>
      <c r="AD1228" s="50" t="inlineStr"/>
    </row>
    <row r="1229">
      <c r="A1229" t="inlineStr">
        <is>
          <t>The University Of Texas Texas A M Investment Management Company</t>
        </is>
      </c>
      <c r="B1229" s="50" t="inlineStr">
        <is>
          <t>TX</t>
        </is>
      </c>
      <c r="C1229" s="52" t="n">
        <v>67.84</v>
      </c>
      <c r="D1229" t="inlineStr">
        <is>
          <t>Endowment</t>
        </is>
      </c>
      <c r="E1229" s="50" t="n">
        <v>2023</v>
      </c>
      <c r="F1229" s="50" t="inlineStr">
        <is>
          <t>2024-07-09</t>
        </is>
      </c>
      <c r="G1229" s="50" t="inlineStr">
        <is>
          <t>2023-08-31</t>
        </is>
      </c>
      <c r="H1229" t="inlineStr">
        <is>
          <t>Patrick Pace</t>
        </is>
      </c>
      <c r="I1229" t="inlineStr">
        <is>
          <t>MANAGING DIRECTOR</t>
        </is>
      </c>
      <c r="J1229" t="inlineStr">
        <is>
          <t>Managing Director</t>
        </is>
      </c>
      <c r="K1229" t="inlineStr">
        <is>
          <t>Sr Investment Professional</t>
        </is>
      </c>
      <c r="L1229" s="28" t="n">
        <v>397720</v>
      </c>
      <c r="M1229" s="28" t="n">
        <v>240956</v>
      </c>
      <c r="N1229" s="28" t="n">
        <v>3188</v>
      </c>
      <c r="O1229" s="28" t="n">
        <v>663844</v>
      </c>
      <c r="P1229" s="28" t="n">
        <v>28913</v>
      </c>
      <c r="Q1229" s="28" t="n">
        <v>1334621</v>
      </c>
      <c r="R1229" s="28" t="n">
        <v>237805</v>
      </c>
      <c r="S1229" s="28">
        <f>Q1229-R1229</f>
        <v/>
      </c>
      <c r="T1229" s="28">
        <f>IF(S1229="","",S1229*(1+in_GrowthRate)^(YEARFRAC(DATE(2023,8,31),in_AgeToDate)*IF(in_AgeToDate&lt;DATE(2023,8,31),-1,1)+1))</f>
        <v/>
      </c>
      <c r="U1229" s="50">
        <f>IF(AND(AND(OR(in_Mode="All Funds",AND(C1229&gt;=in_BandFloor,C1229&lt;=in_BandCeiling,OR(in_Geography="National",COUNTIFS(lst_GeoPreset,in_Geography,lst_GeoState,B1229)&gt;0,AND(in_Geography="Custom",ISNUMBER(SEARCH(B1229,SUBSTITUTE(in_CustomStates," ",""))))),OR(AND(D1229="Endowment",Inputs!$B$14="Y"),AND(D1229="Foundation",Inputs!$B$15="Y"),AND(D1229="Healthcare",Inputs!$B$16="Y"),AND(D1229="Pension",Inputs!$B$17="Y"),AND(D1229="OCIO",Inputs!$B$18="Y"),AND(D1229="Other",Inputs!$B$19="Y")))),A1229&lt;&gt;in_ClientOrg,NOT(AND(in_ExclHarvard="Y",ISNUMBER(SEARCH("Harvard",A1229))))),$AD1229="Y",K1229&lt;&gt;"",S1229&gt;0),"Y","")</f>
        <v/>
      </c>
      <c r="V1229" s="30" t="n">
        <v>0.3544592442449689</v>
      </c>
      <c r="W1229" t="inlineStr"/>
      <c r="X1229" s="28">
        <f>IF(L1229+M1229=0,"",L1229+M1229)</f>
        <v/>
      </c>
      <c r="Y1229" s="38">
        <f>IF(L1229=0,"",M1229/L1229)</f>
        <v/>
      </c>
      <c r="Z1229" t="inlineStr">
        <is>
          <t>Managing Director</t>
        </is>
      </c>
      <c r="AA1229" t="inlineStr">
        <is>
          <t>Investments</t>
        </is>
      </c>
      <c r="AB1229" s="50" t="inlineStr"/>
      <c r="AC1229" s="43">
        <f>HYPERLINK("https://projects.propublica.org/nonprofits/organizations/742765082/202421919349300237/full","view filing")</f>
        <v/>
      </c>
      <c r="AD1229" s="50" t="inlineStr"/>
    </row>
    <row r="1230">
      <c r="A1230" t="inlineStr">
        <is>
          <t>The University Of Texas Texas A M Investment Management Company</t>
        </is>
      </c>
      <c r="B1230" s="50" t="inlineStr">
        <is>
          <t>TX</t>
        </is>
      </c>
      <c r="C1230" s="52" t="n">
        <v>67.84</v>
      </c>
      <c r="D1230" t="inlineStr">
        <is>
          <t>Endowment</t>
        </is>
      </c>
      <c r="E1230" s="50" t="n">
        <v>2023</v>
      </c>
      <c r="F1230" s="50" t="inlineStr">
        <is>
          <t>2024-07-09</t>
        </is>
      </c>
      <c r="G1230" s="50" t="inlineStr">
        <is>
          <t>2023-08-31</t>
        </is>
      </c>
      <c r="H1230" t="inlineStr">
        <is>
          <t>Richard L Hall</t>
        </is>
      </c>
      <c r="I1230" t="inlineStr">
        <is>
          <t>PRESIDENT, CHIEF EXECUTIVE OFFICER AND CHIEF INVESTMENT OFFICER</t>
        </is>
      </c>
      <c r="J1230" t="inlineStr">
        <is>
          <t>CIO</t>
        </is>
      </c>
      <c r="K1230" t="inlineStr">
        <is>
          <t>Sr Investment Professional</t>
        </is>
      </c>
      <c r="L1230" s="28" t="n">
        <v>678565</v>
      </c>
      <c r="M1230" s="28" t="n">
        <v>938264</v>
      </c>
      <c r="N1230" s="28" t="n">
        <v>2939</v>
      </c>
      <c r="O1230" s="28" t="n">
        <v>1749960</v>
      </c>
      <c r="P1230" s="28" t="n">
        <v>9871</v>
      </c>
      <c r="Q1230" s="28" t="n">
        <v>3379599</v>
      </c>
      <c r="R1230" s="28" t="n">
        <v>930891</v>
      </c>
      <c r="S1230" s="28">
        <f>Q1230-R1230</f>
        <v/>
      </c>
      <c r="T1230" s="28">
        <f>IF(S1230="","",S1230*(1+in_GrowthRate)^(YEARFRAC(DATE(2023,8,31),in_AgeToDate)*IF(in_AgeToDate&lt;DATE(2023,8,31),-1,1)+1))</f>
        <v/>
      </c>
      <c r="U1230" s="50">
        <f>IF(AND(AND(OR(in_Mode="All Funds",AND(C1230&gt;=in_BandFloor,C1230&lt;=in_BandCeiling,OR(in_Geography="National",COUNTIFS(lst_GeoPreset,in_Geography,lst_GeoState,B1230)&gt;0,AND(in_Geography="Custom",ISNUMBER(SEARCH(B1230,SUBSTITUTE(in_CustomStates," ",""))))),OR(AND(D1230="Endowment",Inputs!$B$14="Y"),AND(D1230="Foundation",Inputs!$B$15="Y"),AND(D1230="Healthcare",Inputs!$B$16="Y"),AND(D1230="Pension",Inputs!$B$17="Y"),AND(D1230="OCIO",Inputs!$B$18="Y"),AND(D1230="Other",Inputs!$B$19="Y")))),A1230&lt;&gt;in_ClientOrg,NOT(AND(in_ExclHarvard="Y",ISNUMBER(SEARCH("Harvard",A1230))))),$AD1230="Y",K1230&lt;&gt;"",S1230&gt;0),"Y","")</f>
        <v/>
      </c>
      <c r="V1230" s="30" t="n">
        <v>0.7913516825580674</v>
      </c>
      <c r="W1230" t="inlineStr"/>
      <c r="X1230" s="28">
        <f>IF(L1230+M1230=0,"",L1230+M1230)</f>
        <v/>
      </c>
      <c r="Y1230" s="38">
        <f>IF(L1230=0,"",M1230/L1230)</f>
        <v/>
      </c>
      <c r="Z1230" t="inlineStr">
        <is>
          <t>Deputy CIO</t>
        </is>
      </c>
      <c r="AA1230" t="inlineStr">
        <is>
          <t>Leadership</t>
        </is>
      </c>
      <c r="AB1230" s="50" t="inlineStr"/>
      <c r="AC1230" s="43">
        <f>HYPERLINK("https://projects.propublica.org/nonprofits/organizations/742765082/202421919349300237/full","view filing")</f>
        <v/>
      </c>
      <c r="AD1230" s="50" t="inlineStr"/>
    </row>
    <row r="1231">
      <c r="A1231" t="inlineStr">
        <is>
          <t>The University Of Texas Texas A M Investment Management Company</t>
        </is>
      </c>
      <c r="B1231" s="50" t="inlineStr">
        <is>
          <t>TX</t>
        </is>
      </c>
      <c r="C1231" s="52" t="n">
        <v>67.84</v>
      </c>
      <c r="D1231" t="inlineStr">
        <is>
          <t>Endowment</t>
        </is>
      </c>
      <c r="E1231" s="50" t="n">
        <v>2023</v>
      </c>
      <c r="F1231" s="50" t="inlineStr">
        <is>
          <t>2024-07-09</t>
        </is>
      </c>
      <c r="G1231" s="50" t="inlineStr">
        <is>
          <t>2023-08-31</t>
        </is>
      </c>
      <c r="H1231" t="inlineStr">
        <is>
          <t>Rodney R Ruebsahm</t>
        </is>
      </c>
      <c r="I1231" t="inlineStr">
        <is>
          <t>SENIOR MANAGING DIRECTOR</t>
        </is>
      </c>
      <c r="J1231" t="inlineStr">
        <is>
          <t>Senior Managing Director</t>
        </is>
      </c>
      <c r="K1231" t="inlineStr">
        <is>
          <t>Sr Investment Professional</t>
        </is>
      </c>
      <c r="L1231" s="28" t="n">
        <v>449386</v>
      </c>
      <c r="M1231" s="28" t="n">
        <v>296977</v>
      </c>
      <c r="N1231" s="28" t="n">
        <v>2639</v>
      </c>
      <c r="O1231" s="28" t="n">
        <v>889137</v>
      </c>
      <c r="P1231" s="28" t="n">
        <v>28913</v>
      </c>
      <c r="Q1231" s="28" t="n">
        <v>1667052</v>
      </c>
      <c r="R1231" s="28" t="n">
        <v>291794</v>
      </c>
      <c r="S1231" s="28">
        <f>Q1231-R1231</f>
        <v/>
      </c>
      <c r="T1231" s="28">
        <f>IF(S1231="","",S1231*(1+in_GrowthRate)^(YEARFRAC(DATE(2023,8,31),in_AgeToDate)*IF(in_AgeToDate&lt;DATE(2023,8,31),-1,1)+1))</f>
        <v/>
      </c>
      <c r="U1231" s="50">
        <f>IF(AND(AND(OR(in_Mode="All Funds",AND(C1231&gt;=in_BandFloor,C1231&lt;=in_BandCeiling,OR(in_Geography="National",COUNTIFS(lst_GeoPreset,in_Geography,lst_GeoState,B1231)&gt;0,AND(in_Geography="Custom",ISNUMBER(SEARCH(B1231,SUBSTITUTE(in_CustomStates," ",""))))),OR(AND(D1231="Endowment",Inputs!$B$14="Y"),AND(D1231="Foundation",Inputs!$B$15="Y"),AND(D1231="Healthcare",Inputs!$B$16="Y"),AND(D1231="Pension",Inputs!$B$17="Y"),AND(D1231="OCIO",Inputs!$B$18="Y"),AND(D1231="Other",Inputs!$B$19="Y")))),A1231&lt;&gt;in_ClientOrg,NOT(AND(in_ExclHarvard="Y",ISNUMBER(SEARCH("Harvard",A1231))))),$AD1231="Y",K1231&lt;&gt;"",S1231&gt;0),"Y","")</f>
        <v/>
      </c>
      <c r="V1231" s="30" t="n">
        <v>0.4444436544706198</v>
      </c>
      <c r="W1231" t="inlineStr"/>
      <c r="X1231" s="28">
        <f>IF(L1231+M1231=0,"",L1231+M1231)</f>
        <v/>
      </c>
      <c r="Y1231" s="38">
        <f>IF(L1231=0,"",M1231/L1231)</f>
        <v/>
      </c>
      <c r="Z1231" t="inlineStr">
        <is>
          <t>Managing Director</t>
        </is>
      </c>
      <c r="AA1231" t="inlineStr">
        <is>
          <t>Investments</t>
        </is>
      </c>
      <c r="AB1231" s="50" t="inlineStr"/>
      <c r="AC1231" s="43">
        <f>HYPERLINK("https://projects.propublica.org/nonprofits/organizations/742765082/202421919349300237/full","view filing")</f>
        <v/>
      </c>
      <c r="AD1231" s="50" t="inlineStr"/>
    </row>
    <row r="1232">
      <c r="A1232" t="inlineStr">
        <is>
          <t>The University Of Texas Texas A M Investment Management Company</t>
        </is>
      </c>
      <c r="B1232" s="50" t="inlineStr">
        <is>
          <t>TX</t>
        </is>
      </c>
      <c r="C1232" s="52" t="n">
        <v>67.84</v>
      </c>
      <c r="D1232" t="inlineStr">
        <is>
          <t>Endowment</t>
        </is>
      </c>
      <c r="E1232" s="50" t="n">
        <v>2023</v>
      </c>
      <c r="F1232" s="50" t="inlineStr">
        <is>
          <t>2024-07-09</t>
        </is>
      </c>
      <c r="G1232" s="50" t="inlineStr">
        <is>
          <t>2023-08-31</t>
        </is>
      </c>
      <c r="H1232" t="inlineStr">
        <is>
          <t>Susan Chen</t>
        </is>
      </c>
      <c r="I1232" t="inlineStr">
        <is>
          <t>SENIOR MANAGING DIRECTOR</t>
        </is>
      </c>
      <c r="J1232" t="inlineStr">
        <is>
          <t>Senior Managing Director</t>
        </is>
      </c>
      <c r="K1232" t="inlineStr">
        <is>
          <t>Sr Investment Professional</t>
        </is>
      </c>
      <c r="L1232" s="28" t="n">
        <v>451877</v>
      </c>
      <c r="M1232" s="28" t="n">
        <v>314098</v>
      </c>
      <c r="N1232" s="28" t="n">
        <v>3159</v>
      </c>
      <c r="O1232" s="28" t="n">
        <v>621321</v>
      </c>
      <c r="P1232" s="28" t="n">
        <v>21253</v>
      </c>
      <c r="Q1232" s="28" t="n">
        <v>1411708</v>
      </c>
      <c r="R1232" s="28" t="n">
        <v>307181</v>
      </c>
      <c r="S1232" s="28">
        <f>Q1232-R1232</f>
        <v/>
      </c>
      <c r="T1232" s="28">
        <f>IF(S1232="","",S1232*(1+in_GrowthRate)^(YEARFRAC(DATE(2023,8,31),in_AgeToDate)*IF(in_AgeToDate&lt;DATE(2023,8,31),-1,1)+1))</f>
        <v/>
      </c>
      <c r="U1232" s="50">
        <f>IF(AND(AND(OR(in_Mode="All Funds",AND(C1232&gt;=in_BandFloor,C1232&lt;=in_BandCeiling,OR(in_Geography="National",COUNTIFS(lst_GeoPreset,in_Geography,lst_GeoState,B1232)&gt;0,AND(in_Geography="Custom",ISNUMBER(SEARCH(B1232,SUBSTITUTE(in_CustomStates," ",""))))),OR(AND(D1232="Endowment",Inputs!$B$14="Y"),AND(D1232="Foundation",Inputs!$B$15="Y"),AND(D1232="Healthcare",Inputs!$B$16="Y"),AND(D1232="Pension",Inputs!$B$17="Y"),AND(D1232="OCIO",Inputs!$B$18="Y"),AND(D1232="Other",Inputs!$B$19="Y")))),A1232&lt;&gt;in_ClientOrg,NOT(AND(in_ExclHarvard="Y",ISNUMBER(SEARCH("Harvard",A1232))))),$AD1232="Y",K1232&lt;&gt;"",S1232&gt;0),"Y","")</f>
        <v/>
      </c>
      <c r="V1232" s="30" t="n">
        <v>0.3569512166745951</v>
      </c>
      <c r="W1232" t="inlineStr"/>
      <c r="X1232" s="28">
        <f>IF(L1232+M1232=0,"",L1232+M1232)</f>
        <v/>
      </c>
      <c r="Y1232" s="38">
        <f>IF(L1232=0,"",M1232/L1232)</f>
        <v/>
      </c>
      <c r="Z1232" t="inlineStr">
        <is>
          <t>Managing Director</t>
        </is>
      </c>
      <c r="AA1232" t="inlineStr">
        <is>
          <t>Investments</t>
        </is>
      </c>
      <c r="AB1232" s="50" t="inlineStr"/>
      <c r="AC1232" s="43">
        <f>HYPERLINK("https://projects.propublica.org/nonprofits/organizations/742765082/202421919349300237/full","view filing")</f>
        <v/>
      </c>
      <c r="AD1232" s="50" t="inlineStr"/>
    </row>
    <row r="1233">
      <c r="A1233" t="inlineStr">
        <is>
          <t>The University Of Texas Texas A M Investment Management Company</t>
        </is>
      </c>
      <c r="B1233" s="50" t="inlineStr">
        <is>
          <t>TX</t>
        </is>
      </c>
      <c r="C1233" s="52" t="n">
        <v>67.84</v>
      </c>
      <c r="D1233" t="inlineStr">
        <is>
          <t>Endowment</t>
        </is>
      </c>
      <c r="E1233" s="50" t="n">
        <v>2023</v>
      </c>
      <c r="F1233" s="50" t="inlineStr">
        <is>
          <t>2024-07-09</t>
        </is>
      </c>
      <c r="G1233" s="50" t="inlineStr">
        <is>
          <t>2023-08-31</t>
        </is>
      </c>
      <c r="H1233" t="inlineStr">
        <is>
          <t>Thomas Britton Harris Iv</t>
        </is>
      </c>
      <c r="I1233" t="inlineStr">
        <is>
          <t>PRESIDENT AND CHIEF EXECUTIVE OFFICER</t>
        </is>
      </c>
      <c r="J1233" t="inlineStr">
        <is>
          <t>CEO (Inv Entity)</t>
        </is>
      </c>
      <c r="K1233" t="inlineStr">
        <is>
          <t>CIO - Top Investment Executive</t>
        </is>
      </c>
      <c r="L1233" s="28" t="n">
        <v>874373</v>
      </c>
      <c r="M1233" s="28" t="n">
        <v>3105226</v>
      </c>
      <c r="N1233" s="28" t="n">
        <v>2839</v>
      </c>
      <c r="O1233" s="28" t="n">
        <v>2193284</v>
      </c>
      <c r="P1233" s="28" t="n">
        <v>23840</v>
      </c>
      <c r="Q1233" s="28" t="n">
        <v>6199562</v>
      </c>
      <c r="R1233" s="28" t="n">
        <v>3105226</v>
      </c>
      <c r="S1233" s="28">
        <f>Q1233-R1233</f>
        <v/>
      </c>
      <c r="T1233" s="28">
        <f>IF(S1233="","",S1233*(1+in_GrowthRate)^(YEARFRAC(DATE(2023,8,31),in_AgeToDate)*IF(in_AgeToDate&lt;DATE(2023,8,31),-1,1)+1))</f>
        <v/>
      </c>
      <c r="U1233" s="50">
        <f>IF(AND(AND(OR(in_Mode="All Funds",AND(C1233&gt;=in_BandFloor,C1233&lt;=in_BandCeiling,OR(in_Geography="National",COUNTIFS(lst_GeoPreset,in_Geography,lst_GeoState,B1233)&gt;0,AND(in_Geography="Custom",ISNUMBER(SEARCH(B1233,SUBSTITUTE(in_CustomStates," ",""))))),OR(AND(D1233="Endowment",Inputs!$B$14="Y"),AND(D1233="Foundation",Inputs!$B$15="Y"),AND(D1233="Healthcare",Inputs!$B$16="Y"),AND(D1233="Pension",Inputs!$B$17="Y"),AND(D1233="OCIO",Inputs!$B$18="Y"),AND(D1233="Other",Inputs!$B$19="Y")))),A1233&lt;&gt;in_ClientOrg,NOT(AND(in_ExclHarvard="Y",ISNUMBER(SEARCH("Harvard",A1233))))),$AD1233="Y",K1233&lt;&gt;"",S1233&gt;0),"Y","")</f>
        <v/>
      </c>
      <c r="V1233" s="30" t="n">
        <v>1</v>
      </c>
      <c r="W1233" t="inlineStr"/>
      <c r="X1233" s="28">
        <f>IF(L1233+M1233=0,"",L1233+M1233)</f>
        <v/>
      </c>
      <c r="Y1233" s="38">
        <f>IF(L1233=0,"",M1233/L1233)</f>
        <v/>
      </c>
      <c r="Z1233" t="inlineStr">
        <is>
          <t>CIO - Top Investment Executive</t>
        </is>
      </c>
      <c r="AA1233" t="inlineStr">
        <is>
          <t>Leadership</t>
        </is>
      </c>
      <c r="AB1233" s="50" t="inlineStr">
        <is>
          <t>Y</t>
        </is>
      </c>
      <c r="AC1233" s="43">
        <f>HYPERLINK("https://projects.propublica.org/nonprofits/organizations/742765082/202421919349300237/full","view filing")</f>
        <v/>
      </c>
      <c r="AD1233" s="50" t="inlineStr"/>
    </row>
    <row r="1234">
      <c r="A1234" t="inlineStr">
        <is>
          <t>The University Of Texas Texas A M Investment Management Company</t>
        </is>
      </c>
      <c r="B1234" s="50" t="inlineStr">
        <is>
          <t>TX</t>
        </is>
      </c>
      <c r="C1234" s="52" t="n">
        <v>67.84</v>
      </c>
      <c r="D1234" t="inlineStr">
        <is>
          <t>Endowment</t>
        </is>
      </c>
      <c r="E1234" s="50" t="n">
        <v>2023</v>
      </c>
      <c r="F1234" s="50" t="inlineStr">
        <is>
          <t>2024-07-09</t>
        </is>
      </c>
      <c r="G1234" s="50" t="inlineStr">
        <is>
          <t>2023-08-31</t>
        </is>
      </c>
      <c r="H1234" t="inlineStr">
        <is>
          <t>Timothy Jones</t>
        </is>
      </c>
      <c r="I1234" t="inlineStr">
        <is>
          <t>SENIOR DIRECTOR-RISK MANAGMENT</t>
        </is>
      </c>
      <c r="J1234" t="inlineStr">
        <is>
          <t>Director of Investments</t>
        </is>
      </c>
      <c r="K1234" t="inlineStr">
        <is>
          <t>Sr Investment Professional</t>
        </is>
      </c>
      <c r="L1234" s="28" t="n">
        <v>256135</v>
      </c>
      <c r="M1234" s="28" t="n">
        <v>88781</v>
      </c>
      <c r="N1234" s="28" t="n">
        <v>2521</v>
      </c>
      <c r="O1234" s="28" t="n">
        <v>303151</v>
      </c>
      <c r="P1234" s="28" t="n">
        <v>28831</v>
      </c>
      <c r="Q1234" s="28" t="n">
        <v>679419</v>
      </c>
      <c r="R1234" s="28" t="n">
        <v>0</v>
      </c>
      <c r="S1234" s="28">
        <f>Q1234-R1234</f>
        <v/>
      </c>
      <c r="T1234" s="28">
        <f>IF(S1234="","",S1234*(1+in_GrowthRate)^(YEARFRAC(DATE(2023,8,31),in_AgeToDate)*IF(in_AgeToDate&lt;DATE(2023,8,31),-1,1)+1))</f>
        <v/>
      </c>
      <c r="U1234" s="50">
        <f>IF(AND(AND(OR(in_Mode="All Funds",AND(C1234&gt;=in_BandFloor,C1234&lt;=in_BandCeiling,OR(in_Geography="National",COUNTIFS(lst_GeoPreset,in_Geography,lst_GeoState,B1234)&gt;0,AND(in_Geography="Custom",ISNUMBER(SEARCH(B1234,SUBSTITUTE(in_CustomStates," ",""))))),OR(AND(D1234="Endowment",Inputs!$B$14="Y"),AND(D1234="Foundation",Inputs!$B$15="Y"),AND(D1234="Healthcare",Inputs!$B$16="Y"),AND(D1234="Pension",Inputs!$B$17="Y"),AND(D1234="OCIO",Inputs!$B$18="Y"),AND(D1234="Other",Inputs!$B$19="Y")))),A1234&lt;&gt;in_ClientOrg,NOT(AND(in_ExclHarvard="Y",ISNUMBER(SEARCH("Harvard",A1234))))),$AD1234="Y",K1234&lt;&gt;"",S1234&gt;0),"Y","")</f>
        <v/>
      </c>
      <c r="V1234" s="30" t="n">
        <v>0.2195685924217667</v>
      </c>
      <c r="W1234" t="inlineStr"/>
      <c r="X1234" s="28">
        <f>IF(L1234+M1234=0,"",L1234+M1234)</f>
        <v/>
      </c>
      <c r="Y1234" s="38">
        <f>IF(L1234=0,"",M1234/L1234)</f>
        <v/>
      </c>
      <c r="Z1234" t="inlineStr">
        <is>
          <t>Director &amp; Investment Officer</t>
        </is>
      </c>
      <c r="AA1234" t="inlineStr">
        <is>
          <t>Investments</t>
        </is>
      </c>
      <c r="AB1234" s="50" t="inlineStr"/>
      <c r="AC1234" s="43">
        <f>HYPERLINK("https://projects.propublica.org/nonprofits/organizations/742765082/202421919349300237/full","view filing")</f>
        <v/>
      </c>
      <c r="AD1234" s="50" t="inlineStr"/>
    </row>
    <row r="1235">
      <c r="A1235" t="inlineStr">
        <is>
          <t>The University Of Texas Texas A M Investment Management Company</t>
        </is>
      </c>
      <c r="B1235" s="50" t="inlineStr">
        <is>
          <t>TX</t>
        </is>
      </c>
      <c r="C1235" s="52" t="n">
        <v>67.84</v>
      </c>
      <c r="D1235" t="inlineStr">
        <is>
          <t>Endowment</t>
        </is>
      </c>
      <c r="E1235" s="50" t="n">
        <v>2023</v>
      </c>
      <c r="F1235" s="50" t="inlineStr">
        <is>
          <t>2024-07-09</t>
        </is>
      </c>
      <c r="G1235" s="50" t="inlineStr">
        <is>
          <t>2023-08-31</t>
        </is>
      </c>
      <c r="H1235" t="inlineStr">
        <is>
          <t>Uziel Yoeli</t>
        </is>
      </c>
      <c r="I1235" t="inlineStr">
        <is>
          <t>MANAGING DIRECTOR</t>
        </is>
      </c>
      <c r="J1235" t="inlineStr">
        <is>
          <t>Managing Director</t>
        </is>
      </c>
      <c r="K1235" t="inlineStr">
        <is>
          <t>Sr Investment Professional</t>
        </is>
      </c>
      <c r="L1235" s="28" t="n">
        <v>367575</v>
      </c>
      <c r="M1235" s="28" t="n">
        <v>573370</v>
      </c>
      <c r="N1235" s="28" t="n">
        <v>2639</v>
      </c>
      <c r="O1235" s="28" t="n">
        <v>442216</v>
      </c>
      <c r="P1235" s="28" t="n">
        <v>18610</v>
      </c>
      <c r="Q1235" s="28" t="n">
        <v>1404410</v>
      </c>
      <c r="R1235" s="28" t="n">
        <v>573370</v>
      </c>
      <c r="S1235" s="28">
        <f>Q1235-R1235</f>
        <v/>
      </c>
      <c r="T1235" s="28">
        <f>IF(S1235="","",S1235*(1+in_GrowthRate)^(YEARFRAC(DATE(2023,8,31),in_AgeToDate)*IF(in_AgeToDate&lt;DATE(2023,8,31),-1,1)+1))</f>
        <v/>
      </c>
      <c r="U1235" s="50">
        <f>IF(AND(AND(OR(in_Mode="All Funds",AND(C1235&gt;=in_BandFloor,C1235&lt;=in_BandCeiling,OR(in_Geography="National",COUNTIFS(lst_GeoPreset,in_Geography,lst_GeoState,B1235)&gt;0,AND(in_Geography="Custom",ISNUMBER(SEARCH(B1235,SUBSTITUTE(in_CustomStates," ",""))))),OR(AND(D1235="Endowment",Inputs!$B$14="Y"),AND(D1235="Foundation",Inputs!$B$15="Y"),AND(D1235="Healthcare",Inputs!$B$16="Y"),AND(D1235="Pension",Inputs!$B$17="Y"),AND(D1235="OCIO",Inputs!$B$18="Y"),AND(D1235="Other",Inputs!$B$19="Y")))),A1235&lt;&gt;in_ClientOrg,NOT(AND(in_ExclHarvard="Y",ISNUMBER(SEARCH("Harvard",A1235))))),$AD1235="Y",K1235&lt;&gt;"",S1235&gt;0),"Y","")</f>
        <v/>
      </c>
      <c r="V1235" s="30" t="n">
        <v>0.2685681192992616</v>
      </c>
      <c r="W1235" t="inlineStr"/>
      <c r="X1235" s="28">
        <f>IF(L1235+M1235=0,"",L1235+M1235)</f>
        <v/>
      </c>
      <c r="Y1235" s="38">
        <f>IF(L1235=0,"",M1235/L1235)</f>
        <v/>
      </c>
      <c r="Z1235" t="inlineStr">
        <is>
          <t>Managing Director</t>
        </is>
      </c>
      <c r="AA1235" t="inlineStr">
        <is>
          <t>Investments</t>
        </is>
      </c>
      <c r="AB1235" s="50" t="inlineStr"/>
      <c r="AC1235" s="43">
        <f>HYPERLINK("https://projects.propublica.org/nonprofits/organizations/742765082/202421919349300237/full","view filing")</f>
        <v/>
      </c>
      <c r="AD1235" s="50" t="inlineStr"/>
    </row>
    <row r="1236">
      <c r="A1236" t="inlineStr">
        <is>
          <t>The University Of Texas Texas A M Investment Management Company</t>
        </is>
      </c>
      <c r="B1236" s="50" t="inlineStr">
        <is>
          <t>TX</t>
        </is>
      </c>
      <c r="C1236" s="52" t="n">
        <v>67.84</v>
      </c>
      <c r="D1236" t="inlineStr">
        <is>
          <t>Endowment</t>
        </is>
      </c>
      <c r="E1236" s="50" t="n">
        <v>2022</v>
      </c>
      <c r="F1236" s="50" t="inlineStr">
        <is>
          <t>2023-07-06</t>
        </is>
      </c>
      <c r="G1236" s="50" t="inlineStr">
        <is>
          <t>2022-08-31</t>
        </is>
      </c>
      <c r="H1236" t="inlineStr">
        <is>
          <t>Amanda Hopper</t>
        </is>
      </c>
      <c r="I1236" t="inlineStr">
        <is>
          <t>MANAGING DIRECTOR</t>
        </is>
      </c>
      <c r="J1236" t="inlineStr">
        <is>
          <t>Managing Director</t>
        </is>
      </c>
      <c r="K1236" t="inlineStr">
        <is>
          <t>Sr Investment Professional</t>
        </is>
      </c>
      <c r="L1236" s="28" t="n">
        <v>296781</v>
      </c>
      <c r="M1236" s="28" t="n">
        <v>463524</v>
      </c>
      <c r="N1236" s="28" t="n">
        <v>2239</v>
      </c>
      <c r="O1236" s="28" t="n">
        <v>533376</v>
      </c>
      <c r="P1236" s="28" t="n">
        <v>28393</v>
      </c>
      <c r="Q1236" s="28" t="n">
        <v>1324313</v>
      </c>
      <c r="R1236" s="28" t="n">
        <v>421020</v>
      </c>
      <c r="S1236" s="28">
        <f>Q1236-R1236</f>
        <v/>
      </c>
      <c r="T1236" s="28">
        <f>IF(S1236="","",S1236*(1+in_GrowthRate)^(YEARFRAC(DATE(2022,8,31),in_AgeToDate)*IF(in_AgeToDate&lt;DATE(2022,8,31),-1,1)+1))</f>
        <v/>
      </c>
      <c r="U1236" s="50">
        <f>IF(AND(AND(OR(in_Mode="All Funds",AND(C1236&gt;=in_BandFloor,C1236&lt;=in_BandCeiling,OR(in_Geography="National",COUNTIFS(lst_GeoPreset,in_Geography,lst_GeoState,B1236)&gt;0,AND(in_Geography="Custom",ISNUMBER(SEARCH(B1236,SUBSTITUTE(in_CustomStates," ",""))))),OR(AND(D1236="Endowment",Inputs!$B$14="Y"),AND(D1236="Foundation",Inputs!$B$15="Y"),AND(D1236="Healthcare",Inputs!$B$16="Y"),AND(D1236="Pension",Inputs!$B$17="Y"),AND(D1236="OCIO",Inputs!$B$18="Y"),AND(D1236="Other",Inputs!$B$19="Y")))),A1236&lt;&gt;in_ClientOrg,NOT(AND(in_ExclHarvard="Y",ISNUMBER(SEARCH("Harvard",A1236))))),$AD1236="Y",K1236&lt;&gt;"",S1236&gt;0),"Y","")</f>
        <v/>
      </c>
      <c r="V1236" s="30" t="n">
        <v>0.2262190201757976</v>
      </c>
      <c r="W1236" t="inlineStr"/>
      <c r="X1236" s="28">
        <f>IF(L1236+M1236=0,"",L1236+M1236)</f>
        <v/>
      </c>
      <c r="Y1236" s="38">
        <f>IF(L1236=0,"",M1236/L1236)</f>
        <v/>
      </c>
      <c r="Z1236" t="inlineStr">
        <is>
          <t>Managing Director</t>
        </is>
      </c>
      <c r="AA1236" t="inlineStr">
        <is>
          <t>Investments</t>
        </is>
      </c>
      <c r="AB1236" s="50" t="inlineStr"/>
      <c r="AC1236" s="43">
        <f>HYPERLINK("https://projects.propublica.org/nonprofits/organizations/742765082/202331879349300948/full","view filing")</f>
        <v/>
      </c>
      <c r="AD1236" s="50" t="inlineStr"/>
    </row>
    <row r="1237">
      <c r="A1237" t="inlineStr">
        <is>
          <t>The University Of Texas Texas A M Investment Management Company</t>
        </is>
      </c>
      <c r="B1237" s="50" t="inlineStr">
        <is>
          <t>TX</t>
        </is>
      </c>
      <c r="C1237" s="52" t="n">
        <v>67.84</v>
      </c>
      <c r="D1237" t="inlineStr">
        <is>
          <t>Endowment</t>
        </is>
      </c>
      <c r="E1237" s="50" t="n">
        <v>2022</v>
      </c>
      <c r="F1237" s="50" t="inlineStr">
        <is>
          <t>2023-07-06</t>
        </is>
      </c>
      <c r="G1237" s="50" t="inlineStr">
        <is>
          <t>2022-08-31</t>
        </is>
      </c>
      <c r="H1237" t="inlineStr">
        <is>
          <t>Anna Cecilia Gonzalez</t>
        </is>
      </c>
      <c r="I1237" t="inlineStr">
        <is>
          <t>CORPORATE COUNSEL &amp; CHIEF COMPLIANCE OFFICER</t>
        </is>
      </c>
      <c r="J1237" t="inlineStr">
        <is>
          <t>General Counsel (Inv Entity)</t>
        </is>
      </c>
      <c r="K1237" t="inlineStr">
        <is>
          <t>Other disclosed professionals</t>
        </is>
      </c>
      <c r="L1237" s="28" t="n">
        <v>154963</v>
      </c>
      <c r="M1237" s="28" t="n">
        <v>108553</v>
      </c>
      <c r="N1237" s="28" t="n">
        <v>579</v>
      </c>
      <c r="O1237" s="28" t="n">
        <v>13231</v>
      </c>
      <c r="P1237" s="28" t="n">
        <v>3892</v>
      </c>
      <c r="Q1237" s="28" t="n">
        <v>281218</v>
      </c>
      <c r="R1237" s="28" t="n">
        <v>98947</v>
      </c>
      <c r="S1237" s="28">
        <f>Q1237-R1237</f>
        <v/>
      </c>
      <c r="T1237" s="28">
        <f>IF(S1237="","",S1237*(1+in_GrowthRate)^(YEARFRAC(DATE(2022,8,31),in_AgeToDate)*IF(in_AgeToDate&lt;DATE(2022,8,31),-1,1)+1))</f>
        <v/>
      </c>
      <c r="U1237" s="50">
        <f>IF(AND(AND(OR(in_Mode="All Funds",AND(C1237&gt;=in_BandFloor,C1237&lt;=in_BandCeiling,OR(in_Geography="National",COUNTIFS(lst_GeoPreset,in_Geography,lst_GeoState,B1237)&gt;0,AND(in_Geography="Custom",ISNUMBER(SEARCH(B1237,SUBSTITUTE(in_CustomStates," ",""))))),OR(AND(D1237="Endowment",Inputs!$B$14="Y"),AND(D1237="Foundation",Inputs!$B$15="Y"),AND(D1237="Healthcare",Inputs!$B$16="Y"),AND(D1237="Pension",Inputs!$B$17="Y"),AND(D1237="OCIO",Inputs!$B$18="Y"),AND(D1237="Other",Inputs!$B$19="Y")))),A1237&lt;&gt;in_ClientOrg,NOT(AND(in_ExclHarvard="Y",ISNUMBER(SEARCH("Harvard",A1237))))),$AD1237="Y",K1237&lt;&gt;"",S1237&gt;0),"Y","")</f>
        <v/>
      </c>
      <c r="V1237" s="30" t="n">
        <v>0.04564761049456023</v>
      </c>
      <c r="W1237" t="inlineStr">
        <is>
          <t>Other disclosed professionals</t>
        </is>
      </c>
      <c r="X1237" s="28">
        <f>IF(L1237+M1237=0,"",L1237+M1237)</f>
        <v/>
      </c>
      <c r="Y1237" s="38">
        <f>IF(L1237=0,"",M1237/L1237)</f>
        <v/>
      </c>
      <c r="Z1237" t="inlineStr">
        <is>
          <t>Other disclosed professionals</t>
        </is>
      </c>
      <c r="AA1237" t="inlineStr">
        <is>
          <t>Operations &amp; Control</t>
        </is>
      </c>
      <c r="AB1237" s="50" t="inlineStr"/>
      <c r="AC1237" s="43">
        <f>HYPERLINK("https://projects.propublica.org/nonprofits/organizations/742765082/202331879349300948/full","view filing")</f>
        <v/>
      </c>
      <c r="AD1237" s="50" t="inlineStr"/>
    </row>
    <row r="1238">
      <c r="A1238" t="inlineStr">
        <is>
          <t>The University Of Texas Texas A M Investment Management Company</t>
        </is>
      </c>
      <c r="B1238" s="50" t="inlineStr">
        <is>
          <t>TX</t>
        </is>
      </c>
      <c r="C1238" s="52" t="n">
        <v>67.84</v>
      </c>
      <c r="D1238" t="inlineStr">
        <is>
          <t>Endowment</t>
        </is>
      </c>
      <c r="E1238" s="50" t="n">
        <v>2022</v>
      </c>
      <c r="F1238" s="50" t="inlineStr">
        <is>
          <t>2023-07-06</t>
        </is>
      </c>
      <c r="G1238" s="50" t="inlineStr">
        <is>
          <t>2022-08-31</t>
        </is>
      </c>
      <c r="H1238" t="inlineStr">
        <is>
          <t>Anthony Caruso</t>
        </is>
      </c>
      <c r="I1238" t="inlineStr">
        <is>
          <t>SENIOR DIRECTOR</t>
        </is>
      </c>
      <c r="J1238" t="inlineStr">
        <is>
          <t>Director of Investments</t>
        </is>
      </c>
      <c r="K1238" t="inlineStr">
        <is>
          <t>Sr Investment Professional</t>
        </is>
      </c>
      <c r="L1238" s="28" t="n">
        <v>249505</v>
      </c>
      <c r="M1238" s="28" t="n">
        <v>358970</v>
      </c>
      <c r="N1238" s="28" t="n">
        <v>2110</v>
      </c>
      <c r="O1238" s="28" t="n">
        <v>474014</v>
      </c>
      <c r="P1238" s="28" t="n">
        <v>27587</v>
      </c>
      <c r="Q1238" s="28" t="n">
        <v>1112186</v>
      </c>
      <c r="R1238" s="28" t="n">
        <v>0</v>
      </c>
      <c r="S1238" s="28">
        <f>Q1238-R1238</f>
        <v/>
      </c>
      <c r="T1238" s="28">
        <f>IF(S1238="","",S1238*(1+in_GrowthRate)^(YEARFRAC(DATE(2022,8,31),in_AgeToDate)*IF(in_AgeToDate&lt;DATE(2022,8,31),-1,1)+1))</f>
        <v/>
      </c>
      <c r="U1238" s="50">
        <f>IF(AND(AND(OR(in_Mode="All Funds",AND(C1238&gt;=in_BandFloor,C1238&lt;=in_BandCeiling,OR(in_Geography="National",COUNTIFS(lst_GeoPreset,in_Geography,lst_GeoState,B1238)&gt;0,AND(in_Geography="Custom",ISNUMBER(SEARCH(B1238,SUBSTITUTE(in_CustomStates," ",""))))),OR(AND(D1238="Endowment",Inputs!$B$14="Y"),AND(D1238="Foundation",Inputs!$B$15="Y"),AND(D1238="Healthcare",Inputs!$B$16="Y"),AND(D1238="Pension",Inputs!$B$17="Y"),AND(D1238="OCIO",Inputs!$B$18="Y"),AND(D1238="Other",Inputs!$B$19="Y")))),A1238&lt;&gt;in_ClientOrg,NOT(AND(in_ExclHarvard="Y",ISNUMBER(SEARCH("Harvard",A1238))))),$AD1238="Y",K1238&lt;&gt;"",S1238&gt;0),"Y","")</f>
        <v/>
      </c>
      <c r="V1238" s="30" t="n">
        <v>0.2785337948741323</v>
      </c>
      <c r="W1238" t="inlineStr"/>
      <c r="X1238" s="28">
        <f>IF(L1238+M1238=0,"",L1238+M1238)</f>
        <v/>
      </c>
      <c r="Y1238" s="38">
        <f>IF(L1238=0,"",M1238/L1238)</f>
        <v/>
      </c>
      <c r="Z1238" t="inlineStr">
        <is>
          <t>Director &amp; Investment Officer</t>
        </is>
      </c>
      <c r="AA1238" t="inlineStr">
        <is>
          <t>Investments</t>
        </is>
      </c>
      <c r="AB1238" s="50" t="inlineStr"/>
      <c r="AC1238" s="43">
        <f>HYPERLINK("https://projects.propublica.org/nonprofits/organizations/742765082/202331879349300948/full","view filing")</f>
        <v/>
      </c>
      <c r="AD1238" s="50" t="inlineStr"/>
    </row>
    <row r="1239">
      <c r="A1239" t="inlineStr">
        <is>
          <t>The University Of Texas Texas A M Investment Management Company</t>
        </is>
      </c>
      <c r="B1239" s="50" t="inlineStr">
        <is>
          <t>TX</t>
        </is>
      </c>
      <c r="C1239" s="52" t="n">
        <v>67.84</v>
      </c>
      <c r="D1239" t="inlineStr">
        <is>
          <t>Endowment</t>
        </is>
      </c>
      <c r="E1239" s="50" t="n">
        <v>2022</v>
      </c>
      <c r="F1239" s="50" t="inlineStr">
        <is>
          <t>2023-07-06</t>
        </is>
      </c>
      <c r="G1239" s="50" t="inlineStr">
        <is>
          <t>2022-08-31</t>
        </is>
      </c>
      <c r="H1239" t="inlineStr">
        <is>
          <t>Carolina De Onis</t>
        </is>
      </c>
      <c r="I1239" t="inlineStr">
        <is>
          <t>GENERAL COUNSEL &amp; CHIEF COMPLIANCE OFFICER</t>
        </is>
      </c>
      <c r="J1239" t="inlineStr">
        <is>
          <t>General Counsel (Inv Entity)</t>
        </is>
      </c>
      <c r="K1239" t="inlineStr">
        <is>
          <t>Other disclosed professionals</t>
        </is>
      </c>
      <c r="L1239" s="28" t="n">
        <v>372107</v>
      </c>
      <c r="M1239" s="28" t="n">
        <v>218874</v>
      </c>
      <c r="N1239" s="28" t="n">
        <v>2639</v>
      </c>
      <c r="O1239" s="28" t="n">
        <v>273875</v>
      </c>
      <c r="P1239" s="28" t="n">
        <v>26596</v>
      </c>
      <c r="Q1239" s="28" t="n">
        <v>894091</v>
      </c>
      <c r="R1239" s="28" t="n">
        <v>218874</v>
      </c>
      <c r="S1239" s="28">
        <f>Q1239-R1239</f>
        <v/>
      </c>
      <c r="T1239" s="28">
        <f>IF(S1239="","",S1239*(1+in_GrowthRate)^(YEARFRAC(DATE(2022,8,31),in_AgeToDate)*IF(in_AgeToDate&lt;DATE(2022,8,31),-1,1)+1))</f>
        <v/>
      </c>
      <c r="U1239" s="50">
        <f>IF(AND(AND(OR(in_Mode="All Funds",AND(C1239&gt;=in_BandFloor,C1239&lt;=in_BandCeiling,OR(in_Geography="National",COUNTIFS(lst_GeoPreset,in_Geography,lst_GeoState,B1239)&gt;0,AND(in_Geography="Custom",ISNUMBER(SEARCH(B1239,SUBSTITUTE(in_CustomStates," ",""))))),OR(AND(D1239="Endowment",Inputs!$B$14="Y"),AND(D1239="Foundation",Inputs!$B$15="Y"),AND(D1239="Healthcare",Inputs!$B$16="Y"),AND(D1239="Pension",Inputs!$B$17="Y"),AND(D1239="OCIO",Inputs!$B$18="Y"),AND(D1239="Other",Inputs!$B$19="Y")))),A1239&lt;&gt;in_ClientOrg,NOT(AND(in_ExclHarvard="Y",ISNUMBER(SEARCH("Harvard",A1239))))),$AD1239="Y",K1239&lt;&gt;"",S1239&gt;0),"Y","")</f>
        <v/>
      </c>
      <c r="V1239" s="30" t="n">
        <v>0.1691000906085196</v>
      </c>
      <c r="W1239" t="inlineStr">
        <is>
          <t>Other disclosed professionals</t>
        </is>
      </c>
      <c r="X1239" s="28">
        <f>IF(L1239+M1239=0,"",L1239+M1239)</f>
        <v/>
      </c>
      <c r="Y1239" s="38">
        <f>IF(L1239=0,"",M1239/L1239)</f>
        <v/>
      </c>
      <c r="Z1239" t="inlineStr">
        <is>
          <t>Other disclosed professionals</t>
        </is>
      </c>
      <c r="AA1239" t="inlineStr">
        <is>
          <t>Operations &amp; Control</t>
        </is>
      </c>
      <c r="AB1239" s="50" t="inlineStr"/>
      <c r="AC1239" s="43">
        <f>HYPERLINK("https://projects.propublica.org/nonprofits/organizations/742765082/202331879349300948/full","view filing")</f>
        <v/>
      </c>
      <c r="AD1239" s="50" t="inlineStr"/>
    </row>
    <row r="1240">
      <c r="A1240" t="inlineStr">
        <is>
          <t>The University Of Texas Texas A M Investment Management Company</t>
        </is>
      </c>
      <c r="B1240" s="50" t="inlineStr">
        <is>
          <t>TX</t>
        </is>
      </c>
      <c r="C1240" s="52" t="n">
        <v>67.84</v>
      </c>
      <c r="D1240" t="inlineStr">
        <is>
          <t>Endowment</t>
        </is>
      </c>
      <c r="E1240" s="50" t="n">
        <v>2022</v>
      </c>
      <c r="F1240" s="50" t="inlineStr">
        <is>
          <t>2023-07-06</t>
        </is>
      </c>
      <c r="G1240" s="50" t="inlineStr">
        <is>
          <t>2022-08-31</t>
        </is>
      </c>
      <c r="H1240" t="inlineStr">
        <is>
          <t>Courtney Powers</t>
        </is>
      </c>
      <c r="I1240" t="inlineStr">
        <is>
          <t>MANAGING DIRECTOR</t>
        </is>
      </c>
      <c r="J1240" t="inlineStr">
        <is>
          <t>Managing Director</t>
        </is>
      </c>
      <c r="K1240" t="inlineStr">
        <is>
          <t>Sr Investment Professional</t>
        </is>
      </c>
      <c r="L1240" s="28" t="n">
        <v>296303</v>
      </c>
      <c r="M1240" s="28" t="n">
        <v>478958</v>
      </c>
      <c r="N1240" s="28" t="n">
        <v>2681</v>
      </c>
      <c r="O1240" s="28" t="n">
        <v>690411</v>
      </c>
      <c r="P1240" s="28" t="n">
        <v>28870</v>
      </c>
      <c r="Q1240" s="28" t="n">
        <v>1497223</v>
      </c>
      <c r="R1240" s="28" t="n">
        <v>433867</v>
      </c>
      <c r="S1240" s="28">
        <f>Q1240-R1240</f>
        <v/>
      </c>
      <c r="T1240" s="28">
        <f>IF(S1240="","",S1240*(1+in_GrowthRate)^(YEARFRAC(DATE(2022,8,31),in_AgeToDate)*IF(in_AgeToDate&lt;DATE(2022,8,31),-1,1)+1))</f>
        <v/>
      </c>
      <c r="U1240" s="50">
        <f>IF(AND(AND(OR(in_Mode="All Funds",AND(C1240&gt;=in_BandFloor,C1240&lt;=in_BandCeiling,OR(in_Geography="National",COUNTIFS(lst_GeoPreset,in_Geography,lst_GeoState,B1240)&gt;0,AND(in_Geography="Custom",ISNUMBER(SEARCH(B1240,SUBSTITUTE(in_CustomStates," ",""))))),OR(AND(D1240="Endowment",Inputs!$B$14="Y"),AND(D1240="Foundation",Inputs!$B$15="Y"),AND(D1240="Healthcare",Inputs!$B$16="Y"),AND(D1240="Pension",Inputs!$B$17="Y"),AND(D1240="OCIO",Inputs!$B$18="Y"),AND(D1240="Other",Inputs!$B$19="Y")))),A1240&lt;&gt;in_ClientOrg,NOT(AND(in_ExclHarvard="Y",ISNUMBER(SEARCH("Harvard",A1240))))),$AD1240="Y",K1240&lt;&gt;"",S1240&gt;0),"Y","")</f>
        <v/>
      </c>
      <c r="V1240" s="30" t="n">
        <v>0.2663049004232905</v>
      </c>
      <c r="W1240" t="inlineStr"/>
      <c r="X1240" s="28">
        <f>IF(L1240+M1240=0,"",L1240+M1240)</f>
        <v/>
      </c>
      <c r="Y1240" s="38">
        <f>IF(L1240=0,"",M1240/L1240)</f>
        <v/>
      </c>
      <c r="Z1240" t="inlineStr">
        <is>
          <t>Managing Director</t>
        </is>
      </c>
      <c r="AA1240" t="inlineStr">
        <is>
          <t>Investments</t>
        </is>
      </c>
      <c r="AB1240" s="50" t="inlineStr"/>
      <c r="AC1240" s="43">
        <f>HYPERLINK("https://projects.propublica.org/nonprofits/organizations/742765082/202331879349300948/full","view filing")</f>
        <v/>
      </c>
      <c r="AD1240" s="50" t="inlineStr"/>
    </row>
    <row r="1241">
      <c r="A1241" t="inlineStr">
        <is>
          <t>The University Of Texas Texas A M Investment Management Company</t>
        </is>
      </c>
      <c r="B1241" s="50" t="inlineStr">
        <is>
          <t>TX</t>
        </is>
      </c>
      <c r="C1241" s="52" t="n">
        <v>67.84</v>
      </c>
      <c r="D1241" t="inlineStr">
        <is>
          <t>Endowment</t>
        </is>
      </c>
      <c r="E1241" s="50" t="n">
        <v>2022</v>
      </c>
      <c r="F1241" s="50" t="inlineStr">
        <is>
          <t>2023-07-06</t>
        </is>
      </c>
      <c r="G1241" s="50" t="inlineStr">
        <is>
          <t>2022-08-31</t>
        </is>
      </c>
      <c r="H1241" t="inlineStr">
        <is>
          <t>Edward Lewis</t>
        </is>
      </c>
      <c r="I1241" t="inlineStr">
        <is>
          <t>MANAGING DIRECTOR</t>
        </is>
      </c>
      <c r="J1241" t="inlineStr">
        <is>
          <t>Managing Director</t>
        </is>
      </c>
      <c r="K1241" t="inlineStr">
        <is>
          <t>Sr Investment Professional</t>
        </is>
      </c>
      <c r="L1241" s="28" t="n">
        <v>395815</v>
      </c>
      <c r="M1241" s="28" t="n">
        <v>888000</v>
      </c>
      <c r="N1241" s="28" t="n">
        <v>2938</v>
      </c>
      <c r="O1241" s="28" t="n">
        <v>684287</v>
      </c>
      <c r="P1241" s="28" t="n">
        <v>27336</v>
      </c>
      <c r="Q1241" s="28" t="n">
        <v>1998376</v>
      </c>
      <c r="R1241" s="28" t="n">
        <v>798411</v>
      </c>
      <c r="S1241" s="28">
        <f>Q1241-R1241</f>
        <v/>
      </c>
      <c r="T1241" s="28">
        <f>IF(S1241="","",S1241*(1+in_GrowthRate)^(YEARFRAC(DATE(2022,8,31),in_AgeToDate)*IF(in_AgeToDate&lt;DATE(2022,8,31),-1,1)+1))</f>
        <v/>
      </c>
      <c r="U1241" s="50">
        <f>IF(AND(AND(OR(in_Mode="All Funds",AND(C1241&gt;=in_BandFloor,C1241&lt;=in_BandCeiling,OR(in_Geography="National",COUNTIFS(lst_GeoPreset,in_Geography,lst_GeoState,B1241)&gt;0,AND(in_Geography="Custom",ISNUMBER(SEARCH(B1241,SUBSTITUTE(in_CustomStates," ",""))))),OR(AND(D1241="Endowment",Inputs!$B$14="Y"),AND(D1241="Foundation",Inputs!$B$15="Y"),AND(D1241="Healthcare",Inputs!$B$16="Y"),AND(D1241="Pension",Inputs!$B$17="Y"),AND(D1241="OCIO",Inputs!$B$18="Y"),AND(D1241="Other",Inputs!$B$19="Y")))),A1241&lt;&gt;in_ClientOrg,NOT(AND(in_ExclHarvard="Y",ISNUMBER(SEARCH("Harvard",A1241))))),$AD1241="Y",K1241&lt;&gt;"",S1241&gt;0),"Y","")</f>
        <v/>
      </c>
      <c r="V1241" s="30" t="n">
        <v>0.3005170044993716</v>
      </c>
      <c r="W1241" t="inlineStr"/>
      <c r="X1241" s="28">
        <f>IF(L1241+M1241=0,"",L1241+M1241)</f>
        <v/>
      </c>
      <c r="Y1241" s="38">
        <f>IF(L1241=0,"",M1241/L1241)</f>
        <v/>
      </c>
      <c r="Z1241" t="inlineStr">
        <is>
          <t>Managing Director</t>
        </is>
      </c>
      <c r="AA1241" t="inlineStr">
        <is>
          <t>Investments</t>
        </is>
      </c>
      <c r="AB1241" s="50" t="inlineStr"/>
      <c r="AC1241" s="43">
        <f>HYPERLINK("https://projects.propublica.org/nonprofits/organizations/742765082/202331879349300948/full","view filing")</f>
        <v/>
      </c>
      <c r="AD1241" s="50" t="inlineStr"/>
    </row>
    <row r="1242">
      <c r="A1242" t="inlineStr">
        <is>
          <t>The University Of Texas Texas A M Investment Management Company</t>
        </is>
      </c>
      <c r="B1242" s="50" t="inlineStr">
        <is>
          <t>TX</t>
        </is>
      </c>
      <c r="C1242" s="52" t="n">
        <v>67.84</v>
      </c>
      <c r="D1242" t="inlineStr">
        <is>
          <t>Endowment</t>
        </is>
      </c>
      <c r="E1242" s="50" t="n">
        <v>2022</v>
      </c>
      <c r="F1242" s="50" t="inlineStr">
        <is>
          <t>2023-07-06</t>
        </is>
      </c>
      <c r="G1242" s="50" t="inlineStr">
        <is>
          <t>2022-08-31</t>
        </is>
      </c>
      <c r="H1242" t="inlineStr">
        <is>
          <t>Gary Hill</t>
        </is>
      </c>
      <c r="I1242" t="inlineStr">
        <is>
          <t>MANAGING DIRECTOR</t>
        </is>
      </c>
      <c r="J1242" t="inlineStr">
        <is>
          <t>Managing Director</t>
        </is>
      </c>
      <c r="K1242" t="inlineStr">
        <is>
          <t>Sr Investment Professional</t>
        </is>
      </c>
      <c r="L1242" s="28" t="n">
        <v>243637</v>
      </c>
      <c r="M1242" s="28" t="n">
        <v>138402</v>
      </c>
      <c r="N1242" s="28" t="n">
        <v>2538</v>
      </c>
      <c r="O1242" s="28" t="n">
        <v>191795</v>
      </c>
      <c r="P1242" s="28" t="n">
        <v>29870</v>
      </c>
      <c r="Q1242" s="28" t="n">
        <v>606242</v>
      </c>
      <c r="R1242" s="28" t="n">
        <v>0</v>
      </c>
      <c r="S1242" s="28">
        <f>Q1242-R1242</f>
        <v/>
      </c>
      <c r="T1242" s="28">
        <f>IF(S1242="","",S1242*(1+in_GrowthRate)^(YEARFRAC(DATE(2022,8,31),in_AgeToDate)*IF(in_AgeToDate&lt;DATE(2022,8,31),-1,1)+1))</f>
        <v/>
      </c>
      <c r="U1242" s="50">
        <f>IF(AND(AND(OR(in_Mode="All Funds",AND(C1242&gt;=in_BandFloor,C1242&lt;=in_BandCeiling,OR(in_Geography="National",COUNTIFS(lst_GeoPreset,in_Geography,lst_GeoState,B1242)&gt;0,AND(in_Geography="Custom",ISNUMBER(SEARCH(B1242,SUBSTITUTE(in_CustomStates," ",""))))),OR(AND(D1242="Endowment",Inputs!$B$14="Y"),AND(D1242="Foundation",Inputs!$B$15="Y"),AND(D1242="Healthcare",Inputs!$B$16="Y"),AND(D1242="Pension",Inputs!$B$17="Y"),AND(D1242="OCIO",Inputs!$B$18="Y"),AND(D1242="Other",Inputs!$B$19="Y")))),A1242&lt;&gt;in_ClientOrg,NOT(AND(in_ExclHarvard="Y",ISNUMBER(SEARCH("Harvard",A1242))))),$AD1242="Y",K1242&lt;&gt;"",S1242&gt;0),"Y","")</f>
        <v/>
      </c>
      <c r="V1242" s="30" t="n">
        <v>0.1518261197965841</v>
      </c>
      <c r="W1242" t="inlineStr"/>
      <c r="X1242" s="28">
        <f>IF(L1242+M1242=0,"",L1242+M1242)</f>
        <v/>
      </c>
      <c r="Y1242" s="38">
        <f>IF(L1242=0,"",M1242/L1242)</f>
        <v/>
      </c>
      <c r="Z1242" t="inlineStr">
        <is>
          <t>Managing Director</t>
        </is>
      </c>
      <c r="AA1242" t="inlineStr">
        <is>
          <t>Investments</t>
        </is>
      </c>
      <c r="AB1242" s="50" t="inlineStr"/>
      <c r="AC1242" s="43">
        <f>HYPERLINK("https://projects.propublica.org/nonprofits/organizations/742765082/202331879349300948/full","view filing")</f>
        <v/>
      </c>
      <c r="AD1242" s="50" t="inlineStr"/>
    </row>
    <row r="1243">
      <c r="A1243" t="inlineStr">
        <is>
          <t>The University Of Texas Texas A M Investment Management Company</t>
        </is>
      </c>
      <c r="B1243" s="50" t="inlineStr">
        <is>
          <t>TX</t>
        </is>
      </c>
      <c r="C1243" s="52" t="n">
        <v>67.84</v>
      </c>
      <c r="D1243" t="inlineStr">
        <is>
          <t>Endowment</t>
        </is>
      </c>
      <c r="E1243" s="50" t="n">
        <v>2022</v>
      </c>
      <c r="F1243" s="50" t="inlineStr">
        <is>
          <t>2023-07-06</t>
        </is>
      </c>
      <c r="G1243" s="50" t="inlineStr">
        <is>
          <t>2022-08-31</t>
        </is>
      </c>
      <c r="H1243" t="inlineStr">
        <is>
          <t>Harland Doak</t>
        </is>
      </c>
      <c r="I1243" t="inlineStr">
        <is>
          <t>SENIOR DIRECTOR</t>
        </is>
      </c>
      <c r="J1243" t="inlineStr">
        <is>
          <t>Director of Investments</t>
        </is>
      </c>
      <c r="K1243" t="inlineStr">
        <is>
          <t>Sr Investment Professional</t>
        </is>
      </c>
      <c r="L1243" s="28" t="n">
        <v>284637</v>
      </c>
      <c r="M1243" s="28" t="n">
        <v>446087</v>
      </c>
      <c r="N1243" s="28" t="n">
        <v>2338</v>
      </c>
      <c r="O1243" s="28" t="n">
        <v>481580</v>
      </c>
      <c r="P1243" s="28" t="n">
        <v>29870</v>
      </c>
      <c r="Q1243" s="28" t="n">
        <v>1244512</v>
      </c>
      <c r="R1243" s="28" t="n">
        <v>446087</v>
      </c>
      <c r="S1243" s="28">
        <f>Q1243-R1243</f>
        <v/>
      </c>
      <c r="T1243" s="28">
        <f>IF(S1243="","",S1243*(1+in_GrowthRate)^(YEARFRAC(DATE(2022,8,31),in_AgeToDate)*IF(in_AgeToDate&lt;DATE(2022,8,31),-1,1)+1))</f>
        <v/>
      </c>
      <c r="U1243" s="50">
        <f>IF(AND(AND(OR(in_Mode="All Funds",AND(C1243&gt;=in_BandFloor,C1243&lt;=in_BandCeiling,OR(in_Geography="National",COUNTIFS(lst_GeoPreset,in_Geography,lst_GeoState,B1243)&gt;0,AND(in_Geography="Custom",ISNUMBER(SEARCH(B1243,SUBSTITUTE(in_CustomStates," ",""))))),OR(AND(D1243="Endowment",Inputs!$B$14="Y"),AND(D1243="Foundation",Inputs!$B$15="Y"),AND(D1243="Healthcare",Inputs!$B$16="Y"),AND(D1243="Pension",Inputs!$B$17="Y"),AND(D1243="OCIO",Inputs!$B$18="Y"),AND(D1243="Other",Inputs!$B$19="Y")))),A1243&lt;&gt;in_ClientOrg,NOT(AND(in_ExclHarvard="Y",ISNUMBER(SEARCH("Harvard",A1243))))),$AD1243="Y",K1243&lt;&gt;"",S1243&gt;0),"Y","")</f>
        <v/>
      </c>
      <c r="V1243" s="30" t="n">
        <v>0.1999560731499759</v>
      </c>
      <c r="W1243" t="inlineStr"/>
      <c r="X1243" s="28">
        <f>IF(L1243+M1243=0,"",L1243+M1243)</f>
        <v/>
      </c>
      <c r="Y1243" s="38">
        <f>IF(L1243=0,"",M1243/L1243)</f>
        <v/>
      </c>
      <c r="Z1243" t="inlineStr">
        <is>
          <t>Director &amp; Investment Officer</t>
        </is>
      </c>
      <c r="AA1243" t="inlineStr">
        <is>
          <t>Investments</t>
        </is>
      </c>
      <c r="AB1243" s="50" t="inlineStr"/>
      <c r="AC1243" s="43">
        <f>HYPERLINK("https://projects.propublica.org/nonprofits/organizations/742765082/202331879349300948/full","view filing")</f>
        <v/>
      </c>
      <c r="AD1243" s="50" t="inlineStr"/>
    </row>
    <row r="1244">
      <c r="A1244" t="inlineStr">
        <is>
          <t>The University Of Texas Texas A M Investment Management Company</t>
        </is>
      </c>
      <c r="B1244" s="50" t="inlineStr">
        <is>
          <t>TX</t>
        </is>
      </c>
      <c r="C1244" s="52" t="n">
        <v>67.84</v>
      </c>
      <c r="D1244" t="inlineStr">
        <is>
          <t>Endowment</t>
        </is>
      </c>
      <c r="E1244" s="50" t="n">
        <v>2022</v>
      </c>
      <c r="F1244" s="50" t="inlineStr">
        <is>
          <t>2023-07-06</t>
        </is>
      </c>
      <c r="G1244" s="50" t="inlineStr">
        <is>
          <t>2022-08-31</t>
        </is>
      </c>
      <c r="H1244" t="inlineStr">
        <is>
          <t>James R Kampfe</t>
        </is>
      </c>
      <c r="I1244" t="inlineStr">
        <is>
          <t>MANAGING DIRECTOR</t>
        </is>
      </c>
      <c r="J1244" t="inlineStr">
        <is>
          <t>Managing Director</t>
        </is>
      </c>
      <c r="K1244" t="inlineStr">
        <is>
          <t>Sr Investment Professional</t>
        </is>
      </c>
      <c r="L1244" s="28" t="n">
        <v>298970</v>
      </c>
      <c r="M1244" s="28" t="n">
        <v>488304</v>
      </c>
      <c r="N1244" s="28" t="n">
        <v>839</v>
      </c>
      <c r="O1244" s="28" t="n">
        <v>541297</v>
      </c>
      <c r="P1244" s="28" t="n">
        <v>29870</v>
      </c>
      <c r="Q1244" s="28" t="n">
        <v>1359280</v>
      </c>
      <c r="R1244" s="28" t="n">
        <v>488304</v>
      </c>
      <c r="S1244" s="28">
        <f>Q1244-R1244</f>
        <v/>
      </c>
      <c r="T1244" s="28">
        <f>IF(S1244="","",S1244*(1+in_GrowthRate)^(YEARFRAC(DATE(2022,8,31),in_AgeToDate)*IF(in_AgeToDate&lt;DATE(2022,8,31),-1,1)+1))</f>
        <v/>
      </c>
      <c r="U1244" s="50">
        <f>IF(AND(AND(OR(in_Mode="All Funds",AND(C1244&gt;=in_BandFloor,C1244&lt;=in_BandCeiling,OR(in_Geography="National",COUNTIFS(lst_GeoPreset,in_Geography,lst_GeoState,B1244)&gt;0,AND(in_Geography="Custom",ISNUMBER(SEARCH(B1244,SUBSTITUTE(in_CustomStates," ",""))))),OR(AND(D1244="Endowment",Inputs!$B$14="Y"),AND(D1244="Foundation",Inputs!$B$15="Y"),AND(D1244="Healthcare",Inputs!$B$16="Y"),AND(D1244="Pension",Inputs!$B$17="Y"),AND(D1244="OCIO",Inputs!$B$18="Y"),AND(D1244="Other",Inputs!$B$19="Y")))),A1244&lt;&gt;in_ClientOrg,NOT(AND(in_ExclHarvard="Y",ISNUMBER(SEARCH("Harvard",A1244))))),$AD1244="Y",K1244&lt;&gt;"",S1244&gt;0),"Y","")</f>
        <v/>
      </c>
      <c r="V1244" s="30" t="n">
        <v>0.2181256107560177</v>
      </c>
      <c r="W1244" t="inlineStr"/>
      <c r="X1244" s="28">
        <f>IF(L1244+M1244=0,"",L1244+M1244)</f>
        <v/>
      </c>
      <c r="Y1244" s="38">
        <f>IF(L1244=0,"",M1244/L1244)</f>
        <v/>
      </c>
      <c r="Z1244" t="inlineStr">
        <is>
          <t>Managing Director</t>
        </is>
      </c>
      <c r="AA1244" t="inlineStr">
        <is>
          <t>Investments</t>
        </is>
      </c>
      <c r="AB1244" s="50" t="inlineStr"/>
      <c r="AC1244" s="43">
        <f>HYPERLINK("https://projects.propublica.org/nonprofits/organizations/742765082/202331879349300948/full","view filing")</f>
        <v/>
      </c>
      <c r="AD1244" s="50" t="inlineStr"/>
    </row>
    <row r="1245">
      <c r="A1245" t="inlineStr">
        <is>
          <t>The University Of Texas Texas A M Investment Management Company</t>
        </is>
      </c>
      <c r="B1245" s="50" t="inlineStr">
        <is>
          <t>TX</t>
        </is>
      </c>
      <c r="C1245" s="52" t="n">
        <v>67.84</v>
      </c>
      <c r="D1245" t="inlineStr">
        <is>
          <t>Endowment</t>
        </is>
      </c>
      <c r="E1245" s="50" t="n">
        <v>2022</v>
      </c>
      <c r="F1245" s="50" t="inlineStr">
        <is>
          <t>2023-07-06</t>
        </is>
      </c>
      <c r="G1245" s="50" t="inlineStr">
        <is>
          <t>2022-08-31</t>
        </is>
      </c>
      <c r="H1245" t="inlineStr">
        <is>
          <t>Joan Moeller</t>
        </is>
      </c>
      <c r="I1245" t="inlineStr">
        <is>
          <t>COO, CORP. SECRETARY &amp; TREASURER</t>
        </is>
      </c>
      <c r="J1245" t="inlineStr">
        <is>
          <t>COO (Inv Entity)</t>
        </is>
      </c>
      <c r="K1245" t="inlineStr">
        <is>
          <t>COO (Investment Office)</t>
        </is>
      </c>
      <c r="L1245" s="28" t="n">
        <v>397508</v>
      </c>
      <c r="M1245" s="28" t="n">
        <v>335364</v>
      </c>
      <c r="N1245" s="28" t="n">
        <v>2939</v>
      </c>
      <c r="O1245" s="28" t="n">
        <v>337931</v>
      </c>
      <c r="P1245" s="28" t="n">
        <v>11904</v>
      </c>
      <c r="Q1245" s="28" t="n">
        <v>1085646</v>
      </c>
      <c r="R1245" s="28" t="n">
        <v>335364</v>
      </c>
      <c r="S1245" s="28">
        <f>Q1245-R1245</f>
        <v/>
      </c>
      <c r="T1245" s="28">
        <f>IF(S1245="","",S1245*(1+in_GrowthRate)^(YEARFRAC(DATE(2022,8,31),in_AgeToDate)*IF(in_AgeToDate&lt;DATE(2022,8,31),-1,1)+1))</f>
        <v/>
      </c>
      <c r="U1245" s="50">
        <f>IF(AND(AND(OR(in_Mode="All Funds",AND(C1245&gt;=in_BandFloor,C1245&lt;=in_BandCeiling,OR(in_Geography="National",COUNTIFS(lst_GeoPreset,in_Geography,lst_GeoState,B1245)&gt;0,AND(in_Geography="Custom",ISNUMBER(SEARCH(B1245,SUBSTITUTE(in_CustomStates," ",""))))),OR(AND(D1245="Endowment",Inputs!$B$14="Y"),AND(D1245="Foundation",Inputs!$B$15="Y"),AND(D1245="Healthcare",Inputs!$B$16="Y"),AND(D1245="Pension",Inputs!$B$17="Y"),AND(D1245="OCIO",Inputs!$B$18="Y"),AND(D1245="Other",Inputs!$B$19="Y")))),A1245&lt;&gt;in_ClientOrg,NOT(AND(in_ExclHarvard="Y",ISNUMBER(SEARCH("Harvard",A1245))))),$AD1245="Y",K1245&lt;&gt;"",S1245&gt;0),"Y","")</f>
        <v/>
      </c>
      <c r="V1245" s="30" t="n">
        <v>0.1878992297023643</v>
      </c>
      <c r="W1245" t="inlineStr"/>
      <c r="X1245" s="28">
        <f>IF(L1245+M1245=0,"",L1245+M1245)</f>
        <v/>
      </c>
      <c r="Y1245" s="38">
        <f>IF(L1245=0,"",M1245/L1245)</f>
        <v/>
      </c>
      <c r="Z1245" t="inlineStr">
        <is>
          <t>COO (Investment Office)</t>
        </is>
      </c>
      <c r="AA1245" t="inlineStr">
        <is>
          <t>Operations &amp; Control</t>
        </is>
      </c>
      <c r="AB1245" s="50" t="inlineStr"/>
      <c r="AC1245" s="43">
        <f>HYPERLINK("https://projects.propublica.org/nonprofits/organizations/742765082/202331879349300948/full","view filing")</f>
        <v/>
      </c>
      <c r="AD1245" s="50" t="inlineStr"/>
    </row>
    <row r="1246">
      <c r="A1246" t="inlineStr">
        <is>
          <t>The University Of Texas Texas A M Investment Management Company</t>
        </is>
      </c>
      <c r="B1246" s="50" t="inlineStr">
        <is>
          <t>TX</t>
        </is>
      </c>
      <c r="C1246" s="52" t="n">
        <v>67.84</v>
      </c>
      <c r="D1246" t="inlineStr">
        <is>
          <t>Endowment</t>
        </is>
      </c>
      <c r="E1246" s="50" t="n">
        <v>2022</v>
      </c>
      <c r="F1246" s="50" t="inlineStr">
        <is>
          <t>2023-07-06</t>
        </is>
      </c>
      <c r="G1246" s="50" t="inlineStr">
        <is>
          <t>2022-08-31</t>
        </is>
      </c>
      <c r="H1246" t="inlineStr">
        <is>
          <t>Kenneth Reeves Sr</t>
        </is>
      </c>
      <c r="I1246" t="inlineStr">
        <is>
          <t>MANAGING DIRECTOR</t>
        </is>
      </c>
      <c r="J1246" t="inlineStr">
        <is>
          <t>Managing Director</t>
        </is>
      </c>
      <c r="K1246" t="inlineStr">
        <is>
          <t>Sr Investment Professional</t>
        </is>
      </c>
      <c r="L1246" s="28" t="n">
        <v>0</v>
      </c>
      <c r="M1246" s="28" t="n">
        <v>0</v>
      </c>
      <c r="N1246" s="28" t="n">
        <v>0</v>
      </c>
      <c r="O1246" s="28" t="n">
        <v>0</v>
      </c>
      <c r="P1246" s="28" t="n">
        <v>0</v>
      </c>
      <c r="Q1246" s="28" t="n">
        <v>16304</v>
      </c>
      <c r="R1246" s="28" t="n">
        <v>0</v>
      </c>
      <c r="S1246" s="28">
        <f>Q1246-R1246</f>
        <v/>
      </c>
      <c r="T1246" s="28">
        <f>IF(S1246="","",S1246*(1+in_GrowthRate)^(YEARFRAC(DATE(2022,8,31),in_AgeToDate)*IF(in_AgeToDate&lt;DATE(2022,8,31),-1,1)+1))</f>
        <v/>
      </c>
      <c r="U1246" s="50">
        <f>IF(AND(AND(OR(in_Mode="All Funds",AND(C1246&gt;=in_BandFloor,C1246&lt;=in_BandCeiling,OR(in_Geography="National",COUNTIFS(lst_GeoPreset,in_Geography,lst_GeoState,B1246)&gt;0,AND(in_Geography="Custom",ISNUMBER(SEARCH(B1246,SUBSTITUTE(in_CustomStates," ",""))))),OR(AND(D1246="Endowment",Inputs!$B$14="Y"),AND(D1246="Foundation",Inputs!$B$15="Y"),AND(D1246="Healthcare",Inputs!$B$16="Y"),AND(D1246="Pension",Inputs!$B$17="Y"),AND(D1246="OCIO",Inputs!$B$18="Y"),AND(D1246="Other",Inputs!$B$19="Y")))),A1246&lt;&gt;in_ClientOrg,NOT(AND(in_ExclHarvard="Y",ISNUMBER(SEARCH("Harvard",A1246))))),$AD1246="Y",K1246&lt;&gt;"",S1246&gt;0),"Y","")</f>
        <v/>
      </c>
      <c r="V1246" s="30" t="n">
        <v>0.004083143459482364</v>
      </c>
      <c r="W1246" t="inlineStr"/>
      <c r="X1246" s="28">
        <f>IF(L1246+M1246=0,"",L1246+M1246)</f>
        <v/>
      </c>
      <c r="Y1246" s="38">
        <f>IF(L1246=0,"",M1246/L1246)</f>
        <v/>
      </c>
      <c r="Z1246" t="inlineStr">
        <is>
          <t>Managing Director</t>
        </is>
      </c>
      <c r="AA1246" t="inlineStr">
        <is>
          <t>Investments</t>
        </is>
      </c>
      <c r="AB1246" s="50" t="inlineStr"/>
      <c r="AC1246" s="43">
        <f>HYPERLINK("https://projects.propublica.org/nonprofits/organizations/742765082/202331879349300948/full","view filing")</f>
        <v/>
      </c>
      <c r="AD1246" s="50" t="inlineStr"/>
    </row>
    <row r="1247">
      <c r="A1247" t="inlineStr">
        <is>
          <t>The University Of Texas Texas A M Investment Management Company</t>
        </is>
      </c>
      <c r="B1247" s="50" t="inlineStr">
        <is>
          <t>TX</t>
        </is>
      </c>
      <c r="C1247" s="52" t="n">
        <v>67.84</v>
      </c>
      <c r="D1247" t="inlineStr">
        <is>
          <t>Endowment</t>
        </is>
      </c>
      <c r="E1247" s="50" t="n">
        <v>2022</v>
      </c>
      <c r="F1247" s="50" t="inlineStr">
        <is>
          <t>2023-07-06</t>
        </is>
      </c>
      <c r="G1247" s="50" t="inlineStr">
        <is>
          <t>2022-08-31</t>
        </is>
      </c>
      <c r="H1247" t="inlineStr">
        <is>
          <t>Kenneth Standley</t>
        </is>
      </c>
      <c r="I1247" t="inlineStr">
        <is>
          <t>SENIOR DIRECTOR</t>
        </is>
      </c>
      <c r="J1247" t="inlineStr">
        <is>
          <t>Director of Investments</t>
        </is>
      </c>
      <c r="K1247" t="inlineStr">
        <is>
          <t>Sr Investment Professional</t>
        </is>
      </c>
      <c r="L1247" s="28" t="n">
        <v>244970</v>
      </c>
      <c r="M1247" s="28" t="n">
        <v>375873</v>
      </c>
      <c r="N1247" s="28" t="n">
        <v>2410</v>
      </c>
      <c r="O1247" s="28" t="n">
        <v>412238</v>
      </c>
      <c r="P1247" s="28" t="n">
        <v>28870</v>
      </c>
      <c r="Q1247" s="28" t="n">
        <v>1064361</v>
      </c>
      <c r="R1247" s="28" t="n">
        <v>0</v>
      </c>
      <c r="S1247" s="28">
        <f>Q1247-R1247</f>
        <v/>
      </c>
      <c r="T1247" s="28">
        <f>IF(S1247="","",S1247*(1+in_GrowthRate)^(YEARFRAC(DATE(2022,8,31),in_AgeToDate)*IF(in_AgeToDate&lt;DATE(2022,8,31),-1,1)+1))</f>
        <v/>
      </c>
      <c r="U1247" s="50">
        <f>IF(AND(AND(OR(in_Mode="All Funds",AND(C1247&gt;=in_BandFloor,C1247&lt;=in_BandCeiling,OR(in_Geography="National",COUNTIFS(lst_GeoPreset,in_Geography,lst_GeoState,B1247)&gt;0,AND(in_Geography="Custom",ISNUMBER(SEARCH(B1247,SUBSTITUTE(in_CustomStates," ",""))))),OR(AND(D1247="Endowment",Inputs!$B$14="Y"),AND(D1247="Foundation",Inputs!$B$15="Y"),AND(D1247="Healthcare",Inputs!$B$16="Y"),AND(D1247="Pension",Inputs!$B$17="Y"),AND(D1247="OCIO",Inputs!$B$18="Y"),AND(D1247="Other",Inputs!$B$19="Y")))),A1247&lt;&gt;in_ClientOrg,NOT(AND(in_ExclHarvard="Y",ISNUMBER(SEARCH("Harvard",A1247))))),$AD1247="Y",K1247&lt;&gt;"",S1247&gt;0),"Y","")</f>
        <v/>
      </c>
      <c r="V1247" s="30" t="n">
        <v>0.2665565907555268</v>
      </c>
      <c r="W1247" t="inlineStr"/>
      <c r="X1247" s="28">
        <f>IF(L1247+M1247=0,"",L1247+M1247)</f>
        <v/>
      </c>
      <c r="Y1247" s="38">
        <f>IF(L1247=0,"",M1247/L1247)</f>
        <v/>
      </c>
      <c r="Z1247" t="inlineStr">
        <is>
          <t>Director &amp; Investment Officer</t>
        </is>
      </c>
      <c r="AA1247" t="inlineStr">
        <is>
          <t>Investments</t>
        </is>
      </c>
      <c r="AB1247" s="50" t="inlineStr"/>
      <c r="AC1247" s="43">
        <f>HYPERLINK("https://projects.propublica.org/nonprofits/organizations/742765082/202331879349300948/full","view filing")</f>
        <v/>
      </c>
      <c r="AD1247" s="50" t="inlineStr"/>
    </row>
    <row r="1248">
      <c r="A1248" t="inlineStr">
        <is>
          <t>The University Of Texas Texas A M Investment Management Company</t>
        </is>
      </c>
      <c r="B1248" s="50" t="inlineStr">
        <is>
          <t>TX</t>
        </is>
      </c>
      <c r="C1248" s="52" t="n">
        <v>67.84</v>
      </c>
      <c r="D1248" t="inlineStr">
        <is>
          <t>Endowment</t>
        </is>
      </c>
      <c r="E1248" s="50" t="n">
        <v>2022</v>
      </c>
      <c r="F1248" s="50" t="inlineStr">
        <is>
          <t>2023-07-06</t>
        </is>
      </c>
      <c r="G1248" s="50" t="inlineStr">
        <is>
          <t>2022-08-31</t>
        </is>
      </c>
      <c r="H1248" t="inlineStr">
        <is>
          <t>Michael Dean</t>
        </is>
      </c>
      <c r="I1248" t="inlineStr">
        <is>
          <t>MANAGING DIRECTOR</t>
        </is>
      </c>
      <c r="J1248" t="inlineStr">
        <is>
          <t>Managing Director</t>
        </is>
      </c>
      <c r="K1248" t="inlineStr">
        <is>
          <t>Sr Investment Professional</t>
        </is>
      </c>
      <c r="L1248" s="28" t="n">
        <v>261576</v>
      </c>
      <c r="M1248" s="28" t="n">
        <v>139114</v>
      </c>
      <c r="N1248" s="28" t="n">
        <v>2939</v>
      </c>
      <c r="O1248" s="28" t="n">
        <v>183138</v>
      </c>
      <c r="P1248" s="28" t="n">
        <v>17736</v>
      </c>
      <c r="Q1248" s="28" t="n">
        <v>604503</v>
      </c>
      <c r="R1248" s="28" t="n">
        <v>119818</v>
      </c>
      <c r="S1248" s="28">
        <f>Q1248-R1248</f>
        <v/>
      </c>
      <c r="T1248" s="28">
        <f>IF(S1248="","",S1248*(1+in_GrowthRate)^(YEARFRAC(DATE(2022,8,31),in_AgeToDate)*IF(in_AgeToDate&lt;DATE(2022,8,31),-1,1)+1))</f>
        <v/>
      </c>
      <c r="U1248" s="50">
        <f>IF(AND(AND(OR(in_Mode="All Funds",AND(C1248&gt;=in_BandFloor,C1248&lt;=in_BandCeiling,OR(in_Geography="National",COUNTIFS(lst_GeoPreset,in_Geography,lst_GeoState,B1248)&gt;0,AND(in_Geography="Custom",ISNUMBER(SEARCH(B1248,SUBSTITUTE(in_CustomStates," ",""))))),OR(AND(D1248="Endowment",Inputs!$B$14="Y"),AND(D1248="Foundation",Inputs!$B$15="Y"),AND(D1248="Healthcare",Inputs!$B$16="Y"),AND(D1248="Pension",Inputs!$B$17="Y"),AND(D1248="OCIO",Inputs!$B$18="Y"),AND(D1248="Other",Inputs!$B$19="Y")))),A1248&lt;&gt;in_ClientOrg,NOT(AND(in_ExclHarvard="Y",ISNUMBER(SEARCH("Harvard",A1248))))),$AD1248="Y",K1248&lt;&gt;"",S1248&gt;0),"Y","")</f>
        <v/>
      </c>
      <c r="V1248" s="30" t="n">
        <v>0.1213836106267916</v>
      </c>
      <c r="W1248" t="inlineStr"/>
      <c r="X1248" s="28">
        <f>IF(L1248+M1248=0,"",L1248+M1248)</f>
        <v/>
      </c>
      <c r="Y1248" s="38">
        <f>IF(L1248=0,"",M1248/L1248)</f>
        <v/>
      </c>
      <c r="Z1248" t="inlineStr">
        <is>
          <t>Managing Director</t>
        </is>
      </c>
      <c r="AA1248" t="inlineStr">
        <is>
          <t>Investments</t>
        </is>
      </c>
      <c r="AB1248" s="50" t="inlineStr"/>
      <c r="AC1248" s="43">
        <f>HYPERLINK("https://projects.propublica.org/nonprofits/organizations/742765082/202331879349300948/full","view filing")</f>
        <v/>
      </c>
      <c r="AD1248" s="50" t="inlineStr"/>
    </row>
    <row r="1249">
      <c r="A1249" t="inlineStr">
        <is>
          <t>The University Of Texas Texas A M Investment Management Company</t>
        </is>
      </c>
      <c r="B1249" s="50" t="inlineStr">
        <is>
          <t>TX</t>
        </is>
      </c>
      <c r="C1249" s="52" t="n">
        <v>67.84</v>
      </c>
      <c r="D1249" t="inlineStr">
        <is>
          <t>Endowment</t>
        </is>
      </c>
      <c r="E1249" s="50" t="n">
        <v>2022</v>
      </c>
      <c r="F1249" s="50" t="inlineStr">
        <is>
          <t>2023-07-06</t>
        </is>
      </c>
      <c r="G1249" s="50" t="inlineStr">
        <is>
          <t>2022-08-31</t>
        </is>
      </c>
      <c r="H1249" t="inlineStr">
        <is>
          <t>Michael Sjolander</t>
        </is>
      </c>
      <c r="I1249" t="inlineStr">
        <is>
          <t>CHIEF TECHNOLOGY OFFICER</t>
        </is>
      </c>
      <c r="J1249" t="inlineStr">
        <is>
          <t>CTO (Inv Entity)</t>
        </is>
      </c>
      <c r="K1249" t="inlineStr">
        <is>
          <t>Other disclosed professionals</t>
        </is>
      </c>
      <c r="L1249" s="28" t="n">
        <v>355000</v>
      </c>
      <c r="M1249" s="28" t="n">
        <v>176192</v>
      </c>
      <c r="N1249" s="28" t="n">
        <v>2639</v>
      </c>
      <c r="O1249" s="28" t="n">
        <v>261324</v>
      </c>
      <c r="P1249" s="28" t="n">
        <v>6628</v>
      </c>
      <c r="Q1249" s="28" t="n">
        <v>801783</v>
      </c>
      <c r="R1249" s="28" t="n">
        <v>176192</v>
      </c>
      <c r="S1249" s="28">
        <f>Q1249-R1249</f>
        <v/>
      </c>
      <c r="T1249" s="28">
        <f>IF(S1249="","",S1249*(1+in_GrowthRate)^(YEARFRAC(DATE(2022,8,31),in_AgeToDate)*IF(in_AgeToDate&lt;DATE(2022,8,31),-1,1)+1))</f>
        <v/>
      </c>
      <c r="U1249" s="50">
        <f>IF(AND(AND(OR(in_Mode="All Funds",AND(C1249&gt;=in_BandFloor,C1249&lt;=in_BandCeiling,OR(in_Geography="National",COUNTIFS(lst_GeoPreset,in_Geography,lst_GeoState,B1249)&gt;0,AND(in_Geography="Custom",ISNUMBER(SEARCH(B1249,SUBSTITUTE(in_CustomStates," ",""))))),OR(AND(D1249="Endowment",Inputs!$B$14="Y"),AND(D1249="Foundation",Inputs!$B$15="Y"),AND(D1249="Healthcare",Inputs!$B$16="Y"),AND(D1249="Pension",Inputs!$B$17="Y"),AND(D1249="OCIO",Inputs!$B$18="Y"),AND(D1249="Other",Inputs!$B$19="Y")))),A1249&lt;&gt;in_ClientOrg,NOT(AND(in_ExclHarvard="Y",ISNUMBER(SEARCH("Harvard",A1249))))),$AD1249="Y",K1249&lt;&gt;"",S1249&gt;0),"Y","")</f>
        <v/>
      </c>
      <c r="V1249" s="30" t="n">
        <v>0.1566718473970211</v>
      </c>
      <c r="W1249" t="inlineStr">
        <is>
          <t>Other disclosed professionals</t>
        </is>
      </c>
      <c r="X1249" s="28">
        <f>IF(L1249+M1249=0,"",L1249+M1249)</f>
        <v/>
      </c>
      <c r="Y1249" s="38">
        <f>IF(L1249=0,"",M1249/L1249)</f>
        <v/>
      </c>
      <c r="Z1249" t="inlineStr">
        <is>
          <t>Other disclosed professionals</t>
        </is>
      </c>
      <c r="AA1249" t="inlineStr">
        <is>
          <t>Operations &amp; Control</t>
        </is>
      </c>
      <c r="AB1249" s="50" t="inlineStr"/>
      <c r="AC1249" s="43">
        <f>HYPERLINK("https://projects.propublica.org/nonprofits/organizations/742765082/202331879349300948/full","view filing")</f>
        <v/>
      </c>
      <c r="AD1249" s="50" t="inlineStr"/>
    </row>
    <row r="1250">
      <c r="A1250" t="inlineStr">
        <is>
          <t>The University Of Texas Texas A M Investment Management Company</t>
        </is>
      </c>
      <c r="B1250" s="50" t="inlineStr">
        <is>
          <t>TX</t>
        </is>
      </c>
      <c r="C1250" s="52" t="n">
        <v>67.84</v>
      </c>
      <c r="D1250" t="inlineStr">
        <is>
          <t>Endowment</t>
        </is>
      </c>
      <c r="E1250" s="50" t="n">
        <v>2022</v>
      </c>
      <c r="F1250" s="50" t="inlineStr">
        <is>
          <t>2023-07-06</t>
        </is>
      </c>
      <c r="G1250" s="50" t="inlineStr">
        <is>
          <t>2022-08-31</t>
        </is>
      </c>
      <c r="H1250" t="inlineStr">
        <is>
          <t>Mukund Joshi</t>
        </is>
      </c>
      <c r="I1250" t="inlineStr">
        <is>
          <t>SENIOR DIRECTOR</t>
        </is>
      </c>
      <c r="J1250" t="inlineStr">
        <is>
          <t>Director of Investments</t>
        </is>
      </c>
      <c r="K1250" t="inlineStr">
        <is>
          <t>Sr Investment Professional</t>
        </is>
      </c>
      <c r="L1250" s="28" t="n">
        <v>264373</v>
      </c>
      <c r="M1250" s="28" t="n">
        <v>436506</v>
      </c>
      <c r="N1250" s="28" t="n">
        <v>2110</v>
      </c>
      <c r="O1250" s="28" t="n">
        <v>387324</v>
      </c>
      <c r="P1250" s="28" t="n">
        <v>27800</v>
      </c>
      <c r="Q1250" s="28" t="n">
        <v>1118113</v>
      </c>
      <c r="R1250" s="28" t="n">
        <v>326311</v>
      </c>
      <c r="S1250" s="28">
        <f>Q1250-R1250</f>
        <v/>
      </c>
      <c r="T1250" s="28">
        <f>IF(S1250="","",S1250*(1+in_GrowthRate)^(YEARFRAC(DATE(2022,8,31),in_AgeToDate)*IF(in_AgeToDate&lt;DATE(2022,8,31),-1,1)+1))</f>
        <v/>
      </c>
      <c r="U1250" s="50">
        <f>IF(AND(AND(OR(in_Mode="All Funds",AND(C1250&gt;=in_BandFloor,C1250&lt;=in_BandCeiling,OR(in_Geography="National",COUNTIFS(lst_GeoPreset,in_Geography,lst_GeoState,B1250)&gt;0,AND(in_Geography="Custom",ISNUMBER(SEARCH(B1250,SUBSTITUTE(in_CustomStates," ",""))))),OR(AND(D1250="Endowment",Inputs!$B$14="Y"),AND(D1250="Foundation",Inputs!$B$15="Y"),AND(D1250="Healthcare",Inputs!$B$16="Y"),AND(D1250="Pension",Inputs!$B$17="Y"),AND(D1250="OCIO",Inputs!$B$18="Y"),AND(D1250="Other",Inputs!$B$19="Y")))),A1250&lt;&gt;in_ClientOrg,NOT(AND(in_ExclHarvard="Y",ISNUMBER(SEARCH("Harvard",A1250))))),$AD1250="Y",K1250&lt;&gt;"",S1250&gt;0),"Y","")</f>
        <v/>
      </c>
      <c r="V1250" s="30" t="n">
        <v>0.1982974213386319</v>
      </c>
      <c r="W1250" t="inlineStr"/>
      <c r="X1250" s="28">
        <f>IF(L1250+M1250=0,"",L1250+M1250)</f>
        <v/>
      </c>
      <c r="Y1250" s="38">
        <f>IF(L1250=0,"",M1250/L1250)</f>
        <v/>
      </c>
      <c r="Z1250" t="inlineStr">
        <is>
          <t>Director &amp; Investment Officer</t>
        </is>
      </c>
      <c r="AA1250" t="inlineStr">
        <is>
          <t>Investments</t>
        </is>
      </c>
      <c r="AB1250" s="50" t="inlineStr"/>
      <c r="AC1250" s="43">
        <f>HYPERLINK("https://projects.propublica.org/nonprofits/organizations/742765082/202331879349300948/full","view filing")</f>
        <v/>
      </c>
      <c r="AD1250" s="50" t="inlineStr"/>
    </row>
    <row r="1251">
      <c r="A1251" t="inlineStr">
        <is>
          <t>The University Of Texas Texas A M Investment Management Company</t>
        </is>
      </c>
      <c r="B1251" s="50" t="inlineStr">
        <is>
          <t>TX</t>
        </is>
      </c>
      <c r="C1251" s="52" t="n">
        <v>67.84</v>
      </c>
      <c r="D1251" t="inlineStr">
        <is>
          <t>Endowment</t>
        </is>
      </c>
      <c r="E1251" s="50" t="n">
        <v>2022</v>
      </c>
      <c r="F1251" s="50" t="inlineStr">
        <is>
          <t>2023-07-06</t>
        </is>
      </c>
      <c r="G1251" s="50" t="inlineStr">
        <is>
          <t>2022-08-31</t>
        </is>
      </c>
      <c r="H1251" t="inlineStr">
        <is>
          <t>Patrick Pace</t>
        </is>
      </c>
      <c r="I1251" t="inlineStr">
        <is>
          <t>MANAGING DIRECTOR</t>
        </is>
      </c>
      <c r="J1251" t="inlineStr">
        <is>
          <t>Managing Director</t>
        </is>
      </c>
      <c r="K1251" t="inlineStr">
        <is>
          <t>Sr Investment Professional</t>
        </is>
      </c>
      <c r="L1251" s="28" t="n">
        <v>359373</v>
      </c>
      <c r="M1251" s="28" t="n">
        <v>640330</v>
      </c>
      <c r="N1251" s="28" t="n">
        <v>2639</v>
      </c>
      <c r="O1251" s="28" t="n">
        <v>806741</v>
      </c>
      <c r="P1251" s="28" t="n">
        <v>27088</v>
      </c>
      <c r="Q1251" s="28" t="n">
        <v>1836171</v>
      </c>
      <c r="R1251" s="28" t="n">
        <v>596636</v>
      </c>
      <c r="S1251" s="28">
        <f>Q1251-R1251</f>
        <v/>
      </c>
      <c r="T1251" s="28">
        <f>IF(S1251="","",S1251*(1+in_GrowthRate)^(YEARFRAC(DATE(2022,8,31),in_AgeToDate)*IF(in_AgeToDate&lt;DATE(2022,8,31),-1,1)+1))</f>
        <v/>
      </c>
      <c r="U1251" s="50">
        <f>IF(AND(AND(OR(in_Mode="All Funds",AND(C1251&gt;=in_BandFloor,C1251&lt;=in_BandCeiling,OR(in_Geography="National",COUNTIFS(lst_GeoPreset,in_Geography,lst_GeoState,B1251)&gt;0,AND(in_Geography="Custom",ISNUMBER(SEARCH(B1251,SUBSTITUTE(in_CustomStates," ",""))))),OR(AND(D1251="Endowment",Inputs!$B$14="Y"),AND(D1251="Foundation",Inputs!$B$15="Y"),AND(D1251="Healthcare",Inputs!$B$16="Y"),AND(D1251="Pension",Inputs!$B$17="Y"),AND(D1251="OCIO",Inputs!$B$18="Y"),AND(D1251="Other",Inputs!$B$19="Y")))),A1251&lt;&gt;in_ClientOrg,NOT(AND(in_ExclHarvard="Y",ISNUMBER(SEARCH("Harvard",A1251))))),$AD1251="Y",K1251&lt;&gt;"",S1251&gt;0),"Y","")</f>
        <v/>
      </c>
      <c r="V1251" s="30" t="n">
        <v>0.3104268417596585</v>
      </c>
      <c r="W1251" t="inlineStr"/>
      <c r="X1251" s="28">
        <f>IF(L1251+M1251=0,"",L1251+M1251)</f>
        <v/>
      </c>
      <c r="Y1251" s="38">
        <f>IF(L1251=0,"",M1251/L1251)</f>
        <v/>
      </c>
      <c r="Z1251" t="inlineStr">
        <is>
          <t>Managing Director</t>
        </is>
      </c>
      <c r="AA1251" t="inlineStr">
        <is>
          <t>Investments</t>
        </is>
      </c>
      <c r="AB1251" s="50" t="inlineStr"/>
      <c r="AC1251" s="43">
        <f>HYPERLINK("https://projects.propublica.org/nonprofits/organizations/742765082/202331879349300948/full","view filing")</f>
        <v/>
      </c>
      <c r="AD1251" s="50" t="inlineStr"/>
    </row>
    <row r="1252">
      <c r="A1252" t="inlineStr">
        <is>
          <t>The University Of Texas Texas A M Investment Management Company</t>
        </is>
      </c>
      <c r="B1252" s="50" t="inlineStr">
        <is>
          <t>TX</t>
        </is>
      </c>
      <c r="C1252" s="52" t="n">
        <v>67.84</v>
      </c>
      <c r="D1252" t="inlineStr">
        <is>
          <t>Endowment</t>
        </is>
      </c>
      <c r="E1252" s="50" t="n">
        <v>2022</v>
      </c>
      <c r="F1252" s="50" t="inlineStr">
        <is>
          <t>2023-07-06</t>
        </is>
      </c>
      <c r="G1252" s="50" t="inlineStr">
        <is>
          <t>2022-08-31</t>
        </is>
      </c>
      <c r="H1252" t="inlineStr">
        <is>
          <t>Richard L Hall</t>
        </is>
      </c>
      <c r="I1252" t="inlineStr">
        <is>
          <t>CHIEF INVESTMENT OFFICER</t>
        </is>
      </c>
      <c r="J1252" t="inlineStr">
        <is>
          <t>CIO</t>
        </is>
      </c>
      <c r="K1252" t="inlineStr">
        <is>
          <t>Sr Investment Professional</t>
        </is>
      </c>
      <c r="L1252" s="28" t="n">
        <v>635168</v>
      </c>
      <c r="M1252" s="28" t="n">
        <v>1996247</v>
      </c>
      <c r="N1252" s="28" t="n">
        <v>2639</v>
      </c>
      <c r="O1252" s="28" t="n">
        <v>2368278</v>
      </c>
      <c r="P1252" s="28" t="n">
        <v>16607</v>
      </c>
      <c r="Q1252" s="28" t="n">
        <v>5018939</v>
      </c>
      <c r="R1252" s="28" t="n">
        <v>1837110</v>
      </c>
      <c r="S1252" s="28">
        <f>Q1252-R1252</f>
        <v/>
      </c>
      <c r="T1252" s="28">
        <f>IF(S1252="","",S1252*(1+in_GrowthRate)^(YEARFRAC(DATE(2022,8,31),in_AgeToDate)*IF(in_AgeToDate&lt;DATE(2022,8,31),-1,1)+1))</f>
        <v/>
      </c>
      <c r="U1252" s="50">
        <f>IF(AND(AND(OR(in_Mode="All Funds",AND(C1252&gt;=in_BandFloor,C1252&lt;=in_BandCeiling,OR(in_Geography="National",COUNTIFS(lst_GeoPreset,in_Geography,lst_GeoState,B1252)&gt;0,AND(in_Geography="Custom",ISNUMBER(SEARCH(B1252,SUBSTITUTE(in_CustomStates," ",""))))),OR(AND(D1252="Endowment",Inputs!$B$14="Y"),AND(D1252="Foundation",Inputs!$B$15="Y"),AND(D1252="Healthcare",Inputs!$B$16="Y"),AND(D1252="Pension",Inputs!$B$17="Y"),AND(D1252="OCIO",Inputs!$B$18="Y"),AND(D1252="Other",Inputs!$B$19="Y")))),A1252&lt;&gt;in_ClientOrg,NOT(AND(in_ExclHarvard="Y",ISNUMBER(SEARCH("Harvard",A1252))))),$AD1252="Y",K1252&lt;&gt;"",S1252&gt;0),"Y","")</f>
        <v/>
      </c>
      <c r="V1252" s="30" t="n">
        <v>0.7968513414218175</v>
      </c>
      <c r="W1252" t="inlineStr"/>
      <c r="X1252" s="28">
        <f>IF(L1252+M1252=0,"",L1252+M1252)</f>
        <v/>
      </c>
      <c r="Y1252" s="38">
        <f>IF(L1252=0,"",M1252/L1252)</f>
        <v/>
      </c>
      <c r="Z1252" t="inlineStr">
        <is>
          <t>Deputy CIO</t>
        </is>
      </c>
      <c r="AA1252" t="inlineStr">
        <is>
          <t>Leadership</t>
        </is>
      </c>
      <c r="AB1252" s="50" t="inlineStr"/>
      <c r="AC1252" s="43">
        <f>HYPERLINK("https://projects.propublica.org/nonprofits/organizations/742765082/202331879349300948/full","view filing")</f>
        <v/>
      </c>
      <c r="AD1252" s="50" t="inlineStr"/>
    </row>
    <row r="1253">
      <c r="A1253" t="inlineStr">
        <is>
          <t>The University Of Texas Texas A M Investment Management Company</t>
        </is>
      </c>
      <c r="B1253" s="50" t="inlineStr">
        <is>
          <t>TX</t>
        </is>
      </c>
      <c r="C1253" s="52" t="n">
        <v>67.84</v>
      </c>
      <c r="D1253" t="inlineStr">
        <is>
          <t>Endowment</t>
        </is>
      </c>
      <c r="E1253" s="50" t="n">
        <v>2022</v>
      </c>
      <c r="F1253" s="50" t="inlineStr">
        <is>
          <t>2023-07-06</t>
        </is>
      </c>
      <c r="G1253" s="50" t="inlineStr">
        <is>
          <t>2022-08-31</t>
        </is>
      </c>
      <c r="H1253" t="inlineStr">
        <is>
          <t>Rodney R Ruebsahm</t>
        </is>
      </c>
      <c r="I1253" t="inlineStr">
        <is>
          <t>SENIOR MANAGING DIRECTOR</t>
        </is>
      </c>
      <c r="J1253" t="inlineStr">
        <is>
          <t>Senior Managing Director</t>
        </is>
      </c>
      <c r="K1253" t="inlineStr">
        <is>
          <t>Sr Investment Professional</t>
        </is>
      </c>
      <c r="L1253" s="28" t="n">
        <v>419373</v>
      </c>
      <c r="M1253" s="28" t="n">
        <v>915032</v>
      </c>
      <c r="N1253" s="28" t="n">
        <v>3093</v>
      </c>
      <c r="O1253" s="28" t="n">
        <v>1095975</v>
      </c>
      <c r="P1253" s="28" t="n">
        <v>27800</v>
      </c>
      <c r="Q1253" s="28" t="n">
        <v>2461273</v>
      </c>
      <c r="R1253" s="28" t="n">
        <v>820292</v>
      </c>
      <c r="S1253" s="28">
        <f>Q1253-R1253</f>
        <v/>
      </c>
      <c r="T1253" s="28">
        <f>IF(S1253="","",S1253*(1+in_GrowthRate)^(YEARFRAC(DATE(2022,8,31),in_AgeToDate)*IF(in_AgeToDate&lt;DATE(2022,8,31),-1,1)+1))</f>
        <v/>
      </c>
      <c r="U1253" s="50">
        <f>IF(AND(AND(OR(in_Mode="All Funds",AND(C1253&gt;=in_BandFloor,C1253&lt;=in_BandCeiling,OR(in_Geography="National",COUNTIFS(lst_GeoPreset,in_Geography,lst_GeoState,B1253)&gt;0,AND(in_Geography="Custom",ISNUMBER(SEARCH(B1253,SUBSTITUTE(in_CustomStates," ",""))))),OR(AND(D1253="Endowment",Inputs!$B$14="Y"),AND(D1253="Foundation",Inputs!$B$15="Y"),AND(D1253="Healthcare",Inputs!$B$16="Y"),AND(D1253="Pension",Inputs!$B$17="Y"),AND(D1253="OCIO",Inputs!$B$18="Y"),AND(D1253="Other",Inputs!$B$19="Y")))),A1253&lt;&gt;in_ClientOrg,NOT(AND(in_ExclHarvard="Y",ISNUMBER(SEARCH("Harvard",A1253))))),$AD1253="Y",K1253&lt;&gt;"",S1253&gt;0),"Y","")</f>
        <v/>
      </c>
      <c r="V1253" s="30" t="n">
        <v>0.4109642319237506</v>
      </c>
      <c r="W1253" t="inlineStr"/>
      <c r="X1253" s="28">
        <f>IF(L1253+M1253=0,"",L1253+M1253)</f>
        <v/>
      </c>
      <c r="Y1253" s="38">
        <f>IF(L1253=0,"",M1253/L1253)</f>
        <v/>
      </c>
      <c r="Z1253" t="inlineStr">
        <is>
          <t>Managing Director</t>
        </is>
      </c>
      <c r="AA1253" t="inlineStr">
        <is>
          <t>Investments</t>
        </is>
      </c>
      <c r="AB1253" s="50" t="inlineStr"/>
      <c r="AC1253" s="43">
        <f>HYPERLINK("https://projects.propublica.org/nonprofits/organizations/742765082/202331879349300948/full","view filing")</f>
        <v/>
      </c>
      <c r="AD1253" s="50" t="inlineStr"/>
    </row>
    <row r="1254">
      <c r="A1254" t="inlineStr">
        <is>
          <t>The University Of Texas Texas A M Investment Management Company</t>
        </is>
      </c>
      <c r="B1254" s="50" t="inlineStr">
        <is>
          <t>TX</t>
        </is>
      </c>
      <c r="C1254" s="52" t="n">
        <v>67.84</v>
      </c>
      <c r="D1254" t="inlineStr">
        <is>
          <t>Endowment</t>
        </is>
      </c>
      <c r="E1254" s="50" t="n">
        <v>2022</v>
      </c>
      <c r="F1254" s="50" t="inlineStr">
        <is>
          <t>2023-07-06</t>
        </is>
      </c>
      <c r="G1254" s="50" t="inlineStr">
        <is>
          <t>2022-08-31</t>
        </is>
      </c>
      <c r="H1254" t="inlineStr">
        <is>
          <t>Scott Slayton</t>
        </is>
      </c>
      <c r="I1254" t="inlineStr">
        <is>
          <t>MANAGING DIRECTOR</t>
        </is>
      </c>
      <c r="J1254" t="inlineStr">
        <is>
          <t>Managing Director</t>
        </is>
      </c>
      <c r="K1254" t="inlineStr">
        <is>
          <t>Sr Investment Professional</t>
        </is>
      </c>
      <c r="L1254" s="28" t="n">
        <v>362399</v>
      </c>
      <c r="M1254" s="28" t="n">
        <v>729633</v>
      </c>
      <c r="N1254" s="28" t="n">
        <v>2638</v>
      </c>
      <c r="O1254" s="28" t="n">
        <v>24650</v>
      </c>
      <c r="P1254" s="28" t="n">
        <v>26596</v>
      </c>
      <c r="Q1254" s="28" t="n">
        <v>1145916</v>
      </c>
      <c r="R1254" s="28" t="n">
        <v>669198</v>
      </c>
      <c r="S1254" s="28">
        <f>Q1254-R1254</f>
        <v/>
      </c>
      <c r="T1254" s="28">
        <f>IF(S1254="","",S1254*(1+in_GrowthRate)^(YEARFRAC(DATE(2022,8,31),in_AgeToDate)*IF(in_AgeToDate&lt;DATE(2022,8,31),-1,1)+1))</f>
        <v/>
      </c>
      <c r="U1254" s="50">
        <f>IF(AND(AND(OR(in_Mode="All Funds",AND(C1254&gt;=in_BandFloor,C1254&lt;=in_BandCeiling,OR(in_Geography="National",COUNTIFS(lst_GeoPreset,in_Geography,lst_GeoState,B1254)&gt;0,AND(in_Geography="Custom",ISNUMBER(SEARCH(B1254,SUBSTITUTE(in_CustomStates," ",""))))),OR(AND(D1254="Endowment",Inputs!$B$14="Y"),AND(D1254="Foundation",Inputs!$B$15="Y"),AND(D1254="Healthcare",Inputs!$B$16="Y"),AND(D1254="Pension",Inputs!$B$17="Y"),AND(D1254="OCIO",Inputs!$B$18="Y"),AND(D1254="Other",Inputs!$B$19="Y")))),A1254&lt;&gt;in_ClientOrg,NOT(AND(in_ExclHarvard="Y",ISNUMBER(SEARCH("Harvard",A1254))))),$AD1254="Y",K1254&lt;&gt;"",S1254&gt;0),"Y","")</f>
        <v/>
      </c>
      <c r="V1254" s="30" t="n">
        <v>0.1193883699532332</v>
      </c>
      <c r="W1254" t="inlineStr"/>
      <c r="X1254" s="28">
        <f>IF(L1254+M1254=0,"",L1254+M1254)</f>
        <v/>
      </c>
      <c r="Y1254" s="38">
        <f>IF(L1254=0,"",M1254/L1254)</f>
        <v/>
      </c>
      <c r="Z1254" t="inlineStr">
        <is>
          <t>Managing Director</t>
        </is>
      </c>
      <c r="AA1254" t="inlineStr">
        <is>
          <t>Investments</t>
        </is>
      </c>
      <c r="AB1254" s="50" t="inlineStr"/>
      <c r="AC1254" s="43">
        <f>HYPERLINK("https://projects.propublica.org/nonprofits/organizations/742765082/202331879349300948/full","view filing")</f>
        <v/>
      </c>
      <c r="AD1254" s="50" t="inlineStr"/>
    </row>
    <row r="1255">
      <c r="A1255" t="inlineStr">
        <is>
          <t>The University Of Texas Texas A M Investment Management Company</t>
        </is>
      </c>
      <c r="B1255" s="50" t="inlineStr">
        <is>
          <t>TX</t>
        </is>
      </c>
      <c r="C1255" s="52" t="n">
        <v>67.84</v>
      </c>
      <c r="D1255" t="inlineStr">
        <is>
          <t>Endowment</t>
        </is>
      </c>
      <c r="E1255" s="50" t="n">
        <v>2022</v>
      </c>
      <c r="F1255" s="50" t="inlineStr">
        <is>
          <t>2023-07-06</t>
        </is>
      </c>
      <c r="G1255" s="50" t="inlineStr">
        <is>
          <t>2022-08-31</t>
        </is>
      </c>
      <c r="H1255" t="inlineStr">
        <is>
          <t>Susan Chen</t>
        </is>
      </c>
      <c r="I1255" t="inlineStr">
        <is>
          <t>SENIOR MANAGING DIRECTOR</t>
        </is>
      </c>
      <c r="J1255" t="inlineStr">
        <is>
          <t>Senior Managing Director</t>
        </is>
      </c>
      <c r="K1255" t="inlineStr">
        <is>
          <t>Sr Investment Professional</t>
        </is>
      </c>
      <c r="L1255" s="28" t="n">
        <v>421755</v>
      </c>
      <c r="M1255" s="28" t="n">
        <v>929483</v>
      </c>
      <c r="N1255" s="28" t="n">
        <v>2777</v>
      </c>
      <c r="O1255" s="28" t="n">
        <v>843643</v>
      </c>
      <c r="P1255" s="28" t="n">
        <v>20497</v>
      </c>
      <c r="Q1255" s="28" t="n">
        <v>2218155</v>
      </c>
      <c r="R1255" s="28" t="n">
        <v>835265</v>
      </c>
      <c r="S1255" s="28">
        <f>Q1255-R1255</f>
        <v/>
      </c>
      <c r="T1255" s="28">
        <f>IF(S1255="","",S1255*(1+in_GrowthRate)^(YEARFRAC(DATE(2022,8,31),in_AgeToDate)*IF(in_AgeToDate&lt;DATE(2022,8,31),-1,1)+1))</f>
        <v/>
      </c>
      <c r="U1255" s="50">
        <f>IF(AND(AND(OR(in_Mode="All Funds",AND(C1255&gt;=in_BandFloor,C1255&lt;=in_BandCeiling,OR(in_Geography="National",COUNTIFS(lst_GeoPreset,in_Geography,lst_GeoState,B1255)&gt;0,AND(in_Geography="Custom",ISNUMBER(SEARCH(B1255,SUBSTITUTE(in_CustomStates," ",""))))),OR(AND(D1255="Endowment",Inputs!$B$14="Y"),AND(D1255="Foundation",Inputs!$B$15="Y"),AND(D1255="Healthcare",Inputs!$B$16="Y"),AND(D1255="Pension",Inputs!$B$17="Y"),AND(D1255="OCIO",Inputs!$B$18="Y"),AND(D1255="Other",Inputs!$B$19="Y")))),A1255&lt;&gt;in_ClientOrg,NOT(AND(in_ExclHarvard="Y",ISNUMBER(SEARCH("Harvard",A1255))))),$AD1255="Y",K1255&lt;&gt;"",S1255&gt;0),"Y","")</f>
        <v/>
      </c>
      <c r="V1255" s="30" t="n">
        <v>0.3463284015384916</v>
      </c>
      <c r="W1255" t="inlineStr"/>
      <c r="X1255" s="28">
        <f>IF(L1255+M1255=0,"",L1255+M1255)</f>
        <v/>
      </c>
      <c r="Y1255" s="38">
        <f>IF(L1255=0,"",M1255/L1255)</f>
        <v/>
      </c>
      <c r="Z1255" t="inlineStr">
        <is>
          <t>Managing Director</t>
        </is>
      </c>
      <c r="AA1255" t="inlineStr">
        <is>
          <t>Investments</t>
        </is>
      </c>
      <c r="AB1255" s="50" t="inlineStr"/>
      <c r="AC1255" s="43">
        <f>HYPERLINK("https://projects.propublica.org/nonprofits/organizations/742765082/202331879349300948/full","view filing")</f>
        <v/>
      </c>
      <c r="AD1255" s="50" t="inlineStr"/>
    </row>
    <row r="1256">
      <c r="A1256" t="inlineStr">
        <is>
          <t>The University Of Texas Texas A M Investment Management Company</t>
        </is>
      </c>
      <c r="B1256" s="50" t="inlineStr">
        <is>
          <t>TX</t>
        </is>
      </c>
      <c r="C1256" s="52" t="n">
        <v>67.84</v>
      </c>
      <c r="D1256" t="inlineStr">
        <is>
          <t>Endowment</t>
        </is>
      </c>
      <c r="E1256" s="50" t="n">
        <v>2022</v>
      </c>
      <c r="F1256" s="50" t="inlineStr">
        <is>
          <t>2023-07-06</t>
        </is>
      </c>
      <c r="G1256" s="50" t="inlineStr">
        <is>
          <t>2022-08-31</t>
        </is>
      </c>
      <c r="H1256" t="inlineStr">
        <is>
          <t>Thomas Britton Harris Iv</t>
        </is>
      </c>
      <c r="I1256" t="inlineStr">
        <is>
          <t>PRESIDENT AND CHIEF EXECUTIVE OFFICER</t>
        </is>
      </c>
      <c r="J1256" t="inlineStr">
        <is>
          <t>CEO (Inv Entity)</t>
        </is>
      </c>
      <c r="K1256" t="inlineStr">
        <is>
          <t>CIO - Top Investment Executive</t>
        </is>
      </c>
      <c r="L1256" s="28" t="n">
        <v>834205</v>
      </c>
      <c r="M1256" s="28" t="n">
        <v>3062772</v>
      </c>
      <c r="N1256" s="28" t="n">
        <v>3114</v>
      </c>
      <c r="O1256" s="28" t="n">
        <v>3129876</v>
      </c>
      <c r="P1256" s="28" t="n">
        <v>25807</v>
      </c>
      <c r="Q1256" s="28" t="n">
        <v>7055774</v>
      </c>
      <c r="R1256" s="28" t="n">
        <v>3062772</v>
      </c>
      <c r="S1256" s="28">
        <f>Q1256-R1256</f>
        <v/>
      </c>
      <c r="T1256" s="28">
        <f>IF(S1256="","",S1256*(1+in_GrowthRate)^(YEARFRAC(DATE(2022,8,31),in_AgeToDate)*IF(in_AgeToDate&lt;DATE(2022,8,31),-1,1)+1))</f>
        <v/>
      </c>
      <c r="U1256" s="50">
        <f>IF(AND(AND(OR(in_Mode="All Funds",AND(C1256&gt;=in_BandFloor,C1256&lt;=in_BandCeiling,OR(in_Geography="National",COUNTIFS(lst_GeoPreset,in_Geography,lst_GeoState,B1256)&gt;0,AND(in_Geography="Custom",ISNUMBER(SEARCH(B1256,SUBSTITUTE(in_CustomStates," ",""))))),OR(AND(D1256="Endowment",Inputs!$B$14="Y"),AND(D1256="Foundation",Inputs!$B$15="Y"),AND(D1256="Healthcare",Inputs!$B$16="Y"),AND(D1256="Pension",Inputs!$B$17="Y"),AND(D1256="OCIO",Inputs!$B$18="Y"),AND(D1256="Other",Inputs!$B$19="Y")))),A1256&lt;&gt;in_ClientOrg,NOT(AND(in_ExclHarvard="Y",ISNUMBER(SEARCH("Harvard",A1256))))),$AD1256="Y",K1256&lt;&gt;"",S1256&gt;0),"Y","")</f>
        <v/>
      </c>
      <c r="V1256" s="30" t="n">
        <v>1</v>
      </c>
      <c r="W1256" t="inlineStr"/>
      <c r="X1256" s="28">
        <f>IF(L1256+M1256=0,"",L1256+M1256)</f>
        <v/>
      </c>
      <c r="Y1256" s="38">
        <f>IF(L1256=0,"",M1256/L1256)</f>
        <v/>
      </c>
      <c r="Z1256" t="inlineStr">
        <is>
          <t>CIO - Top Investment Executive</t>
        </is>
      </c>
      <c r="AA1256" t="inlineStr">
        <is>
          <t>Leadership</t>
        </is>
      </c>
      <c r="AB1256" s="50" t="inlineStr">
        <is>
          <t>Y</t>
        </is>
      </c>
      <c r="AC1256" s="43">
        <f>HYPERLINK("https://projects.propublica.org/nonprofits/organizations/742765082/202331879349300948/full","view filing")</f>
        <v/>
      </c>
      <c r="AD1256" s="50" t="inlineStr"/>
    </row>
    <row r="1257">
      <c r="A1257" t="inlineStr">
        <is>
          <t>The University Of Texas Texas A M Investment Management Company</t>
        </is>
      </c>
      <c r="B1257" s="50" t="inlineStr">
        <is>
          <t>TX</t>
        </is>
      </c>
      <c r="C1257" s="52" t="n">
        <v>67.84</v>
      </c>
      <c r="D1257" t="inlineStr">
        <is>
          <t>Endowment</t>
        </is>
      </c>
      <c r="E1257" s="50" t="n">
        <v>2022</v>
      </c>
      <c r="F1257" s="50" t="inlineStr">
        <is>
          <t>2023-07-06</t>
        </is>
      </c>
      <c r="G1257" s="50" t="inlineStr">
        <is>
          <t>2022-08-31</t>
        </is>
      </c>
      <c r="H1257" t="inlineStr">
        <is>
          <t>Uziel Yoeli</t>
        </is>
      </c>
      <c r="I1257" t="inlineStr">
        <is>
          <t>MANAGING DIRECTOR</t>
        </is>
      </c>
      <c r="J1257" t="inlineStr">
        <is>
          <t>Managing Director</t>
        </is>
      </c>
      <c r="K1257" t="inlineStr">
        <is>
          <t>Sr Investment Professional</t>
        </is>
      </c>
      <c r="L1257" s="28" t="n">
        <v>343576</v>
      </c>
      <c r="M1257" s="28" t="n">
        <v>552508</v>
      </c>
      <c r="N1257" s="28" t="n">
        <v>2939</v>
      </c>
      <c r="O1257" s="28" t="n">
        <v>598020</v>
      </c>
      <c r="P1257" s="28" t="n">
        <v>17736</v>
      </c>
      <c r="Q1257" s="28" t="n">
        <v>1514779</v>
      </c>
      <c r="R1257" s="28" t="n">
        <v>552508</v>
      </c>
      <c r="S1257" s="28">
        <f>Q1257-R1257</f>
        <v/>
      </c>
      <c r="T1257" s="28">
        <f>IF(S1257="","",S1257*(1+in_GrowthRate)^(YEARFRAC(DATE(2022,8,31),in_AgeToDate)*IF(in_AgeToDate&lt;DATE(2022,8,31),-1,1)+1))</f>
        <v/>
      </c>
      <c r="U1257" s="50">
        <f>IF(AND(AND(OR(in_Mode="All Funds",AND(C1257&gt;=in_BandFloor,C1257&lt;=in_BandCeiling,OR(in_Geography="National",COUNTIFS(lst_GeoPreset,in_Geography,lst_GeoState,B1257)&gt;0,AND(in_Geography="Custom",ISNUMBER(SEARCH(B1257,SUBSTITUTE(in_CustomStates," ",""))))),OR(AND(D1257="Endowment",Inputs!$B$14="Y"),AND(D1257="Foundation",Inputs!$B$15="Y"),AND(D1257="Healthcare",Inputs!$B$16="Y"),AND(D1257="Pension",Inputs!$B$17="Y"),AND(D1257="OCIO",Inputs!$B$18="Y"),AND(D1257="Other",Inputs!$B$19="Y")))),A1257&lt;&gt;in_ClientOrg,NOT(AND(in_ExclHarvard="Y",ISNUMBER(SEARCH("Harvard",A1257))))),$AD1257="Y",K1257&lt;&gt;"",S1257&gt;0),"Y","")</f>
        <v/>
      </c>
      <c r="V1257" s="30" t="n">
        <v>0.2409893608868716</v>
      </c>
      <c r="W1257" t="inlineStr"/>
      <c r="X1257" s="28">
        <f>IF(L1257+M1257=0,"",L1257+M1257)</f>
        <v/>
      </c>
      <c r="Y1257" s="38">
        <f>IF(L1257=0,"",M1257/L1257)</f>
        <v/>
      </c>
      <c r="Z1257" t="inlineStr">
        <is>
          <t>Managing Director</t>
        </is>
      </c>
      <c r="AA1257" t="inlineStr">
        <is>
          <t>Investments</t>
        </is>
      </c>
      <c r="AB1257" s="50" t="inlineStr"/>
      <c r="AC1257" s="43">
        <f>HYPERLINK("https://projects.propublica.org/nonprofits/organizations/742765082/202331879349300948/full","view filing")</f>
        <v/>
      </c>
      <c r="AD1257" s="50" t="inlineStr"/>
    </row>
    <row r="1258">
      <c r="A1258" t="inlineStr">
        <is>
          <t>The University Of Texas Texas A M Investment Management Company</t>
        </is>
      </c>
      <c r="B1258" s="50" t="inlineStr">
        <is>
          <t>TX</t>
        </is>
      </c>
      <c r="C1258" s="52" t="n">
        <v>67.84</v>
      </c>
      <c r="D1258" t="inlineStr">
        <is>
          <t>Endowment</t>
        </is>
      </c>
      <c r="E1258" s="50" t="n">
        <v>2022</v>
      </c>
      <c r="F1258" s="50" t="inlineStr">
        <is>
          <t>2023-07-06</t>
        </is>
      </c>
      <c r="G1258" s="50" t="inlineStr">
        <is>
          <t>2022-08-31</t>
        </is>
      </c>
      <c r="H1258" t="inlineStr">
        <is>
          <t>William Mirshak</t>
        </is>
      </c>
      <c r="I1258" t="inlineStr">
        <is>
          <t>SENIOR DIRECTOR</t>
        </is>
      </c>
      <c r="J1258" t="inlineStr">
        <is>
          <t>Director of Investments</t>
        </is>
      </c>
      <c r="K1258" t="inlineStr">
        <is>
          <t>Sr Investment Professional</t>
        </is>
      </c>
      <c r="L1258" s="28" t="n">
        <v>215421</v>
      </c>
      <c r="M1258" s="28" t="n">
        <v>362798</v>
      </c>
      <c r="N1258" s="28" t="n">
        <v>2069</v>
      </c>
      <c r="O1258" s="28" t="n">
        <v>19793</v>
      </c>
      <c r="P1258" s="28" t="n">
        <v>26057</v>
      </c>
      <c r="Q1258" s="28" t="n">
        <v>626138</v>
      </c>
      <c r="R1258" s="28" t="n">
        <v>0</v>
      </c>
      <c r="S1258" s="28">
        <f>Q1258-R1258</f>
        <v/>
      </c>
      <c r="T1258" s="28">
        <f>IF(S1258="","",S1258*(1+in_GrowthRate)^(YEARFRAC(DATE(2022,8,31),in_AgeToDate)*IF(in_AgeToDate&lt;DATE(2022,8,31),-1,1)+1))</f>
        <v/>
      </c>
      <c r="U1258" s="50">
        <f>IF(AND(AND(OR(in_Mode="All Funds",AND(C1258&gt;=in_BandFloor,C1258&lt;=in_BandCeiling,OR(in_Geography="National",COUNTIFS(lst_GeoPreset,in_Geography,lst_GeoState,B1258)&gt;0,AND(in_Geography="Custom",ISNUMBER(SEARCH(B1258,SUBSTITUTE(in_CustomStates," ",""))))),OR(AND(D1258="Endowment",Inputs!$B$14="Y"),AND(D1258="Foundation",Inputs!$B$15="Y"),AND(D1258="Healthcare",Inputs!$B$16="Y"),AND(D1258="Pension",Inputs!$B$17="Y"),AND(D1258="OCIO",Inputs!$B$18="Y"),AND(D1258="Other",Inputs!$B$19="Y")))),A1258&lt;&gt;in_ClientOrg,NOT(AND(in_ExclHarvard="Y",ISNUMBER(SEARCH("Harvard",A1258))))),$AD1258="Y",K1258&lt;&gt;"",S1258&gt;0),"Y","")</f>
        <v/>
      </c>
      <c r="V1258" s="30" t="n">
        <v>0.1568088370604372</v>
      </c>
      <c r="W1258" t="inlineStr"/>
      <c r="X1258" s="28">
        <f>IF(L1258+M1258=0,"",L1258+M1258)</f>
        <v/>
      </c>
      <c r="Y1258" s="38">
        <f>IF(L1258=0,"",M1258/L1258)</f>
        <v/>
      </c>
      <c r="Z1258" t="inlineStr">
        <is>
          <t>Director &amp; Investment Officer</t>
        </is>
      </c>
      <c r="AA1258" t="inlineStr">
        <is>
          <t>Investments</t>
        </is>
      </c>
      <c r="AB1258" s="50" t="inlineStr"/>
      <c r="AC1258" s="43">
        <f>HYPERLINK("https://projects.propublica.org/nonprofits/organizations/742765082/202331879349300948/full","view filing")</f>
        <v/>
      </c>
      <c r="AD1258" s="50" t="inlineStr"/>
    </row>
    <row r="1259">
      <c r="A1259" t="inlineStr">
        <is>
          <t>The Wallace Foundation</t>
        </is>
      </c>
      <c r="B1259" s="50" t="inlineStr">
        <is>
          <t>NY</t>
        </is>
      </c>
      <c r="C1259" s="52" t="n">
        <v>1.64</v>
      </c>
      <c r="D1259" t="inlineStr">
        <is>
          <t>Foundation</t>
        </is>
      </c>
      <c r="E1259" s="50" t="n">
        <v>2024</v>
      </c>
      <c r="F1259" s="50" t="inlineStr">
        <is>
          <t>2025-11-17</t>
        </is>
      </c>
      <c r="G1259" s="50" t="inlineStr">
        <is>
          <t>2024-12-31</t>
        </is>
      </c>
      <c r="H1259" t="inlineStr">
        <is>
          <t>Thomas Lenehan</t>
        </is>
      </c>
      <c r="I1259" t="inlineStr">
        <is>
          <t>CIO &amp; Assistant Treasurer</t>
        </is>
      </c>
      <c r="J1259" t="inlineStr">
        <is>
          <t>CIO</t>
        </is>
      </c>
      <c r="K1259" t="inlineStr">
        <is>
          <t>CIO - Top Investment Executive</t>
        </is>
      </c>
      <c r="L1259" s="28" t="n">
        <v>0</v>
      </c>
      <c r="M1259" s="28" t="n">
        <v>0</v>
      </c>
      <c r="N1259" s="28" t="n">
        <v>0</v>
      </c>
      <c r="O1259" s="28" t="n">
        <v>0</v>
      </c>
      <c r="P1259" s="28" t="n">
        <v>170109</v>
      </c>
      <c r="Q1259" s="28" t="n">
        <v>1462399</v>
      </c>
      <c r="R1259" s="28" t="n">
        <v>0</v>
      </c>
      <c r="S1259" s="28">
        <f>Q1259-R1259</f>
        <v/>
      </c>
      <c r="T1259" s="28">
        <f>IF(S1259="","",S1259*(1+in_GrowthRate)^(YEARFRAC(DATE(2024,12,31),in_AgeToDate)*IF(in_AgeToDate&lt;DATE(2024,12,31),-1,1)+1))</f>
        <v/>
      </c>
      <c r="U1259" s="50">
        <f>IF(AND(AND(OR(in_Mode="All Funds",AND(C1259&gt;=in_BandFloor,C1259&lt;=in_BandCeiling,OR(in_Geography="National",COUNTIFS(lst_GeoPreset,in_Geography,lst_GeoState,B1259)&gt;0,AND(in_Geography="Custom",ISNUMBER(SEARCH(B1259,SUBSTITUTE(in_CustomStates," ",""))))),OR(AND(D1259="Endowment",Inputs!$B$14="Y"),AND(D1259="Foundation",Inputs!$B$15="Y"),AND(D1259="Healthcare",Inputs!$B$16="Y"),AND(D1259="Pension",Inputs!$B$17="Y"),AND(D1259="OCIO",Inputs!$B$18="Y"),AND(D1259="Other",Inputs!$B$19="Y")))),A1259&lt;&gt;in_ClientOrg,NOT(AND(in_ExclHarvard="Y",ISNUMBER(SEARCH("Harvard",A1259))))),$AD1259="Y",K1259&lt;&gt;"",S1259&gt;0),"Y","")</f>
        <v/>
      </c>
      <c r="V1259" s="30" t="n">
        <v>1</v>
      </c>
      <c r="W1259" t="inlineStr"/>
      <c r="X1259" s="28">
        <f>IF(L1259+M1259=0,"",L1259+M1259)</f>
        <v/>
      </c>
      <c r="Y1259" s="38">
        <f>IF(L1259=0,"",M1259/L1259)</f>
        <v/>
      </c>
      <c r="Z1259" t="inlineStr">
        <is>
          <t>CIO - Top Investment Executive</t>
        </is>
      </c>
      <c r="AA1259" t="inlineStr">
        <is>
          <t>Leadership</t>
        </is>
      </c>
      <c r="AB1259" s="50" t="inlineStr">
        <is>
          <t>Y</t>
        </is>
      </c>
      <c r="AC1259" s="43">
        <f>HYPERLINK("https://projects.propublica.org/nonprofits/organizations/136183757/202503219349107905/full","view filing")</f>
        <v/>
      </c>
      <c r="AD1259" s="50" t="inlineStr">
        <is>
          <t>Y</t>
        </is>
      </c>
    </row>
    <row r="1260">
      <c r="A1260" t="inlineStr">
        <is>
          <t>The Wallace Foundation</t>
        </is>
      </c>
      <c r="B1260" s="50" t="inlineStr">
        <is>
          <t>NY</t>
        </is>
      </c>
      <c r="C1260" s="52" t="n">
        <v>1.64</v>
      </c>
      <c r="D1260" t="inlineStr">
        <is>
          <t>Foundation</t>
        </is>
      </c>
      <c r="E1260" s="50" t="n">
        <v>2023</v>
      </c>
      <c r="F1260" s="50" t="inlineStr">
        <is>
          <t>2024-11-14</t>
        </is>
      </c>
      <c r="G1260" s="50" t="inlineStr">
        <is>
          <t>2023-12-31</t>
        </is>
      </c>
      <c r="H1260" t="inlineStr">
        <is>
          <t>Thomas Lenehan</t>
        </is>
      </c>
      <c r="I1260" t="inlineStr">
        <is>
          <t>CIO &amp; Asst Treasurer</t>
        </is>
      </c>
      <c r="J1260" t="inlineStr">
        <is>
          <t>CIO</t>
        </is>
      </c>
      <c r="K1260" t="inlineStr">
        <is>
          <t>CIO - Top Investment Executive</t>
        </is>
      </c>
      <c r="L1260" s="28" t="n">
        <v>0</v>
      </c>
      <c r="M1260" s="28" t="n">
        <v>0</v>
      </c>
      <c r="N1260" s="28" t="n">
        <v>0</v>
      </c>
      <c r="O1260" s="28" t="n">
        <v>0</v>
      </c>
      <c r="P1260" s="28" t="n">
        <v>134498</v>
      </c>
      <c r="Q1260" s="28" t="n">
        <v>967917</v>
      </c>
      <c r="R1260" s="28" t="n">
        <v>0</v>
      </c>
      <c r="S1260" s="28">
        <f>Q1260-R1260</f>
        <v/>
      </c>
      <c r="T1260" s="28">
        <f>IF(S1260="","",S1260*(1+in_GrowthRate)^(YEARFRAC(DATE(2023,12,31),in_AgeToDate)*IF(in_AgeToDate&lt;DATE(2023,12,31),-1,1)+1))</f>
        <v/>
      </c>
      <c r="U1260" s="50">
        <f>IF(AND(AND(OR(in_Mode="All Funds",AND(C1260&gt;=in_BandFloor,C1260&lt;=in_BandCeiling,OR(in_Geography="National",COUNTIFS(lst_GeoPreset,in_Geography,lst_GeoState,B1260)&gt;0,AND(in_Geography="Custom",ISNUMBER(SEARCH(B1260,SUBSTITUTE(in_CustomStates," ",""))))),OR(AND(D1260="Endowment",Inputs!$B$14="Y"),AND(D1260="Foundation",Inputs!$B$15="Y"),AND(D1260="Healthcare",Inputs!$B$16="Y"),AND(D1260="Pension",Inputs!$B$17="Y"),AND(D1260="OCIO",Inputs!$B$18="Y"),AND(D1260="Other",Inputs!$B$19="Y")))),A1260&lt;&gt;in_ClientOrg,NOT(AND(in_ExclHarvard="Y",ISNUMBER(SEARCH("Harvard",A1260))))),$AD1260="Y",K1260&lt;&gt;"",S1260&gt;0),"Y","")</f>
        <v/>
      </c>
      <c r="V1260" s="30" t="n">
        <v>1</v>
      </c>
      <c r="W1260" t="inlineStr"/>
      <c r="X1260" s="28">
        <f>IF(L1260+M1260=0,"",L1260+M1260)</f>
        <v/>
      </c>
      <c r="Y1260" s="38">
        <f>IF(L1260=0,"",M1260/L1260)</f>
        <v/>
      </c>
      <c r="Z1260" t="inlineStr">
        <is>
          <t>CIO - Top Investment Executive</t>
        </is>
      </c>
      <c r="AA1260" t="inlineStr">
        <is>
          <t>Leadership</t>
        </is>
      </c>
      <c r="AB1260" s="50" t="inlineStr">
        <is>
          <t>Y</t>
        </is>
      </c>
      <c r="AC1260" s="43">
        <f>HYPERLINK("https://projects.propublica.org/nonprofits/organizations/136183757/202423199349105912/full","view filing")</f>
        <v/>
      </c>
      <c r="AD1260" s="50" t="inlineStr"/>
    </row>
    <row r="1261">
      <c r="A1261" t="inlineStr">
        <is>
          <t>The Wallace Foundation</t>
        </is>
      </c>
      <c r="B1261" s="50" t="inlineStr">
        <is>
          <t>NY</t>
        </is>
      </c>
      <c r="C1261" s="52" t="n">
        <v>1.64</v>
      </c>
      <c r="D1261" t="inlineStr">
        <is>
          <t>Foundation</t>
        </is>
      </c>
      <c r="E1261" s="50" t="n">
        <v>2022</v>
      </c>
      <c r="F1261" s="50" t="inlineStr">
        <is>
          <t>2023-11-13</t>
        </is>
      </c>
      <c r="G1261" s="50" t="inlineStr">
        <is>
          <t>2022-12-31</t>
        </is>
      </c>
      <c r="H1261" t="inlineStr">
        <is>
          <t>Thomas Lenehan</t>
        </is>
      </c>
      <c r="I1261" t="inlineStr">
        <is>
          <t>CIO &amp; Asst Treasurer</t>
        </is>
      </c>
      <c r="J1261" t="inlineStr">
        <is>
          <t>CIO</t>
        </is>
      </c>
      <c r="K1261" t="inlineStr">
        <is>
          <t>CIO - Top Investment Executive</t>
        </is>
      </c>
      <c r="L1261" s="28" t="n">
        <v>0</v>
      </c>
      <c r="M1261" s="28" t="n">
        <v>0</v>
      </c>
      <c r="N1261" s="28" t="n">
        <v>0</v>
      </c>
      <c r="O1261" s="28" t="n">
        <v>0</v>
      </c>
      <c r="P1261" s="28" t="n">
        <v>142847</v>
      </c>
      <c r="Q1261" s="28" t="n">
        <v>1464347</v>
      </c>
      <c r="R1261" s="28" t="n">
        <v>0</v>
      </c>
      <c r="S1261" s="28">
        <f>Q1261-R1261</f>
        <v/>
      </c>
      <c r="T1261" s="28">
        <f>IF(S1261="","",S1261*(1+in_GrowthRate)^(YEARFRAC(DATE(2022,12,31),in_AgeToDate)*IF(in_AgeToDate&lt;DATE(2022,12,31),-1,1)+1))</f>
        <v/>
      </c>
      <c r="U1261" s="50">
        <f>IF(AND(AND(OR(in_Mode="All Funds",AND(C1261&gt;=in_BandFloor,C1261&lt;=in_BandCeiling,OR(in_Geography="National",COUNTIFS(lst_GeoPreset,in_Geography,lst_GeoState,B1261)&gt;0,AND(in_Geography="Custom",ISNUMBER(SEARCH(B1261,SUBSTITUTE(in_CustomStates," ",""))))),OR(AND(D1261="Endowment",Inputs!$B$14="Y"),AND(D1261="Foundation",Inputs!$B$15="Y"),AND(D1261="Healthcare",Inputs!$B$16="Y"),AND(D1261="Pension",Inputs!$B$17="Y"),AND(D1261="OCIO",Inputs!$B$18="Y"),AND(D1261="Other",Inputs!$B$19="Y")))),A1261&lt;&gt;in_ClientOrg,NOT(AND(in_ExclHarvard="Y",ISNUMBER(SEARCH("Harvard",A1261))))),$AD1261="Y",K1261&lt;&gt;"",S1261&gt;0),"Y","")</f>
        <v/>
      </c>
      <c r="V1261" s="30" t="n">
        <v>1</v>
      </c>
      <c r="W1261" t="inlineStr"/>
      <c r="X1261" s="28">
        <f>IF(L1261+M1261=0,"",L1261+M1261)</f>
        <v/>
      </c>
      <c r="Y1261" s="38">
        <f>IF(L1261=0,"",M1261/L1261)</f>
        <v/>
      </c>
      <c r="Z1261" t="inlineStr">
        <is>
          <t>CIO - Top Investment Executive</t>
        </is>
      </c>
      <c r="AA1261" t="inlineStr">
        <is>
          <t>Leadership</t>
        </is>
      </c>
      <c r="AB1261" s="50" t="inlineStr">
        <is>
          <t>Y</t>
        </is>
      </c>
      <c r="AC1261" s="43">
        <f>HYPERLINK("https://projects.propublica.org/nonprofits/organizations/136183757/202303179349101665/full","view filing")</f>
        <v/>
      </c>
      <c r="AD1261" s="50" t="inlineStr"/>
    </row>
    <row r="1262">
      <c r="A1262" t="inlineStr">
        <is>
          <t>Trinity University</t>
        </is>
      </c>
      <c r="B1262" s="50" t="inlineStr">
        <is>
          <t>TX</t>
        </is>
      </c>
      <c r="C1262" s="52" t="n">
        <v>1.94</v>
      </c>
      <c r="D1262" t="inlineStr">
        <is>
          <t>Endowment</t>
        </is>
      </c>
      <c r="E1262" s="50" t="n">
        <v>2025</v>
      </c>
      <c r="F1262" s="50" t="inlineStr">
        <is>
          <t>2026-04-13</t>
        </is>
      </c>
      <c r="G1262" s="50" t="inlineStr">
        <is>
          <t>2025-05-31</t>
        </is>
      </c>
      <c r="H1262" t="inlineStr">
        <is>
          <t>Alison Hermann</t>
        </is>
      </c>
      <c r="I1262" t="inlineStr">
        <is>
          <t>Investment Director-Marketables</t>
        </is>
      </c>
      <c r="J1262" t="inlineStr">
        <is>
          <t>Director of Investments</t>
        </is>
      </c>
      <c r="K1262" t="inlineStr">
        <is>
          <t>Sr Investment Professional</t>
        </is>
      </c>
      <c r="L1262" s="28" t="n">
        <v>217085</v>
      </c>
      <c r="M1262" s="28" t="n">
        <v>60000</v>
      </c>
      <c r="N1262" s="28" t="n">
        <v>302</v>
      </c>
      <c r="O1262" s="28" t="n">
        <v>21709</v>
      </c>
      <c r="P1262" s="28" t="n">
        <v>600</v>
      </c>
      <c r="Q1262" s="28" t="n">
        <v>299696</v>
      </c>
      <c r="R1262" s="28" t="n">
        <v>0</v>
      </c>
      <c r="S1262" s="28">
        <f>Q1262-R1262</f>
        <v/>
      </c>
      <c r="T1262" s="28">
        <f>IF(S1262="","",S1262*(1+in_GrowthRate)^(YEARFRAC(DATE(2025,5,31),in_AgeToDate)*IF(in_AgeToDate&lt;DATE(2025,5,31),-1,1)+1))</f>
        <v/>
      </c>
      <c r="U1262" s="50">
        <f>IF(AND(AND(OR(in_Mode="All Funds",AND(C1262&gt;=in_BandFloor,C1262&lt;=in_BandCeiling,OR(in_Geography="National",COUNTIFS(lst_GeoPreset,in_Geography,lst_GeoState,B1262)&gt;0,AND(in_Geography="Custom",ISNUMBER(SEARCH(B1262,SUBSTITUTE(in_CustomStates," ",""))))),OR(AND(D1262="Endowment",Inputs!$B$14="Y"),AND(D1262="Foundation",Inputs!$B$15="Y"),AND(D1262="Healthcare",Inputs!$B$16="Y"),AND(D1262="Pension",Inputs!$B$17="Y"),AND(D1262="OCIO",Inputs!$B$18="Y"),AND(D1262="Other",Inputs!$B$19="Y")))),A1262&lt;&gt;in_ClientOrg,NOT(AND(in_ExclHarvard="Y",ISNUMBER(SEARCH("Harvard",A1262))))),$AD1262="Y",K1262&lt;&gt;"",S1262&gt;0),"Y","")</f>
        <v/>
      </c>
      <c r="V1262" s="30" t="n">
        <v>0.2992976348480173</v>
      </c>
      <c r="W1262" t="inlineStr"/>
      <c r="X1262" s="28">
        <f>IF(L1262+M1262=0,"",L1262+M1262)</f>
        <v/>
      </c>
      <c r="Y1262" s="38">
        <f>IF(L1262=0,"",M1262/L1262)</f>
        <v/>
      </c>
      <c r="Z1262" t="inlineStr">
        <is>
          <t>Director &amp; Investment Officer</t>
        </is>
      </c>
      <c r="AA1262" t="inlineStr">
        <is>
          <t>Investments</t>
        </is>
      </c>
      <c r="AB1262" s="50" t="inlineStr"/>
      <c r="AC1262" s="43">
        <f>HYPERLINK("https://projects.propublica.org/nonprofits/organizations/741109633/202601049349300000/full","view filing")</f>
        <v/>
      </c>
      <c r="AD1262" s="50" t="inlineStr">
        <is>
          <t>Y</t>
        </is>
      </c>
    </row>
    <row r="1263">
      <c r="A1263" t="inlineStr">
        <is>
          <t>Trinity University</t>
        </is>
      </c>
      <c r="B1263" s="50" t="inlineStr">
        <is>
          <t>TX</t>
        </is>
      </c>
      <c r="C1263" s="52" t="n">
        <v>1.94</v>
      </c>
      <c r="D1263" t="inlineStr">
        <is>
          <t>Endowment</t>
        </is>
      </c>
      <c r="E1263" s="50" t="n">
        <v>2025</v>
      </c>
      <c r="F1263" s="50" t="inlineStr">
        <is>
          <t>2026-04-13</t>
        </is>
      </c>
      <c r="G1263" s="50" t="inlineStr">
        <is>
          <t>2025-05-31</t>
        </is>
      </c>
      <c r="H1263" t="inlineStr">
        <is>
          <t>Craig Crow</t>
        </is>
      </c>
      <c r="I1263" t="inlineStr">
        <is>
          <t>Chief Investment Officer</t>
        </is>
      </c>
      <c r="J1263" t="inlineStr">
        <is>
          <t>CIO</t>
        </is>
      </c>
      <c r="K1263" t="inlineStr">
        <is>
          <t>CIO - Top Investment Executive</t>
        </is>
      </c>
      <c r="L1263" s="28" t="n">
        <v>516084</v>
      </c>
      <c r="M1263" s="28" t="n">
        <v>350000</v>
      </c>
      <c r="N1263" s="28" t="n">
        <v>187588</v>
      </c>
      <c r="O1263" s="28" t="n">
        <v>84500</v>
      </c>
      <c r="P1263" s="28" t="n">
        <v>27507</v>
      </c>
      <c r="Q1263" s="28" t="n">
        <v>1165679</v>
      </c>
      <c r="R1263" s="28" t="n">
        <v>164348</v>
      </c>
      <c r="S1263" s="28">
        <f>Q1263-R1263</f>
        <v/>
      </c>
      <c r="T1263" s="28">
        <f>IF(S1263="","",S1263*(1+in_GrowthRate)^(YEARFRAC(DATE(2025,5,31),in_AgeToDate)*IF(in_AgeToDate&lt;DATE(2025,5,31),-1,1)+1))</f>
        <v/>
      </c>
      <c r="U1263" s="50">
        <f>IF(AND(AND(OR(in_Mode="All Funds",AND(C1263&gt;=in_BandFloor,C1263&lt;=in_BandCeiling,OR(in_Geography="National",COUNTIFS(lst_GeoPreset,in_Geography,lst_GeoState,B1263)&gt;0,AND(in_Geography="Custom",ISNUMBER(SEARCH(B1263,SUBSTITUTE(in_CustomStates," ",""))))),OR(AND(D1263="Endowment",Inputs!$B$14="Y"),AND(D1263="Foundation",Inputs!$B$15="Y"),AND(D1263="Healthcare",Inputs!$B$16="Y"),AND(D1263="Pension",Inputs!$B$17="Y"),AND(D1263="OCIO",Inputs!$B$18="Y"),AND(D1263="Other",Inputs!$B$19="Y")))),A1263&lt;&gt;in_ClientOrg,NOT(AND(in_ExclHarvard="Y",ISNUMBER(SEARCH("Harvard",A1263))))),$AD1263="Y",K1263&lt;&gt;"",S1263&gt;0),"Y","")</f>
        <v/>
      </c>
      <c r="V1263" s="30" t="n">
        <v>1</v>
      </c>
      <c r="W1263" t="inlineStr"/>
      <c r="X1263" s="28">
        <f>IF(L1263+M1263=0,"",L1263+M1263)</f>
        <v/>
      </c>
      <c r="Y1263" s="38">
        <f>IF(L1263=0,"",M1263/L1263)</f>
        <v/>
      </c>
      <c r="Z1263" t="inlineStr">
        <is>
          <t>CIO - Top Investment Executive</t>
        </is>
      </c>
      <c r="AA1263" t="inlineStr">
        <is>
          <t>Leadership</t>
        </is>
      </c>
      <c r="AB1263" s="50" t="inlineStr">
        <is>
          <t>Y</t>
        </is>
      </c>
      <c r="AC1263" s="43">
        <f>HYPERLINK("https://projects.propublica.org/nonprofits/organizations/741109633/202601049349300000/full","view filing")</f>
        <v/>
      </c>
      <c r="AD1263" s="50" t="inlineStr">
        <is>
          <t>Y</t>
        </is>
      </c>
    </row>
    <row r="1264">
      <c r="A1264" t="inlineStr">
        <is>
          <t>Trinity University</t>
        </is>
      </c>
      <c r="B1264" s="50" t="inlineStr">
        <is>
          <t>TX</t>
        </is>
      </c>
      <c r="C1264" s="52" t="n">
        <v>1.94</v>
      </c>
      <c r="D1264" t="inlineStr">
        <is>
          <t>Endowment</t>
        </is>
      </c>
      <c r="E1264" s="50" t="n">
        <v>2024</v>
      </c>
      <c r="F1264" s="50" t="inlineStr">
        <is>
          <t>2025-04-08</t>
        </is>
      </c>
      <c r="G1264" s="50" t="inlineStr">
        <is>
          <t>2024-05-31</t>
        </is>
      </c>
      <c r="H1264" t="inlineStr">
        <is>
          <t>Alison Hermann</t>
        </is>
      </c>
      <c r="I1264" t="inlineStr">
        <is>
          <t>Investment Manager</t>
        </is>
      </c>
      <c r="J1264" t="inlineStr">
        <is>
          <t>Investment Manager</t>
        </is>
      </c>
      <c r="K1264" t="inlineStr">
        <is>
          <t>Sr Investment Professional</t>
        </is>
      </c>
      <c r="L1264" s="28" t="n">
        <v>185132</v>
      </c>
      <c r="M1264" s="28" t="n">
        <v>80000</v>
      </c>
      <c r="N1264" s="28" t="n">
        <v>239</v>
      </c>
      <c r="O1264" s="28" t="n">
        <v>18513</v>
      </c>
      <c r="P1264" s="28" t="n">
        <v>500</v>
      </c>
      <c r="Q1264" s="28" t="n">
        <v>284384</v>
      </c>
      <c r="R1264" s="28" t="n">
        <v>0</v>
      </c>
      <c r="S1264" s="28">
        <f>Q1264-R1264</f>
        <v/>
      </c>
      <c r="T1264" s="28">
        <f>IF(S1264="","",S1264*(1+in_GrowthRate)^(YEARFRAC(DATE(2024,5,31),in_AgeToDate)*IF(in_AgeToDate&lt;DATE(2024,5,31),-1,1)+1))</f>
        <v/>
      </c>
      <c r="U1264" s="50">
        <f>IF(AND(AND(OR(in_Mode="All Funds",AND(C1264&gt;=in_BandFloor,C1264&lt;=in_BandCeiling,OR(in_Geography="National",COUNTIFS(lst_GeoPreset,in_Geography,lst_GeoState,B1264)&gt;0,AND(in_Geography="Custom",ISNUMBER(SEARCH(B1264,SUBSTITUTE(in_CustomStates," ",""))))),OR(AND(D1264="Endowment",Inputs!$B$14="Y"),AND(D1264="Foundation",Inputs!$B$15="Y"),AND(D1264="Healthcare",Inputs!$B$16="Y"),AND(D1264="Pension",Inputs!$B$17="Y"),AND(D1264="OCIO",Inputs!$B$18="Y"),AND(D1264="Other",Inputs!$B$19="Y")))),A1264&lt;&gt;in_ClientOrg,NOT(AND(in_ExclHarvard="Y",ISNUMBER(SEARCH("Harvard",A1264))))),$AD1264="Y",K1264&lt;&gt;"",S1264&gt;0),"Y","")</f>
        <v/>
      </c>
      <c r="V1264" s="30" t="n">
        <v>0.2794780424429563</v>
      </c>
      <c r="W1264" t="inlineStr"/>
      <c r="X1264" s="28">
        <f>IF(L1264+M1264=0,"",L1264+M1264)</f>
        <v/>
      </c>
      <c r="Y1264" s="38">
        <f>IF(L1264=0,"",M1264/L1264)</f>
        <v/>
      </c>
      <c r="Z1264" t="inlineStr">
        <is>
          <t>Director &amp; Investment Officer</t>
        </is>
      </c>
      <c r="AA1264" t="inlineStr">
        <is>
          <t>Investments</t>
        </is>
      </c>
      <c r="AB1264" s="50" t="inlineStr"/>
      <c r="AC1264" s="43">
        <f>HYPERLINK("https://projects.propublica.org/nonprofits/organizations/741109633/202540989349302104/full","view filing")</f>
        <v/>
      </c>
      <c r="AD1264" s="50" t="inlineStr"/>
    </row>
    <row r="1265">
      <c r="A1265" t="inlineStr">
        <is>
          <t>Trinity University</t>
        </is>
      </c>
      <c r="B1265" s="50" t="inlineStr">
        <is>
          <t>TX</t>
        </is>
      </c>
      <c r="C1265" s="52" t="n">
        <v>1.94</v>
      </c>
      <c r="D1265" t="inlineStr">
        <is>
          <t>Endowment</t>
        </is>
      </c>
      <c r="E1265" s="50" t="n">
        <v>2024</v>
      </c>
      <c r="F1265" s="50" t="inlineStr">
        <is>
          <t>2025-04-08</t>
        </is>
      </c>
      <c r="G1265" s="50" t="inlineStr">
        <is>
          <t>2024-05-31</t>
        </is>
      </c>
      <c r="H1265" t="inlineStr">
        <is>
          <t>Craig Crow</t>
        </is>
      </c>
      <c r="I1265" t="inlineStr">
        <is>
          <t>Chief Investment Officer</t>
        </is>
      </c>
      <c r="J1265" t="inlineStr">
        <is>
          <t>CIO</t>
        </is>
      </c>
      <c r="K1265" t="inlineStr">
        <is>
          <t>CIO - Top Investment Executive</t>
        </is>
      </c>
      <c r="L1265" s="28" t="n">
        <v>504929</v>
      </c>
      <c r="M1265" s="28" t="n">
        <v>380000</v>
      </c>
      <c r="N1265" s="28" t="n">
        <v>22668</v>
      </c>
      <c r="O1265" s="28" t="n">
        <v>83000</v>
      </c>
      <c r="P1265" s="28" t="n">
        <v>26957</v>
      </c>
      <c r="Q1265" s="28" t="n">
        <v>1017554</v>
      </c>
      <c r="R1265" s="28" t="n">
        <v>0</v>
      </c>
      <c r="S1265" s="28">
        <f>Q1265-R1265</f>
        <v/>
      </c>
      <c r="T1265" s="28">
        <f>IF(S1265="","",S1265*(1+in_GrowthRate)^(YEARFRAC(DATE(2024,5,31),in_AgeToDate)*IF(in_AgeToDate&lt;DATE(2024,5,31),-1,1)+1))</f>
        <v/>
      </c>
      <c r="U1265" s="50">
        <f>IF(AND(AND(OR(in_Mode="All Funds",AND(C1265&gt;=in_BandFloor,C1265&lt;=in_BandCeiling,OR(in_Geography="National",COUNTIFS(lst_GeoPreset,in_Geography,lst_GeoState,B1265)&gt;0,AND(in_Geography="Custom",ISNUMBER(SEARCH(B1265,SUBSTITUTE(in_CustomStates," ",""))))),OR(AND(D1265="Endowment",Inputs!$B$14="Y"),AND(D1265="Foundation",Inputs!$B$15="Y"),AND(D1265="Healthcare",Inputs!$B$16="Y"),AND(D1265="Pension",Inputs!$B$17="Y"),AND(D1265="OCIO",Inputs!$B$18="Y"),AND(D1265="Other",Inputs!$B$19="Y")))),A1265&lt;&gt;in_ClientOrg,NOT(AND(in_ExclHarvard="Y",ISNUMBER(SEARCH("Harvard",A1265))))),$AD1265="Y",K1265&lt;&gt;"",S1265&gt;0),"Y","")</f>
        <v/>
      </c>
      <c r="V1265" s="30" t="n">
        <v>1</v>
      </c>
      <c r="W1265" t="inlineStr"/>
      <c r="X1265" s="28">
        <f>IF(L1265+M1265=0,"",L1265+M1265)</f>
        <v/>
      </c>
      <c r="Y1265" s="38">
        <f>IF(L1265=0,"",M1265/L1265)</f>
        <v/>
      </c>
      <c r="Z1265" t="inlineStr">
        <is>
          <t>CIO - Top Investment Executive</t>
        </is>
      </c>
      <c r="AA1265" t="inlineStr">
        <is>
          <t>Leadership</t>
        </is>
      </c>
      <c r="AB1265" s="50" t="inlineStr">
        <is>
          <t>Y</t>
        </is>
      </c>
      <c r="AC1265" s="43">
        <f>HYPERLINK("https://projects.propublica.org/nonprofits/organizations/741109633/202540989349302104/full","view filing")</f>
        <v/>
      </c>
      <c r="AD1265" s="50" t="inlineStr"/>
    </row>
    <row r="1266">
      <c r="A1266" t="inlineStr">
        <is>
          <t>Trinity University</t>
        </is>
      </c>
      <c r="B1266" s="50" t="inlineStr">
        <is>
          <t>TX</t>
        </is>
      </c>
      <c r="C1266" s="52" t="n">
        <v>1.94</v>
      </c>
      <c r="D1266" t="inlineStr">
        <is>
          <t>Endowment</t>
        </is>
      </c>
      <c r="E1266" s="50" t="n">
        <v>2023</v>
      </c>
      <c r="F1266" s="50" t="inlineStr">
        <is>
          <t>2024-04-15</t>
        </is>
      </c>
      <c r="G1266" s="50" t="inlineStr">
        <is>
          <t>2023-05-31</t>
        </is>
      </c>
      <c r="H1266" t="inlineStr">
        <is>
          <t>Craig Crow</t>
        </is>
      </c>
      <c r="I1266" t="inlineStr">
        <is>
          <t>Chief Investment Officer</t>
        </is>
      </c>
      <c r="J1266" t="inlineStr">
        <is>
          <t>CIO</t>
        </is>
      </c>
      <c r="K1266" t="inlineStr">
        <is>
          <t>CIO - Top Investment Executive</t>
        </is>
      </c>
      <c r="L1266" s="28" t="n">
        <v>412745</v>
      </c>
      <c r="M1266" s="28" t="n">
        <v>0</v>
      </c>
      <c r="N1266" s="28" t="n">
        <v>0</v>
      </c>
      <c r="O1266" s="28" t="n">
        <v>84375</v>
      </c>
      <c r="P1266" s="28" t="n">
        <v>26507</v>
      </c>
      <c r="Q1266" s="28" t="n">
        <v>523627</v>
      </c>
      <c r="R1266" s="28" t="n">
        <v>0</v>
      </c>
      <c r="S1266" s="28">
        <f>Q1266-R1266</f>
        <v/>
      </c>
      <c r="T1266" s="28">
        <f>IF(S1266="","",S1266*(1+in_GrowthRate)^(YEARFRAC(DATE(2023,5,31),in_AgeToDate)*IF(in_AgeToDate&lt;DATE(2023,5,31),-1,1)+1))</f>
        <v/>
      </c>
      <c r="U1266" s="50">
        <f>IF(AND(AND(OR(in_Mode="All Funds",AND(C1266&gt;=in_BandFloor,C1266&lt;=in_BandCeiling,OR(in_Geography="National",COUNTIFS(lst_GeoPreset,in_Geography,lst_GeoState,B1266)&gt;0,AND(in_Geography="Custom",ISNUMBER(SEARCH(B1266,SUBSTITUTE(in_CustomStates," ",""))))),OR(AND(D1266="Endowment",Inputs!$B$14="Y"),AND(D1266="Foundation",Inputs!$B$15="Y"),AND(D1266="Healthcare",Inputs!$B$16="Y"),AND(D1266="Pension",Inputs!$B$17="Y"),AND(D1266="OCIO",Inputs!$B$18="Y"),AND(D1266="Other",Inputs!$B$19="Y")))),A1266&lt;&gt;in_ClientOrg,NOT(AND(in_ExclHarvard="Y",ISNUMBER(SEARCH("Harvard",A1266))))),$AD1266="Y",K1266&lt;&gt;"",S1266&gt;0),"Y","")</f>
        <v/>
      </c>
      <c r="V1266" s="30" t="n">
        <v>1</v>
      </c>
      <c r="W1266" t="inlineStr"/>
      <c r="X1266" s="28">
        <f>IF(L1266+M1266=0,"",L1266+M1266)</f>
        <v/>
      </c>
      <c r="Y1266" s="38">
        <f>IF(L1266=0,"",M1266/L1266)</f>
        <v/>
      </c>
      <c r="Z1266" t="inlineStr">
        <is>
          <t>CIO - Top Investment Executive</t>
        </is>
      </c>
      <c r="AA1266" t="inlineStr">
        <is>
          <t>Leadership</t>
        </is>
      </c>
      <c r="AB1266" s="50" t="inlineStr">
        <is>
          <t>Y</t>
        </is>
      </c>
      <c r="AC1266" s="43">
        <f>HYPERLINK("https://projects.propublica.org/nonprofits/organizations/741109633/202421069349301222/full","view filing")</f>
        <v/>
      </c>
      <c r="AD1266" s="50" t="inlineStr"/>
    </row>
    <row r="1267">
      <c r="A1267" t="inlineStr">
        <is>
          <t>Trinity University</t>
        </is>
      </c>
      <c r="B1267" s="50" t="inlineStr">
        <is>
          <t>TX</t>
        </is>
      </c>
      <c r="C1267" s="52" t="n">
        <v>1.94</v>
      </c>
      <c r="D1267" t="inlineStr">
        <is>
          <t>Endowment</t>
        </is>
      </c>
      <c r="E1267" s="50" t="n">
        <v>2022</v>
      </c>
      <c r="F1267" s="50" t="inlineStr">
        <is>
          <t>2023-04-17</t>
        </is>
      </c>
      <c r="G1267" s="50" t="inlineStr">
        <is>
          <t>2022-05-31</t>
        </is>
      </c>
      <c r="H1267" t="inlineStr">
        <is>
          <t>Craig D Crow</t>
        </is>
      </c>
      <c r="I1267" t="inlineStr">
        <is>
          <t>CHIEF INVESTMENT OFFICER</t>
        </is>
      </c>
      <c r="J1267" t="inlineStr">
        <is>
          <t>CIO</t>
        </is>
      </c>
      <c r="K1267" t="inlineStr">
        <is>
          <t>CIO - Top Investment Executive</t>
        </is>
      </c>
      <c r="L1267" s="28" t="n">
        <v>313085</v>
      </c>
      <c r="M1267" s="28" t="n">
        <v>0</v>
      </c>
      <c r="N1267" s="28" t="n">
        <v>41</v>
      </c>
      <c r="O1267" s="28" t="n">
        <v>14500</v>
      </c>
      <c r="P1267" s="28" t="n">
        <v>24976</v>
      </c>
      <c r="Q1267" s="28" t="n">
        <v>352602</v>
      </c>
      <c r="R1267" s="28" t="n">
        <v>0</v>
      </c>
      <c r="S1267" s="28">
        <f>Q1267-R1267</f>
        <v/>
      </c>
      <c r="T1267" s="28">
        <f>IF(S1267="","",S1267*(1+in_GrowthRate)^(YEARFRAC(DATE(2022,5,31),in_AgeToDate)*IF(in_AgeToDate&lt;DATE(2022,5,31),-1,1)+1))</f>
        <v/>
      </c>
      <c r="U1267" s="50">
        <f>IF(AND(AND(OR(in_Mode="All Funds",AND(C1267&gt;=in_BandFloor,C1267&lt;=in_BandCeiling,OR(in_Geography="National",COUNTIFS(lst_GeoPreset,in_Geography,lst_GeoState,B1267)&gt;0,AND(in_Geography="Custom",ISNUMBER(SEARCH(B1267,SUBSTITUTE(in_CustomStates," ",""))))),OR(AND(D1267="Endowment",Inputs!$B$14="Y"),AND(D1267="Foundation",Inputs!$B$15="Y"),AND(D1267="Healthcare",Inputs!$B$16="Y"),AND(D1267="Pension",Inputs!$B$17="Y"),AND(D1267="OCIO",Inputs!$B$18="Y"),AND(D1267="Other",Inputs!$B$19="Y")))),A1267&lt;&gt;in_ClientOrg,NOT(AND(in_ExclHarvard="Y",ISNUMBER(SEARCH("Harvard",A1267))))),$AD1267="Y",K1267&lt;&gt;"",S1267&gt;0),"Y","")</f>
        <v/>
      </c>
      <c r="V1267" s="30" t="n">
        <v>1</v>
      </c>
      <c r="W1267" t="inlineStr"/>
      <c r="X1267" s="28">
        <f>IF(L1267+M1267=0,"",L1267+M1267)</f>
        <v/>
      </c>
      <c r="Y1267" s="38">
        <f>IF(L1267=0,"",M1267/L1267)</f>
        <v/>
      </c>
      <c r="Z1267" t="inlineStr">
        <is>
          <t>CIO - Top Investment Executive</t>
        </is>
      </c>
      <c r="AA1267" t="inlineStr">
        <is>
          <t>Leadership</t>
        </is>
      </c>
      <c r="AB1267" s="50" t="inlineStr">
        <is>
          <t>Y</t>
        </is>
      </c>
      <c r="AC1267" s="43">
        <f>HYPERLINK("https://projects.propublica.org/nonprofits/organizations/741109633/202331079349300443/full","view filing")</f>
        <v/>
      </c>
      <c r="AD1267" s="50" t="inlineStr"/>
    </row>
    <row r="1268">
      <c r="A1268" t="inlineStr">
        <is>
          <t>Trustees Of Amherst College</t>
        </is>
      </c>
      <c r="B1268" s="50" t="inlineStr">
        <is>
          <t>MA</t>
        </is>
      </c>
      <c r="C1268" s="52" t="n">
        <v>3.9</v>
      </c>
      <c r="D1268" t="inlineStr">
        <is>
          <t>Endowment</t>
        </is>
      </c>
      <c r="E1268" s="50" t="n">
        <v>2025</v>
      </c>
      <c r="F1268" s="50" t="inlineStr">
        <is>
          <t>2026-05-12</t>
        </is>
      </c>
      <c r="G1268" s="50" t="inlineStr">
        <is>
          <t>2025-06-30</t>
        </is>
      </c>
      <c r="H1268" t="inlineStr">
        <is>
          <t>Dawn Bates</t>
        </is>
      </c>
      <c r="I1268" t="inlineStr">
        <is>
          <t>DIRECTOR OF OPERATIONS</t>
        </is>
      </c>
      <c r="J1268" t="inlineStr">
        <is>
          <t>Head of Inv Ops (Inv Entity)</t>
        </is>
      </c>
      <c r="K1268" t="inlineStr">
        <is>
          <t>COO (Investment Office)</t>
        </is>
      </c>
      <c r="L1268" s="28" t="n">
        <v>233110</v>
      </c>
      <c r="M1268" s="28" t="n">
        <v>242000</v>
      </c>
      <c r="N1268" s="28" t="n">
        <v>856</v>
      </c>
      <c r="O1268" s="28" t="n">
        <v>15305</v>
      </c>
      <c r="P1268" s="28" t="n">
        <v>27649</v>
      </c>
      <c r="Q1268" s="28" t="n">
        <v>518920</v>
      </c>
      <c r="R1268" s="28" t="n">
        <v>0</v>
      </c>
      <c r="S1268" s="28">
        <f>Q1268-R1268</f>
        <v/>
      </c>
      <c r="T1268" s="28">
        <f>IF(S1268="","",S1268*(1+in_GrowthRate)^(YEARFRAC(DATE(2025,6,30),in_AgeToDate)*IF(in_AgeToDate&lt;DATE(2025,6,30),-1,1)+1))</f>
        <v/>
      </c>
      <c r="U1268" s="50">
        <f>IF(AND(AND(OR(in_Mode="All Funds",AND(C1268&gt;=in_BandFloor,C1268&lt;=in_BandCeiling,OR(in_Geography="National",COUNTIFS(lst_GeoPreset,in_Geography,lst_GeoState,B1268)&gt;0,AND(in_Geography="Custom",ISNUMBER(SEARCH(B1268,SUBSTITUTE(in_CustomStates," ",""))))),OR(AND(D1268="Endowment",Inputs!$B$14="Y"),AND(D1268="Foundation",Inputs!$B$15="Y"),AND(D1268="Healthcare",Inputs!$B$16="Y"),AND(D1268="Pension",Inputs!$B$17="Y"),AND(D1268="OCIO",Inputs!$B$18="Y"),AND(D1268="Other",Inputs!$B$19="Y")))),A1268&lt;&gt;in_ClientOrg,NOT(AND(in_ExclHarvard="Y",ISNUMBER(SEARCH("Harvard",A1268))))),$AD1268="Y",K1268&lt;&gt;"",S1268&gt;0),"Y","")</f>
        <v/>
      </c>
      <c r="V1268" s="30" t="n">
        <v>0.3031368695796438</v>
      </c>
      <c r="W1268" t="inlineStr"/>
      <c r="X1268" s="28">
        <f>IF(L1268+M1268=0,"",L1268+M1268)</f>
        <v/>
      </c>
      <c r="Y1268" s="38">
        <f>IF(L1268=0,"",M1268/L1268)</f>
        <v/>
      </c>
      <c r="Z1268" t="inlineStr">
        <is>
          <t>COO (Investment Office)</t>
        </is>
      </c>
      <c r="AA1268" t="inlineStr">
        <is>
          <t>Operations &amp; Control</t>
        </is>
      </c>
      <c r="AB1268" s="50" t="inlineStr"/>
      <c r="AC1268" s="43">
        <f>HYPERLINK("https://projects.propublica.org/nonprofits/organizations/42103542/202631329349302793/full","view filing")</f>
        <v/>
      </c>
      <c r="AD1268" s="50" t="inlineStr">
        <is>
          <t>Y</t>
        </is>
      </c>
    </row>
    <row r="1269">
      <c r="A1269" t="inlineStr">
        <is>
          <t>Trustees Of Amherst College</t>
        </is>
      </c>
      <c r="B1269" s="50" t="inlineStr">
        <is>
          <t>MA</t>
        </is>
      </c>
      <c r="C1269" s="52" t="n">
        <v>3.9</v>
      </c>
      <c r="D1269" t="inlineStr">
        <is>
          <t>Endowment</t>
        </is>
      </c>
      <c r="E1269" s="50" t="n">
        <v>2025</v>
      </c>
      <c r="F1269" s="50" t="inlineStr">
        <is>
          <t>2026-05-12</t>
        </is>
      </c>
      <c r="G1269" s="50" t="inlineStr">
        <is>
          <t>2025-06-30</t>
        </is>
      </c>
      <c r="H1269" t="inlineStr">
        <is>
          <t>Letitia Johnson</t>
        </is>
      </c>
      <c r="I1269" t="inlineStr">
        <is>
          <t>CHIEF INVESTMENT OFFICER</t>
        </is>
      </c>
      <c r="J1269" t="inlineStr">
        <is>
          <t>CIO</t>
        </is>
      </c>
      <c r="K1269" t="inlineStr">
        <is>
          <t>CIO - Top Investment Executive</t>
        </is>
      </c>
      <c r="L1269" s="28" t="n">
        <v>600000</v>
      </c>
      <c r="M1269" s="28" t="n">
        <v>1080000</v>
      </c>
      <c r="N1269" s="28" t="n">
        <v>803</v>
      </c>
      <c r="O1269" s="28" t="n">
        <v>28145</v>
      </c>
      <c r="P1269" s="28" t="n">
        <v>2886</v>
      </c>
      <c r="Q1269" s="28" t="n">
        <v>1711834</v>
      </c>
      <c r="R1269" s="28" t="n">
        <v>0</v>
      </c>
      <c r="S1269" s="28">
        <f>Q1269-R1269</f>
        <v/>
      </c>
      <c r="T1269" s="28">
        <f>IF(S1269="","",S1269*(1+in_GrowthRate)^(YEARFRAC(DATE(2025,6,30),in_AgeToDate)*IF(in_AgeToDate&lt;DATE(2025,6,30),-1,1)+1))</f>
        <v/>
      </c>
      <c r="U1269" s="50">
        <f>IF(AND(AND(OR(in_Mode="All Funds",AND(C1269&gt;=in_BandFloor,C1269&lt;=in_BandCeiling,OR(in_Geography="National",COUNTIFS(lst_GeoPreset,in_Geography,lst_GeoState,B1269)&gt;0,AND(in_Geography="Custom",ISNUMBER(SEARCH(B1269,SUBSTITUTE(in_CustomStates," ",""))))),OR(AND(D1269="Endowment",Inputs!$B$14="Y"),AND(D1269="Foundation",Inputs!$B$15="Y"),AND(D1269="Healthcare",Inputs!$B$16="Y"),AND(D1269="Pension",Inputs!$B$17="Y"),AND(D1269="OCIO",Inputs!$B$18="Y"),AND(D1269="Other",Inputs!$B$19="Y")))),A1269&lt;&gt;in_ClientOrg,NOT(AND(in_ExclHarvard="Y",ISNUMBER(SEARCH("Harvard",A1269))))),$AD1269="Y",K1269&lt;&gt;"",S1269&gt;0),"Y","")</f>
        <v/>
      </c>
      <c r="V1269" s="30" t="n">
        <v>1</v>
      </c>
      <c r="W1269" t="inlineStr"/>
      <c r="X1269" s="28">
        <f>IF(L1269+M1269=0,"",L1269+M1269)</f>
        <v/>
      </c>
      <c r="Y1269" s="38">
        <f>IF(L1269=0,"",M1269/L1269)</f>
        <v/>
      </c>
      <c r="Z1269" t="inlineStr">
        <is>
          <t>CIO - Top Investment Executive</t>
        </is>
      </c>
      <c r="AA1269" t="inlineStr">
        <is>
          <t>Leadership</t>
        </is>
      </c>
      <c r="AB1269" s="50" t="inlineStr">
        <is>
          <t>Y</t>
        </is>
      </c>
      <c r="AC1269" s="43">
        <f>HYPERLINK("https://projects.propublica.org/nonprofits/organizations/42103542/202631329349302793/full","view filing")</f>
        <v/>
      </c>
      <c r="AD1269" s="50" t="inlineStr">
        <is>
          <t>Y</t>
        </is>
      </c>
    </row>
    <row r="1270">
      <c r="A1270" t="inlineStr">
        <is>
          <t>Trustees Of Amherst College</t>
        </is>
      </c>
      <c r="B1270" s="50" t="inlineStr">
        <is>
          <t>MA</t>
        </is>
      </c>
      <c r="C1270" s="52" t="n">
        <v>3.9</v>
      </c>
      <c r="D1270" t="inlineStr">
        <is>
          <t>Endowment</t>
        </is>
      </c>
      <c r="E1270" s="50" t="n">
        <v>2025</v>
      </c>
      <c r="F1270" s="50" t="inlineStr">
        <is>
          <t>2026-05-12</t>
        </is>
      </c>
      <c r="G1270" s="50" t="inlineStr">
        <is>
          <t>2025-06-30</t>
        </is>
      </c>
      <c r="H1270" t="inlineStr">
        <is>
          <t>Shane Levy</t>
        </is>
      </c>
      <c r="I1270" t="inlineStr">
        <is>
          <t>INVESTMENT OFFICER</t>
        </is>
      </c>
      <c r="J1270" t="inlineStr">
        <is>
          <t>Investment Officer</t>
        </is>
      </c>
      <c r="K1270" t="inlineStr">
        <is>
          <t>Sr Investment Professional</t>
        </is>
      </c>
      <c r="L1270" s="28" t="n">
        <v>228310</v>
      </c>
      <c r="M1270" s="28" t="n">
        <v>175000</v>
      </c>
      <c r="N1270" s="28" t="n">
        <v>283</v>
      </c>
      <c r="O1270" s="28" t="n">
        <v>19085</v>
      </c>
      <c r="P1270" s="28" t="n">
        <v>11952</v>
      </c>
      <c r="Q1270" s="28" t="n">
        <v>434630</v>
      </c>
      <c r="R1270" s="28" t="n">
        <v>0</v>
      </c>
      <c r="S1270" s="28">
        <f>Q1270-R1270</f>
        <v/>
      </c>
      <c r="T1270" s="28">
        <f>IF(S1270="","",S1270*(1+in_GrowthRate)^(YEARFRAC(DATE(2025,6,30),in_AgeToDate)*IF(in_AgeToDate&lt;DATE(2025,6,30),-1,1)+1))</f>
        <v/>
      </c>
      <c r="U1270" s="50">
        <f>IF(AND(AND(OR(in_Mode="All Funds",AND(C1270&gt;=in_BandFloor,C1270&lt;=in_BandCeiling,OR(in_Geography="National",COUNTIFS(lst_GeoPreset,in_Geography,lst_GeoState,B1270)&gt;0,AND(in_Geography="Custom",ISNUMBER(SEARCH(B1270,SUBSTITUTE(in_CustomStates," ",""))))),OR(AND(D1270="Endowment",Inputs!$B$14="Y"),AND(D1270="Foundation",Inputs!$B$15="Y"),AND(D1270="Healthcare",Inputs!$B$16="Y"),AND(D1270="Pension",Inputs!$B$17="Y"),AND(D1270="OCIO",Inputs!$B$18="Y"),AND(D1270="Other",Inputs!$B$19="Y")))),A1270&lt;&gt;in_ClientOrg,NOT(AND(in_ExclHarvard="Y",ISNUMBER(SEARCH("Harvard",A1270))))),$AD1270="Y",K1270&lt;&gt;"",S1270&gt;0),"Y","")</f>
        <v/>
      </c>
      <c r="V1270" s="30" t="n">
        <v>0.253897282096278</v>
      </c>
      <c r="W1270" t="inlineStr"/>
      <c r="X1270" s="28">
        <f>IF(L1270+M1270=0,"",L1270+M1270)</f>
        <v/>
      </c>
      <c r="Y1270" s="38">
        <f>IF(L1270=0,"",M1270/L1270)</f>
        <v/>
      </c>
      <c r="Z1270" t="inlineStr">
        <is>
          <t>Director &amp; Investment Officer</t>
        </is>
      </c>
      <c r="AA1270" t="inlineStr">
        <is>
          <t>Investments</t>
        </is>
      </c>
      <c r="AB1270" s="50" t="inlineStr"/>
      <c r="AC1270" s="43">
        <f>HYPERLINK("https://projects.propublica.org/nonprofits/organizations/42103542/202631329349302793/full","view filing")</f>
        <v/>
      </c>
      <c r="AD1270" s="50" t="inlineStr">
        <is>
          <t>Y</t>
        </is>
      </c>
    </row>
    <row r="1271">
      <c r="A1271" t="inlineStr">
        <is>
          <t>Trustees Of Amherst College</t>
        </is>
      </c>
      <c r="B1271" s="50" t="inlineStr">
        <is>
          <t>MA</t>
        </is>
      </c>
      <c r="C1271" s="52" t="n">
        <v>3.9</v>
      </c>
      <c r="D1271" t="inlineStr">
        <is>
          <t>Endowment</t>
        </is>
      </c>
      <c r="E1271" s="50" t="n">
        <v>2024</v>
      </c>
      <c r="F1271" s="50" t="inlineStr">
        <is>
          <t>2025-05-15</t>
        </is>
      </c>
      <c r="G1271" s="50" t="inlineStr">
        <is>
          <t>2024-06-30</t>
        </is>
      </c>
      <c r="H1271" t="inlineStr">
        <is>
          <t>Dawn Bates</t>
        </is>
      </c>
      <c r="I1271" t="inlineStr">
        <is>
          <t>DIRECTOR OF OPERATIONS</t>
        </is>
      </c>
      <c r="J1271" t="inlineStr">
        <is>
          <t>Head of Inv Ops (Inv Entity)</t>
        </is>
      </c>
      <c r="K1271" t="inlineStr">
        <is>
          <t>COO (Investment Office)</t>
        </is>
      </c>
      <c r="L1271" s="28" t="n">
        <v>214344</v>
      </c>
      <c r="M1271" s="28" t="n">
        <v>229000</v>
      </c>
      <c r="N1271" s="28" t="n">
        <v>955</v>
      </c>
      <c r="O1271" s="28" t="n">
        <v>16082</v>
      </c>
      <c r="P1271" s="28" t="n">
        <v>6905</v>
      </c>
      <c r="Q1271" s="28" t="n">
        <v>467286</v>
      </c>
      <c r="R1271" s="28" t="n">
        <v>0</v>
      </c>
      <c r="S1271" s="28">
        <f>Q1271-R1271</f>
        <v/>
      </c>
      <c r="T1271" s="28">
        <f>IF(S1271="","",S1271*(1+in_GrowthRate)^(YEARFRAC(DATE(2024,6,30),in_AgeToDate)*IF(in_AgeToDate&lt;DATE(2024,6,30),-1,1)+1))</f>
        <v/>
      </c>
      <c r="U1271" s="50">
        <f>IF(AND(AND(OR(in_Mode="All Funds",AND(C1271&gt;=in_BandFloor,C1271&lt;=in_BandCeiling,OR(in_Geography="National",COUNTIFS(lst_GeoPreset,in_Geography,lst_GeoState,B1271)&gt;0,AND(in_Geography="Custom",ISNUMBER(SEARCH(B1271,SUBSTITUTE(in_CustomStates," ",""))))),OR(AND(D1271="Endowment",Inputs!$B$14="Y"),AND(D1271="Foundation",Inputs!$B$15="Y"),AND(D1271="Healthcare",Inputs!$B$16="Y"),AND(D1271="Pension",Inputs!$B$17="Y"),AND(D1271="OCIO",Inputs!$B$18="Y"),AND(D1271="Other",Inputs!$B$19="Y")))),A1271&lt;&gt;in_ClientOrg,NOT(AND(in_ExclHarvard="Y",ISNUMBER(SEARCH("Harvard",A1271))))),$AD1271="Y",K1271&lt;&gt;"",S1271&gt;0),"Y","")</f>
        <v/>
      </c>
      <c r="V1271" s="30" t="n">
        <v>0.3022814426107342</v>
      </c>
      <c r="W1271" t="inlineStr"/>
      <c r="X1271" s="28">
        <f>IF(L1271+M1271=0,"",L1271+M1271)</f>
        <v/>
      </c>
      <c r="Y1271" s="38">
        <f>IF(L1271=0,"",M1271/L1271)</f>
        <v/>
      </c>
      <c r="Z1271" t="inlineStr">
        <is>
          <t>COO (Investment Office)</t>
        </is>
      </c>
      <c r="AA1271" t="inlineStr">
        <is>
          <t>Operations &amp; Control</t>
        </is>
      </c>
      <c r="AB1271" s="50" t="inlineStr"/>
      <c r="AC1271" s="43">
        <f>HYPERLINK("https://projects.propublica.org/nonprofits/organizations/42103542/202521359349303002/full","view filing")</f>
        <v/>
      </c>
      <c r="AD1271" s="50" t="inlineStr"/>
    </row>
    <row r="1272">
      <c r="A1272" t="inlineStr">
        <is>
          <t>Trustees Of Amherst College</t>
        </is>
      </c>
      <c r="B1272" s="50" t="inlineStr">
        <is>
          <t>MA</t>
        </is>
      </c>
      <c r="C1272" s="52" t="n">
        <v>3.9</v>
      </c>
      <c r="D1272" t="inlineStr">
        <is>
          <t>Endowment</t>
        </is>
      </c>
      <c r="E1272" s="50" t="n">
        <v>2024</v>
      </c>
      <c r="F1272" s="50" t="inlineStr">
        <is>
          <t>2025-05-15</t>
        </is>
      </c>
      <c r="G1272" s="50" t="inlineStr">
        <is>
          <t>2024-06-30</t>
        </is>
      </c>
      <c r="H1272" t="inlineStr">
        <is>
          <t>Letitia Johnson</t>
        </is>
      </c>
      <c r="I1272" t="inlineStr">
        <is>
          <t>CHIEF INVESTMENT OFFICER</t>
        </is>
      </c>
      <c r="J1272" t="inlineStr">
        <is>
          <t>CIO</t>
        </is>
      </c>
      <c r="K1272" t="inlineStr">
        <is>
          <t>CIO - Top Investment Executive</t>
        </is>
      </c>
      <c r="L1272" s="28" t="n">
        <v>600000</v>
      </c>
      <c r="M1272" s="28" t="n">
        <v>908000</v>
      </c>
      <c r="N1272" s="28" t="n">
        <v>991</v>
      </c>
      <c r="O1272" s="28" t="n">
        <v>34238</v>
      </c>
      <c r="P1272" s="28" t="n">
        <v>2635</v>
      </c>
      <c r="Q1272" s="28" t="n">
        <v>1545864</v>
      </c>
      <c r="R1272" s="28" t="n">
        <v>0</v>
      </c>
      <c r="S1272" s="28">
        <f>Q1272-R1272</f>
        <v/>
      </c>
      <c r="T1272" s="28">
        <f>IF(S1272="","",S1272*(1+in_GrowthRate)^(YEARFRAC(DATE(2024,6,30),in_AgeToDate)*IF(in_AgeToDate&lt;DATE(2024,6,30),-1,1)+1))</f>
        <v/>
      </c>
      <c r="U1272" s="50">
        <f>IF(AND(AND(OR(in_Mode="All Funds",AND(C1272&gt;=in_BandFloor,C1272&lt;=in_BandCeiling,OR(in_Geography="National",COUNTIFS(lst_GeoPreset,in_Geography,lst_GeoState,B1272)&gt;0,AND(in_Geography="Custom",ISNUMBER(SEARCH(B1272,SUBSTITUTE(in_CustomStates," ",""))))),OR(AND(D1272="Endowment",Inputs!$B$14="Y"),AND(D1272="Foundation",Inputs!$B$15="Y"),AND(D1272="Healthcare",Inputs!$B$16="Y"),AND(D1272="Pension",Inputs!$B$17="Y"),AND(D1272="OCIO",Inputs!$B$18="Y"),AND(D1272="Other",Inputs!$B$19="Y")))),A1272&lt;&gt;in_ClientOrg,NOT(AND(in_ExclHarvard="Y",ISNUMBER(SEARCH("Harvard",A1272))))),$AD1272="Y",K1272&lt;&gt;"",S1272&gt;0),"Y","")</f>
        <v/>
      </c>
      <c r="V1272" s="30" t="n">
        <v>1</v>
      </c>
      <c r="W1272" t="inlineStr"/>
      <c r="X1272" s="28">
        <f>IF(L1272+M1272=0,"",L1272+M1272)</f>
        <v/>
      </c>
      <c r="Y1272" s="38">
        <f>IF(L1272=0,"",M1272/L1272)</f>
        <v/>
      </c>
      <c r="Z1272" t="inlineStr">
        <is>
          <t>CIO - Top Investment Executive</t>
        </is>
      </c>
      <c r="AA1272" t="inlineStr">
        <is>
          <t>Leadership</t>
        </is>
      </c>
      <c r="AB1272" s="50" t="inlineStr">
        <is>
          <t>Y</t>
        </is>
      </c>
      <c r="AC1272" s="43">
        <f>HYPERLINK("https://projects.propublica.org/nonprofits/organizations/42103542/202521359349303002/full","view filing")</f>
        <v/>
      </c>
      <c r="AD1272" s="50" t="inlineStr"/>
    </row>
    <row r="1273">
      <c r="A1273" t="inlineStr">
        <is>
          <t>Trustees Of Amherst College</t>
        </is>
      </c>
      <c r="B1273" s="50" t="inlineStr">
        <is>
          <t>MA</t>
        </is>
      </c>
      <c r="C1273" s="52" t="n">
        <v>3.9</v>
      </c>
      <c r="D1273" t="inlineStr">
        <is>
          <t>Endowment</t>
        </is>
      </c>
      <c r="E1273" s="50" t="n">
        <v>2024</v>
      </c>
      <c r="F1273" s="50" t="inlineStr">
        <is>
          <t>2025-05-15</t>
        </is>
      </c>
      <c r="G1273" s="50" t="inlineStr">
        <is>
          <t>2024-06-30</t>
        </is>
      </c>
      <c r="H1273" t="inlineStr">
        <is>
          <t>Shane Levy</t>
        </is>
      </c>
      <c r="I1273" t="inlineStr">
        <is>
          <t>INVESTMENT OFFICER</t>
        </is>
      </c>
      <c r="J1273" t="inlineStr">
        <is>
          <t>Investment Officer</t>
        </is>
      </c>
      <c r="K1273" t="inlineStr">
        <is>
          <t>Sr Investment Professional</t>
        </is>
      </c>
      <c r="L1273" s="28" t="n">
        <v>213251</v>
      </c>
      <c r="M1273" s="28" t="n">
        <v>163000</v>
      </c>
      <c r="N1273" s="28" t="n">
        <v>381</v>
      </c>
      <c r="O1273" s="28" t="n">
        <v>19027</v>
      </c>
      <c r="P1273" s="28" t="n">
        <v>11176</v>
      </c>
      <c r="Q1273" s="28" t="n">
        <v>406835</v>
      </c>
      <c r="R1273" s="28" t="n">
        <v>0</v>
      </c>
      <c r="S1273" s="28">
        <f>Q1273-R1273</f>
        <v/>
      </c>
      <c r="T1273" s="28">
        <f>IF(S1273="","",S1273*(1+in_GrowthRate)^(YEARFRAC(DATE(2024,6,30),in_AgeToDate)*IF(in_AgeToDate&lt;DATE(2024,6,30),-1,1)+1))</f>
        <v/>
      </c>
      <c r="U1273" s="50">
        <f>IF(AND(AND(OR(in_Mode="All Funds",AND(C1273&gt;=in_BandFloor,C1273&lt;=in_BandCeiling,OR(in_Geography="National",COUNTIFS(lst_GeoPreset,in_Geography,lst_GeoState,B1273)&gt;0,AND(in_Geography="Custom",ISNUMBER(SEARCH(B1273,SUBSTITUTE(in_CustomStates," ",""))))),OR(AND(D1273="Endowment",Inputs!$B$14="Y"),AND(D1273="Foundation",Inputs!$B$15="Y"),AND(D1273="Healthcare",Inputs!$B$16="Y"),AND(D1273="Pension",Inputs!$B$17="Y"),AND(D1273="OCIO",Inputs!$B$18="Y"),AND(D1273="Other",Inputs!$B$19="Y")))),A1273&lt;&gt;in_ClientOrg,NOT(AND(in_ExclHarvard="Y",ISNUMBER(SEARCH("Harvard",A1273))))),$AD1273="Y",K1273&lt;&gt;"",S1273&gt;0),"Y","")</f>
        <v/>
      </c>
      <c r="V1273" s="30" t="n">
        <v>0.2631764501922549</v>
      </c>
      <c r="W1273" t="inlineStr"/>
      <c r="X1273" s="28">
        <f>IF(L1273+M1273=0,"",L1273+M1273)</f>
        <v/>
      </c>
      <c r="Y1273" s="38">
        <f>IF(L1273=0,"",M1273/L1273)</f>
        <v/>
      </c>
      <c r="Z1273" t="inlineStr">
        <is>
          <t>Director &amp; Investment Officer</t>
        </is>
      </c>
      <c r="AA1273" t="inlineStr">
        <is>
          <t>Investments</t>
        </is>
      </c>
      <c r="AB1273" s="50" t="inlineStr"/>
      <c r="AC1273" s="43">
        <f>HYPERLINK("https://projects.propublica.org/nonprofits/organizations/42103542/202521359349303002/full","view filing")</f>
        <v/>
      </c>
      <c r="AD1273" s="50" t="inlineStr"/>
    </row>
    <row r="1274">
      <c r="A1274" t="inlineStr">
        <is>
          <t>Trustees Of Amherst College</t>
        </is>
      </c>
      <c r="B1274" s="50" t="inlineStr">
        <is>
          <t>MA</t>
        </is>
      </c>
      <c r="C1274" s="52" t="n">
        <v>3.9</v>
      </c>
      <c r="D1274" t="inlineStr">
        <is>
          <t>Endowment</t>
        </is>
      </c>
      <c r="E1274" s="50" t="n">
        <v>2023</v>
      </c>
      <c r="F1274" s="50" t="inlineStr">
        <is>
          <t>2024-05-15</t>
        </is>
      </c>
      <c r="G1274" s="50" t="inlineStr">
        <is>
          <t>2023-06-30</t>
        </is>
      </c>
      <c r="H1274" t="inlineStr">
        <is>
          <t>Dawn Bates</t>
        </is>
      </c>
      <c r="I1274" t="inlineStr">
        <is>
          <t>DIRECTOR OF OPERATIONS-INVESTMENTS</t>
        </is>
      </c>
      <c r="J1274" t="inlineStr">
        <is>
          <t>Head of Inv Ops (Inv Entity)</t>
        </is>
      </c>
      <c r="K1274" t="inlineStr">
        <is>
          <t>COO (Investment Office)</t>
        </is>
      </c>
      <c r="L1274" s="28" t="n">
        <v>218075</v>
      </c>
      <c r="M1274" s="28" t="n">
        <v>188380</v>
      </c>
      <c r="N1274" s="28" t="n">
        <v>1137</v>
      </c>
      <c r="O1274" s="28" t="n">
        <v>25186</v>
      </c>
      <c r="P1274" s="28" t="n">
        <v>2921</v>
      </c>
      <c r="Q1274" s="28" t="n">
        <v>435699</v>
      </c>
      <c r="R1274" s="28" t="n">
        <v>0</v>
      </c>
      <c r="S1274" s="28">
        <f>Q1274-R1274</f>
        <v/>
      </c>
      <c r="T1274" s="28">
        <f>IF(S1274="","",S1274*(1+in_GrowthRate)^(YEARFRAC(DATE(2023,6,30),in_AgeToDate)*IF(in_AgeToDate&lt;DATE(2023,6,30),-1,1)+1))</f>
        <v/>
      </c>
      <c r="U1274" s="50">
        <f>IF(AND(AND(OR(in_Mode="All Funds",AND(C1274&gt;=in_BandFloor,C1274&lt;=in_BandCeiling,OR(in_Geography="National",COUNTIFS(lst_GeoPreset,in_Geography,lst_GeoState,B1274)&gt;0,AND(in_Geography="Custom",ISNUMBER(SEARCH(B1274,SUBSTITUTE(in_CustomStates," ",""))))),OR(AND(D1274="Endowment",Inputs!$B$14="Y"),AND(D1274="Foundation",Inputs!$B$15="Y"),AND(D1274="Healthcare",Inputs!$B$16="Y"),AND(D1274="Pension",Inputs!$B$17="Y"),AND(D1274="OCIO",Inputs!$B$18="Y"),AND(D1274="Other",Inputs!$B$19="Y")))),A1274&lt;&gt;in_ClientOrg,NOT(AND(in_ExclHarvard="Y",ISNUMBER(SEARCH("Harvard",A1274))))),$AD1274="Y",K1274&lt;&gt;"",S1274&gt;0),"Y","")</f>
        <v/>
      </c>
      <c r="V1274" s="30" t="n">
        <v>0.2894690685279896</v>
      </c>
      <c r="W1274" t="inlineStr"/>
      <c r="X1274" s="28">
        <f>IF(L1274+M1274=0,"",L1274+M1274)</f>
        <v/>
      </c>
      <c r="Y1274" s="38">
        <f>IF(L1274=0,"",M1274/L1274)</f>
        <v/>
      </c>
      <c r="Z1274" t="inlineStr">
        <is>
          <t>COO (Investment Office)</t>
        </is>
      </c>
      <c r="AA1274" t="inlineStr">
        <is>
          <t>Operations &amp; Control</t>
        </is>
      </c>
      <c r="AB1274" s="50" t="inlineStr"/>
      <c r="AC1274" s="43">
        <f>HYPERLINK("https://projects.propublica.org/nonprofits/organizations/42103542/202401369349308800/full","view filing")</f>
        <v/>
      </c>
      <c r="AD1274" s="50" t="inlineStr"/>
    </row>
    <row r="1275">
      <c r="A1275" t="inlineStr">
        <is>
          <t>Trustees Of Amherst College</t>
        </is>
      </c>
      <c r="B1275" s="50" t="inlineStr">
        <is>
          <t>MA</t>
        </is>
      </c>
      <c r="C1275" s="52" t="n">
        <v>3.9</v>
      </c>
      <c r="D1275" t="inlineStr">
        <is>
          <t>Endowment</t>
        </is>
      </c>
      <c r="E1275" s="50" t="n">
        <v>2023</v>
      </c>
      <c r="F1275" s="50" t="inlineStr">
        <is>
          <t>2024-05-15</t>
        </is>
      </c>
      <c r="G1275" s="50" t="inlineStr">
        <is>
          <t>2023-06-30</t>
        </is>
      </c>
      <c r="H1275" t="inlineStr">
        <is>
          <t>Letitia Johnson</t>
        </is>
      </c>
      <c r="I1275" t="inlineStr">
        <is>
          <t>CHIEF INVESTMENT OFFICER</t>
        </is>
      </c>
      <c r="J1275" t="inlineStr">
        <is>
          <t>CIO</t>
        </is>
      </c>
      <c r="K1275" t="inlineStr">
        <is>
          <t>CIO - Top Investment Executive</t>
        </is>
      </c>
      <c r="L1275" s="28" t="n">
        <v>600000</v>
      </c>
      <c r="M1275" s="28" t="n">
        <v>867000</v>
      </c>
      <c r="N1275" s="28" t="n">
        <v>882</v>
      </c>
      <c r="O1275" s="28" t="n">
        <v>34900</v>
      </c>
      <c r="P1275" s="28" t="n">
        <v>2384</v>
      </c>
      <c r="Q1275" s="28" t="n">
        <v>1505166</v>
      </c>
      <c r="R1275" s="28" t="n">
        <v>0</v>
      </c>
      <c r="S1275" s="28">
        <f>Q1275-R1275</f>
        <v/>
      </c>
      <c r="T1275" s="28">
        <f>IF(S1275="","",S1275*(1+in_GrowthRate)^(YEARFRAC(DATE(2023,6,30),in_AgeToDate)*IF(in_AgeToDate&lt;DATE(2023,6,30),-1,1)+1))</f>
        <v/>
      </c>
      <c r="U1275" s="50">
        <f>IF(AND(AND(OR(in_Mode="All Funds",AND(C1275&gt;=in_BandFloor,C1275&lt;=in_BandCeiling,OR(in_Geography="National",COUNTIFS(lst_GeoPreset,in_Geography,lst_GeoState,B1275)&gt;0,AND(in_Geography="Custom",ISNUMBER(SEARCH(B1275,SUBSTITUTE(in_CustomStates," ",""))))),OR(AND(D1275="Endowment",Inputs!$B$14="Y"),AND(D1275="Foundation",Inputs!$B$15="Y"),AND(D1275="Healthcare",Inputs!$B$16="Y"),AND(D1275="Pension",Inputs!$B$17="Y"),AND(D1275="OCIO",Inputs!$B$18="Y"),AND(D1275="Other",Inputs!$B$19="Y")))),A1275&lt;&gt;in_ClientOrg,NOT(AND(in_ExclHarvard="Y",ISNUMBER(SEARCH("Harvard",A1275))))),$AD1275="Y",K1275&lt;&gt;"",S1275&gt;0),"Y","")</f>
        <v/>
      </c>
      <c r="V1275" s="30" t="n">
        <v>1</v>
      </c>
      <c r="W1275" t="inlineStr"/>
      <c r="X1275" s="28">
        <f>IF(L1275+M1275=0,"",L1275+M1275)</f>
        <v/>
      </c>
      <c r="Y1275" s="38">
        <f>IF(L1275=0,"",M1275/L1275)</f>
        <v/>
      </c>
      <c r="Z1275" t="inlineStr">
        <is>
          <t>CIO - Top Investment Executive</t>
        </is>
      </c>
      <c r="AA1275" t="inlineStr">
        <is>
          <t>Leadership</t>
        </is>
      </c>
      <c r="AB1275" s="50" t="inlineStr">
        <is>
          <t>Y</t>
        </is>
      </c>
      <c r="AC1275" s="43">
        <f>HYPERLINK("https://projects.propublica.org/nonprofits/organizations/42103542/202401369349308800/full","view filing")</f>
        <v/>
      </c>
      <c r="AD1275" s="50" t="inlineStr"/>
    </row>
    <row r="1276">
      <c r="A1276" t="inlineStr">
        <is>
          <t>Trustees Of Amherst College</t>
        </is>
      </c>
      <c r="B1276" s="50" t="inlineStr">
        <is>
          <t>MA</t>
        </is>
      </c>
      <c r="C1276" s="52" t="n">
        <v>3.9</v>
      </c>
      <c r="D1276" t="inlineStr">
        <is>
          <t>Endowment</t>
        </is>
      </c>
      <c r="E1276" s="50" t="n">
        <v>2023</v>
      </c>
      <c r="F1276" s="50" t="inlineStr">
        <is>
          <t>2024-05-15</t>
        </is>
      </c>
      <c r="G1276" s="50" t="inlineStr">
        <is>
          <t>2023-06-30</t>
        </is>
      </c>
      <c r="H1276" t="inlineStr">
        <is>
          <t>Shane Levy</t>
        </is>
      </c>
      <c r="I1276" t="inlineStr">
        <is>
          <t>INVESTMENT OFFICER</t>
        </is>
      </c>
      <c r="J1276" t="inlineStr">
        <is>
          <t>Investment Officer</t>
        </is>
      </c>
      <c r="K1276" t="inlineStr">
        <is>
          <t>Sr Investment Professional</t>
        </is>
      </c>
      <c r="L1276" s="28" t="n">
        <v>213306</v>
      </c>
      <c r="M1276" s="28" t="n">
        <v>131760</v>
      </c>
      <c r="N1276" s="28" t="n">
        <v>619</v>
      </c>
      <c r="O1276" s="28" t="n">
        <v>24577</v>
      </c>
      <c r="P1276" s="28" t="n">
        <v>10687</v>
      </c>
      <c r="Q1276" s="28" t="n">
        <v>380949</v>
      </c>
      <c r="R1276" s="28" t="n">
        <v>0</v>
      </c>
      <c r="S1276" s="28">
        <f>Q1276-R1276</f>
        <v/>
      </c>
      <c r="T1276" s="28">
        <f>IF(S1276="","",S1276*(1+in_GrowthRate)^(YEARFRAC(DATE(2023,6,30),in_AgeToDate)*IF(in_AgeToDate&lt;DATE(2023,6,30),-1,1)+1))</f>
        <v/>
      </c>
      <c r="U1276" s="50">
        <f>IF(AND(AND(OR(in_Mode="All Funds",AND(C1276&gt;=in_BandFloor,C1276&lt;=in_BandCeiling,OR(in_Geography="National",COUNTIFS(lst_GeoPreset,in_Geography,lst_GeoState,B1276)&gt;0,AND(in_Geography="Custom",ISNUMBER(SEARCH(B1276,SUBSTITUTE(in_CustomStates," ",""))))),OR(AND(D1276="Endowment",Inputs!$B$14="Y"),AND(D1276="Foundation",Inputs!$B$15="Y"),AND(D1276="Healthcare",Inputs!$B$16="Y"),AND(D1276="Pension",Inputs!$B$17="Y"),AND(D1276="OCIO",Inputs!$B$18="Y"),AND(D1276="Other",Inputs!$B$19="Y")))),A1276&lt;&gt;in_ClientOrg,NOT(AND(in_ExclHarvard="Y",ISNUMBER(SEARCH("Harvard",A1276))))),$AD1276="Y",K1276&lt;&gt;"",S1276&gt;0),"Y","")</f>
        <v/>
      </c>
      <c r="V1276" s="30" t="n">
        <v>0.2530943430824241</v>
      </c>
      <c r="W1276" t="inlineStr"/>
      <c r="X1276" s="28">
        <f>IF(L1276+M1276=0,"",L1276+M1276)</f>
        <v/>
      </c>
      <c r="Y1276" s="38">
        <f>IF(L1276=0,"",M1276/L1276)</f>
        <v/>
      </c>
      <c r="Z1276" t="inlineStr">
        <is>
          <t>Director &amp; Investment Officer</t>
        </is>
      </c>
      <c r="AA1276" t="inlineStr">
        <is>
          <t>Investments</t>
        </is>
      </c>
      <c r="AB1276" s="50" t="inlineStr"/>
      <c r="AC1276" s="43">
        <f>HYPERLINK("https://projects.propublica.org/nonprofits/organizations/42103542/202401369349308800/full","view filing")</f>
        <v/>
      </c>
      <c r="AD1276" s="50" t="inlineStr"/>
    </row>
    <row r="1277">
      <c r="A1277" t="inlineStr">
        <is>
          <t>Trustees Of Amherst College</t>
        </is>
      </c>
      <c r="B1277" s="50" t="inlineStr">
        <is>
          <t>MA</t>
        </is>
      </c>
      <c r="C1277" s="52" t="n">
        <v>3.9</v>
      </c>
      <c r="D1277" t="inlineStr">
        <is>
          <t>Endowment</t>
        </is>
      </c>
      <c r="E1277" s="50" t="n">
        <v>2022</v>
      </c>
      <c r="F1277" s="50" t="inlineStr">
        <is>
          <t>2023-05-15</t>
        </is>
      </c>
      <c r="G1277" s="50" t="inlineStr">
        <is>
          <t>2022-06-30</t>
        </is>
      </c>
      <c r="H1277" t="inlineStr">
        <is>
          <t>Letitia Johnson</t>
        </is>
      </c>
      <c r="I1277" t="inlineStr">
        <is>
          <t>CHIEF INVESTMENT OFFICER</t>
        </is>
      </c>
      <c r="J1277" t="inlineStr">
        <is>
          <t>CIO</t>
        </is>
      </c>
      <c r="K1277" t="inlineStr">
        <is>
          <t>CIO - Top Investment Executive</t>
        </is>
      </c>
      <c r="L1277" s="28" t="n">
        <v>550000</v>
      </c>
      <c r="M1277" s="28" t="n">
        <v>451000</v>
      </c>
      <c r="N1277" s="28" t="n">
        <v>1745</v>
      </c>
      <c r="O1277" s="28" t="n">
        <v>26934</v>
      </c>
      <c r="P1277" s="28" t="n">
        <v>2183</v>
      </c>
      <c r="Q1277" s="28" t="n">
        <v>1031862</v>
      </c>
      <c r="R1277" s="28" t="n">
        <v>0</v>
      </c>
      <c r="S1277" s="28">
        <f>Q1277-R1277</f>
        <v/>
      </c>
      <c r="T1277" s="28">
        <f>IF(S1277="","",S1277*(1+in_GrowthRate)^(YEARFRAC(DATE(2022,6,30),in_AgeToDate)*IF(in_AgeToDate&lt;DATE(2022,6,30),-1,1)+1))</f>
        <v/>
      </c>
      <c r="U1277" s="50">
        <f>IF(AND(AND(OR(in_Mode="All Funds",AND(C1277&gt;=in_BandFloor,C1277&lt;=in_BandCeiling,OR(in_Geography="National",COUNTIFS(lst_GeoPreset,in_Geography,lst_GeoState,B1277)&gt;0,AND(in_Geography="Custom",ISNUMBER(SEARCH(B1277,SUBSTITUTE(in_CustomStates," ",""))))),OR(AND(D1277="Endowment",Inputs!$B$14="Y"),AND(D1277="Foundation",Inputs!$B$15="Y"),AND(D1277="Healthcare",Inputs!$B$16="Y"),AND(D1277="Pension",Inputs!$B$17="Y"),AND(D1277="OCIO",Inputs!$B$18="Y"),AND(D1277="Other",Inputs!$B$19="Y")))),A1277&lt;&gt;in_ClientOrg,NOT(AND(in_ExclHarvard="Y",ISNUMBER(SEARCH("Harvard",A1277))))),$AD1277="Y",K1277&lt;&gt;"",S1277&gt;0),"Y","")</f>
        <v/>
      </c>
      <c r="V1277" s="30" t="n">
        <v>1</v>
      </c>
      <c r="W1277" t="inlineStr"/>
      <c r="X1277" s="28">
        <f>IF(L1277+M1277=0,"",L1277+M1277)</f>
        <v/>
      </c>
      <c r="Y1277" s="38">
        <f>IF(L1277=0,"",M1277/L1277)</f>
        <v/>
      </c>
      <c r="Z1277" t="inlineStr">
        <is>
          <t>CIO - Top Investment Executive</t>
        </is>
      </c>
      <c r="AA1277" t="inlineStr">
        <is>
          <t>Leadership</t>
        </is>
      </c>
      <c r="AB1277" s="50" t="inlineStr">
        <is>
          <t>Y</t>
        </is>
      </c>
      <c r="AC1277" s="43">
        <f>HYPERLINK("https://projects.propublica.org/nonprofits/organizations/42103542/202321359349317787/full","view filing")</f>
        <v/>
      </c>
      <c r="AD1277" s="50" t="inlineStr"/>
    </row>
    <row r="1278">
      <c r="A1278" t="inlineStr">
        <is>
          <t>Trustees Of Boston University</t>
        </is>
      </c>
      <c r="B1278" s="50" t="inlineStr">
        <is>
          <t>MA</t>
        </is>
      </c>
      <c r="C1278" s="52" t="n">
        <v>4.02</v>
      </c>
      <c r="D1278" t="inlineStr">
        <is>
          <t>Endowment</t>
        </is>
      </c>
      <c r="E1278" s="50" t="n">
        <v>2025</v>
      </c>
      <c r="F1278" s="50" t="inlineStr">
        <is>
          <t>2026-05-13</t>
        </is>
      </c>
      <c r="G1278" s="50" t="inlineStr">
        <is>
          <t>2025-06-30</t>
        </is>
      </c>
      <c r="H1278" t="inlineStr">
        <is>
          <t>Clarissa C Hunnewell</t>
        </is>
      </c>
      <c r="I1278" t="inlineStr">
        <is>
          <t>CHIEF INVESTMENT OFFICER</t>
        </is>
      </c>
      <c r="J1278" t="inlineStr">
        <is>
          <t>CIO</t>
        </is>
      </c>
      <c r="K1278" t="inlineStr">
        <is>
          <t>CIO - Top Investment Executive</t>
        </is>
      </c>
      <c r="L1278" s="28" t="n">
        <v>902169</v>
      </c>
      <c r="M1278" s="28" t="n">
        <v>612358</v>
      </c>
      <c r="N1278" s="28" t="n">
        <v>6799</v>
      </c>
      <c r="O1278" s="28" t="n">
        <v>40022</v>
      </c>
      <c r="P1278" s="28" t="n">
        <v>22991</v>
      </c>
      <c r="Q1278" s="28" t="n">
        <v>1584339</v>
      </c>
      <c r="R1278" s="28" t="n">
        <v>0</v>
      </c>
      <c r="S1278" s="28">
        <f>Q1278-R1278</f>
        <v/>
      </c>
      <c r="T1278" s="28">
        <f>IF(S1278="","",S1278*(1+in_GrowthRate)^(YEARFRAC(DATE(2025,6,30),in_AgeToDate)*IF(in_AgeToDate&lt;DATE(2025,6,30),-1,1)+1))</f>
        <v/>
      </c>
      <c r="U1278" s="50">
        <f>IF(AND(AND(OR(in_Mode="All Funds",AND(C1278&gt;=in_BandFloor,C1278&lt;=in_BandCeiling,OR(in_Geography="National",COUNTIFS(lst_GeoPreset,in_Geography,lst_GeoState,B1278)&gt;0,AND(in_Geography="Custom",ISNUMBER(SEARCH(B1278,SUBSTITUTE(in_CustomStates," ",""))))),OR(AND(D1278="Endowment",Inputs!$B$14="Y"),AND(D1278="Foundation",Inputs!$B$15="Y"),AND(D1278="Healthcare",Inputs!$B$16="Y"),AND(D1278="Pension",Inputs!$B$17="Y"),AND(D1278="OCIO",Inputs!$B$18="Y"),AND(D1278="Other",Inputs!$B$19="Y")))),A1278&lt;&gt;in_ClientOrg,NOT(AND(in_ExclHarvard="Y",ISNUMBER(SEARCH("Harvard",A1278))))),$AD1278="Y",K1278&lt;&gt;"",S1278&gt;0),"Y","")</f>
        <v/>
      </c>
      <c r="V1278" s="30" t="n">
        <v>1</v>
      </c>
      <c r="W1278" t="inlineStr"/>
      <c r="X1278" s="28">
        <f>IF(L1278+M1278=0,"",L1278+M1278)</f>
        <v/>
      </c>
      <c r="Y1278" s="38">
        <f>IF(L1278=0,"",M1278/L1278)</f>
        <v/>
      </c>
      <c r="Z1278" t="inlineStr">
        <is>
          <t>CIO - Top Investment Executive</t>
        </is>
      </c>
      <c r="AA1278" t="inlineStr">
        <is>
          <t>Leadership</t>
        </is>
      </c>
      <c r="AB1278" s="50" t="inlineStr">
        <is>
          <t>Y</t>
        </is>
      </c>
      <c r="AC1278" s="43">
        <f>HYPERLINK("https://projects.propublica.org/nonprofits/organizations/42103547/202611339349301666/full","view filing")</f>
        <v/>
      </c>
      <c r="AD1278" s="50" t="inlineStr">
        <is>
          <t>Y</t>
        </is>
      </c>
    </row>
    <row r="1279">
      <c r="A1279" t="inlineStr">
        <is>
          <t>Trustees Of Boston University</t>
        </is>
      </c>
      <c r="B1279" s="50" t="inlineStr">
        <is>
          <t>MA</t>
        </is>
      </c>
      <c r="C1279" s="52" t="n">
        <v>4.02</v>
      </c>
      <c r="D1279" t="inlineStr">
        <is>
          <t>Endowment</t>
        </is>
      </c>
      <c r="E1279" s="50" t="n">
        <v>2024</v>
      </c>
      <c r="F1279" s="50" t="inlineStr">
        <is>
          <t>2025-05-14</t>
        </is>
      </c>
      <c r="G1279" s="50" t="inlineStr">
        <is>
          <t>2024-06-30</t>
        </is>
      </c>
      <c r="H1279" t="inlineStr">
        <is>
          <t>Clarissa C Hunnewell</t>
        </is>
      </c>
      <c r="I1279" t="inlineStr">
        <is>
          <t>CHIEF INVESTMENT OFFICER</t>
        </is>
      </c>
      <c r="J1279" t="inlineStr">
        <is>
          <t>CIO</t>
        </is>
      </c>
      <c r="K1279" t="inlineStr">
        <is>
          <t>CIO - Top Investment Executive</t>
        </is>
      </c>
      <c r="L1279" s="28" t="n">
        <v>867540</v>
      </c>
      <c r="M1279" s="28" t="n">
        <v>538584</v>
      </c>
      <c r="N1279" s="28" t="n">
        <v>6522</v>
      </c>
      <c r="O1279" s="28" t="n">
        <v>38268</v>
      </c>
      <c r="P1279" s="28" t="n">
        <v>21854</v>
      </c>
      <c r="Q1279" s="28" t="n">
        <v>1472768</v>
      </c>
      <c r="R1279" s="28" t="n">
        <v>0</v>
      </c>
      <c r="S1279" s="28">
        <f>Q1279-R1279</f>
        <v/>
      </c>
      <c r="T1279" s="28">
        <f>IF(S1279="","",S1279*(1+in_GrowthRate)^(YEARFRAC(DATE(2024,6,30),in_AgeToDate)*IF(in_AgeToDate&lt;DATE(2024,6,30),-1,1)+1))</f>
        <v/>
      </c>
      <c r="U1279" s="50">
        <f>IF(AND(AND(OR(in_Mode="All Funds",AND(C1279&gt;=in_BandFloor,C1279&lt;=in_BandCeiling,OR(in_Geography="National",COUNTIFS(lst_GeoPreset,in_Geography,lst_GeoState,B1279)&gt;0,AND(in_Geography="Custom",ISNUMBER(SEARCH(B1279,SUBSTITUTE(in_CustomStates," ",""))))),OR(AND(D1279="Endowment",Inputs!$B$14="Y"),AND(D1279="Foundation",Inputs!$B$15="Y"),AND(D1279="Healthcare",Inputs!$B$16="Y"),AND(D1279="Pension",Inputs!$B$17="Y"),AND(D1279="OCIO",Inputs!$B$18="Y"),AND(D1279="Other",Inputs!$B$19="Y")))),A1279&lt;&gt;in_ClientOrg,NOT(AND(in_ExclHarvard="Y",ISNUMBER(SEARCH("Harvard",A1279))))),$AD1279="Y",K1279&lt;&gt;"",S1279&gt;0),"Y","")</f>
        <v/>
      </c>
      <c r="V1279" s="30" t="n">
        <v>1</v>
      </c>
      <c r="W1279" t="inlineStr"/>
      <c r="X1279" s="28">
        <f>IF(L1279+M1279=0,"",L1279+M1279)</f>
        <v/>
      </c>
      <c r="Y1279" s="38">
        <f>IF(L1279=0,"",M1279/L1279)</f>
        <v/>
      </c>
      <c r="Z1279" t="inlineStr">
        <is>
          <t>CIO - Top Investment Executive</t>
        </is>
      </c>
      <c r="AA1279" t="inlineStr">
        <is>
          <t>Leadership</t>
        </is>
      </c>
      <c r="AB1279" s="50" t="inlineStr">
        <is>
          <t>Y</t>
        </is>
      </c>
      <c r="AC1279" s="43">
        <f>HYPERLINK("https://projects.propublica.org/nonprofits/organizations/42103547/202511349349311621/full","view filing")</f>
        <v/>
      </c>
      <c r="AD1279" s="50" t="inlineStr"/>
    </row>
    <row r="1280">
      <c r="A1280" t="inlineStr">
        <is>
          <t>Trustees Of Boston University</t>
        </is>
      </c>
      <c r="B1280" s="50" t="inlineStr">
        <is>
          <t>MA</t>
        </is>
      </c>
      <c r="C1280" s="52" t="n">
        <v>4.02</v>
      </c>
      <c r="D1280" t="inlineStr">
        <is>
          <t>Endowment</t>
        </is>
      </c>
      <c r="E1280" s="50" t="n">
        <v>2023</v>
      </c>
      <c r="F1280" s="50" t="inlineStr">
        <is>
          <t>2024-05-15</t>
        </is>
      </c>
      <c r="G1280" s="50" t="inlineStr">
        <is>
          <t>2023-06-30</t>
        </is>
      </c>
      <c r="H1280" t="inlineStr">
        <is>
          <t>Clarissa C Hunnewell</t>
        </is>
      </c>
      <c r="I1280" t="inlineStr">
        <is>
          <t>CIO, ASSISTANT TREASURER</t>
        </is>
      </c>
      <c r="J1280" t="inlineStr">
        <is>
          <t>CIO</t>
        </is>
      </c>
      <c r="K1280" t="inlineStr">
        <is>
          <t>CIO - Top Investment Executive</t>
        </is>
      </c>
      <c r="L1280" s="28" t="n">
        <v>797870</v>
      </c>
      <c r="M1280" s="28" t="n">
        <v>492161</v>
      </c>
      <c r="N1280" s="28" t="n">
        <v>5944</v>
      </c>
      <c r="O1280" s="28" t="n">
        <v>35306</v>
      </c>
      <c r="P1280" s="28" t="n">
        <v>9182</v>
      </c>
      <c r="Q1280" s="28" t="n">
        <v>1340463</v>
      </c>
      <c r="R1280" s="28" t="n">
        <v>0</v>
      </c>
      <c r="S1280" s="28">
        <f>Q1280-R1280</f>
        <v/>
      </c>
      <c r="T1280" s="28">
        <f>IF(S1280="","",S1280*(1+in_GrowthRate)^(YEARFRAC(DATE(2023,6,30),in_AgeToDate)*IF(in_AgeToDate&lt;DATE(2023,6,30),-1,1)+1))</f>
        <v/>
      </c>
      <c r="U1280" s="50">
        <f>IF(AND(AND(OR(in_Mode="All Funds",AND(C1280&gt;=in_BandFloor,C1280&lt;=in_BandCeiling,OR(in_Geography="National",COUNTIFS(lst_GeoPreset,in_Geography,lst_GeoState,B1280)&gt;0,AND(in_Geography="Custom",ISNUMBER(SEARCH(B1280,SUBSTITUTE(in_CustomStates," ",""))))),OR(AND(D1280="Endowment",Inputs!$B$14="Y"),AND(D1280="Foundation",Inputs!$B$15="Y"),AND(D1280="Healthcare",Inputs!$B$16="Y"),AND(D1280="Pension",Inputs!$B$17="Y"),AND(D1280="OCIO",Inputs!$B$18="Y"),AND(D1280="Other",Inputs!$B$19="Y")))),A1280&lt;&gt;in_ClientOrg,NOT(AND(in_ExclHarvard="Y",ISNUMBER(SEARCH("Harvard",A1280))))),$AD1280="Y",K1280&lt;&gt;"",S1280&gt;0),"Y","")</f>
        <v/>
      </c>
      <c r="V1280" s="30" t="n">
        <v>1</v>
      </c>
      <c r="W1280" t="inlineStr"/>
      <c r="X1280" s="28">
        <f>IF(L1280+M1280=0,"",L1280+M1280)</f>
        <v/>
      </c>
      <c r="Y1280" s="38">
        <f>IF(L1280=0,"",M1280/L1280)</f>
        <v/>
      </c>
      <c r="Z1280" t="inlineStr">
        <is>
          <t>CIO - Top Investment Executive</t>
        </is>
      </c>
      <c r="AA1280" t="inlineStr">
        <is>
          <t>Leadership</t>
        </is>
      </c>
      <c r="AB1280" s="50" t="inlineStr">
        <is>
          <t>Y</t>
        </is>
      </c>
      <c r="AC1280" s="43">
        <f>HYPERLINK("https://projects.propublica.org/nonprofits/organizations/42103547/202431369349307023/full","view filing")</f>
        <v/>
      </c>
      <c r="AD1280" s="50" t="inlineStr"/>
    </row>
    <row r="1281">
      <c r="A1281" t="inlineStr">
        <is>
          <t>Trustees Of Boston University</t>
        </is>
      </c>
      <c r="B1281" s="50" t="inlineStr">
        <is>
          <t>MA</t>
        </is>
      </c>
      <c r="C1281" s="52" t="n">
        <v>4.02</v>
      </c>
      <c r="D1281" t="inlineStr">
        <is>
          <t>Endowment</t>
        </is>
      </c>
      <c r="E1281" s="50" t="n">
        <v>2022</v>
      </c>
      <c r="F1281" s="50" t="inlineStr">
        <is>
          <t>2023-05-15</t>
        </is>
      </c>
      <c r="G1281" s="50" t="inlineStr">
        <is>
          <t>2022-06-30</t>
        </is>
      </c>
      <c r="H1281" t="inlineStr">
        <is>
          <t>Clarissa Hunnewell</t>
        </is>
      </c>
      <c r="I1281" t="inlineStr">
        <is>
          <t>CHIEF INVESTMENT OFFICER</t>
        </is>
      </c>
      <c r="J1281" t="inlineStr">
        <is>
          <t>CIO</t>
        </is>
      </c>
      <c r="K1281" t="inlineStr">
        <is>
          <t>CIO - Top Investment Executive</t>
        </is>
      </c>
      <c r="L1281" s="28" t="n">
        <v>688050</v>
      </c>
      <c r="M1281" s="28" t="n">
        <v>529732</v>
      </c>
      <c r="N1281" s="28" t="n">
        <v>5057</v>
      </c>
      <c r="O1281" s="28" t="n">
        <v>600</v>
      </c>
      <c r="P1281" s="28" t="n">
        <v>819</v>
      </c>
      <c r="Q1281" s="28" t="n">
        <v>1224258</v>
      </c>
      <c r="R1281" s="28" t="n">
        <v>0</v>
      </c>
      <c r="S1281" s="28">
        <f>Q1281-R1281</f>
        <v/>
      </c>
      <c r="T1281" s="28">
        <f>IF(S1281="","",S1281*(1+in_GrowthRate)^(YEARFRAC(DATE(2022,6,30),in_AgeToDate)*IF(in_AgeToDate&lt;DATE(2022,6,30),-1,1)+1))</f>
        <v/>
      </c>
      <c r="U1281" s="50">
        <f>IF(AND(AND(OR(in_Mode="All Funds",AND(C1281&gt;=in_BandFloor,C1281&lt;=in_BandCeiling,OR(in_Geography="National",COUNTIFS(lst_GeoPreset,in_Geography,lst_GeoState,B1281)&gt;0,AND(in_Geography="Custom",ISNUMBER(SEARCH(B1281,SUBSTITUTE(in_CustomStates," ",""))))),OR(AND(D1281="Endowment",Inputs!$B$14="Y"),AND(D1281="Foundation",Inputs!$B$15="Y"),AND(D1281="Healthcare",Inputs!$B$16="Y"),AND(D1281="Pension",Inputs!$B$17="Y"),AND(D1281="OCIO",Inputs!$B$18="Y"),AND(D1281="Other",Inputs!$B$19="Y")))),A1281&lt;&gt;in_ClientOrg,NOT(AND(in_ExclHarvard="Y",ISNUMBER(SEARCH("Harvard",A1281))))),$AD1281="Y",K1281&lt;&gt;"",S1281&gt;0),"Y","")</f>
        <v/>
      </c>
      <c r="V1281" s="30" t="n">
        <v>1</v>
      </c>
      <c r="W1281" t="inlineStr"/>
      <c r="X1281" s="28">
        <f>IF(L1281+M1281=0,"",L1281+M1281)</f>
        <v/>
      </c>
      <c r="Y1281" s="38">
        <f>IF(L1281=0,"",M1281/L1281)</f>
        <v/>
      </c>
      <c r="Z1281" t="inlineStr">
        <is>
          <t>CIO - Top Investment Executive</t>
        </is>
      </c>
      <c r="AA1281" t="inlineStr">
        <is>
          <t>Leadership</t>
        </is>
      </c>
      <c r="AB1281" s="50" t="inlineStr">
        <is>
          <t>Y</t>
        </is>
      </c>
      <c r="AC1281" s="43">
        <f>HYPERLINK("https://projects.propublica.org/nonprofits/organizations/42103547/202311359349304581/full","view filing")</f>
        <v/>
      </c>
      <c r="AD1281" s="50" t="inlineStr"/>
    </row>
    <row r="1282">
      <c r="A1282" t="inlineStr">
        <is>
          <t>Trustees Of Columbia University</t>
        </is>
      </c>
      <c r="B1282" s="50" t="inlineStr">
        <is>
          <t>NY</t>
        </is>
      </c>
      <c r="C1282" s="52" t="n">
        <v>15.92</v>
      </c>
      <c r="D1282" t="inlineStr">
        <is>
          <t>Endowment</t>
        </is>
      </c>
      <c r="E1282" s="50" t="n">
        <v>2025</v>
      </c>
      <c r="F1282" s="50" t="inlineStr">
        <is>
          <t>2026-05-15</t>
        </is>
      </c>
      <c r="G1282" s="50" t="inlineStr">
        <is>
          <t>2025-06-30</t>
        </is>
      </c>
      <c r="H1282" t="inlineStr">
        <is>
          <t>Kim Lew</t>
        </is>
      </c>
      <c r="I1282" t="inlineStr">
        <is>
          <t>CEO OF IMC</t>
        </is>
      </c>
      <c r="J1282" t="inlineStr">
        <is>
          <t>CEO (Inv Entity)</t>
        </is>
      </c>
      <c r="K1282" t="inlineStr">
        <is>
          <t>CIO - Top Investment Executive</t>
        </is>
      </c>
      <c r="L1282" s="28" t="n">
        <v>1089729</v>
      </c>
      <c r="M1282" s="28" t="n">
        <v>2089083</v>
      </c>
      <c r="N1282" s="28" t="n">
        <v>0</v>
      </c>
      <c r="O1282" s="28" t="n">
        <v>2167989</v>
      </c>
      <c r="P1282" s="28" t="n">
        <v>35752</v>
      </c>
      <c r="Q1282" s="28" t="n">
        <v>5382553</v>
      </c>
      <c r="R1282" s="28" t="n">
        <v>916667</v>
      </c>
      <c r="S1282" s="28">
        <f>Q1282-R1282</f>
        <v/>
      </c>
      <c r="T1282" s="28">
        <f>IF(S1282="","",S1282*(1+in_GrowthRate)^(YEARFRAC(DATE(2025,6,30),in_AgeToDate)*IF(in_AgeToDate&lt;DATE(2025,6,30),-1,1)+1))</f>
        <v/>
      </c>
      <c r="U1282" s="50">
        <f>IF(AND(AND(OR(in_Mode="All Funds",AND(C1282&gt;=in_BandFloor,C1282&lt;=in_BandCeiling,OR(in_Geography="National",COUNTIFS(lst_GeoPreset,in_Geography,lst_GeoState,B1282)&gt;0,AND(in_Geography="Custom",ISNUMBER(SEARCH(B1282,SUBSTITUTE(in_CustomStates," ",""))))),OR(AND(D1282="Endowment",Inputs!$B$14="Y"),AND(D1282="Foundation",Inputs!$B$15="Y"),AND(D1282="Healthcare",Inputs!$B$16="Y"),AND(D1282="Pension",Inputs!$B$17="Y"),AND(D1282="OCIO",Inputs!$B$18="Y"),AND(D1282="Other",Inputs!$B$19="Y")))),A1282&lt;&gt;in_ClientOrg,NOT(AND(in_ExclHarvard="Y",ISNUMBER(SEARCH("Harvard",A1282))))),$AD1282="Y",K1282&lt;&gt;"",S1282&gt;0),"Y","")</f>
        <v/>
      </c>
      <c r="V1282" s="30" t="n">
        <v>1</v>
      </c>
      <c r="W1282" t="inlineStr"/>
      <c r="X1282" s="28">
        <f>IF(L1282+M1282=0,"",L1282+M1282)</f>
        <v/>
      </c>
      <c r="Y1282" s="38">
        <f>IF(L1282=0,"",M1282/L1282)</f>
        <v/>
      </c>
      <c r="Z1282" t="inlineStr">
        <is>
          <t>CIO - Top Investment Executive</t>
        </is>
      </c>
      <c r="AA1282" t="inlineStr">
        <is>
          <t>Leadership</t>
        </is>
      </c>
      <c r="AB1282" s="50" t="inlineStr">
        <is>
          <t>Y</t>
        </is>
      </c>
      <c r="AC1282" s="43">
        <f>HYPERLINK("https://projects.propublica.org/nonprofits/organizations/135598093/202631359349301618/full","view filing")</f>
        <v/>
      </c>
      <c r="AD1282" s="50" t="inlineStr">
        <is>
          <t>Y</t>
        </is>
      </c>
    </row>
    <row r="1283">
      <c r="A1283" t="inlineStr">
        <is>
          <t>Trustees Of Columbia University</t>
        </is>
      </c>
      <c r="B1283" s="50" t="inlineStr">
        <is>
          <t>NY</t>
        </is>
      </c>
      <c r="C1283" s="52" t="n">
        <v>15.92</v>
      </c>
      <c r="D1283" t="inlineStr">
        <is>
          <t>Endowment</t>
        </is>
      </c>
      <c r="E1283" s="50" t="n">
        <v>2024</v>
      </c>
      <c r="F1283" s="50" t="inlineStr">
        <is>
          <t>2025-05-15</t>
        </is>
      </c>
      <c r="G1283" s="50" t="inlineStr">
        <is>
          <t>2024-06-30</t>
        </is>
      </c>
      <c r="H1283" t="inlineStr">
        <is>
          <t>Kim Lew</t>
        </is>
      </c>
      <c r="I1283" t="inlineStr">
        <is>
          <t>CEO OF IMC</t>
        </is>
      </c>
      <c r="J1283" t="inlineStr">
        <is>
          <t>CEO (Inv Entity)</t>
        </is>
      </c>
      <c r="K1283" t="inlineStr">
        <is>
          <t>CIO - Top Investment Executive</t>
        </is>
      </c>
      <c r="L1283" s="28" t="n">
        <v>1059596</v>
      </c>
      <c r="M1283" s="28" t="n">
        <v>916667</v>
      </c>
      <c r="N1283" s="28" t="n">
        <v>0</v>
      </c>
      <c r="O1283" s="28" t="n">
        <v>1866525</v>
      </c>
      <c r="P1283" s="28" t="n">
        <v>30324</v>
      </c>
      <c r="Q1283" s="28" t="n">
        <v>3873112</v>
      </c>
      <c r="R1283" s="28" t="n">
        <v>0</v>
      </c>
      <c r="S1283" s="28">
        <f>Q1283-R1283</f>
        <v/>
      </c>
      <c r="T1283" s="28">
        <f>IF(S1283="","",S1283*(1+in_GrowthRate)^(YEARFRAC(DATE(2024,6,30),in_AgeToDate)*IF(in_AgeToDate&lt;DATE(2024,6,30),-1,1)+1))</f>
        <v/>
      </c>
      <c r="U1283" s="50">
        <f>IF(AND(AND(OR(in_Mode="All Funds",AND(C1283&gt;=in_BandFloor,C1283&lt;=in_BandCeiling,OR(in_Geography="National",COUNTIFS(lst_GeoPreset,in_Geography,lst_GeoState,B1283)&gt;0,AND(in_Geography="Custom",ISNUMBER(SEARCH(B1283,SUBSTITUTE(in_CustomStates," ",""))))),OR(AND(D1283="Endowment",Inputs!$B$14="Y"),AND(D1283="Foundation",Inputs!$B$15="Y"),AND(D1283="Healthcare",Inputs!$B$16="Y"),AND(D1283="Pension",Inputs!$B$17="Y"),AND(D1283="OCIO",Inputs!$B$18="Y"),AND(D1283="Other",Inputs!$B$19="Y")))),A1283&lt;&gt;in_ClientOrg,NOT(AND(in_ExclHarvard="Y",ISNUMBER(SEARCH("Harvard",A1283))))),$AD1283="Y",K1283&lt;&gt;"",S1283&gt;0),"Y","")</f>
        <v/>
      </c>
      <c r="V1283" s="30" t="n">
        <v>1</v>
      </c>
      <c r="W1283" t="inlineStr"/>
      <c r="X1283" s="28">
        <f>IF(L1283+M1283=0,"",L1283+M1283)</f>
        <v/>
      </c>
      <c r="Y1283" s="38">
        <f>IF(L1283=0,"",M1283/L1283)</f>
        <v/>
      </c>
      <c r="Z1283" t="inlineStr">
        <is>
          <t>CIO - Top Investment Executive</t>
        </is>
      </c>
      <c r="AA1283" t="inlineStr">
        <is>
          <t>Leadership</t>
        </is>
      </c>
      <c r="AB1283" s="50" t="inlineStr">
        <is>
          <t>Y</t>
        </is>
      </c>
      <c r="AC1283" s="43">
        <f>HYPERLINK("https://projects.propublica.org/nonprofits/organizations/135598093/202521359349302987/full","view filing")</f>
        <v/>
      </c>
      <c r="AD1283" s="50" t="inlineStr"/>
    </row>
    <row r="1284">
      <c r="A1284" t="inlineStr">
        <is>
          <t>Trustees Of Columbia University</t>
        </is>
      </c>
      <c r="B1284" s="50" t="inlineStr">
        <is>
          <t>NY</t>
        </is>
      </c>
      <c r="C1284" s="52" t="n">
        <v>15.92</v>
      </c>
      <c r="D1284" t="inlineStr">
        <is>
          <t>Endowment</t>
        </is>
      </c>
      <c r="E1284" s="50" t="n">
        <v>2023</v>
      </c>
      <c r="F1284" s="50" t="inlineStr">
        <is>
          <t>2024-05-10</t>
        </is>
      </c>
      <c r="G1284" s="50" t="inlineStr">
        <is>
          <t>2023-06-30</t>
        </is>
      </c>
      <c r="H1284" t="inlineStr">
        <is>
          <t>Kim Lew</t>
        </is>
      </c>
      <c r="I1284" t="inlineStr">
        <is>
          <t>CEO OF IMC</t>
        </is>
      </c>
      <c r="J1284" t="inlineStr">
        <is>
          <t>CEO (Inv Entity)</t>
        </is>
      </c>
      <c r="K1284" t="inlineStr">
        <is>
          <t>CIO - Top Investment Executive</t>
        </is>
      </c>
      <c r="L1284" s="28" t="n">
        <v>1024686</v>
      </c>
      <c r="M1284" s="28" t="n">
        <v>1900000</v>
      </c>
      <c r="N1284" s="28" t="n">
        <v>0</v>
      </c>
      <c r="O1284" s="28" t="n">
        <v>30720</v>
      </c>
      <c r="P1284" s="28" t="n">
        <v>27933</v>
      </c>
      <c r="Q1284" s="28" t="n">
        <v>2983339</v>
      </c>
      <c r="R1284" s="28" t="n">
        <v>0</v>
      </c>
      <c r="S1284" s="28">
        <f>Q1284-R1284</f>
        <v/>
      </c>
      <c r="T1284" s="28">
        <f>IF(S1284="","",S1284*(1+in_GrowthRate)^(YEARFRAC(DATE(2023,6,30),in_AgeToDate)*IF(in_AgeToDate&lt;DATE(2023,6,30),-1,1)+1))</f>
        <v/>
      </c>
      <c r="U1284" s="50">
        <f>IF(AND(AND(OR(in_Mode="All Funds",AND(C1284&gt;=in_BandFloor,C1284&lt;=in_BandCeiling,OR(in_Geography="National",COUNTIFS(lst_GeoPreset,in_Geography,lst_GeoState,B1284)&gt;0,AND(in_Geography="Custom",ISNUMBER(SEARCH(B1284,SUBSTITUTE(in_CustomStates," ",""))))),OR(AND(D1284="Endowment",Inputs!$B$14="Y"),AND(D1284="Foundation",Inputs!$B$15="Y"),AND(D1284="Healthcare",Inputs!$B$16="Y"),AND(D1284="Pension",Inputs!$B$17="Y"),AND(D1284="OCIO",Inputs!$B$18="Y"),AND(D1284="Other",Inputs!$B$19="Y")))),A1284&lt;&gt;in_ClientOrg,NOT(AND(in_ExclHarvard="Y",ISNUMBER(SEARCH("Harvard",A1284))))),$AD1284="Y",K1284&lt;&gt;"",S1284&gt;0),"Y","")</f>
        <v/>
      </c>
      <c r="V1284" s="30" t="n">
        <v>1</v>
      </c>
      <c r="W1284" t="inlineStr"/>
      <c r="X1284" s="28">
        <f>IF(L1284+M1284=0,"",L1284+M1284)</f>
        <v/>
      </c>
      <c r="Y1284" s="38">
        <f>IF(L1284=0,"",M1284/L1284)</f>
        <v/>
      </c>
      <c r="Z1284" t="inlineStr">
        <is>
          <t>CIO - Top Investment Executive</t>
        </is>
      </c>
      <c r="AA1284" t="inlineStr">
        <is>
          <t>Leadership</t>
        </is>
      </c>
      <c r="AB1284" s="50" t="inlineStr">
        <is>
          <t>Y</t>
        </is>
      </c>
      <c r="AC1284" s="43">
        <f>HYPERLINK("https://projects.propublica.org/nonprofits/organizations/135598093/202401369349302495/full","view filing")</f>
        <v/>
      </c>
      <c r="AD1284" s="50" t="inlineStr"/>
    </row>
    <row r="1285">
      <c r="A1285" t="inlineStr">
        <is>
          <t>Trustees Of Columbia University</t>
        </is>
      </c>
      <c r="B1285" s="50" t="inlineStr">
        <is>
          <t>NY</t>
        </is>
      </c>
      <c r="C1285" s="52" t="n">
        <v>15.92</v>
      </c>
      <c r="D1285" t="inlineStr">
        <is>
          <t>Endowment</t>
        </is>
      </c>
      <c r="E1285" s="50" t="n">
        <v>2022</v>
      </c>
      <c r="F1285" s="50" t="inlineStr">
        <is>
          <t>2023-05-15</t>
        </is>
      </c>
      <c r="G1285" s="50" t="inlineStr">
        <is>
          <t>2022-06-30</t>
        </is>
      </c>
      <c r="H1285" t="inlineStr">
        <is>
          <t>Kim Lew</t>
        </is>
      </c>
      <c r="I1285" t="inlineStr">
        <is>
          <t>CEO of IMC</t>
        </is>
      </c>
      <c r="J1285" t="inlineStr">
        <is>
          <t>CEO (Inv Entity)</t>
        </is>
      </c>
      <c r="K1285" t="inlineStr">
        <is>
          <t>CIO - Top Investment Executive</t>
        </is>
      </c>
      <c r="L1285" s="28" t="n">
        <v>997798</v>
      </c>
      <c r="M1285" s="28" t="n">
        <v>1500000</v>
      </c>
      <c r="N1285" s="28" t="n">
        <v>50000</v>
      </c>
      <c r="O1285" s="28" t="n">
        <v>14500</v>
      </c>
      <c r="P1285" s="28" t="n">
        <v>26168</v>
      </c>
      <c r="Q1285" s="28" t="n">
        <v>2588466</v>
      </c>
      <c r="R1285" s="28" t="n">
        <v>0</v>
      </c>
      <c r="S1285" s="28">
        <f>Q1285-R1285</f>
        <v/>
      </c>
      <c r="T1285" s="28">
        <f>IF(S1285="","",S1285*(1+in_GrowthRate)^(YEARFRAC(DATE(2022,6,30),in_AgeToDate)*IF(in_AgeToDate&lt;DATE(2022,6,30),-1,1)+1))</f>
        <v/>
      </c>
      <c r="U1285" s="50">
        <f>IF(AND(AND(OR(in_Mode="All Funds",AND(C1285&gt;=in_BandFloor,C1285&lt;=in_BandCeiling,OR(in_Geography="National",COUNTIFS(lst_GeoPreset,in_Geography,lst_GeoState,B1285)&gt;0,AND(in_Geography="Custom",ISNUMBER(SEARCH(B1285,SUBSTITUTE(in_CustomStates," ",""))))),OR(AND(D1285="Endowment",Inputs!$B$14="Y"),AND(D1285="Foundation",Inputs!$B$15="Y"),AND(D1285="Healthcare",Inputs!$B$16="Y"),AND(D1285="Pension",Inputs!$B$17="Y"),AND(D1285="OCIO",Inputs!$B$18="Y"),AND(D1285="Other",Inputs!$B$19="Y")))),A1285&lt;&gt;in_ClientOrg,NOT(AND(in_ExclHarvard="Y",ISNUMBER(SEARCH("Harvard",A1285))))),$AD1285="Y",K1285&lt;&gt;"",S1285&gt;0),"Y","")</f>
        <v/>
      </c>
      <c r="V1285" s="30" t="n">
        <v>1</v>
      </c>
      <c r="W1285" t="inlineStr"/>
      <c r="X1285" s="28">
        <f>IF(L1285+M1285=0,"",L1285+M1285)</f>
        <v/>
      </c>
      <c r="Y1285" s="38">
        <f>IF(L1285=0,"",M1285/L1285)</f>
        <v/>
      </c>
      <c r="Z1285" t="inlineStr">
        <is>
          <t>CIO - Top Investment Executive</t>
        </is>
      </c>
      <c r="AA1285" t="inlineStr">
        <is>
          <t>Leadership</t>
        </is>
      </c>
      <c r="AB1285" s="50" t="inlineStr">
        <is>
          <t>Y</t>
        </is>
      </c>
      <c r="AC1285" s="43">
        <f>HYPERLINK("https://projects.propublica.org/nonprofits/organizations/135598093/202321359349304707/full","view filing")</f>
        <v/>
      </c>
      <c r="AD1285" s="50" t="inlineStr"/>
    </row>
    <row r="1286">
      <c r="A1286" t="inlineStr">
        <is>
          <t>Trustees Of Dartmouth College</t>
        </is>
      </c>
      <c r="B1286" s="50" t="inlineStr">
        <is>
          <t>NH</t>
        </is>
      </c>
      <c r="C1286" s="52" t="n">
        <v>8.960000000000001</v>
      </c>
      <c r="D1286" t="inlineStr">
        <is>
          <t>Endowment</t>
        </is>
      </c>
      <c r="E1286" s="50" t="n">
        <v>2025</v>
      </c>
      <c r="F1286" s="50" t="inlineStr">
        <is>
          <t>2026-05-13</t>
        </is>
      </c>
      <c r="G1286" s="50" t="inlineStr">
        <is>
          <t>2025-06-30</t>
        </is>
      </c>
      <c r="H1286" t="inlineStr">
        <is>
          <t>Alice Ruth</t>
        </is>
      </c>
      <c r="I1286" t="inlineStr">
        <is>
          <t>Chief Executive Officer - Investment Office</t>
        </is>
      </c>
      <c r="J1286" t="inlineStr">
        <is>
          <t>CEO (Inv Entity)</t>
        </is>
      </c>
      <c r="K1286" t="inlineStr">
        <is>
          <t>CIO - Top Investment Executive</t>
        </is>
      </c>
      <c r="L1286" s="28" t="n">
        <v>1210340</v>
      </c>
      <c r="M1286" s="28" t="n">
        <v>3853146</v>
      </c>
      <c r="N1286" s="28" t="n">
        <v>1159</v>
      </c>
      <c r="O1286" s="28" t="n">
        <v>31050</v>
      </c>
      <c r="P1286" s="28" t="n">
        <v>17656</v>
      </c>
      <c r="Q1286" s="28" t="n">
        <v>5113351</v>
      </c>
      <c r="R1286" s="28" t="n">
        <v>0</v>
      </c>
      <c r="S1286" s="28">
        <f>Q1286-R1286</f>
        <v/>
      </c>
      <c r="T1286" s="28">
        <f>IF(S1286="","",S1286*(1+in_GrowthRate)^(YEARFRAC(DATE(2025,6,30),in_AgeToDate)*IF(in_AgeToDate&lt;DATE(2025,6,30),-1,1)+1))</f>
        <v/>
      </c>
      <c r="U1286" s="50">
        <f>IF(AND(AND(OR(in_Mode="All Funds",AND(C1286&gt;=in_BandFloor,C1286&lt;=in_BandCeiling,OR(in_Geography="National",COUNTIFS(lst_GeoPreset,in_Geography,lst_GeoState,B1286)&gt;0,AND(in_Geography="Custom",ISNUMBER(SEARCH(B1286,SUBSTITUTE(in_CustomStates," ",""))))),OR(AND(D1286="Endowment",Inputs!$B$14="Y"),AND(D1286="Foundation",Inputs!$B$15="Y"),AND(D1286="Healthcare",Inputs!$B$16="Y"),AND(D1286="Pension",Inputs!$B$17="Y"),AND(D1286="OCIO",Inputs!$B$18="Y"),AND(D1286="Other",Inputs!$B$19="Y")))),A1286&lt;&gt;in_ClientOrg,NOT(AND(in_ExclHarvard="Y",ISNUMBER(SEARCH("Harvard",A1286))))),$AD1286="Y",K1286&lt;&gt;"",S1286&gt;0),"Y","")</f>
        <v/>
      </c>
      <c r="V1286" s="30" t="n">
        <v>1</v>
      </c>
      <c r="W1286" t="inlineStr"/>
      <c r="X1286" s="28">
        <f>IF(L1286+M1286=0,"",L1286+M1286)</f>
        <v/>
      </c>
      <c r="Y1286" s="38">
        <f>IF(L1286=0,"",M1286/L1286)</f>
        <v/>
      </c>
      <c r="Z1286" t="inlineStr">
        <is>
          <t>CIO - Top Investment Executive</t>
        </is>
      </c>
      <c r="AA1286" t="inlineStr">
        <is>
          <t>Leadership</t>
        </is>
      </c>
      <c r="AB1286" s="50" t="inlineStr">
        <is>
          <t>Y</t>
        </is>
      </c>
      <c r="AC1286" s="43">
        <f>HYPERLINK("https://projects.propublica.org/nonprofits/organizations/20222111/202631339349300048/full","view filing")</f>
        <v/>
      </c>
      <c r="AD1286" s="50" t="inlineStr">
        <is>
          <t>Y</t>
        </is>
      </c>
    </row>
    <row r="1287">
      <c r="A1287" t="inlineStr">
        <is>
          <t>Trustees Of Dartmouth College</t>
        </is>
      </c>
      <c r="B1287" s="50" t="inlineStr">
        <is>
          <t>NH</t>
        </is>
      </c>
      <c r="C1287" s="52" t="n">
        <v>8.960000000000001</v>
      </c>
      <c r="D1287" t="inlineStr">
        <is>
          <t>Endowment</t>
        </is>
      </c>
      <c r="E1287" s="50" t="n">
        <v>2025</v>
      </c>
      <c r="F1287" s="50" t="inlineStr">
        <is>
          <t>2026-05-13</t>
        </is>
      </c>
      <c r="G1287" s="50" t="inlineStr">
        <is>
          <t>2025-06-30</t>
        </is>
      </c>
      <c r="H1287" t="inlineStr">
        <is>
          <t>Jessica Jones</t>
        </is>
      </c>
      <c r="I1287" t="inlineStr">
        <is>
          <t>Managing Director, Investment Office</t>
        </is>
      </c>
      <c r="J1287" t="inlineStr">
        <is>
          <t>Managing Director</t>
        </is>
      </c>
      <c r="K1287" t="inlineStr">
        <is>
          <t>Sr Investment Professional</t>
        </is>
      </c>
      <c r="L1287" s="28" t="n">
        <v>477362</v>
      </c>
      <c r="M1287" s="28" t="n">
        <v>811461</v>
      </c>
      <c r="N1287" s="28" t="n">
        <v>1389</v>
      </c>
      <c r="O1287" s="28" t="n">
        <v>31050</v>
      </c>
      <c r="P1287" s="28" t="n">
        <v>20157</v>
      </c>
      <c r="Q1287" s="28" t="n">
        <v>1341419</v>
      </c>
      <c r="R1287" s="28" t="n">
        <v>0</v>
      </c>
      <c r="S1287" s="28">
        <f>Q1287-R1287</f>
        <v/>
      </c>
      <c r="T1287" s="28">
        <f>IF(S1287="","",S1287*(1+in_GrowthRate)^(YEARFRAC(DATE(2025,6,30),in_AgeToDate)*IF(in_AgeToDate&lt;DATE(2025,6,30),-1,1)+1))</f>
        <v/>
      </c>
      <c r="U1287" s="50">
        <f>IF(AND(AND(OR(in_Mode="All Funds",AND(C1287&gt;=in_BandFloor,C1287&lt;=in_BandCeiling,OR(in_Geography="National",COUNTIFS(lst_GeoPreset,in_Geography,lst_GeoState,B1287)&gt;0,AND(in_Geography="Custom",ISNUMBER(SEARCH(B1287,SUBSTITUTE(in_CustomStates," ",""))))),OR(AND(D1287="Endowment",Inputs!$B$14="Y"),AND(D1287="Foundation",Inputs!$B$15="Y"),AND(D1287="Healthcare",Inputs!$B$16="Y"),AND(D1287="Pension",Inputs!$B$17="Y"),AND(D1287="OCIO",Inputs!$B$18="Y"),AND(D1287="Other",Inputs!$B$19="Y")))),A1287&lt;&gt;in_ClientOrg,NOT(AND(in_ExclHarvard="Y",ISNUMBER(SEARCH("Harvard",A1287))))),$AD1287="Y",K1287&lt;&gt;"",S1287&gt;0),"Y","")</f>
        <v/>
      </c>
      <c r="V1287" s="30" t="n">
        <v>0.2623365773247329</v>
      </c>
      <c r="W1287" t="inlineStr"/>
      <c r="X1287" s="28">
        <f>IF(L1287+M1287=0,"",L1287+M1287)</f>
        <v/>
      </c>
      <c r="Y1287" s="38">
        <f>IF(L1287=0,"",M1287/L1287)</f>
        <v/>
      </c>
      <c r="Z1287" t="inlineStr">
        <is>
          <t>Managing Director</t>
        </is>
      </c>
      <c r="AA1287" t="inlineStr">
        <is>
          <t>Investments</t>
        </is>
      </c>
      <c r="AB1287" s="50" t="inlineStr"/>
      <c r="AC1287" s="43">
        <f>HYPERLINK("https://projects.propublica.org/nonprofits/organizations/20222111/202631339349300048/full","view filing")</f>
        <v/>
      </c>
      <c r="AD1287" s="50" t="inlineStr">
        <is>
          <t>Y</t>
        </is>
      </c>
    </row>
    <row r="1288">
      <c r="A1288" t="inlineStr">
        <is>
          <t>Trustees Of Dartmouth College</t>
        </is>
      </c>
      <c r="B1288" s="50" t="inlineStr">
        <is>
          <t>NH</t>
        </is>
      </c>
      <c r="C1288" s="52" t="n">
        <v>8.960000000000001</v>
      </c>
      <c r="D1288" t="inlineStr">
        <is>
          <t>Endowment</t>
        </is>
      </c>
      <c r="E1288" s="50" t="n">
        <v>2025</v>
      </c>
      <c r="F1288" s="50" t="inlineStr">
        <is>
          <t>2026-05-13</t>
        </is>
      </c>
      <c r="G1288" s="50" t="inlineStr">
        <is>
          <t>2025-06-30</t>
        </is>
      </c>
      <c r="H1288" t="inlineStr">
        <is>
          <t>Kelsey Morgan</t>
        </is>
      </c>
      <c r="I1288" t="inlineStr">
        <is>
          <t>Chief Investment Officer</t>
        </is>
      </c>
      <c r="J1288" t="inlineStr">
        <is>
          <t>CIO</t>
        </is>
      </c>
      <c r="K1288" t="inlineStr">
        <is>
          <t>Sr Investment Professional</t>
        </is>
      </c>
      <c r="L1288" s="28" t="n">
        <v>842170</v>
      </c>
      <c r="M1288" s="28" t="n">
        <v>1193093</v>
      </c>
      <c r="N1288" s="28" t="n">
        <v>1159</v>
      </c>
      <c r="O1288" s="28" t="n">
        <v>31050</v>
      </c>
      <c r="P1288" s="28" t="n">
        <v>20271</v>
      </c>
      <c r="Q1288" s="28" t="n">
        <v>2087743</v>
      </c>
      <c r="R1288" s="28" t="n">
        <v>0</v>
      </c>
      <c r="S1288" s="28">
        <f>Q1288-R1288</f>
        <v/>
      </c>
      <c r="T1288" s="28">
        <f>IF(S1288="","",S1288*(1+in_GrowthRate)^(YEARFRAC(DATE(2025,6,30),in_AgeToDate)*IF(in_AgeToDate&lt;DATE(2025,6,30),-1,1)+1))</f>
        <v/>
      </c>
      <c r="U1288" s="50">
        <f>IF(AND(AND(OR(in_Mode="All Funds",AND(C1288&gt;=in_BandFloor,C1288&lt;=in_BandCeiling,OR(in_Geography="National",COUNTIFS(lst_GeoPreset,in_Geography,lst_GeoState,B1288)&gt;0,AND(in_Geography="Custom",ISNUMBER(SEARCH(B1288,SUBSTITUTE(in_CustomStates," ",""))))),OR(AND(D1288="Endowment",Inputs!$B$14="Y"),AND(D1288="Foundation",Inputs!$B$15="Y"),AND(D1288="Healthcare",Inputs!$B$16="Y"),AND(D1288="Pension",Inputs!$B$17="Y"),AND(D1288="OCIO",Inputs!$B$18="Y"),AND(D1288="Other",Inputs!$B$19="Y")))),A1288&lt;&gt;in_ClientOrg,NOT(AND(in_ExclHarvard="Y",ISNUMBER(SEARCH("Harvard",A1288))))),$AD1288="Y",K1288&lt;&gt;"",S1288&gt;0),"Y","")</f>
        <v/>
      </c>
      <c r="V1288" s="30" t="n">
        <v>0.4082925267598489</v>
      </c>
      <c r="W1288" t="inlineStr"/>
      <c r="X1288" s="28">
        <f>IF(L1288+M1288=0,"",L1288+M1288)</f>
        <v/>
      </c>
      <c r="Y1288" s="38">
        <f>IF(L1288=0,"",M1288/L1288)</f>
        <v/>
      </c>
      <c r="Z1288" t="inlineStr">
        <is>
          <t>Deputy CIO</t>
        </is>
      </c>
      <c r="AA1288" t="inlineStr">
        <is>
          <t>Leadership</t>
        </is>
      </c>
      <c r="AB1288" s="50" t="inlineStr"/>
      <c r="AC1288" s="43">
        <f>HYPERLINK("https://projects.propublica.org/nonprofits/organizations/20222111/202631339349300048/full","view filing")</f>
        <v/>
      </c>
      <c r="AD1288" s="50" t="inlineStr">
        <is>
          <t>Y</t>
        </is>
      </c>
    </row>
    <row r="1289">
      <c r="A1289" t="inlineStr">
        <is>
          <t>Trustees Of Dartmouth College</t>
        </is>
      </c>
      <c r="B1289" s="50" t="inlineStr">
        <is>
          <t>NH</t>
        </is>
      </c>
      <c r="C1289" s="52" t="n">
        <v>8.960000000000001</v>
      </c>
      <c r="D1289" t="inlineStr">
        <is>
          <t>Endowment</t>
        </is>
      </c>
      <c r="E1289" s="50" t="n">
        <v>2025</v>
      </c>
      <c r="F1289" s="50" t="inlineStr">
        <is>
          <t>2026-05-13</t>
        </is>
      </c>
      <c r="G1289" s="50" t="inlineStr">
        <is>
          <t>2025-06-30</t>
        </is>
      </c>
      <c r="H1289" t="inlineStr">
        <is>
          <t>Michael P Sullivan</t>
        </is>
      </c>
      <c r="I1289" t="inlineStr">
        <is>
          <t>Managing Director, Investment Office</t>
        </is>
      </c>
      <c r="J1289" t="inlineStr">
        <is>
          <t>Managing Director</t>
        </is>
      </c>
      <c r="K1289" t="inlineStr">
        <is>
          <t>Sr Investment Professional</t>
        </is>
      </c>
      <c r="L1289" s="28" t="n">
        <v>550793</v>
      </c>
      <c r="M1289" s="28" t="n">
        <v>1072301</v>
      </c>
      <c r="N1289" s="28" t="n">
        <v>1159</v>
      </c>
      <c r="O1289" s="28" t="n">
        <v>31050</v>
      </c>
      <c r="P1289" s="28" t="n">
        <v>20406</v>
      </c>
      <c r="Q1289" s="28" t="n">
        <v>1675709</v>
      </c>
      <c r="R1289" s="28" t="n">
        <v>0</v>
      </c>
      <c r="S1289" s="28">
        <f>Q1289-R1289</f>
        <v/>
      </c>
      <c r="T1289" s="28">
        <f>IF(S1289="","",S1289*(1+in_GrowthRate)^(YEARFRAC(DATE(2025,6,30),in_AgeToDate)*IF(in_AgeToDate&lt;DATE(2025,6,30),-1,1)+1))</f>
        <v/>
      </c>
      <c r="U1289" s="50">
        <f>IF(AND(AND(OR(in_Mode="All Funds",AND(C1289&gt;=in_BandFloor,C1289&lt;=in_BandCeiling,OR(in_Geography="National",COUNTIFS(lst_GeoPreset,in_Geography,lst_GeoState,B1289)&gt;0,AND(in_Geography="Custom",ISNUMBER(SEARCH(B1289,SUBSTITUTE(in_CustomStates," ",""))))),OR(AND(D1289="Endowment",Inputs!$B$14="Y"),AND(D1289="Foundation",Inputs!$B$15="Y"),AND(D1289="Healthcare",Inputs!$B$16="Y"),AND(D1289="Pension",Inputs!$B$17="Y"),AND(D1289="OCIO",Inputs!$B$18="Y"),AND(D1289="Other",Inputs!$B$19="Y")))),A1289&lt;&gt;in_ClientOrg,NOT(AND(in_ExclHarvard="Y",ISNUMBER(SEARCH("Harvard",A1289))))),$AD1289="Y",K1289&lt;&gt;"",S1289&gt;0),"Y","")</f>
        <v/>
      </c>
      <c r="V1289" s="30" t="n">
        <v>0.3277124922580124</v>
      </c>
      <c r="W1289" t="inlineStr"/>
      <c r="X1289" s="28">
        <f>IF(L1289+M1289=0,"",L1289+M1289)</f>
        <v/>
      </c>
      <c r="Y1289" s="38">
        <f>IF(L1289=0,"",M1289/L1289)</f>
        <v/>
      </c>
      <c r="Z1289" t="inlineStr">
        <is>
          <t>Managing Director</t>
        </is>
      </c>
      <c r="AA1289" t="inlineStr">
        <is>
          <t>Investments</t>
        </is>
      </c>
      <c r="AB1289" s="50" t="inlineStr"/>
      <c r="AC1289" s="43">
        <f>HYPERLINK("https://projects.propublica.org/nonprofits/organizations/20222111/202631339349300048/full","view filing")</f>
        <v/>
      </c>
      <c r="AD1289" s="50" t="inlineStr">
        <is>
          <t>Y</t>
        </is>
      </c>
    </row>
    <row r="1290">
      <c r="A1290" t="inlineStr">
        <is>
          <t>Trustees Of Dartmouth College</t>
        </is>
      </c>
      <c r="B1290" s="50" t="inlineStr">
        <is>
          <t>NH</t>
        </is>
      </c>
      <c r="C1290" s="52" t="n">
        <v>8.960000000000001</v>
      </c>
      <c r="D1290" t="inlineStr">
        <is>
          <t>Endowment</t>
        </is>
      </c>
      <c r="E1290" s="50" t="n">
        <v>2025</v>
      </c>
      <c r="F1290" s="50" t="inlineStr">
        <is>
          <t>2026-05-13</t>
        </is>
      </c>
      <c r="G1290" s="50" t="inlineStr">
        <is>
          <t>2025-06-30</t>
        </is>
      </c>
      <c r="H1290" t="inlineStr">
        <is>
          <t>Michael R Sullivan</t>
        </is>
      </c>
      <c r="I1290" t="inlineStr">
        <is>
          <t>Managing Director, Investment Office</t>
        </is>
      </c>
      <c r="J1290" t="inlineStr">
        <is>
          <t>Managing Director</t>
        </is>
      </c>
      <c r="K1290" t="inlineStr">
        <is>
          <t>Sr Investment Professional</t>
        </is>
      </c>
      <c r="L1290" s="28" t="n">
        <v>437584</v>
      </c>
      <c r="M1290" s="28" t="n">
        <v>605654</v>
      </c>
      <c r="N1290" s="28" t="n">
        <v>1164</v>
      </c>
      <c r="O1290" s="28" t="n">
        <v>24150</v>
      </c>
      <c r="P1290" s="28" t="n">
        <v>15604</v>
      </c>
      <c r="Q1290" s="28" t="n">
        <v>1084156</v>
      </c>
      <c r="R1290" s="28" t="n">
        <v>0</v>
      </c>
      <c r="S1290" s="28">
        <f>Q1290-R1290</f>
        <v/>
      </c>
      <c r="T1290" s="28">
        <f>IF(S1290="","",S1290*(1+in_GrowthRate)^(YEARFRAC(DATE(2025,6,30),in_AgeToDate)*IF(in_AgeToDate&lt;DATE(2025,6,30),-1,1)+1))</f>
        <v/>
      </c>
      <c r="U1290" s="50">
        <f>IF(AND(AND(OR(in_Mode="All Funds",AND(C1290&gt;=in_BandFloor,C1290&lt;=in_BandCeiling,OR(in_Geography="National",COUNTIFS(lst_GeoPreset,in_Geography,lst_GeoState,B1290)&gt;0,AND(in_Geography="Custom",ISNUMBER(SEARCH(B1290,SUBSTITUTE(in_CustomStates," ",""))))),OR(AND(D1290="Endowment",Inputs!$B$14="Y"),AND(D1290="Foundation",Inputs!$B$15="Y"),AND(D1290="Healthcare",Inputs!$B$16="Y"),AND(D1290="Pension",Inputs!$B$17="Y"),AND(D1290="OCIO",Inputs!$B$18="Y"),AND(D1290="Other",Inputs!$B$19="Y")))),A1290&lt;&gt;in_ClientOrg,NOT(AND(in_ExclHarvard="Y",ISNUMBER(SEARCH("Harvard",A1290))))),$AD1290="Y",K1290&lt;&gt;"",S1290&gt;0),"Y","")</f>
        <v/>
      </c>
      <c r="V1290" s="30" t="n">
        <v>0.212024560801713</v>
      </c>
      <c r="W1290" t="inlineStr"/>
      <c r="X1290" s="28">
        <f>IF(L1290+M1290=0,"",L1290+M1290)</f>
        <v/>
      </c>
      <c r="Y1290" s="38">
        <f>IF(L1290=0,"",M1290/L1290)</f>
        <v/>
      </c>
      <c r="Z1290" t="inlineStr">
        <is>
          <t>Managing Director</t>
        </is>
      </c>
      <c r="AA1290" t="inlineStr">
        <is>
          <t>Investments</t>
        </is>
      </c>
      <c r="AB1290" s="50" t="inlineStr"/>
      <c r="AC1290" s="43">
        <f>HYPERLINK("https://projects.propublica.org/nonprofits/organizations/20222111/202631339349300048/full","view filing")</f>
        <v/>
      </c>
      <c r="AD1290" s="50" t="inlineStr">
        <is>
          <t>Y</t>
        </is>
      </c>
    </row>
    <row r="1291">
      <c r="A1291" t="inlineStr">
        <is>
          <t>Trustees Of Dartmouth College</t>
        </is>
      </c>
      <c r="B1291" s="50" t="inlineStr">
        <is>
          <t>NH</t>
        </is>
      </c>
      <c r="C1291" s="52" t="n">
        <v>8.960000000000001</v>
      </c>
      <c r="D1291" t="inlineStr">
        <is>
          <t>Endowment</t>
        </is>
      </c>
      <c r="E1291" s="50" t="n">
        <v>2024</v>
      </c>
      <c r="F1291" s="50" t="inlineStr">
        <is>
          <t>2025-05-13</t>
        </is>
      </c>
      <c r="G1291" s="50" t="inlineStr">
        <is>
          <t>2024-06-30</t>
        </is>
      </c>
      <c r="H1291" t="inlineStr">
        <is>
          <t>Alice Ruth</t>
        </is>
      </c>
      <c r="I1291" t="inlineStr">
        <is>
          <t>Chief Executive Officer - Investment Office</t>
        </is>
      </c>
      <c r="J1291" t="inlineStr">
        <is>
          <t>CEO (Inv Entity)</t>
        </is>
      </c>
      <c r="K1291" t="inlineStr">
        <is>
          <t>CIO - Top Investment Executive</t>
        </is>
      </c>
      <c r="L1291" s="28" t="n">
        <v>1196396</v>
      </c>
      <c r="M1291" s="28" t="n">
        <v>3853146</v>
      </c>
      <c r="N1291" s="28" t="n">
        <v>1159</v>
      </c>
      <c r="O1291" s="28" t="n">
        <v>29700</v>
      </c>
      <c r="P1291" s="28" t="n">
        <v>17407</v>
      </c>
      <c r="Q1291" s="28" t="n">
        <v>5097808</v>
      </c>
      <c r="R1291" s="28" t="n">
        <v>0</v>
      </c>
      <c r="S1291" s="28">
        <f>Q1291-R1291</f>
        <v/>
      </c>
      <c r="T1291" s="28">
        <f>IF(S1291="","",S1291*(1+in_GrowthRate)^(YEARFRAC(DATE(2024,6,30),in_AgeToDate)*IF(in_AgeToDate&lt;DATE(2024,6,30),-1,1)+1))</f>
        <v/>
      </c>
      <c r="U1291" s="50">
        <f>IF(AND(AND(OR(in_Mode="All Funds",AND(C1291&gt;=in_BandFloor,C1291&lt;=in_BandCeiling,OR(in_Geography="National",COUNTIFS(lst_GeoPreset,in_Geography,lst_GeoState,B1291)&gt;0,AND(in_Geography="Custom",ISNUMBER(SEARCH(B1291,SUBSTITUTE(in_CustomStates," ",""))))),OR(AND(D1291="Endowment",Inputs!$B$14="Y"),AND(D1291="Foundation",Inputs!$B$15="Y"),AND(D1291="Healthcare",Inputs!$B$16="Y"),AND(D1291="Pension",Inputs!$B$17="Y"),AND(D1291="OCIO",Inputs!$B$18="Y"),AND(D1291="Other",Inputs!$B$19="Y")))),A1291&lt;&gt;in_ClientOrg,NOT(AND(in_ExclHarvard="Y",ISNUMBER(SEARCH("Harvard",A1291))))),$AD1291="Y",K1291&lt;&gt;"",S1291&gt;0),"Y","")</f>
        <v/>
      </c>
      <c r="V1291" s="30" t="n">
        <v>1</v>
      </c>
      <c r="W1291" t="inlineStr"/>
      <c r="X1291" s="28">
        <f>IF(L1291+M1291=0,"",L1291+M1291)</f>
        <v/>
      </c>
      <c r="Y1291" s="38">
        <f>IF(L1291=0,"",M1291/L1291)</f>
        <v/>
      </c>
      <c r="Z1291" t="inlineStr">
        <is>
          <t>CIO - Top Investment Executive</t>
        </is>
      </c>
      <c r="AA1291" t="inlineStr">
        <is>
          <t>Leadership</t>
        </is>
      </c>
      <c r="AB1291" s="50" t="inlineStr">
        <is>
          <t>Y</t>
        </is>
      </c>
      <c r="AC1291" s="43">
        <f>HYPERLINK("https://projects.propublica.org/nonprofits/organizations/20222111/202501339349306270/full","view filing")</f>
        <v/>
      </c>
      <c r="AD1291" s="50" t="inlineStr"/>
    </row>
    <row r="1292">
      <c r="A1292" t="inlineStr">
        <is>
          <t>Trustees Of Dartmouth College</t>
        </is>
      </c>
      <c r="B1292" s="50" t="inlineStr">
        <is>
          <t>NH</t>
        </is>
      </c>
      <c r="C1292" s="52" t="n">
        <v>8.960000000000001</v>
      </c>
      <c r="D1292" t="inlineStr">
        <is>
          <t>Endowment</t>
        </is>
      </c>
      <c r="E1292" s="50" t="n">
        <v>2024</v>
      </c>
      <c r="F1292" s="50" t="inlineStr">
        <is>
          <t>2025-05-13</t>
        </is>
      </c>
      <c r="G1292" s="50" t="inlineStr">
        <is>
          <t>2024-06-30</t>
        </is>
      </c>
      <c r="H1292" t="inlineStr">
        <is>
          <t>Jessica Jones</t>
        </is>
      </c>
      <c r="I1292" t="inlineStr">
        <is>
          <t>Managing Director, Investment Office</t>
        </is>
      </c>
      <c r="J1292" t="inlineStr">
        <is>
          <t>Managing Director</t>
        </is>
      </c>
      <c r="K1292" t="inlineStr">
        <is>
          <t>Sr Investment Professional</t>
        </is>
      </c>
      <c r="L1292" s="28" t="n">
        <v>466918</v>
      </c>
      <c r="M1292" s="28" t="n">
        <v>768896</v>
      </c>
      <c r="N1292" s="28" t="n">
        <v>1159</v>
      </c>
      <c r="O1292" s="28" t="n">
        <v>29700</v>
      </c>
      <c r="P1292" s="28" t="n">
        <v>19479</v>
      </c>
      <c r="Q1292" s="28" t="n">
        <v>1286152</v>
      </c>
      <c r="R1292" s="28" t="n">
        <v>0</v>
      </c>
      <c r="S1292" s="28">
        <f>Q1292-R1292</f>
        <v/>
      </c>
      <c r="T1292" s="28">
        <f>IF(S1292="","",S1292*(1+in_GrowthRate)^(YEARFRAC(DATE(2024,6,30),in_AgeToDate)*IF(in_AgeToDate&lt;DATE(2024,6,30),-1,1)+1))</f>
        <v/>
      </c>
      <c r="U1292" s="50">
        <f>IF(AND(AND(OR(in_Mode="All Funds",AND(C1292&gt;=in_BandFloor,C1292&lt;=in_BandCeiling,OR(in_Geography="National",COUNTIFS(lst_GeoPreset,in_Geography,lst_GeoState,B1292)&gt;0,AND(in_Geography="Custom",ISNUMBER(SEARCH(B1292,SUBSTITUTE(in_CustomStates," ",""))))),OR(AND(D1292="Endowment",Inputs!$B$14="Y"),AND(D1292="Foundation",Inputs!$B$15="Y"),AND(D1292="Healthcare",Inputs!$B$16="Y"),AND(D1292="Pension",Inputs!$B$17="Y"),AND(D1292="OCIO",Inputs!$B$18="Y"),AND(D1292="Other",Inputs!$B$19="Y")))),A1292&lt;&gt;in_ClientOrg,NOT(AND(in_ExclHarvard="Y",ISNUMBER(SEARCH("Harvard",A1292))))),$AD1292="Y",K1292&lt;&gt;"",S1292&gt;0),"Y","")</f>
        <v/>
      </c>
      <c r="V1292" s="30" t="n">
        <v>0.2522951040917979</v>
      </c>
      <c r="W1292" t="inlineStr"/>
      <c r="X1292" s="28">
        <f>IF(L1292+M1292=0,"",L1292+M1292)</f>
        <v/>
      </c>
      <c r="Y1292" s="38">
        <f>IF(L1292=0,"",M1292/L1292)</f>
        <v/>
      </c>
      <c r="Z1292" t="inlineStr">
        <is>
          <t>Managing Director</t>
        </is>
      </c>
      <c r="AA1292" t="inlineStr">
        <is>
          <t>Investments</t>
        </is>
      </c>
      <c r="AB1292" s="50" t="inlineStr"/>
      <c r="AC1292" s="43">
        <f>HYPERLINK("https://projects.propublica.org/nonprofits/organizations/20222111/202501339349306270/full","view filing")</f>
        <v/>
      </c>
      <c r="AD1292" s="50" t="inlineStr"/>
    </row>
    <row r="1293">
      <c r="A1293" t="inlineStr">
        <is>
          <t>Trustees Of Dartmouth College</t>
        </is>
      </c>
      <c r="B1293" s="50" t="inlineStr">
        <is>
          <t>NH</t>
        </is>
      </c>
      <c r="C1293" s="52" t="n">
        <v>8.960000000000001</v>
      </c>
      <c r="D1293" t="inlineStr">
        <is>
          <t>Endowment</t>
        </is>
      </c>
      <c r="E1293" s="50" t="n">
        <v>2024</v>
      </c>
      <c r="F1293" s="50" t="inlineStr">
        <is>
          <t>2025-05-13</t>
        </is>
      </c>
      <c r="G1293" s="50" t="inlineStr">
        <is>
          <t>2024-06-30</t>
        </is>
      </c>
      <c r="H1293" t="inlineStr">
        <is>
          <t>Kelsey Morgan</t>
        </is>
      </c>
      <c r="I1293" t="inlineStr">
        <is>
          <t>Chief Investment Officer</t>
        </is>
      </c>
      <c r="J1293" t="inlineStr">
        <is>
          <t>CIO</t>
        </is>
      </c>
      <c r="K1293" t="inlineStr">
        <is>
          <t>Sr Investment Professional</t>
        </is>
      </c>
      <c r="L1293" s="28" t="n">
        <v>830191</v>
      </c>
      <c r="M1293" s="28" t="n">
        <v>1123500</v>
      </c>
      <c r="N1293" s="28" t="n">
        <v>1159</v>
      </c>
      <c r="O1293" s="28" t="n">
        <v>29700</v>
      </c>
      <c r="P1293" s="28" t="n">
        <v>19479</v>
      </c>
      <c r="Q1293" s="28" t="n">
        <v>2004029</v>
      </c>
      <c r="R1293" s="28" t="n">
        <v>0</v>
      </c>
      <c r="S1293" s="28">
        <f>Q1293-R1293</f>
        <v/>
      </c>
      <c r="T1293" s="28">
        <f>IF(S1293="","",S1293*(1+in_GrowthRate)^(YEARFRAC(DATE(2024,6,30),in_AgeToDate)*IF(in_AgeToDate&lt;DATE(2024,6,30),-1,1)+1))</f>
        <v/>
      </c>
      <c r="U1293" s="50">
        <f>IF(AND(AND(OR(in_Mode="All Funds",AND(C1293&gt;=in_BandFloor,C1293&lt;=in_BandCeiling,OR(in_Geography="National",COUNTIFS(lst_GeoPreset,in_Geography,lst_GeoState,B1293)&gt;0,AND(in_Geography="Custom",ISNUMBER(SEARCH(B1293,SUBSTITUTE(in_CustomStates," ",""))))),OR(AND(D1293="Endowment",Inputs!$B$14="Y"),AND(D1293="Foundation",Inputs!$B$15="Y"),AND(D1293="Healthcare",Inputs!$B$16="Y"),AND(D1293="Pension",Inputs!$B$17="Y"),AND(D1293="OCIO",Inputs!$B$18="Y"),AND(D1293="Other",Inputs!$B$19="Y")))),A1293&lt;&gt;in_ClientOrg,NOT(AND(in_ExclHarvard="Y",ISNUMBER(SEARCH("Harvard",A1293))))),$AD1293="Y",K1293&lt;&gt;"",S1293&gt;0),"Y","")</f>
        <v/>
      </c>
      <c r="V1293" s="30" t="n">
        <v>0.3931158254685151</v>
      </c>
      <c r="W1293" t="inlineStr"/>
      <c r="X1293" s="28">
        <f>IF(L1293+M1293=0,"",L1293+M1293)</f>
        <v/>
      </c>
      <c r="Y1293" s="38">
        <f>IF(L1293=0,"",M1293/L1293)</f>
        <v/>
      </c>
      <c r="Z1293" t="inlineStr">
        <is>
          <t>Deputy CIO</t>
        </is>
      </c>
      <c r="AA1293" t="inlineStr">
        <is>
          <t>Leadership</t>
        </is>
      </c>
      <c r="AB1293" s="50" t="inlineStr"/>
      <c r="AC1293" s="43">
        <f>HYPERLINK("https://projects.propublica.org/nonprofits/organizations/20222111/202501339349306270/full","view filing")</f>
        <v/>
      </c>
      <c r="AD1293" s="50" t="inlineStr"/>
    </row>
    <row r="1294">
      <c r="A1294" t="inlineStr">
        <is>
          <t>Trustees Of Dartmouth College</t>
        </is>
      </c>
      <c r="B1294" s="50" t="inlineStr">
        <is>
          <t>NH</t>
        </is>
      </c>
      <c r="C1294" s="52" t="n">
        <v>8.960000000000001</v>
      </c>
      <c r="D1294" t="inlineStr">
        <is>
          <t>Endowment</t>
        </is>
      </c>
      <c r="E1294" s="50" t="n">
        <v>2024</v>
      </c>
      <c r="F1294" s="50" t="inlineStr">
        <is>
          <t>2025-05-13</t>
        </is>
      </c>
      <c r="G1294" s="50" t="inlineStr">
        <is>
          <t>2024-06-30</t>
        </is>
      </c>
      <c r="H1294" t="inlineStr">
        <is>
          <t>Michael Sullivan</t>
        </is>
      </c>
      <c r="I1294" t="inlineStr">
        <is>
          <t>Managing Director, Investment Office</t>
        </is>
      </c>
      <c r="J1294" t="inlineStr">
        <is>
          <t>Managing Director</t>
        </is>
      </c>
      <c r="K1294" t="inlineStr">
        <is>
          <t>Sr Investment Professional</t>
        </is>
      </c>
      <c r="L1294" s="28" t="n">
        <v>538152</v>
      </c>
      <c r="M1294" s="28" t="n">
        <v>1003125</v>
      </c>
      <c r="N1294" s="28" t="n">
        <v>1159</v>
      </c>
      <c r="O1294" s="28" t="n">
        <v>29700</v>
      </c>
      <c r="P1294" s="28" t="n">
        <v>20157</v>
      </c>
      <c r="Q1294" s="28" t="n">
        <v>1592293</v>
      </c>
      <c r="R1294" s="28" t="n">
        <v>0</v>
      </c>
      <c r="S1294" s="28">
        <f>Q1294-R1294</f>
        <v/>
      </c>
      <c r="T1294" s="28">
        <f>IF(S1294="","",S1294*(1+in_GrowthRate)^(YEARFRAC(DATE(2024,6,30),in_AgeToDate)*IF(in_AgeToDate&lt;DATE(2024,6,30),-1,1)+1))</f>
        <v/>
      </c>
      <c r="U1294" s="50">
        <f>IF(AND(AND(OR(in_Mode="All Funds",AND(C1294&gt;=in_BandFloor,C1294&lt;=in_BandCeiling,OR(in_Geography="National",COUNTIFS(lst_GeoPreset,in_Geography,lst_GeoState,B1294)&gt;0,AND(in_Geography="Custom",ISNUMBER(SEARCH(B1294,SUBSTITUTE(in_CustomStates," ",""))))),OR(AND(D1294="Endowment",Inputs!$B$14="Y"),AND(D1294="Foundation",Inputs!$B$15="Y"),AND(D1294="Healthcare",Inputs!$B$16="Y"),AND(D1294="Pension",Inputs!$B$17="Y"),AND(D1294="OCIO",Inputs!$B$18="Y"),AND(D1294="Other",Inputs!$B$19="Y")))),A1294&lt;&gt;in_ClientOrg,NOT(AND(in_ExclHarvard="Y",ISNUMBER(SEARCH("Harvard",A1294))))),$AD1294="Y",K1294&lt;&gt;"",S1294&gt;0),"Y","")</f>
        <v/>
      </c>
      <c r="V1294" s="30" t="n">
        <v>0.3123485623624899</v>
      </c>
      <c r="W1294" t="inlineStr"/>
      <c r="X1294" s="28">
        <f>IF(L1294+M1294=0,"",L1294+M1294)</f>
        <v/>
      </c>
      <c r="Y1294" s="38">
        <f>IF(L1294=0,"",M1294/L1294)</f>
        <v/>
      </c>
      <c r="Z1294" t="inlineStr">
        <is>
          <t>Managing Director</t>
        </is>
      </c>
      <c r="AA1294" t="inlineStr">
        <is>
          <t>Investments</t>
        </is>
      </c>
      <c r="AB1294" s="50" t="inlineStr"/>
      <c r="AC1294" s="43">
        <f>HYPERLINK("https://projects.propublica.org/nonprofits/organizations/20222111/202501339349306270/full","view filing")</f>
        <v/>
      </c>
      <c r="AD1294" s="50" t="inlineStr"/>
    </row>
    <row r="1295">
      <c r="A1295" t="inlineStr">
        <is>
          <t>Trustees Of Dartmouth College</t>
        </is>
      </c>
      <c r="B1295" s="50" t="inlineStr">
        <is>
          <t>NH</t>
        </is>
      </c>
      <c r="C1295" s="52" t="n">
        <v>8.960000000000001</v>
      </c>
      <c r="D1295" t="inlineStr">
        <is>
          <t>Endowment</t>
        </is>
      </c>
      <c r="E1295" s="50" t="n">
        <v>2023</v>
      </c>
      <c r="F1295" s="50" t="inlineStr">
        <is>
          <t>2024-05-14</t>
        </is>
      </c>
      <c r="G1295" s="50" t="inlineStr">
        <is>
          <t>2023-06-30</t>
        </is>
      </c>
      <c r="H1295" t="inlineStr">
        <is>
          <t>Alice Ruth</t>
        </is>
      </c>
      <c r="I1295" t="inlineStr">
        <is>
          <t>Chief Executive Officer - Investment Office</t>
        </is>
      </c>
      <c r="J1295" t="inlineStr">
        <is>
          <t>CEO (Inv Entity)</t>
        </is>
      </c>
      <c r="K1295" t="inlineStr">
        <is>
          <t>CIO - Top Investment Executive</t>
        </is>
      </c>
      <c r="L1295" s="28" t="n">
        <v>1155311</v>
      </c>
      <c r="M1295" s="28" t="n">
        <v>3749200</v>
      </c>
      <c r="N1295" s="28" t="n">
        <v>1159</v>
      </c>
      <c r="O1295" s="28" t="n">
        <v>27450</v>
      </c>
      <c r="P1295" s="28" t="n">
        <v>16470</v>
      </c>
      <c r="Q1295" s="28" t="n">
        <v>4949590</v>
      </c>
      <c r="R1295" s="28" t="n">
        <v>0</v>
      </c>
      <c r="S1295" s="28">
        <f>Q1295-R1295</f>
        <v/>
      </c>
      <c r="T1295" s="28">
        <f>IF(S1295="","",S1295*(1+in_GrowthRate)^(YEARFRAC(DATE(2023,6,30),in_AgeToDate)*IF(in_AgeToDate&lt;DATE(2023,6,30),-1,1)+1))</f>
        <v/>
      </c>
      <c r="U1295" s="50">
        <f>IF(AND(AND(OR(in_Mode="All Funds",AND(C1295&gt;=in_BandFloor,C1295&lt;=in_BandCeiling,OR(in_Geography="National",COUNTIFS(lst_GeoPreset,in_Geography,lst_GeoState,B1295)&gt;0,AND(in_Geography="Custom",ISNUMBER(SEARCH(B1295,SUBSTITUTE(in_CustomStates," ",""))))),OR(AND(D1295="Endowment",Inputs!$B$14="Y"),AND(D1295="Foundation",Inputs!$B$15="Y"),AND(D1295="Healthcare",Inputs!$B$16="Y"),AND(D1295="Pension",Inputs!$B$17="Y"),AND(D1295="OCIO",Inputs!$B$18="Y"),AND(D1295="Other",Inputs!$B$19="Y")))),A1295&lt;&gt;in_ClientOrg,NOT(AND(in_ExclHarvard="Y",ISNUMBER(SEARCH("Harvard",A1295))))),$AD1295="Y",K1295&lt;&gt;"",S1295&gt;0),"Y","")</f>
        <v/>
      </c>
      <c r="V1295" s="30" t="n">
        <v>1</v>
      </c>
      <c r="W1295" t="inlineStr"/>
      <c r="X1295" s="28">
        <f>IF(L1295+M1295=0,"",L1295+M1295)</f>
        <v/>
      </c>
      <c r="Y1295" s="38">
        <f>IF(L1295=0,"",M1295/L1295)</f>
        <v/>
      </c>
      <c r="Z1295" t="inlineStr">
        <is>
          <t>CIO - Top Investment Executive</t>
        </is>
      </c>
      <c r="AA1295" t="inlineStr">
        <is>
          <t>Leadership</t>
        </is>
      </c>
      <c r="AB1295" s="50" t="inlineStr">
        <is>
          <t>Y</t>
        </is>
      </c>
      <c r="AC1295" s="43">
        <f>HYPERLINK("https://projects.propublica.org/nonprofits/organizations/20222111/202441359349306269/full","view filing")</f>
        <v/>
      </c>
      <c r="AD1295" s="50" t="inlineStr"/>
    </row>
    <row r="1296">
      <c r="A1296" t="inlineStr">
        <is>
          <t>Trustees Of Dartmouth College</t>
        </is>
      </c>
      <c r="B1296" s="50" t="inlineStr">
        <is>
          <t>NH</t>
        </is>
      </c>
      <c r="C1296" s="52" t="n">
        <v>8.960000000000001</v>
      </c>
      <c r="D1296" t="inlineStr">
        <is>
          <t>Endowment</t>
        </is>
      </c>
      <c r="E1296" s="50" t="n">
        <v>2023</v>
      </c>
      <c r="F1296" s="50" t="inlineStr">
        <is>
          <t>2024-05-14</t>
        </is>
      </c>
      <c r="G1296" s="50" t="inlineStr">
        <is>
          <t>2023-06-30</t>
        </is>
      </c>
      <c r="H1296" t="inlineStr">
        <is>
          <t>Jessica Jones</t>
        </is>
      </c>
      <c r="I1296" t="inlineStr">
        <is>
          <t>Managing Director, Investment Office</t>
        </is>
      </c>
      <c r="J1296" t="inlineStr">
        <is>
          <t>Managing Director</t>
        </is>
      </c>
      <c r="K1296" t="inlineStr">
        <is>
          <t>Sr Investment Professional</t>
        </is>
      </c>
      <c r="L1296" s="28" t="n">
        <v>447589</v>
      </c>
      <c r="M1296" s="28" t="n">
        <v>714762</v>
      </c>
      <c r="N1296" s="28" t="n">
        <v>1159</v>
      </c>
      <c r="O1296" s="28" t="n">
        <v>27450</v>
      </c>
      <c r="P1296" s="28" t="n">
        <v>17306</v>
      </c>
      <c r="Q1296" s="28" t="n">
        <v>1208266</v>
      </c>
      <c r="R1296" s="28" t="n">
        <v>0</v>
      </c>
      <c r="S1296" s="28">
        <f>Q1296-R1296</f>
        <v/>
      </c>
      <c r="T1296" s="28">
        <f>IF(S1296="","",S1296*(1+in_GrowthRate)^(YEARFRAC(DATE(2023,6,30),in_AgeToDate)*IF(in_AgeToDate&lt;DATE(2023,6,30),-1,1)+1))</f>
        <v/>
      </c>
      <c r="U1296" s="50">
        <f>IF(AND(AND(OR(in_Mode="All Funds",AND(C1296&gt;=in_BandFloor,C1296&lt;=in_BandCeiling,OR(in_Geography="National",COUNTIFS(lst_GeoPreset,in_Geography,lst_GeoState,B1296)&gt;0,AND(in_Geography="Custom",ISNUMBER(SEARCH(B1296,SUBSTITUTE(in_CustomStates," ",""))))),OR(AND(D1296="Endowment",Inputs!$B$14="Y"),AND(D1296="Foundation",Inputs!$B$15="Y"),AND(D1296="Healthcare",Inputs!$B$16="Y"),AND(D1296="Pension",Inputs!$B$17="Y"),AND(D1296="OCIO",Inputs!$B$18="Y"),AND(D1296="Other",Inputs!$B$19="Y")))),A1296&lt;&gt;in_ClientOrg,NOT(AND(in_ExclHarvard="Y",ISNUMBER(SEARCH("Harvard",A1296))))),$AD1296="Y",K1296&lt;&gt;"",S1296&gt;0),"Y","")</f>
        <v/>
      </c>
      <c r="V1296" s="30" t="n">
        <v>0.2441143609874757</v>
      </c>
      <c r="W1296" t="inlineStr"/>
      <c r="X1296" s="28">
        <f>IF(L1296+M1296=0,"",L1296+M1296)</f>
        <v/>
      </c>
      <c r="Y1296" s="38">
        <f>IF(L1296=0,"",M1296/L1296)</f>
        <v/>
      </c>
      <c r="Z1296" t="inlineStr">
        <is>
          <t>Managing Director</t>
        </is>
      </c>
      <c r="AA1296" t="inlineStr">
        <is>
          <t>Investments</t>
        </is>
      </c>
      <c r="AB1296" s="50" t="inlineStr"/>
      <c r="AC1296" s="43">
        <f>HYPERLINK("https://projects.propublica.org/nonprofits/organizations/20222111/202441359349306269/full","view filing")</f>
        <v/>
      </c>
      <c r="AD1296" s="50" t="inlineStr"/>
    </row>
    <row r="1297">
      <c r="A1297" t="inlineStr">
        <is>
          <t>Trustees Of Dartmouth College</t>
        </is>
      </c>
      <c r="B1297" s="50" t="inlineStr">
        <is>
          <t>NH</t>
        </is>
      </c>
      <c r="C1297" s="52" t="n">
        <v>8.960000000000001</v>
      </c>
      <c r="D1297" t="inlineStr">
        <is>
          <t>Endowment</t>
        </is>
      </c>
      <c r="E1297" s="50" t="n">
        <v>2023</v>
      </c>
      <c r="F1297" s="50" t="inlineStr">
        <is>
          <t>2024-05-14</t>
        </is>
      </c>
      <c r="G1297" s="50" t="inlineStr">
        <is>
          <t>2023-06-30</t>
        </is>
      </c>
      <c r="H1297" t="inlineStr">
        <is>
          <t>Kelsey Morgan</t>
        </is>
      </c>
      <c r="I1297" t="inlineStr">
        <is>
          <t>Chief Investment Officer</t>
        </is>
      </c>
      <c r="J1297" t="inlineStr">
        <is>
          <t>CIO</t>
        </is>
      </c>
      <c r="K1297" t="inlineStr">
        <is>
          <t>Sr Investment Professional</t>
        </is>
      </c>
      <c r="L1297" s="28" t="n">
        <v>796445</v>
      </c>
      <c r="M1297" s="28" t="n">
        <v>1110000</v>
      </c>
      <c r="N1297" s="28" t="n">
        <v>1159</v>
      </c>
      <c r="O1297" s="28" t="n">
        <v>27450</v>
      </c>
      <c r="P1297" s="28" t="n">
        <v>18449</v>
      </c>
      <c r="Q1297" s="28" t="n">
        <v>1953503</v>
      </c>
      <c r="R1297" s="28" t="n">
        <v>0</v>
      </c>
      <c r="S1297" s="28">
        <f>Q1297-R1297</f>
        <v/>
      </c>
      <c r="T1297" s="28">
        <f>IF(S1297="","",S1297*(1+in_GrowthRate)^(YEARFRAC(DATE(2023,6,30),in_AgeToDate)*IF(in_AgeToDate&lt;DATE(2023,6,30),-1,1)+1))</f>
        <v/>
      </c>
      <c r="U1297" s="50">
        <f>IF(AND(AND(OR(in_Mode="All Funds",AND(C1297&gt;=in_BandFloor,C1297&lt;=in_BandCeiling,OR(in_Geography="National",COUNTIFS(lst_GeoPreset,in_Geography,lst_GeoState,B1297)&gt;0,AND(in_Geography="Custom",ISNUMBER(SEARCH(B1297,SUBSTITUTE(in_CustomStates," ",""))))),OR(AND(D1297="Endowment",Inputs!$B$14="Y"),AND(D1297="Foundation",Inputs!$B$15="Y"),AND(D1297="Healthcare",Inputs!$B$16="Y"),AND(D1297="Pension",Inputs!$B$17="Y"),AND(D1297="OCIO",Inputs!$B$18="Y"),AND(D1297="Other",Inputs!$B$19="Y")))),A1297&lt;&gt;in_ClientOrg,NOT(AND(in_ExclHarvard="Y",ISNUMBER(SEARCH("Harvard",A1297))))),$AD1297="Y",K1297&lt;&gt;"",S1297&gt;0),"Y","")</f>
        <v/>
      </c>
      <c r="V1297" s="30" t="n">
        <v>0.3946797613539708</v>
      </c>
      <c r="W1297" t="inlineStr"/>
      <c r="X1297" s="28">
        <f>IF(L1297+M1297=0,"",L1297+M1297)</f>
        <v/>
      </c>
      <c r="Y1297" s="38">
        <f>IF(L1297=0,"",M1297/L1297)</f>
        <v/>
      </c>
      <c r="Z1297" t="inlineStr">
        <is>
          <t>Deputy CIO</t>
        </is>
      </c>
      <c r="AA1297" t="inlineStr">
        <is>
          <t>Leadership</t>
        </is>
      </c>
      <c r="AB1297" s="50" t="inlineStr"/>
      <c r="AC1297" s="43">
        <f>HYPERLINK("https://projects.propublica.org/nonprofits/organizations/20222111/202441359349306269/full","view filing")</f>
        <v/>
      </c>
      <c r="AD1297" s="50" t="inlineStr"/>
    </row>
    <row r="1298">
      <c r="A1298" t="inlineStr">
        <is>
          <t>Trustees Of Dartmouth College</t>
        </is>
      </c>
      <c r="B1298" s="50" t="inlineStr">
        <is>
          <t>NH</t>
        </is>
      </c>
      <c r="C1298" s="52" t="n">
        <v>8.960000000000001</v>
      </c>
      <c r="D1298" t="inlineStr">
        <is>
          <t>Endowment</t>
        </is>
      </c>
      <c r="E1298" s="50" t="n">
        <v>2023</v>
      </c>
      <c r="F1298" s="50" t="inlineStr">
        <is>
          <t>2024-05-14</t>
        </is>
      </c>
      <c r="G1298" s="50" t="inlineStr">
        <is>
          <t>2023-06-30</t>
        </is>
      </c>
      <c r="H1298" t="inlineStr">
        <is>
          <t>Michael Sullivan</t>
        </is>
      </c>
      <c r="I1298" t="inlineStr">
        <is>
          <t>Managing Director, Investment Office</t>
        </is>
      </c>
      <c r="J1298" t="inlineStr">
        <is>
          <t>Managing Director</t>
        </is>
      </c>
      <c r="K1298" t="inlineStr">
        <is>
          <t>Sr Investment Professional</t>
        </is>
      </c>
      <c r="L1298" s="28" t="n">
        <v>514126</v>
      </c>
      <c r="M1298" s="28" t="n">
        <v>1000000</v>
      </c>
      <c r="N1298" s="28" t="n">
        <v>1159</v>
      </c>
      <c r="O1298" s="28" t="n">
        <v>27450</v>
      </c>
      <c r="P1298" s="28" t="n">
        <v>19320</v>
      </c>
      <c r="Q1298" s="28" t="n">
        <v>1562055</v>
      </c>
      <c r="R1298" s="28" t="n">
        <v>0</v>
      </c>
      <c r="S1298" s="28">
        <f>Q1298-R1298</f>
        <v/>
      </c>
      <c r="T1298" s="28">
        <f>IF(S1298="","",S1298*(1+in_GrowthRate)^(YEARFRAC(DATE(2023,6,30),in_AgeToDate)*IF(in_AgeToDate&lt;DATE(2023,6,30),-1,1)+1))</f>
        <v/>
      </c>
      <c r="U1298" s="50">
        <f>IF(AND(AND(OR(in_Mode="All Funds",AND(C1298&gt;=in_BandFloor,C1298&lt;=in_BandCeiling,OR(in_Geography="National",COUNTIFS(lst_GeoPreset,in_Geography,lst_GeoState,B1298)&gt;0,AND(in_Geography="Custom",ISNUMBER(SEARCH(B1298,SUBSTITUTE(in_CustomStates," ",""))))),OR(AND(D1298="Endowment",Inputs!$B$14="Y"),AND(D1298="Foundation",Inputs!$B$15="Y"),AND(D1298="Healthcare",Inputs!$B$16="Y"),AND(D1298="Pension",Inputs!$B$17="Y"),AND(D1298="OCIO",Inputs!$B$18="Y"),AND(D1298="Other",Inputs!$B$19="Y")))),A1298&lt;&gt;in_ClientOrg,NOT(AND(in_ExclHarvard="Y",ISNUMBER(SEARCH("Harvard",A1298))))),$AD1298="Y",K1298&lt;&gt;"",S1298&gt;0),"Y","")</f>
        <v/>
      </c>
      <c r="V1298" s="30" t="n">
        <v>0.3155928066769167</v>
      </c>
      <c r="W1298" t="inlineStr"/>
      <c r="X1298" s="28">
        <f>IF(L1298+M1298=0,"",L1298+M1298)</f>
        <v/>
      </c>
      <c r="Y1298" s="38">
        <f>IF(L1298=0,"",M1298/L1298)</f>
        <v/>
      </c>
      <c r="Z1298" t="inlineStr">
        <is>
          <t>Managing Director</t>
        </is>
      </c>
      <c r="AA1298" t="inlineStr">
        <is>
          <t>Investments</t>
        </is>
      </c>
      <c r="AB1298" s="50" t="inlineStr"/>
      <c r="AC1298" s="43">
        <f>HYPERLINK("https://projects.propublica.org/nonprofits/organizations/20222111/202441359349306269/full","view filing")</f>
        <v/>
      </c>
      <c r="AD1298" s="50" t="inlineStr"/>
    </row>
    <row r="1299">
      <c r="A1299" t="inlineStr">
        <is>
          <t>Trustees Of Dartmouth College</t>
        </is>
      </c>
      <c r="B1299" s="50" t="inlineStr">
        <is>
          <t>NH</t>
        </is>
      </c>
      <c r="C1299" s="52" t="n">
        <v>8.960000000000001</v>
      </c>
      <c r="D1299" t="inlineStr">
        <is>
          <t>Endowment</t>
        </is>
      </c>
      <c r="E1299" s="50" t="n">
        <v>2022</v>
      </c>
      <c r="F1299" s="50" t="inlineStr">
        <is>
          <t>2023-05-12</t>
        </is>
      </c>
      <c r="G1299" s="50" t="inlineStr">
        <is>
          <t>2022-06-30</t>
        </is>
      </c>
      <c r="H1299" t="inlineStr">
        <is>
          <t>Alice Ruth</t>
        </is>
      </c>
      <c r="I1299" t="inlineStr">
        <is>
          <t>Chief Executive Officer - Investment Office</t>
        </is>
      </c>
      <c r="J1299" t="inlineStr">
        <is>
          <t>CEO (Inv Entity)</t>
        </is>
      </c>
      <c r="K1299" t="inlineStr">
        <is>
          <t>CIO - Top Investment Executive</t>
        </is>
      </c>
      <c r="L1299" s="28" t="n">
        <v>1098842</v>
      </c>
      <c r="M1299" s="28" t="n">
        <v>3100900</v>
      </c>
      <c r="N1299" s="28" t="n">
        <v>1159</v>
      </c>
      <c r="O1299" s="28" t="n">
        <v>29100</v>
      </c>
      <c r="P1299" s="28" t="n">
        <v>16470</v>
      </c>
      <c r="Q1299" s="28" t="n">
        <v>4246471</v>
      </c>
      <c r="R1299" s="28" t="n">
        <v>0</v>
      </c>
      <c r="S1299" s="28">
        <f>Q1299-R1299</f>
        <v/>
      </c>
      <c r="T1299" s="28">
        <f>IF(S1299="","",S1299*(1+in_GrowthRate)^(YEARFRAC(DATE(2022,6,30),in_AgeToDate)*IF(in_AgeToDate&lt;DATE(2022,6,30),-1,1)+1))</f>
        <v/>
      </c>
      <c r="U1299" s="50">
        <f>IF(AND(AND(OR(in_Mode="All Funds",AND(C1299&gt;=in_BandFloor,C1299&lt;=in_BandCeiling,OR(in_Geography="National",COUNTIFS(lst_GeoPreset,in_Geography,lst_GeoState,B1299)&gt;0,AND(in_Geography="Custom",ISNUMBER(SEARCH(B1299,SUBSTITUTE(in_CustomStates," ",""))))),OR(AND(D1299="Endowment",Inputs!$B$14="Y"),AND(D1299="Foundation",Inputs!$B$15="Y"),AND(D1299="Healthcare",Inputs!$B$16="Y"),AND(D1299="Pension",Inputs!$B$17="Y"),AND(D1299="OCIO",Inputs!$B$18="Y"),AND(D1299="Other",Inputs!$B$19="Y")))),A1299&lt;&gt;in_ClientOrg,NOT(AND(in_ExclHarvard="Y",ISNUMBER(SEARCH("Harvard",A1299))))),$AD1299="Y",K1299&lt;&gt;"",S1299&gt;0),"Y","")</f>
        <v/>
      </c>
      <c r="V1299" s="30" t="n">
        <v>1</v>
      </c>
      <c r="W1299" t="inlineStr"/>
      <c r="X1299" s="28">
        <f>IF(L1299+M1299=0,"",L1299+M1299)</f>
        <v/>
      </c>
      <c r="Y1299" s="38">
        <f>IF(L1299=0,"",M1299/L1299)</f>
        <v/>
      </c>
      <c r="Z1299" t="inlineStr">
        <is>
          <t>CIO - Top Investment Executive</t>
        </is>
      </c>
      <c r="AA1299" t="inlineStr">
        <is>
          <t>Leadership</t>
        </is>
      </c>
      <c r="AB1299" s="50" t="inlineStr">
        <is>
          <t>Y</t>
        </is>
      </c>
      <c r="AC1299" s="43">
        <f>HYPERLINK("https://projects.propublica.org/nonprofits/organizations/20222111/202311329349301631/full","view filing")</f>
        <v/>
      </c>
      <c r="AD1299" s="50" t="inlineStr"/>
    </row>
    <row r="1300">
      <c r="A1300" t="inlineStr">
        <is>
          <t>Trustees Of Dartmouth College</t>
        </is>
      </c>
      <c r="B1300" s="50" t="inlineStr">
        <is>
          <t>NH</t>
        </is>
      </c>
      <c r="C1300" s="52" t="n">
        <v>8.960000000000001</v>
      </c>
      <c r="D1300" t="inlineStr">
        <is>
          <t>Endowment</t>
        </is>
      </c>
      <c r="E1300" s="50" t="n">
        <v>2022</v>
      </c>
      <c r="F1300" s="50" t="inlineStr">
        <is>
          <t>2023-05-12</t>
        </is>
      </c>
      <c r="G1300" s="50" t="inlineStr">
        <is>
          <t>2022-06-30</t>
        </is>
      </c>
      <c r="H1300" t="inlineStr">
        <is>
          <t>Jessica Jones</t>
        </is>
      </c>
      <c r="I1300" t="inlineStr">
        <is>
          <t>Managing Director, Investment Office</t>
        </is>
      </c>
      <c r="J1300" t="inlineStr">
        <is>
          <t>Managing Director</t>
        </is>
      </c>
      <c r="K1300" t="inlineStr">
        <is>
          <t>Sr Investment Professional</t>
        </is>
      </c>
      <c r="L1300" s="28" t="n">
        <v>412308</v>
      </c>
      <c r="M1300" s="28" t="n">
        <v>582000</v>
      </c>
      <c r="N1300" s="28" t="n">
        <v>1159</v>
      </c>
      <c r="O1300" s="28" t="n">
        <v>26100</v>
      </c>
      <c r="P1300" s="28" t="n">
        <v>15850</v>
      </c>
      <c r="Q1300" s="28" t="n">
        <v>1037417</v>
      </c>
      <c r="R1300" s="28" t="n">
        <v>0</v>
      </c>
      <c r="S1300" s="28">
        <f>Q1300-R1300</f>
        <v/>
      </c>
      <c r="T1300" s="28">
        <f>IF(S1300="","",S1300*(1+in_GrowthRate)^(YEARFRAC(DATE(2022,6,30),in_AgeToDate)*IF(in_AgeToDate&lt;DATE(2022,6,30),-1,1)+1))</f>
        <v/>
      </c>
      <c r="U1300" s="50">
        <f>IF(AND(AND(OR(in_Mode="All Funds",AND(C1300&gt;=in_BandFloor,C1300&lt;=in_BandCeiling,OR(in_Geography="National",COUNTIFS(lst_GeoPreset,in_Geography,lst_GeoState,B1300)&gt;0,AND(in_Geography="Custom",ISNUMBER(SEARCH(B1300,SUBSTITUTE(in_CustomStates," ",""))))),OR(AND(D1300="Endowment",Inputs!$B$14="Y"),AND(D1300="Foundation",Inputs!$B$15="Y"),AND(D1300="Healthcare",Inputs!$B$16="Y"),AND(D1300="Pension",Inputs!$B$17="Y"),AND(D1300="OCIO",Inputs!$B$18="Y"),AND(D1300="Other",Inputs!$B$19="Y")))),A1300&lt;&gt;in_ClientOrg,NOT(AND(in_ExclHarvard="Y",ISNUMBER(SEARCH("Harvard",A1300))))),$AD1300="Y",K1300&lt;&gt;"",S1300&gt;0),"Y","")</f>
        <v/>
      </c>
      <c r="V1300" s="30" t="n">
        <v>0.2443009736790855</v>
      </c>
      <c r="W1300" t="inlineStr"/>
      <c r="X1300" s="28">
        <f>IF(L1300+M1300=0,"",L1300+M1300)</f>
        <v/>
      </c>
      <c r="Y1300" s="38">
        <f>IF(L1300=0,"",M1300/L1300)</f>
        <v/>
      </c>
      <c r="Z1300" t="inlineStr">
        <is>
          <t>Managing Director</t>
        </is>
      </c>
      <c r="AA1300" t="inlineStr">
        <is>
          <t>Investments</t>
        </is>
      </c>
      <c r="AB1300" s="50" t="inlineStr"/>
      <c r="AC1300" s="43">
        <f>HYPERLINK("https://projects.propublica.org/nonprofits/organizations/20222111/202311329349301631/full","view filing")</f>
        <v/>
      </c>
      <c r="AD1300" s="50" t="inlineStr"/>
    </row>
    <row r="1301">
      <c r="A1301" t="inlineStr">
        <is>
          <t>Trustees Of Dartmouth College</t>
        </is>
      </c>
      <c r="B1301" s="50" t="inlineStr">
        <is>
          <t>NH</t>
        </is>
      </c>
      <c r="C1301" s="52" t="n">
        <v>8.960000000000001</v>
      </c>
      <c r="D1301" t="inlineStr">
        <is>
          <t>Endowment</t>
        </is>
      </c>
      <c r="E1301" s="50" t="n">
        <v>2022</v>
      </c>
      <c r="F1301" s="50" t="inlineStr">
        <is>
          <t>2023-05-12</t>
        </is>
      </c>
      <c r="G1301" s="50" t="inlineStr">
        <is>
          <t>2022-06-30</t>
        </is>
      </c>
      <c r="H1301" t="inlineStr">
        <is>
          <t>Kelsey Morgan</t>
        </is>
      </c>
      <c r="I1301" t="inlineStr">
        <is>
          <t>Chief Investment Officer</t>
        </is>
      </c>
      <c r="J1301" t="inlineStr">
        <is>
          <t>CIO</t>
        </is>
      </c>
      <c r="K1301" t="inlineStr">
        <is>
          <t>Sr Investment Professional</t>
        </is>
      </c>
      <c r="L1301" s="28" t="n">
        <v>726364</v>
      </c>
      <c r="M1301" s="28" t="n">
        <v>1032750</v>
      </c>
      <c r="N1301" s="28" t="n">
        <v>1159</v>
      </c>
      <c r="O1301" s="28" t="n">
        <v>26100</v>
      </c>
      <c r="P1301" s="28" t="n">
        <v>18349</v>
      </c>
      <c r="Q1301" s="28" t="n">
        <v>1804722</v>
      </c>
      <c r="R1301" s="28" t="n">
        <v>0</v>
      </c>
      <c r="S1301" s="28">
        <f>Q1301-R1301</f>
        <v/>
      </c>
      <c r="T1301" s="28">
        <f>IF(S1301="","",S1301*(1+in_GrowthRate)^(YEARFRAC(DATE(2022,6,30),in_AgeToDate)*IF(in_AgeToDate&lt;DATE(2022,6,30),-1,1)+1))</f>
        <v/>
      </c>
      <c r="U1301" s="50">
        <f>IF(AND(AND(OR(in_Mode="All Funds",AND(C1301&gt;=in_BandFloor,C1301&lt;=in_BandCeiling,OR(in_Geography="National",COUNTIFS(lst_GeoPreset,in_Geography,lst_GeoState,B1301)&gt;0,AND(in_Geography="Custom",ISNUMBER(SEARCH(B1301,SUBSTITUTE(in_CustomStates," ",""))))),OR(AND(D1301="Endowment",Inputs!$B$14="Y"),AND(D1301="Foundation",Inputs!$B$15="Y"),AND(D1301="Healthcare",Inputs!$B$16="Y"),AND(D1301="Pension",Inputs!$B$17="Y"),AND(D1301="OCIO",Inputs!$B$18="Y"),AND(D1301="Other",Inputs!$B$19="Y")))),A1301&lt;&gt;in_ClientOrg,NOT(AND(in_ExclHarvard="Y",ISNUMBER(SEARCH("Harvard",A1301))))),$AD1301="Y",K1301&lt;&gt;"",S1301&gt;0),"Y","")</f>
        <v/>
      </c>
      <c r="V1301" s="30" t="n">
        <v>0.4249933650789091</v>
      </c>
      <c r="W1301" t="inlineStr"/>
      <c r="X1301" s="28">
        <f>IF(L1301+M1301=0,"",L1301+M1301)</f>
        <v/>
      </c>
      <c r="Y1301" s="38">
        <f>IF(L1301=0,"",M1301/L1301)</f>
        <v/>
      </c>
      <c r="Z1301" t="inlineStr">
        <is>
          <t>Deputy CIO</t>
        </is>
      </c>
      <c r="AA1301" t="inlineStr">
        <is>
          <t>Leadership</t>
        </is>
      </c>
      <c r="AB1301" s="50" t="inlineStr"/>
      <c r="AC1301" s="43">
        <f>HYPERLINK("https://projects.propublica.org/nonprofits/organizations/20222111/202311329349301631/full","view filing")</f>
        <v/>
      </c>
      <c r="AD1301" s="50" t="inlineStr"/>
    </row>
    <row r="1302">
      <c r="A1302" t="inlineStr">
        <is>
          <t>Trustees Of Dartmouth College</t>
        </is>
      </c>
      <c r="B1302" s="50" t="inlineStr">
        <is>
          <t>NH</t>
        </is>
      </c>
      <c r="C1302" s="52" t="n">
        <v>8.960000000000001</v>
      </c>
      <c r="D1302" t="inlineStr">
        <is>
          <t>Endowment</t>
        </is>
      </c>
      <c r="E1302" s="50" t="n">
        <v>2022</v>
      </c>
      <c r="F1302" s="50" t="inlineStr">
        <is>
          <t>2023-05-12</t>
        </is>
      </c>
      <c r="G1302" s="50" t="inlineStr">
        <is>
          <t>2022-06-30</t>
        </is>
      </c>
      <c r="H1302" t="inlineStr">
        <is>
          <t>Michael Sullivan</t>
        </is>
      </c>
      <c r="I1302" t="inlineStr">
        <is>
          <t>Managing Director, Investment Office</t>
        </is>
      </c>
      <c r="J1302" t="inlineStr">
        <is>
          <t>Managing Director</t>
        </is>
      </c>
      <c r="K1302" t="inlineStr">
        <is>
          <t>Sr Investment Professional</t>
        </is>
      </c>
      <c r="L1302" s="28" t="n">
        <v>458602</v>
      </c>
      <c r="M1302" s="28" t="n">
        <v>665550</v>
      </c>
      <c r="N1302" s="28" t="n">
        <v>1159</v>
      </c>
      <c r="O1302" s="28" t="n">
        <v>26100</v>
      </c>
      <c r="P1302" s="28" t="n">
        <v>18970</v>
      </c>
      <c r="Q1302" s="28" t="n">
        <v>1170381</v>
      </c>
      <c r="R1302" s="28" t="n">
        <v>0</v>
      </c>
      <c r="S1302" s="28">
        <f>Q1302-R1302</f>
        <v/>
      </c>
      <c r="T1302" s="28">
        <f>IF(S1302="","",S1302*(1+in_GrowthRate)^(YEARFRAC(DATE(2022,6,30),in_AgeToDate)*IF(in_AgeToDate&lt;DATE(2022,6,30),-1,1)+1))</f>
        <v/>
      </c>
      <c r="U1302" s="50">
        <f>IF(AND(AND(OR(in_Mode="All Funds",AND(C1302&gt;=in_BandFloor,C1302&lt;=in_BandCeiling,OR(in_Geography="National",COUNTIFS(lst_GeoPreset,in_Geography,lst_GeoState,B1302)&gt;0,AND(in_Geography="Custom",ISNUMBER(SEARCH(B1302,SUBSTITUTE(in_CustomStates," ",""))))),OR(AND(D1302="Endowment",Inputs!$B$14="Y"),AND(D1302="Foundation",Inputs!$B$15="Y"),AND(D1302="Healthcare",Inputs!$B$16="Y"),AND(D1302="Pension",Inputs!$B$17="Y"),AND(D1302="OCIO",Inputs!$B$18="Y"),AND(D1302="Other",Inputs!$B$19="Y")))),A1302&lt;&gt;in_ClientOrg,NOT(AND(in_ExclHarvard="Y",ISNUMBER(SEARCH("Harvard",A1302))))),$AD1302="Y",K1302&lt;&gt;"",S1302&gt;0),"Y","")</f>
        <v/>
      </c>
      <c r="V1302" s="30" t="n">
        <v>0.2756126204559033</v>
      </c>
      <c r="W1302" t="inlineStr"/>
      <c r="X1302" s="28">
        <f>IF(L1302+M1302=0,"",L1302+M1302)</f>
        <v/>
      </c>
      <c r="Y1302" s="38">
        <f>IF(L1302=0,"",M1302/L1302)</f>
        <v/>
      </c>
      <c r="Z1302" t="inlineStr">
        <is>
          <t>Managing Director</t>
        </is>
      </c>
      <c r="AA1302" t="inlineStr">
        <is>
          <t>Investments</t>
        </is>
      </c>
      <c r="AB1302" s="50" t="inlineStr"/>
      <c r="AC1302" s="43">
        <f>HYPERLINK("https://projects.propublica.org/nonprofits/organizations/20222111/202311329349301631/full","view filing")</f>
        <v/>
      </c>
      <c r="AD1302" s="50" t="inlineStr"/>
    </row>
    <row r="1303">
      <c r="A1303" t="inlineStr">
        <is>
          <t>Trustees Of Hamilton College</t>
        </is>
      </c>
      <c r="B1303" s="50" t="inlineStr">
        <is>
          <t>NY</t>
        </is>
      </c>
      <c r="C1303" s="52" t="n">
        <v>1.5</v>
      </c>
      <c r="D1303" t="inlineStr">
        <is>
          <t>Endowment</t>
        </is>
      </c>
      <c r="E1303" s="50" t="n">
        <v>2025</v>
      </c>
      <c r="F1303" s="50" t="inlineStr">
        <is>
          <t>2026-05-13</t>
        </is>
      </c>
      <c r="G1303" s="50" t="inlineStr">
        <is>
          <t>2025-06-30</t>
        </is>
      </c>
      <c r="H1303" t="inlineStr">
        <is>
          <t>Kathleen Khadder</t>
        </is>
      </c>
      <c r="I1303" t="inlineStr">
        <is>
          <t>Deputy Chief Investment Officer</t>
        </is>
      </c>
      <c r="J1303" t="inlineStr">
        <is>
          <t>Deputy CIO</t>
        </is>
      </c>
      <c r="K1303" t="inlineStr">
        <is>
          <t>Sr Investment Professional</t>
        </is>
      </c>
      <c r="L1303" s="28" t="n">
        <v>400000</v>
      </c>
      <c r="M1303" s="28" t="n">
        <v>350000</v>
      </c>
      <c r="N1303" s="28" t="n">
        <v>1378</v>
      </c>
      <c r="O1303" s="28" t="n">
        <v>0</v>
      </c>
      <c r="P1303" s="28" t="n">
        <v>3074</v>
      </c>
      <c r="Q1303" s="28" t="n">
        <v>754452</v>
      </c>
      <c r="R1303" s="28" t="n">
        <v>0</v>
      </c>
      <c r="S1303" s="28">
        <f>Q1303-R1303</f>
        <v/>
      </c>
      <c r="T1303" s="28">
        <f>IF(S1303="","",S1303*(1+in_GrowthRate)^(YEARFRAC(DATE(2025,6,30),in_AgeToDate)*IF(in_AgeToDate&lt;DATE(2025,6,30),-1,1)+1))</f>
        <v/>
      </c>
      <c r="U1303" s="50">
        <f>IF(AND(AND(OR(in_Mode="All Funds",AND(C1303&gt;=in_BandFloor,C1303&lt;=in_BandCeiling,OR(in_Geography="National",COUNTIFS(lst_GeoPreset,in_Geography,lst_GeoState,B1303)&gt;0,AND(in_Geography="Custom",ISNUMBER(SEARCH(B1303,SUBSTITUTE(in_CustomStates," ",""))))),OR(AND(D1303="Endowment",Inputs!$B$14="Y"),AND(D1303="Foundation",Inputs!$B$15="Y"),AND(D1303="Healthcare",Inputs!$B$16="Y"),AND(D1303="Pension",Inputs!$B$17="Y"),AND(D1303="OCIO",Inputs!$B$18="Y"),AND(D1303="Other",Inputs!$B$19="Y")))),A1303&lt;&gt;in_ClientOrg,NOT(AND(in_ExclHarvard="Y",ISNUMBER(SEARCH("Harvard",A1303))))),$AD1303="Y",K1303&lt;&gt;"",S1303&gt;0),"Y","")</f>
        <v/>
      </c>
      <c r="V1303" s="30" t="n">
        <v>0.3590537510773488</v>
      </c>
      <c r="W1303" t="inlineStr"/>
      <c r="X1303" s="28">
        <f>IF(L1303+M1303=0,"",L1303+M1303)</f>
        <v/>
      </c>
      <c r="Y1303" s="38">
        <f>IF(L1303=0,"",M1303/L1303)</f>
        <v/>
      </c>
      <c r="Z1303" t="inlineStr">
        <is>
          <t>Deputy CIO</t>
        </is>
      </c>
      <c r="AA1303" t="inlineStr">
        <is>
          <t>Leadership</t>
        </is>
      </c>
      <c r="AB1303" s="50" t="inlineStr"/>
      <c r="AC1303" s="43">
        <f>HYPERLINK("https://projects.propublica.org/nonprofits/organizations/150532200/202641339349306889/full","view filing")</f>
        <v/>
      </c>
      <c r="AD1303" s="50" t="inlineStr">
        <is>
          <t>Y</t>
        </is>
      </c>
    </row>
    <row r="1304">
      <c r="A1304" t="inlineStr">
        <is>
          <t>Trustees Of Hamilton College</t>
        </is>
      </c>
      <c r="B1304" s="50" t="inlineStr">
        <is>
          <t>NY</t>
        </is>
      </c>
      <c r="C1304" s="52" t="n">
        <v>1.5</v>
      </c>
      <c r="D1304" t="inlineStr">
        <is>
          <t>Endowment</t>
        </is>
      </c>
      <c r="E1304" s="50" t="n">
        <v>2025</v>
      </c>
      <c r="F1304" s="50" t="inlineStr">
        <is>
          <t>2026-05-13</t>
        </is>
      </c>
      <c r="G1304" s="50" t="inlineStr">
        <is>
          <t>2025-06-30</t>
        </is>
      </c>
      <c r="H1304" t="inlineStr">
        <is>
          <t>Lauren K Jacobson</t>
        </is>
      </c>
      <c r="I1304" t="inlineStr">
        <is>
          <t>Chief Investment Officer</t>
        </is>
      </c>
      <c r="J1304" t="inlineStr">
        <is>
          <t>CIO</t>
        </is>
      </c>
      <c r="K1304" t="inlineStr">
        <is>
          <t>CIO - Top Investment Executive</t>
        </is>
      </c>
      <c r="L1304" s="28" t="n">
        <v>645000</v>
      </c>
      <c r="M1304" s="28" t="n">
        <v>1062500</v>
      </c>
      <c r="N1304" s="28" t="n">
        <v>1486</v>
      </c>
      <c r="O1304" s="28" t="n">
        <v>1044483</v>
      </c>
      <c r="P1304" s="28" t="n">
        <v>10254</v>
      </c>
      <c r="Q1304" s="28" t="n">
        <v>2763723</v>
      </c>
      <c r="R1304" s="28" t="n">
        <v>662500</v>
      </c>
      <c r="S1304" s="28">
        <f>Q1304-R1304</f>
        <v/>
      </c>
      <c r="T1304" s="28">
        <f>IF(S1304="","",S1304*(1+in_GrowthRate)^(YEARFRAC(DATE(2025,6,30),in_AgeToDate)*IF(in_AgeToDate&lt;DATE(2025,6,30),-1,1)+1))</f>
        <v/>
      </c>
      <c r="U1304" s="50">
        <f>IF(AND(AND(OR(in_Mode="All Funds",AND(C1304&gt;=in_BandFloor,C1304&lt;=in_BandCeiling,OR(in_Geography="National",COUNTIFS(lst_GeoPreset,in_Geography,lst_GeoState,B1304)&gt;0,AND(in_Geography="Custom",ISNUMBER(SEARCH(B1304,SUBSTITUTE(in_CustomStates," ",""))))),OR(AND(D1304="Endowment",Inputs!$B$14="Y"),AND(D1304="Foundation",Inputs!$B$15="Y"),AND(D1304="Healthcare",Inputs!$B$16="Y"),AND(D1304="Pension",Inputs!$B$17="Y"),AND(D1304="OCIO",Inputs!$B$18="Y"),AND(D1304="Other",Inputs!$B$19="Y")))),A1304&lt;&gt;in_ClientOrg,NOT(AND(in_ExclHarvard="Y",ISNUMBER(SEARCH("Harvard",A1304))))),$AD1304="Y",K1304&lt;&gt;"",S1304&gt;0),"Y","")</f>
        <v/>
      </c>
      <c r="V1304" s="30" t="n">
        <v>1</v>
      </c>
      <c r="W1304" t="inlineStr"/>
      <c r="X1304" s="28">
        <f>IF(L1304+M1304=0,"",L1304+M1304)</f>
        <v/>
      </c>
      <c r="Y1304" s="38">
        <f>IF(L1304=0,"",M1304/L1304)</f>
        <v/>
      </c>
      <c r="Z1304" t="inlineStr">
        <is>
          <t>CIO - Top Investment Executive</t>
        </is>
      </c>
      <c r="AA1304" t="inlineStr">
        <is>
          <t>Leadership</t>
        </is>
      </c>
      <c r="AB1304" s="50" t="inlineStr">
        <is>
          <t>Y</t>
        </is>
      </c>
      <c r="AC1304" s="43">
        <f>HYPERLINK("https://projects.propublica.org/nonprofits/organizations/150532200/202641339349306889/full","view filing")</f>
        <v/>
      </c>
      <c r="AD1304" s="50" t="inlineStr">
        <is>
          <t>Y</t>
        </is>
      </c>
    </row>
    <row r="1305">
      <c r="A1305" t="inlineStr">
        <is>
          <t>Trustees Of Hamilton College</t>
        </is>
      </c>
      <c r="B1305" s="50" t="inlineStr">
        <is>
          <t>NY</t>
        </is>
      </c>
      <c r="C1305" s="52" t="n">
        <v>1.5</v>
      </c>
      <c r="D1305" t="inlineStr">
        <is>
          <t>Endowment</t>
        </is>
      </c>
      <c r="E1305" s="50" t="n">
        <v>2025</v>
      </c>
      <c r="F1305" s="50" t="inlineStr">
        <is>
          <t>2026-05-13</t>
        </is>
      </c>
      <c r="G1305" s="50" t="inlineStr">
        <is>
          <t>2025-06-30</t>
        </is>
      </c>
      <c r="H1305" t="inlineStr">
        <is>
          <t>Spencer Polaske</t>
        </is>
      </c>
      <c r="I1305" t="inlineStr">
        <is>
          <t>Director of Investments</t>
        </is>
      </c>
      <c r="J1305" t="inlineStr">
        <is>
          <t>Director of Investments</t>
        </is>
      </c>
      <c r="K1305" t="inlineStr">
        <is>
          <t>Sr Investment Professional</t>
        </is>
      </c>
      <c r="L1305" s="28" t="n">
        <v>247666</v>
      </c>
      <c r="M1305" s="28" t="n">
        <v>100000</v>
      </c>
      <c r="N1305" s="28" t="n">
        <v>223</v>
      </c>
      <c r="O1305" s="28" t="n">
        <v>34500</v>
      </c>
      <c r="P1305" s="28" t="n">
        <v>17190</v>
      </c>
      <c r="Q1305" s="28" t="n">
        <v>399579</v>
      </c>
      <c r="R1305" s="28" t="n">
        <v>0</v>
      </c>
      <c r="S1305" s="28">
        <f>Q1305-R1305</f>
        <v/>
      </c>
      <c r="T1305" s="28">
        <f>IF(S1305="","",S1305*(1+in_GrowthRate)^(YEARFRAC(DATE(2025,6,30),in_AgeToDate)*IF(in_AgeToDate&lt;DATE(2025,6,30),-1,1)+1))</f>
        <v/>
      </c>
      <c r="U1305" s="50">
        <f>IF(AND(AND(OR(in_Mode="All Funds",AND(C1305&gt;=in_BandFloor,C1305&lt;=in_BandCeiling,OR(in_Geography="National",COUNTIFS(lst_GeoPreset,in_Geography,lst_GeoState,B1305)&gt;0,AND(in_Geography="Custom",ISNUMBER(SEARCH(B1305,SUBSTITUTE(in_CustomStates," ",""))))),OR(AND(D1305="Endowment",Inputs!$B$14="Y"),AND(D1305="Foundation",Inputs!$B$15="Y"),AND(D1305="Healthcare",Inputs!$B$16="Y"),AND(D1305="Pension",Inputs!$B$17="Y"),AND(D1305="OCIO",Inputs!$B$18="Y"),AND(D1305="Other",Inputs!$B$19="Y")))),A1305&lt;&gt;in_ClientOrg,NOT(AND(in_ExclHarvard="Y",ISNUMBER(SEARCH("Harvard",A1305))))),$AD1305="Y",K1305&lt;&gt;"",S1305&gt;0),"Y","")</f>
        <v/>
      </c>
      <c r="V1305" s="30" t="n">
        <v>0.1901649658318037</v>
      </c>
      <c r="W1305" t="inlineStr"/>
      <c r="X1305" s="28">
        <f>IF(L1305+M1305=0,"",L1305+M1305)</f>
        <v/>
      </c>
      <c r="Y1305" s="38">
        <f>IF(L1305=0,"",M1305/L1305)</f>
        <v/>
      </c>
      <c r="Z1305" t="inlineStr">
        <is>
          <t>Director &amp; Investment Officer</t>
        </is>
      </c>
      <c r="AA1305" t="inlineStr">
        <is>
          <t>Investments</t>
        </is>
      </c>
      <c r="AB1305" s="50" t="inlineStr"/>
      <c r="AC1305" s="43">
        <f>HYPERLINK("https://projects.propublica.org/nonprofits/organizations/150532200/202641339349306889/full","view filing")</f>
        <v/>
      </c>
      <c r="AD1305" s="50" t="inlineStr">
        <is>
          <t>Y</t>
        </is>
      </c>
    </row>
    <row r="1306">
      <c r="A1306" t="inlineStr">
        <is>
          <t>Trustees Of Hamilton College</t>
        </is>
      </c>
      <c r="B1306" s="50" t="inlineStr">
        <is>
          <t>NY</t>
        </is>
      </c>
      <c r="C1306" s="52" t="n">
        <v>1.5</v>
      </c>
      <c r="D1306" t="inlineStr">
        <is>
          <t>Endowment</t>
        </is>
      </c>
      <c r="E1306" s="50" t="n">
        <v>2024</v>
      </c>
      <c r="F1306" s="50" t="inlineStr">
        <is>
          <t>2025-05-15</t>
        </is>
      </c>
      <c r="G1306" s="50" t="inlineStr">
        <is>
          <t>2024-06-30</t>
        </is>
      </c>
      <c r="H1306" t="inlineStr">
        <is>
          <t>Lauren K Jacobson</t>
        </is>
      </c>
      <c r="I1306" t="inlineStr">
        <is>
          <t>Chief Investment Officer</t>
        </is>
      </c>
      <c r="J1306" t="inlineStr">
        <is>
          <t>CIO</t>
        </is>
      </c>
      <c r="K1306" t="inlineStr">
        <is>
          <t>CIO - Top Investment Executive</t>
        </is>
      </c>
      <c r="L1306" s="28" t="n">
        <v>650000</v>
      </c>
      <c r="M1306" s="28" t="n">
        <v>825000</v>
      </c>
      <c r="N1306" s="28" t="n">
        <v>1486</v>
      </c>
      <c r="O1306" s="28" t="n">
        <v>1215345</v>
      </c>
      <c r="P1306" s="28" t="n">
        <v>5513</v>
      </c>
      <c r="Q1306" s="28" t="n">
        <v>2697344</v>
      </c>
      <c r="R1306" s="28" t="n">
        <v>648391</v>
      </c>
      <c r="S1306" s="28">
        <f>Q1306-R1306</f>
        <v/>
      </c>
      <c r="T1306" s="28">
        <f>IF(S1306="","",S1306*(1+in_GrowthRate)^(YEARFRAC(DATE(2024,6,30),in_AgeToDate)*IF(in_AgeToDate&lt;DATE(2024,6,30),-1,1)+1))</f>
        <v/>
      </c>
      <c r="U1306" s="50">
        <f>IF(AND(AND(OR(in_Mode="All Funds",AND(C1306&gt;=in_BandFloor,C1306&lt;=in_BandCeiling,OR(in_Geography="National",COUNTIFS(lst_GeoPreset,in_Geography,lst_GeoState,B1306)&gt;0,AND(in_Geography="Custom",ISNUMBER(SEARCH(B1306,SUBSTITUTE(in_CustomStates," ",""))))),OR(AND(D1306="Endowment",Inputs!$B$14="Y"),AND(D1306="Foundation",Inputs!$B$15="Y"),AND(D1306="Healthcare",Inputs!$B$16="Y"),AND(D1306="Pension",Inputs!$B$17="Y"),AND(D1306="OCIO",Inputs!$B$18="Y"),AND(D1306="Other",Inputs!$B$19="Y")))),A1306&lt;&gt;in_ClientOrg,NOT(AND(in_ExclHarvard="Y",ISNUMBER(SEARCH("Harvard",A1306))))),$AD1306="Y",K1306&lt;&gt;"",S1306&gt;0),"Y","")</f>
        <v/>
      </c>
      <c r="V1306" s="30" t="n">
        <v>1</v>
      </c>
      <c r="W1306" t="inlineStr"/>
      <c r="X1306" s="28">
        <f>IF(L1306+M1306=0,"",L1306+M1306)</f>
        <v/>
      </c>
      <c r="Y1306" s="38">
        <f>IF(L1306=0,"",M1306/L1306)</f>
        <v/>
      </c>
      <c r="Z1306" t="inlineStr">
        <is>
          <t>CIO - Top Investment Executive</t>
        </is>
      </c>
      <c r="AA1306" t="inlineStr">
        <is>
          <t>Leadership</t>
        </is>
      </c>
      <c r="AB1306" s="50" t="inlineStr">
        <is>
          <t>Y</t>
        </is>
      </c>
      <c r="AC1306" s="43">
        <f>HYPERLINK("https://projects.propublica.org/nonprofits/organizations/150532200/202521359349308707/full","view filing")</f>
        <v/>
      </c>
      <c r="AD1306" s="50" t="inlineStr"/>
    </row>
    <row r="1307">
      <c r="A1307" t="inlineStr">
        <is>
          <t>Trustees Of Hamilton College</t>
        </is>
      </c>
      <c r="B1307" s="50" t="inlineStr">
        <is>
          <t>NY</t>
        </is>
      </c>
      <c r="C1307" s="52" t="n">
        <v>1.5</v>
      </c>
      <c r="D1307" t="inlineStr">
        <is>
          <t>Endowment</t>
        </is>
      </c>
      <c r="E1307" s="50" t="n">
        <v>2024</v>
      </c>
      <c r="F1307" s="50" t="inlineStr">
        <is>
          <t>2025-05-15</t>
        </is>
      </c>
      <c r="G1307" s="50" t="inlineStr">
        <is>
          <t>2024-06-30</t>
        </is>
      </c>
      <c r="H1307" t="inlineStr">
        <is>
          <t>Spencer Polaske</t>
        </is>
      </c>
      <c r="I1307" t="inlineStr">
        <is>
          <t>Director of Investments</t>
        </is>
      </c>
      <c r="J1307" t="inlineStr">
        <is>
          <t>Director of Investments</t>
        </is>
      </c>
      <c r="K1307" t="inlineStr">
        <is>
          <t>Sr Investment Professional</t>
        </is>
      </c>
      <c r="L1307" s="28" t="n">
        <v>254835</v>
      </c>
      <c r="M1307" s="28" t="n">
        <v>100000</v>
      </c>
      <c r="N1307" s="28" t="n">
        <v>204</v>
      </c>
      <c r="O1307" s="28" t="n">
        <v>33000</v>
      </c>
      <c r="P1307" s="28" t="n">
        <v>18786</v>
      </c>
      <c r="Q1307" s="28" t="n">
        <v>406825</v>
      </c>
      <c r="R1307" s="28" t="n">
        <v>0</v>
      </c>
      <c r="S1307" s="28">
        <f>Q1307-R1307</f>
        <v/>
      </c>
      <c r="T1307" s="28">
        <f>IF(S1307="","",S1307*(1+in_GrowthRate)^(YEARFRAC(DATE(2024,6,30),in_AgeToDate)*IF(in_AgeToDate&lt;DATE(2024,6,30),-1,1)+1))</f>
        <v/>
      </c>
      <c r="U1307" s="50">
        <f>IF(AND(AND(OR(in_Mode="All Funds",AND(C1307&gt;=in_BandFloor,C1307&lt;=in_BandCeiling,OR(in_Geography="National",COUNTIFS(lst_GeoPreset,in_Geography,lst_GeoState,B1307)&gt;0,AND(in_Geography="Custom",ISNUMBER(SEARCH(B1307,SUBSTITUTE(in_CustomStates," ",""))))),OR(AND(D1307="Endowment",Inputs!$B$14="Y"),AND(D1307="Foundation",Inputs!$B$15="Y"),AND(D1307="Healthcare",Inputs!$B$16="Y"),AND(D1307="Pension",Inputs!$B$17="Y"),AND(D1307="OCIO",Inputs!$B$18="Y"),AND(D1307="Other",Inputs!$B$19="Y")))),A1307&lt;&gt;in_ClientOrg,NOT(AND(in_ExclHarvard="Y",ISNUMBER(SEARCH("Harvard",A1307))))),$AD1307="Y",K1307&lt;&gt;"",S1307&gt;0),"Y","")</f>
        <v/>
      </c>
      <c r="V1307" s="30" t="n">
        <v>0.1985526266341883</v>
      </c>
      <c r="W1307" t="inlineStr"/>
      <c r="X1307" s="28">
        <f>IF(L1307+M1307=0,"",L1307+M1307)</f>
        <v/>
      </c>
      <c r="Y1307" s="38">
        <f>IF(L1307=0,"",M1307/L1307)</f>
        <v/>
      </c>
      <c r="Z1307" t="inlineStr">
        <is>
          <t>Director &amp; Investment Officer</t>
        </is>
      </c>
      <c r="AA1307" t="inlineStr">
        <is>
          <t>Investments</t>
        </is>
      </c>
      <c r="AB1307" s="50" t="inlineStr"/>
      <c r="AC1307" s="43">
        <f>HYPERLINK("https://projects.propublica.org/nonprofits/organizations/150532200/202521359349308707/full","view filing")</f>
        <v/>
      </c>
      <c r="AD1307" s="50" t="inlineStr"/>
    </row>
    <row r="1308">
      <c r="A1308" t="inlineStr">
        <is>
          <t>Trustees Of Hamilton College</t>
        </is>
      </c>
      <c r="B1308" s="50" t="inlineStr">
        <is>
          <t>NY</t>
        </is>
      </c>
      <c r="C1308" s="52" t="n">
        <v>1.5</v>
      </c>
      <c r="D1308" t="inlineStr">
        <is>
          <t>Endowment</t>
        </is>
      </c>
      <c r="E1308" s="50" t="n">
        <v>2023</v>
      </c>
      <c r="F1308" s="50" t="inlineStr">
        <is>
          <t>2024-05-15</t>
        </is>
      </c>
      <c r="G1308" s="50" t="inlineStr">
        <is>
          <t>2023-06-30</t>
        </is>
      </c>
      <c r="H1308" t="inlineStr">
        <is>
          <t>Alexander B Doucette</t>
        </is>
      </c>
      <c r="I1308" t="inlineStr">
        <is>
          <t>Director of Investments</t>
        </is>
      </c>
      <c r="J1308" t="inlineStr">
        <is>
          <t>Director of Investments</t>
        </is>
      </c>
      <c r="K1308" t="inlineStr">
        <is>
          <t>Sr Investment Professional</t>
        </is>
      </c>
      <c r="L1308" s="28" t="n">
        <v>296528</v>
      </c>
      <c r="M1308" s="28" t="n">
        <v>225000</v>
      </c>
      <c r="N1308" s="28" t="n">
        <v>223</v>
      </c>
      <c r="O1308" s="28" t="n">
        <v>30500</v>
      </c>
      <c r="P1308" s="28" t="n">
        <v>23347</v>
      </c>
      <c r="Q1308" s="28" t="n">
        <v>575598</v>
      </c>
      <c r="R1308" s="28" t="n">
        <v>0</v>
      </c>
      <c r="S1308" s="28">
        <f>Q1308-R1308</f>
        <v/>
      </c>
      <c r="T1308" s="28">
        <f>IF(S1308="","",S1308*(1+in_GrowthRate)^(YEARFRAC(DATE(2023,6,30),in_AgeToDate)*IF(in_AgeToDate&lt;DATE(2023,6,30),-1,1)+1))</f>
        <v/>
      </c>
      <c r="U1308" s="50">
        <f>IF(AND(AND(OR(in_Mode="All Funds",AND(C1308&gt;=in_BandFloor,C1308&lt;=in_BandCeiling,OR(in_Geography="National",COUNTIFS(lst_GeoPreset,in_Geography,lst_GeoState,B1308)&gt;0,AND(in_Geography="Custom",ISNUMBER(SEARCH(B1308,SUBSTITUTE(in_CustomStates," ",""))))),OR(AND(D1308="Endowment",Inputs!$B$14="Y"),AND(D1308="Foundation",Inputs!$B$15="Y"),AND(D1308="Healthcare",Inputs!$B$16="Y"),AND(D1308="Pension",Inputs!$B$17="Y"),AND(D1308="OCIO",Inputs!$B$18="Y"),AND(D1308="Other",Inputs!$B$19="Y")))),A1308&lt;&gt;in_ClientOrg,NOT(AND(in_ExclHarvard="Y",ISNUMBER(SEARCH("Harvard",A1308))))),$AD1308="Y",K1308&lt;&gt;"",S1308&gt;0),"Y","")</f>
        <v/>
      </c>
      <c r="V1308" s="30" t="n">
        <v>0.4936098907554161</v>
      </c>
      <c r="W1308" t="inlineStr"/>
      <c r="X1308" s="28">
        <f>IF(L1308+M1308=0,"",L1308+M1308)</f>
        <v/>
      </c>
      <c r="Y1308" s="38">
        <f>IF(L1308=0,"",M1308/L1308)</f>
        <v/>
      </c>
      <c r="Z1308" t="inlineStr">
        <is>
          <t>Director &amp; Investment Officer</t>
        </is>
      </c>
      <c r="AA1308" t="inlineStr">
        <is>
          <t>Investments</t>
        </is>
      </c>
      <c r="AB1308" s="50" t="inlineStr"/>
      <c r="AC1308" s="43">
        <f>HYPERLINK("https://projects.propublica.org/nonprofits/organizations/150532200/202441369349304059/full","view filing")</f>
        <v/>
      </c>
      <c r="AD1308" s="50" t="inlineStr"/>
    </row>
    <row r="1309">
      <c r="A1309" t="inlineStr">
        <is>
          <t>Trustees Of Hamilton College</t>
        </is>
      </c>
      <c r="B1309" s="50" t="inlineStr">
        <is>
          <t>NY</t>
        </is>
      </c>
      <c r="C1309" s="52" t="n">
        <v>1.5</v>
      </c>
      <c r="D1309" t="inlineStr">
        <is>
          <t>Endowment</t>
        </is>
      </c>
      <c r="E1309" s="50" t="n">
        <v>2023</v>
      </c>
      <c r="F1309" s="50" t="inlineStr">
        <is>
          <t>2024-05-15</t>
        </is>
      </c>
      <c r="G1309" s="50" t="inlineStr">
        <is>
          <t>2023-06-30</t>
        </is>
      </c>
      <c r="H1309" t="inlineStr">
        <is>
          <t>Lauren K Jacobson</t>
        </is>
      </c>
      <c r="I1309" t="inlineStr">
        <is>
          <t>Chief Investment Officer</t>
        </is>
      </c>
      <c r="J1309" t="inlineStr">
        <is>
          <t>CIO</t>
        </is>
      </c>
      <c r="K1309" t="inlineStr">
        <is>
          <t>CIO - Top Investment Executive</t>
        </is>
      </c>
      <c r="L1309" s="28" t="n">
        <v>98486</v>
      </c>
      <c r="M1309" s="28" t="n">
        <v>417423</v>
      </c>
      <c r="N1309" s="28" t="n">
        <v>230</v>
      </c>
      <c r="O1309" s="28" t="n">
        <v>648391</v>
      </c>
      <c r="P1309" s="28" t="n">
        <v>1569</v>
      </c>
      <c r="Q1309" s="28" t="n">
        <v>1166099</v>
      </c>
      <c r="R1309" s="28" t="n">
        <v>0</v>
      </c>
      <c r="S1309" s="28">
        <f>Q1309-R1309</f>
        <v/>
      </c>
      <c r="T1309" s="28">
        <f>IF(S1309="","",S1309*(1+in_GrowthRate)^(YEARFRAC(DATE(2023,6,30),in_AgeToDate)*IF(in_AgeToDate&lt;DATE(2023,6,30),-1,1)+1))</f>
        <v/>
      </c>
      <c r="U1309" s="50">
        <f>IF(AND(AND(OR(in_Mode="All Funds",AND(C1309&gt;=in_BandFloor,C1309&lt;=in_BandCeiling,OR(in_Geography="National",COUNTIFS(lst_GeoPreset,in_Geography,lst_GeoState,B1309)&gt;0,AND(in_Geography="Custom",ISNUMBER(SEARCH(B1309,SUBSTITUTE(in_CustomStates," ",""))))),OR(AND(D1309="Endowment",Inputs!$B$14="Y"),AND(D1309="Foundation",Inputs!$B$15="Y"),AND(D1309="Healthcare",Inputs!$B$16="Y"),AND(D1309="Pension",Inputs!$B$17="Y"),AND(D1309="OCIO",Inputs!$B$18="Y"),AND(D1309="Other",Inputs!$B$19="Y")))),A1309&lt;&gt;in_ClientOrg,NOT(AND(in_ExclHarvard="Y",ISNUMBER(SEARCH("Harvard",A1309))))),$AD1309="Y",K1309&lt;&gt;"",S1309&gt;0),"Y","")</f>
        <v/>
      </c>
      <c r="V1309" s="30" t="n">
        <v>1</v>
      </c>
      <c r="W1309" t="inlineStr"/>
      <c r="X1309" s="28">
        <f>IF(L1309+M1309=0,"",L1309+M1309)</f>
        <v/>
      </c>
      <c r="Y1309" s="38">
        <f>IF(L1309=0,"",M1309/L1309)</f>
        <v/>
      </c>
      <c r="Z1309" t="inlineStr">
        <is>
          <t>CIO - Top Investment Executive</t>
        </is>
      </c>
      <c r="AA1309" t="inlineStr">
        <is>
          <t>Leadership</t>
        </is>
      </c>
      <c r="AB1309" s="50" t="inlineStr">
        <is>
          <t>Y</t>
        </is>
      </c>
      <c r="AC1309" s="43">
        <f>HYPERLINK("https://projects.propublica.org/nonprofits/organizations/150532200/202441369349304059/full","view filing")</f>
        <v/>
      </c>
      <c r="AD1309" s="50" t="inlineStr"/>
    </row>
    <row r="1310">
      <c r="A1310" t="inlineStr">
        <is>
          <t>Trustees Of Hamilton College</t>
        </is>
      </c>
      <c r="B1310" s="50" t="inlineStr">
        <is>
          <t>NY</t>
        </is>
      </c>
      <c r="C1310" s="52" t="n">
        <v>1.5</v>
      </c>
      <c r="D1310" t="inlineStr">
        <is>
          <t>Endowment</t>
        </is>
      </c>
      <c r="E1310" s="50" t="n">
        <v>2023</v>
      </c>
      <c r="F1310" s="50" t="inlineStr">
        <is>
          <t>2024-05-15</t>
        </is>
      </c>
      <c r="G1310" s="50" t="inlineStr">
        <is>
          <t>2023-06-30</t>
        </is>
      </c>
      <c r="H1310" t="inlineStr">
        <is>
          <t>Sara T Orr</t>
        </is>
      </c>
      <c r="I1310" t="inlineStr">
        <is>
          <t>Director of Investments</t>
        </is>
      </c>
      <c r="J1310" t="inlineStr">
        <is>
          <t>Director of Investments</t>
        </is>
      </c>
      <c r="K1310" t="inlineStr">
        <is>
          <t>Sr Investment Professional</t>
        </is>
      </c>
      <c r="L1310" s="28" t="n">
        <v>213338</v>
      </c>
      <c r="M1310" s="28" t="n">
        <v>250000</v>
      </c>
      <c r="N1310" s="28" t="n">
        <v>707</v>
      </c>
      <c r="O1310" s="28" t="n">
        <v>30500</v>
      </c>
      <c r="P1310" s="28" t="n">
        <v>2962</v>
      </c>
      <c r="Q1310" s="28" t="n">
        <v>497507</v>
      </c>
      <c r="R1310" s="28" t="n">
        <v>0</v>
      </c>
      <c r="S1310" s="28">
        <f>Q1310-R1310</f>
        <v/>
      </c>
      <c r="T1310" s="28">
        <f>IF(S1310="","",S1310*(1+in_GrowthRate)^(YEARFRAC(DATE(2023,6,30),in_AgeToDate)*IF(in_AgeToDate&lt;DATE(2023,6,30),-1,1)+1))</f>
        <v/>
      </c>
      <c r="U1310" s="50">
        <f>IF(AND(AND(OR(in_Mode="All Funds",AND(C1310&gt;=in_BandFloor,C1310&lt;=in_BandCeiling,OR(in_Geography="National",COUNTIFS(lst_GeoPreset,in_Geography,lst_GeoState,B1310)&gt;0,AND(in_Geography="Custom",ISNUMBER(SEARCH(B1310,SUBSTITUTE(in_CustomStates," ",""))))),OR(AND(D1310="Endowment",Inputs!$B$14="Y"),AND(D1310="Foundation",Inputs!$B$15="Y"),AND(D1310="Healthcare",Inputs!$B$16="Y"),AND(D1310="Pension",Inputs!$B$17="Y"),AND(D1310="OCIO",Inputs!$B$18="Y"),AND(D1310="Other",Inputs!$B$19="Y")))),A1310&lt;&gt;in_ClientOrg,NOT(AND(in_ExclHarvard="Y",ISNUMBER(SEARCH("Harvard",A1310))))),$AD1310="Y",K1310&lt;&gt;"",S1310&gt;0),"Y","")</f>
        <v/>
      </c>
      <c r="V1310" s="30" t="n">
        <v>0.4266421633154646</v>
      </c>
      <c r="W1310" t="inlineStr"/>
      <c r="X1310" s="28">
        <f>IF(L1310+M1310=0,"",L1310+M1310)</f>
        <v/>
      </c>
      <c r="Y1310" s="38">
        <f>IF(L1310=0,"",M1310/L1310)</f>
        <v/>
      </c>
      <c r="Z1310" t="inlineStr">
        <is>
          <t>Director &amp; Investment Officer</t>
        </is>
      </c>
      <c r="AA1310" t="inlineStr">
        <is>
          <t>Investments</t>
        </is>
      </c>
      <c r="AB1310" s="50" t="inlineStr"/>
      <c r="AC1310" s="43">
        <f>HYPERLINK("https://projects.propublica.org/nonprofits/organizations/150532200/202441369349304059/full","view filing")</f>
        <v/>
      </c>
      <c r="AD1310" s="50" t="inlineStr"/>
    </row>
    <row r="1311">
      <c r="A1311" t="inlineStr">
        <is>
          <t>Trustees Of Hamilton College</t>
        </is>
      </c>
      <c r="B1311" s="50" t="inlineStr">
        <is>
          <t>NY</t>
        </is>
      </c>
      <c r="C1311" s="52" t="n">
        <v>1.5</v>
      </c>
      <c r="D1311" t="inlineStr">
        <is>
          <t>Endowment</t>
        </is>
      </c>
      <c r="E1311" s="50" t="n">
        <v>2023</v>
      </c>
      <c r="F1311" s="50" t="inlineStr">
        <is>
          <t>2024-05-15</t>
        </is>
      </c>
      <c r="G1311" s="50" t="inlineStr">
        <is>
          <t>2023-06-30</t>
        </is>
      </c>
      <c r="H1311" t="inlineStr">
        <is>
          <t>Spencer Polaske</t>
        </is>
      </c>
      <c r="I1311" t="inlineStr">
        <is>
          <t>Director of Investments</t>
        </is>
      </c>
      <c r="J1311" t="inlineStr">
        <is>
          <t>Director of Investments</t>
        </is>
      </c>
      <c r="K1311" t="inlineStr">
        <is>
          <t>Sr Investment Professional</t>
        </is>
      </c>
      <c r="L1311" s="28" t="n">
        <v>237061</v>
      </c>
      <c r="M1311" s="28" t="n">
        <v>0</v>
      </c>
      <c r="N1311" s="28" t="n">
        <v>115</v>
      </c>
      <c r="O1311" s="28" t="n">
        <v>24417</v>
      </c>
      <c r="P1311" s="28" t="n">
        <v>16930</v>
      </c>
      <c r="Q1311" s="28" t="n">
        <v>278523</v>
      </c>
      <c r="R1311" s="28" t="n">
        <v>0</v>
      </c>
      <c r="S1311" s="28">
        <f>Q1311-R1311</f>
        <v/>
      </c>
      <c r="T1311" s="28">
        <f>IF(S1311="","",S1311*(1+in_GrowthRate)^(YEARFRAC(DATE(2023,6,30),in_AgeToDate)*IF(in_AgeToDate&lt;DATE(2023,6,30),-1,1)+1))</f>
        <v/>
      </c>
      <c r="U1311" s="50">
        <f>IF(AND(AND(OR(in_Mode="All Funds",AND(C1311&gt;=in_BandFloor,C1311&lt;=in_BandCeiling,OR(in_Geography="National",COUNTIFS(lst_GeoPreset,in_Geography,lst_GeoState,B1311)&gt;0,AND(in_Geography="Custom",ISNUMBER(SEARCH(B1311,SUBSTITUTE(in_CustomStates," ",""))))),OR(AND(D1311="Endowment",Inputs!$B$14="Y"),AND(D1311="Foundation",Inputs!$B$15="Y"),AND(D1311="Healthcare",Inputs!$B$16="Y"),AND(D1311="Pension",Inputs!$B$17="Y"),AND(D1311="OCIO",Inputs!$B$18="Y"),AND(D1311="Other",Inputs!$B$19="Y")))),A1311&lt;&gt;in_ClientOrg,NOT(AND(in_ExclHarvard="Y",ISNUMBER(SEARCH("Harvard",A1311))))),$AD1311="Y",K1311&lt;&gt;"",S1311&gt;0),"Y","")</f>
        <v/>
      </c>
      <c r="V1311" s="30" t="n">
        <v>0.2388502176916368</v>
      </c>
      <c r="W1311" t="inlineStr"/>
      <c r="X1311" s="28">
        <f>IF(L1311+M1311=0,"",L1311+M1311)</f>
        <v/>
      </c>
      <c r="Y1311" s="38">
        <f>IF(L1311=0,"",M1311/L1311)</f>
        <v/>
      </c>
      <c r="Z1311" t="inlineStr">
        <is>
          <t>Director &amp; Investment Officer</t>
        </is>
      </c>
      <c r="AA1311" t="inlineStr">
        <is>
          <t>Investments</t>
        </is>
      </c>
      <c r="AB1311" s="50" t="inlineStr"/>
      <c r="AC1311" s="43">
        <f>HYPERLINK("https://projects.propublica.org/nonprofits/organizations/150532200/202441369349304059/full","view filing")</f>
        <v/>
      </c>
      <c r="AD1311" s="50" t="inlineStr"/>
    </row>
    <row r="1312">
      <c r="A1312" t="inlineStr">
        <is>
          <t>Trustees Of Hamilton College</t>
        </is>
      </c>
      <c r="B1312" s="50" t="inlineStr">
        <is>
          <t>NY</t>
        </is>
      </c>
      <c r="C1312" s="52" t="n">
        <v>1.5</v>
      </c>
      <c r="D1312" t="inlineStr">
        <is>
          <t>Endowment</t>
        </is>
      </c>
      <c r="E1312" s="50" t="n">
        <v>2022</v>
      </c>
      <c r="F1312" s="50" t="inlineStr">
        <is>
          <t>2023-05-11</t>
        </is>
      </c>
      <c r="G1312" s="50" t="inlineStr">
        <is>
          <t>2022-06-30</t>
        </is>
      </c>
      <c r="H1312" t="inlineStr">
        <is>
          <t>Alexander Doucette</t>
        </is>
      </c>
      <c r="I1312" t="inlineStr">
        <is>
          <t>Director of Investments</t>
        </is>
      </c>
      <c r="J1312" t="inlineStr">
        <is>
          <t>Director of Investments</t>
        </is>
      </c>
      <c r="K1312" t="inlineStr">
        <is>
          <t>Sr Investment Professional</t>
        </is>
      </c>
      <c r="L1312" s="28" t="n">
        <v>229954</v>
      </c>
      <c r="M1312" s="28" t="n">
        <v>150000</v>
      </c>
      <c r="N1312" s="28" t="n">
        <v>180</v>
      </c>
      <c r="O1312" s="28" t="n">
        <v>29000</v>
      </c>
      <c r="P1312" s="28" t="n">
        <v>21437</v>
      </c>
      <c r="Q1312" s="28" t="n">
        <v>430571</v>
      </c>
      <c r="R1312" s="28" t="n">
        <v>0</v>
      </c>
      <c r="S1312" s="28">
        <f>Q1312-R1312</f>
        <v/>
      </c>
      <c r="T1312" s="28">
        <f>IF(S1312="","",S1312*(1+in_GrowthRate)^(YEARFRAC(DATE(2022,6,30),in_AgeToDate)*IF(in_AgeToDate&lt;DATE(2022,6,30),-1,1)+1))</f>
        <v/>
      </c>
      <c r="U1312" s="50">
        <f>IF(AND(AND(OR(in_Mode="All Funds",AND(C1312&gt;=in_BandFloor,C1312&lt;=in_BandCeiling,OR(in_Geography="National",COUNTIFS(lst_GeoPreset,in_Geography,lst_GeoState,B1312)&gt;0,AND(in_Geography="Custom",ISNUMBER(SEARCH(B1312,SUBSTITUTE(in_CustomStates," ",""))))),OR(AND(D1312="Endowment",Inputs!$B$14="Y"),AND(D1312="Foundation",Inputs!$B$15="Y"),AND(D1312="Healthcare",Inputs!$B$16="Y"),AND(D1312="Pension",Inputs!$B$17="Y"),AND(D1312="OCIO",Inputs!$B$18="Y"),AND(D1312="Other",Inputs!$B$19="Y")))),A1312&lt;&gt;in_ClientOrg,NOT(AND(in_ExclHarvard="Y",ISNUMBER(SEARCH("Harvard",A1312))))),$AD1312="Y",K1312&lt;&gt;"",S1312&gt;0),"Y","")</f>
        <v/>
      </c>
      <c r="V1312" s="30" t="n">
        <v>0.3972203771356876</v>
      </c>
      <c r="W1312" t="inlineStr"/>
      <c r="X1312" s="28">
        <f>IF(L1312+M1312=0,"",L1312+M1312)</f>
        <v/>
      </c>
      <c r="Y1312" s="38">
        <f>IF(L1312=0,"",M1312/L1312)</f>
        <v/>
      </c>
      <c r="Z1312" t="inlineStr">
        <is>
          <t>Director &amp; Investment Officer</t>
        </is>
      </c>
      <c r="AA1312" t="inlineStr">
        <is>
          <t>Investments</t>
        </is>
      </c>
      <c r="AB1312" s="50" t="inlineStr"/>
      <c r="AC1312" s="43">
        <f>HYPERLINK("https://projects.propublica.org/nonprofits/organizations/150532200/202301319349305870/full","view filing")</f>
        <v/>
      </c>
      <c r="AD1312" s="50" t="inlineStr"/>
    </row>
    <row r="1313">
      <c r="A1313" t="inlineStr">
        <is>
          <t>Trustees Of Hamilton College</t>
        </is>
      </c>
      <c r="B1313" s="50" t="inlineStr">
        <is>
          <t>NY</t>
        </is>
      </c>
      <c r="C1313" s="52" t="n">
        <v>1.5</v>
      </c>
      <c r="D1313" t="inlineStr">
        <is>
          <t>Endowment</t>
        </is>
      </c>
      <c r="E1313" s="50" t="n">
        <v>2022</v>
      </c>
      <c r="F1313" s="50" t="inlineStr">
        <is>
          <t>2023-05-11</t>
        </is>
      </c>
      <c r="G1313" s="50" t="inlineStr">
        <is>
          <t>2022-06-30</t>
        </is>
      </c>
      <c r="H1313" t="inlineStr">
        <is>
          <t>Anne Dinneen</t>
        </is>
      </c>
      <c r="I1313" t="inlineStr">
        <is>
          <t>Chief Investment Officer</t>
        </is>
      </c>
      <c r="J1313" t="inlineStr">
        <is>
          <t>CIO</t>
        </is>
      </c>
      <c r="K1313" t="inlineStr">
        <is>
          <t>CIO - Top Investment Executive</t>
        </is>
      </c>
      <c r="L1313" s="28" t="n">
        <v>466834</v>
      </c>
      <c r="M1313" s="28" t="n">
        <v>562500</v>
      </c>
      <c r="N1313" s="28" t="n">
        <v>203792</v>
      </c>
      <c r="O1313" s="28" t="n">
        <v>29000</v>
      </c>
      <c r="P1313" s="28" t="n">
        <v>25116</v>
      </c>
      <c r="Q1313" s="28" t="n">
        <v>1287242</v>
      </c>
      <c r="R1313" s="28" t="n">
        <v>203282</v>
      </c>
      <c r="S1313" s="28">
        <f>Q1313-R1313</f>
        <v/>
      </c>
      <c r="T1313" s="28">
        <f>IF(S1313="","",S1313*(1+in_GrowthRate)^(YEARFRAC(DATE(2022,6,30),in_AgeToDate)*IF(in_AgeToDate&lt;DATE(2022,6,30),-1,1)+1))</f>
        <v/>
      </c>
      <c r="U1313" s="50">
        <f>IF(AND(AND(OR(in_Mode="All Funds",AND(C1313&gt;=in_BandFloor,C1313&lt;=in_BandCeiling,OR(in_Geography="National",COUNTIFS(lst_GeoPreset,in_Geography,lst_GeoState,B1313)&gt;0,AND(in_Geography="Custom",ISNUMBER(SEARCH(B1313,SUBSTITUTE(in_CustomStates," ",""))))),OR(AND(D1313="Endowment",Inputs!$B$14="Y"),AND(D1313="Foundation",Inputs!$B$15="Y"),AND(D1313="Healthcare",Inputs!$B$16="Y"),AND(D1313="Pension",Inputs!$B$17="Y"),AND(D1313="OCIO",Inputs!$B$18="Y"),AND(D1313="Other",Inputs!$B$19="Y")))),A1313&lt;&gt;in_ClientOrg,NOT(AND(in_ExclHarvard="Y",ISNUMBER(SEARCH("Harvard",A1313))))),$AD1313="Y",K1313&lt;&gt;"",S1313&gt;0),"Y","")</f>
        <v/>
      </c>
      <c r="V1313" s="30" t="n">
        <v>1</v>
      </c>
      <c r="W1313" t="inlineStr"/>
      <c r="X1313" s="28">
        <f>IF(L1313+M1313=0,"",L1313+M1313)</f>
        <v/>
      </c>
      <c r="Y1313" s="38">
        <f>IF(L1313=0,"",M1313/L1313)</f>
        <v/>
      </c>
      <c r="Z1313" t="inlineStr">
        <is>
          <t>CIO - Top Investment Executive</t>
        </is>
      </c>
      <c r="AA1313" t="inlineStr">
        <is>
          <t>Leadership</t>
        </is>
      </c>
      <c r="AB1313" s="50" t="inlineStr">
        <is>
          <t>Y</t>
        </is>
      </c>
      <c r="AC1313" s="43">
        <f>HYPERLINK("https://projects.propublica.org/nonprofits/organizations/150532200/202301319349305870/full","view filing")</f>
        <v/>
      </c>
      <c r="AD1313" s="50" t="inlineStr"/>
    </row>
    <row r="1314">
      <c r="A1314" t="inlineStr">
        <is>
          <t>Trustees Of Hamilton College</t>
        </is>
      </c>
      <c r="B1314" s="50" t="inlineStr">
        <is>
          <t>NY</t>
        </is>
      </c>
      <c r="C1314" s="52" t="n">
        <v>1.5</v>
      </c>
      <c r="D1314" t="inlineStr">
        <is>
          <t>Endowment</t>
        </is>
      </c>
      <c r="E1314" s="50" t="n">
        <v>2022</v>
      </c>
      <c r="F1314" s="50" t="inlineStr">
        <is>
          <t>2023-05-11</t>
        </is>
      </c>
      <c r="G1314" s="50" t="inlineStr">
        <is>
          <t>2022-06-30</t>
        </is>
      </c>
      <c r="H1314" t="inlineStr">
        <is>
          <t>Sara Orr</t>
        </is>
      </c>
      <c r="I1314" t="inlineStr">
        <is>
          <t>Director of Investments</t>
        </is>
      </c>
      <c r="J1314" t="inlineStr">
        <is>
          <t>Director of Investments</t>
        </is>
      </c>
      <c r="K1314" t="inlineStr">
        <is>
          <t>Sr Investment Professional</t>
        </is>
      </c>
      <c r="L1314" s="28" t="n">
        <v>249250</v>
      </c>
      <c r="M1314" s="28" t="n">
        <v>200000</v>
      </c>
      <c r="N1314" s="28" t="n">
        <v>216</v>
      </c>
      <c r="O1314" s="28" t="n">
        <v>29000</v>
      </c>
      <c r="P1314" s="28" t="n">
        <v>4770</v>
      </c>
      <c r="Q1314" s="28" t="n">
        <v>483236</v>
      </c>
      <c r="R1314" s="28" t="n">
        <v>0</v>
      </c>
      <c r="S1314" s="28">
        <f>Q1314-R1314</f>
        <v/>
      </c>
      <c r="T1314" s="28">
        <f>IF(S1314="","",S1314*(1+in_GrowthRate)^(YEARFRAC(DATE(2022,6,30),in_AgeToDate)*IF(in_AgeToDate&lt;DATE(2022,6,30),-1,1)+1))</f>
        <v/>
      </c>
      <c r="U1314" s="50">
        <f>IF(AND(AND(OR(in_Mode="All Funds",AND(C1314&gt;=in_BandFloor,C1314&lt;=in_BandCeiling,OR(in_Geography="National",COUNTIFS(lst_GeoPreset,in_Geography,lst_GeoState,B1314)&gt;0,AND(in_Geography="Custom",ISNUMBER(SEARCH(B1314,SUBSTITUTE(in_CustomStates," ",""))))),OR(AND(D1314="Endowment",Inputs!$B$14="Y"),AND(D1314="Foundation",Inputs!$B$15="Y"),AND(D1314="Healthcare",Inputs!$B$16="Y"),AND(D1314="Pension",Inputs!$B$17="Y"),AND(D1314="OCIO",Inputs!$B$18="Y"),AND(D1314="Other",Inputs!$B$19="Y")))),A1314&lt;&gt;in_ClientOrg,NOT(AND(in_ExclHarvard="Y",ISNUMBER(SEARCH("Harvard",A1314))))),$AD1314="Y",K1314&lt;&gt;"",S1314&gt;0),"Y","")</f>
        <v/>
      </c>
      <c r="V1314" s="30" t="n">
        <v>0.4458061183069486</v>
      </c>
      <c r="W1314" t="inlineStr"/>
      <c r="X1314" s="28">
        <f>IF(L1314+M1314=0,"",L1314+M1314)</f>
        <v/>
      </c>
      <c r="Y1314" s="38">
        <f>IF(L1314=0,"",M1314/L1314)</f>
        <v/>
      </c>
      <c r="Z1314" t="inlineStr">
        <is>
          <t>Director &amp; Investment Officer</t>
        </is>
      </c>
      <c r="AA1314" t="inlineStr">
        <is>
          <t>Investments</t>
        </is>
      </c>
      <c r="AB1314" s="50" t="inlineStr"/>
      <c r="AC1314" s="43">
        <f>HYPERLINK("https://projects.propublica.org/nonprofits/organizations/150532200/202301319349305870/full","view filing")</f>
        <v/>
      </c>
      <c r="AD1314" s="50" t="inlineStr"/>
    </row>
    <row r="1315">
      <c r="A1315" t="inlineStr">
        <is>
          <t>Trustees Of Mount Holyoke College</t>
        </is>
      </c>
      <c r="B1315" s="50" t="inlineStr">
        <is>
          <t>MA</t>
        </is>
      </c>
      <c r="C1315" s="52" t="n">
        <v>1.18</v>
      </c>
      <c r="D1315" t="inlineStr">
        <is>
          <t>Endowment</t>
        </is>
      </c>
      <c r="E1315" s="50" t="n">
        <v>2025</v>
      </c>
      <c r="F1315" s="50" t="inlineStr">
        <is>
          <t>2026-05-15</t>
        </is>
      </c>
      <c r="G1315" s="50" t="inlineStr">
        <is>
          <t>2025-06-30</t>
        </is>
      </c>
      <c r="H1315" t="inlineStr">
        <is>
          <t>Alexander Wirth-Cauchon</t>
        </is>
      </c>
      <c r="I1315" t="inlineStr">
        <is>
          <t>CIO &amp; EXEC DIR OF LITS</t>
        </is>
      </c>
      <c r="J1315" t="inlineStr">
        <is>
          <t>CIO</t>
        </is>
      </c>
      <c r="K1315" t="inlineStr">
        <is>
          <t>Sr Investment Professional</t>
        </is>
      </c>
      <c r="L1315" s="28" t="n">
        <v>223865</v>
      </c>
      <c r="M1315" s="28" t="n">
        <v>10000</v>
      </c>
      <c r="N1315" s="28" t="n">
        <v>0</v>
      </c>
      <c r="O1315" s="28" t="n">
        <v>25384</v>
      </c>
      <c r="P1315" s="28" t="n">
        <v>29948</v>
      </c>
      <c r="Q1315" s="28" t="n">
        <v>289197</v>
      </c>
      <c r="R1315" s="28" t="n">
        <v>0</v>
      </c>
      <c r="S1315" s="28">
        <f>Q1315-R1315</f>
        <v/>
      </c>
      <c r="T1315" s="28">
        <f>IF(S1315="","",S1315*(1+in_GrowthRate)^(YEARFRAC(DATE(2025,6,30),in_AgeToDate)*IF(in_AgeToDate&lt;DATE(2025,6,30),-1,1)+1))</f>
        <v/>
      </c>
      <c r="U1315" s="50">
        <f>IF(AND(AND(OR(in_Mode="All Funds",AND(C1315&gt;=in_BandFloor,C1315&lt;=in_BandCeiling,OR(in_Geography="National",COUNTIFS(lst_GeoPreset,in_Geography,lst_GeoState,B1315)&gt;0,AND(in_Geography="Custom",ISNUMBER(SEARCH(B1315,SUBSTITUTE(in_CustomStates," ",""))))),OR(AND(D1315="Endowment",Inputs!$B$14="Y"),AND(D1315="Foundation",Inputs!$B$15="Y"),AND(D1315="Healthcare",Inputs!$B$16="Y"),AND(D1315="Pension",Inputs!$B$17="Y"),AND(D1315="OCIO",Inputs!$B$18="Y"),AND(D1315="Other",Inputs!$B$19="Y")))),A1315&lt;&gt;in_ClientOrg,NOT(AND(in_ExclHarvard="Y",ISNUMBER(SEARCH("Harvard",A1315))))),$AD1315="Y",K1315&lt;&gt;"",S1315&gt;0),"Y","")</f>
        <v/>
      </c>
      <c r="V1315" s="30" t="n">
        <v>0.2741219381342453</v>
      </c>
      <c r="W1315" t="inlineStr"/>
      <c r="X1315" s="28">
        <f>IF(L1315+M1315=0,"",L1315+M1315)</f>
        <v/>
      </c>
      <c r="Y1315" s="38">
        <f>IF(L1315=0,"",M1315/L1315)</f>
        <v/>
      </c>
      <c r="Z1315" t="inlineStr">
        <is>
          <t>Deputy CIO</t>
        </is>
      </c>
      <c r="AA1315" t="inlineStr">
        <is>
          <t>Leadership</t>
        </is>
      </c>
      <c r="AB1315" s="50" t="inlineStr"/>
      <c r="AC1315" s="43">
        <f>HYPERLINK("https://projects.propublica.org/nonprofits/organizations/42103578/202611359349306066/full","view filing")</f>
        <v/>
      </c>
      <c r="AD1315" s="50" t="inlineStr">
        <is>
          <t>Y</t>
        </is>
      </c>
    </row>
    <row r="1316">
      <c r="A1316" t="inlineStr">
        <is>
          <t>Trustees Of Mount Holyoke College</t>
        </is>
      </c>
      <c r="B1316" s="50" t="inlineStr">
        <is>
          <t>MA</t>
        </is>
      </c>
      <c r="C1316" s="52" t="n">
        <v>1.18</v>
      </c>
      <c r="D1316" t="inlineStr">
        <is>
          <t>Endowment</t>
        </is>
      </c>
      <c r="E1316" s="50" t="n">
        <v>2025</v>
      </c>
      <c r="F1316" s="50" t="inlineStr">
        <is>
          <t>2026-05-15</t>
        </is>
      </c>
      <c r="G1316" s="50" t="inlineStr">
        <is>
          <t>2025-06-30</t>
        </is>
      </c>
      <c r="H1316" t="inlineStr">
        <is>
          <t>Ana Yankova</t>
        </is>
      </c>
      <c r="I1316" t="inlineStr">
        <is>
          <t>CHIEF INVESTMENT OFFICER</t>
        </is>
      </c>
      <c r="J1316" t="inlineStr">
        <is>
          <t>CIO</t>
        </is>
      </c>
      <c r="K1316" t="inlineStr">
        <is>
          <t>CIO - Top Investment Executive</t>
        </is>
      </c>
      <c r="L1316" s="28" t="n">
        <v>509453</v>
      </c>
      <c r="M1316" s="28" t="n">
        <v>531690</v>
      </c>
      <c r="N1316" s="28" t="n">
        <v>0</v>
      </c>
      <c r="O1316" s="28" t="n">
        <v>10010</v>
      </c>
      <c r="P1316" s="28" t="n">
        <v>3841</v>
      </c>
      <c r="Q1316" s="28" t="n">
        <v>1054994</v>
      </c>
      <c r="R1316" s="28" t="n">
        <v>0</v>
      </c>
      <c r="S1316" s="28">
        <f>Q1316-R1316</f>
        <v/>
      </c>
      <c r="T1316" s="28">
        <f>IF(S1316="","",S1316*(1+in_GrowthRate)^(YEARFRAC(DATE(2025,6,30),in_AgeToDate)*IF(in_AgeToDate&lt;DATE(2025,6,30),-1,1)+1))</f>
        <v/>
      </c>
      <c r="U1316" s="50">
        <f>IF(AND(AND(OR(in_Mode="All Funds",AND(C1316&gt;=in_BandFloor,C1316&lt;=in_BandCeiling,OR(in_Geography="National",COUNTIFS(lst_GeoPreset,in_Geography,lst_GeoState,B1316)&gt;0,AND(in_Geography="Custom",ISNUMBER(SEARCH(B1316,SUBSTITUTE(in_CustomStates," ",""))))),OR(AND(D1316="Endowment",Inputs!$B$14="Y"),AND(D1316="Foundation",Inputs!$B$15="Y"),AND(D1316="Healthcare",Inputs!$B$16="Y"),AND(D1316="Pension",Inputs!$B$17="Y"),AND(D1316="OCIO",Inputs!$B$18="Y"),AND(D1316="Other",Inputs!$B$19="Y")))),A1316&lt;&gt;in_ClientOrg,NOT(AND(in_ExclHarvard="Y",ISNUMBER(SEARCH("Harvard",A1316))))),$AD1316="Y",K1316&lt;&gt;"",S1316&gt;0),"Y","")</f>
        <v/>
      </c>
      <c r="V1316" s="30" t="n">
        <v>1</v>
      </c>
      <c r="W1316" t="inlineStr"/>
      <c r="X1316" s="28">
        <f>IF(L1316+M1316=0,"",L1316+M1316)</f>
        <v/>
      </c>
      <c r="Y1316" s="38">
        <f>IF(L1316=0,"",M1316/L1316)</f>
        <v/>
      </c>
      <c r="Z1316" t="inlineStr">
        <is>
          <t>CIO - Top Investment Executive</t>
        </is>
      </c>
      <c r="AA1316" t="inlineStr">
        <is>
          <t>Leadership</t>
        </is>
      </c>
      <c r="AB1316" s="50" t="inlineStr">
        <is>
          <t>Y</t>
        </is>
      </c>
      <c r="AC1316" s="43">
        <f>HYPERLINK("https://projects.propublica.org/nonprofits/organizations/42103578/202611359349306066/full","view filing")</f>
        <v/>
      </c>
      <c r="AD1316" s="50" t="inlineStr">
        <is>
          <t>Y</t>
        </is>
      </c>
    </row>
    <row r="1317">
      <c r="A1317" t="inlineStr">
        <is>
          <t>Trustees Of Mount Holyoke College</t>
        </is>
      </c>
      <c r="B1317" s="50" t="inlineStr">
        <is>
          <t>MA</t>
        </is>
      </c>
      <c r="C1317" s="52" t="n">
        <v>1.18</v>
      </c>
      <c r="D1317" t="inlineStr">
        <is>
          <t>Endowment</t>
        </is>
      </c>
      <c r="E1317" s="50" t="n">
        <v>2025</v>
      </c>
      <c r="F1317" s="50" t="inlineStr">
        <is>
          <t>2026-05-15</t>
        </is>
      </c>
      <c r="G1317" s="50" t="inlineStr">
        <is>
          <t>2025-06-30</t>
        </is>
      </c>
      <c r="H1317" t="inlineStr">
        <is>
          <t>Natalie Herter</t>
        </is>
      </c>
      <c r="I1317" t="inlineStr">
        <is>
          <t>DIRECTOR, INVESTMENT OFFICE</t>
        </is>
      </c>
      <c r="J1317" t="inlineStr">
        <is>
          <t>Director of Investments</t>
        </is>
      </c>
      <c r="K1317" t="inlineStr">
        <is>
          <t>Sr Investment Professional</t>
        </is>
      </c>
      <c r="L1317" s="28" t="n">
        <v>307712</v>
      </c>
      <c r="M1317" s="28" t="n">
        <v>66313</v>
      </c>
      <c r="N1317" s="28" t="n">
        <v>0</v>
      </c>
      <c r="O1317" s="28" t="n">
        <v>22743</v>
      </c>
      <c r="P1317" s="28" t="n">
        <v>296</v>
      </c>
      <c r="Q1317" s="28" t="n">
        <v>397064</v>
      </c>
      <c r="R1317" s="28" t="n">
        <v>0</v>
      </c>
      <c r="S1317" s="28">
        <f>Q1317-R1317</f>
        <v/>
      </c>
      <c r="T1317" s="28">
        <f>IF(S1317="","",S1317*(1+in_GrowthRate)^(YEARFRAC(DATE(2025,6,30),in_AgeToDate)*IF(in_AgeToDate&lt;DATE(2025,6,30),-1,1)+1))</f>
        <v/>
      </c>
      <c r="U1317" s="50">
        <f>IF(AND(AND(OR(in_Mode="All Funds",AND(C1317&gt;=in_BandFloor,C1317&lt;=in_BandCeiling,OR(in_Geography="National",COUNTIFS(lst_GeoPreset,in_Geography,lst_GeoState,B1317)&gt;0,AND(in_Geography="Custom",ISNUMBER(SEARCH(B1317,SUBSTITUTE(in_CustomStates," ",""))))),OR(AND(D1317="Endowment",Inputs!$B$14="Y"),AND(D1317="Foundation",Inputs!$B$15="Y"),AND(D1317="Healthcare",Inputs!$B$16="Y"),AND(D1317="Pension",Inputs!$B$17="Y"),AND(D1317="OCIO",Inputs!$B$18="Y"),AND(D1317="Other",Inputs!$B$19="Y")))),A1317&lt;&gt;in_ClientOrg,NOT(AND(in_ExclHarvard="Y",ISNUMBER(SEARCH("Harvard",A1317))))),$AD1317="Y",K1317&lt;&gt;"",S1317&gt;0),"Y","")</f>
        <v/>
      </c>
      <c r="V1317" s="30" t="n">
        <v>0.3763661215134873</v>
      </c>
      <c r="W1317" t="inlineStr"/>
      <c r="X1317" s="28">
        <f>IF(L1317+M1317=0,"",L1317+M1317)</f>
        <v/>
      </c>
      <c r="Y1317" s="38">
        <f>IF(L1317=0,"",M1317/L1317)</f>
        <v/>
      </c>
      <c r="Z1317" t="inlineStr">
        <is>
          <t>Director &amp; Investment Officer</t>
        </is>
      </c>
      <c r="AA1317" t="inlineStr">
        <is>
          <t>Investments</t>
        </is>
      </c>
      <c r="AB1317" s="50" t="inlineStr"/>
      <c r="AC1317" s="43">
        <f>HYPERLINK("https://projects.propublica.org/nonprofits/organizations/42103578/202611359349306066/full","view filing")</f>
        <v/>
      </c>
      <c r="AD1317" s="50" t="inlineStr">
        <is>
          <t>Y</t>
        </is>
      </c>
    </row>
    <row r="1318">
      <c r="A1318" t="inlineStr">
        <is>
          <t>Trustees Of Mount Holyoke College</t>
        </is>
      </c>
      <c r="B1318" s="50" t="inlineStr">
        <is>
          <t>MA</t>
        </is>
      </c>
      <c r="C1318" s="52" t="n">
        <v>1.18</v>
      </c>
      <c r="D1318" t="inlineStr">
        <is>
          <t>Endowment</t>
        </is>
      </c>
      <c r="E1318" s="50" t="n">
        <v>2025</v>
      </c>
      <c r="F1318" s="50" t="inlineStr">
        <is>
          <t>2026-05-15</t>
        </is>
      </c>
      <c r="G1318" s="50" t="inlineStr">
        <is>
          <t>2025-06-30</t>
        </is>
      </c>
      <c r="H1318" t="inlineStr">
        <is>
          <t>Thomas Cote</t>
        </is>
      </c>
      <c r="I1318" t="inlineStr">
        <is>
          <t>MANAGING DIRECTOR, INVESTMENT OFFICE</t>
        </is>
      </c>
      <c r="J1318" t="inlineStr">
        <is>
          <t>Managing Director</t>
        </is>
      </c>
      <c r="K1318" t="inlineStr">
        <is>
          <t>Sr Investment Professional</t>
        </is>
      </c>
      <c r="L1318" s="28" t="n">
        <v>312515</v>
      </c>
      <c r="M1318" s="28" t="n">
        <v>160750</v>
      </c>
      <c r="N1318" s="28" t="n">
        <v>0</v>
      </c>
      <c r="O1318" s="28" t="n">
        <v>20035</v>
      </c>
      <c r="P1318" s="28" t="n">
        <v>27903</v>
      </c>
      <c r="Q1318" s="28" t="n">
        <v>521203</v>
      </c>
      <c r="R1318" s="28" t="n">
        <v>0</v>
      </c>
      <c r="S1318" s="28">
        <f>Q1318-R1318</f>
        <v/>
      </c>
      <c r="T1318" s="28">
        <f>IF(S1318="","",S1318*(1+in_GrowthRate)^(YEARFRAC(DATE(2025,6,30),in_AgeToDate)*IF(in_AgeToDate&lt;DATE(2025,6,30),-1,1)+1))</f>
        <v/>
      </c>
      <c r="U1318" s="50">
        <f>IF(AND(AND(OR(in_Mode="All Funds",AND(C1318&gt;=in_BandFloor,C1318&lt;=in_BandCeiling,OR(in_Geography="National",COUNTIFS(lst_GeoPreset,in_Geography,lst_GeoState,B1318)&gt;0,AND(in_Geography="Custom",ISNUMBER(SEARCH(B1318,SUBSTITUTE(in_CustomStates," ",""))))),OR(AND(D1318="Endowment",Inputs!$B$14="Y"),AND(D1318="Foundation",Inputs!$B$15="Y"),AND(D1318="Healthcare",Inputs!$B$16="Y"),AND(D1318="Pension",Inputs!$B$17="Y"),AND(D1318="OCIO",Inputs!$B$18="Y"),AND(D1318="Other",Inputs!$B$19="Y")))),A1318&lt;&gt;in_ClientOrg,NOT(AND(in_ExclHarvard="Y",ISNUMBER(SEARCH("Harvard",A1318))))),$AD1318="Y",K1318&lt;&gt;"",S1318&gt;0),"Y","")</f>
        <v/>
      </c>
      <c r="V1318" s="30" t="n">
        <v>0.4940340892933988</v>
      </c>
      <c r="W1318" t="inlineStr"/>
      <c r="X1318" s="28">
        <f>IF(L1318+M1318=0,"",L1318+M1318)</f>
        <v/>
      </c>
      <c r="Y1318" s="38">
        <f>IF(L1318=0,"",M1318/L1318)</f>
        <v/>
      </c>
      <c r="Z1318" t="inlineStr">
        <is>
          <t>Managing Director</t>
        </is>
      </c>
      <c r="AA1318" t="inlineStr">
        <is>
          <t>Investments</t>
        </is>
      </c>
      <c r="AB1318" s="50" t="inlineStr"/>
      <c r="AC1318" s="43">
        <f>HYPERLINK("https://projects.propublica.org/nonprofits/organizations/42103578/202611359349306066/full","view filing")</f>
        <v/>
      </c>
      <c r="AD1318" s="50" t="inlineStr">
        <is>
          <t>Y</t>
        </is>
      </c>
    </row>
    <row r="1319">
      <c r="A1319" t="inlineStr">
        <is>
          <t>Trustees Of Mount Holyoke College</t>
        </is>
      </c>
      <c r="B1319" s="50" t="inlineStr">
        <is>
          <t>MA</t>
        </is>
      </c>
      <c r="C1319" s="52" t="n">
        <v>1.18</v>
      </c>
      <c r="D1319" t="inlineStr">
        <is>
          <t>Endowment</t>
        </is>
      </c>
      <c r="E1319" s="50" t="n">
        <v>2024</v>
      </c>
      <c r="F1319" s="50" t="inlineStr">
        <is>
          <t>2025-05-13</t>
        </is>
      </c>
      <c r="G1319" s="50" t="inlineStr">
        <is>
          <t>2024-06-30</t>
        </is>
      </c>
      <c r="H1319" t="inlineStr">
        <is>
          <t>Ana Yankova</t>
        </is>
      </c>
      <c r="I1319" t="inlineStr">
        <is>
          <t>CHIEF INVESTMENT OFFICER</t>
        </is>
      </c>
      <c r="J1319" t="inlineStr">
        <is>
          <t>CIO</t>
        </is>
      </c>
      <c r="K1319" t="inlineStr">
        <is>
          <t>CIO - Top Investment Executive</t>
        </is>
      </c>
      <c r="L1319" s="28" t="n">
        <v>462449</v>
      </c>
      <c r="M1319" s="28" t="n">
        <v>513100</v>
      </c>
      <c r="N1319" s="28" t="n">
        <v>0</v>
      </c>
      <c r="O1319" s="28" t="n">
        <v>82850</v>
      </c>
      <c r="P1319" s="28" t="n">
        <v>29812</v>
      </c>
      <c r="Q1319" s="28" t="n">
        <v>1088211</v>
      </c>
      <c r="R1319" s="28" t="n">
        <v>0</v>
      </c>
      <c r="S1319" s="28">
        <f>Q1319-R1319</f>
        <v/>
      </c>
      <c r="T1319" s="28">
        <f>IF(S1319="","",S1319*(1+in_GrowthRate)^(YEARFRAC(DATE(2024,6,30),in_AgeToDate)*IF(in_AgeToDate&lt;DATE(2024,6,30),-1,1)+1))</f>
        <v/>
      </c>
      <c r="U1319" s="50">
        <f>IF(AND(AND(OR(in_Mode="All Funds",AND(C1319&gt;=in_BandFloor,C1319&lt;=in_BandCeiling,OR(in_Geography="National",COUNTIFS(lst_GeoPreset,in_Geography,lst_GeoState,B1319)&gt;0,AND(in_Geography="Custom",ISNUMBER(SEARCH(B1319,SUBSTITUTE(in_CustomStates," ",""))))),OR(AND(D1319="Endowment",Inputs!$B$14="Y"),AND(D1319="Foundation",Inputs!$B$15="Y"),AND(D1319="Healthcare",Inputs!$B$16="Y"),AND(D1319="Pension",Inputs!$B$17="Y"),AND(D1319="OCIO",Inputs!$B$18="Y"),AND(D1319="Other",Inputs!$B$19="Y")))),A1319&lt;&gt;in_ClientOrg,NOT(AND(in_ExclHarvard="Y",ISNUMBER(SEARCH("Harvard",A1319))))),$AD1319="Y",K1319&lt;&gt;"",S1319&gt;0),"Y","")</f>
        <v/>
      </c>
      <c r="V1319" s="30" t="n">
        <v>1</v>
      </c>
      <c r="W1319" t="inlineStr"/>
      <c r="X1319" s="28">
        <f>IF(L1319+M1319=0,"",L1319+M1319)</f>
        <v/>
      </c>
      <c r="Y1319" s="38">
        <f>IF(L1319=0,"",M1319/L1319)</f>
        <v/>
      </c>
      <c r="Z1319" t="inlineStr">
        <is>
          <t>CIO - Top Investment Executive</t>
        </is>
      </c>
      <c r="AA1319" t="inlineStr">
        <is>
          <t>Leadership</t>
        </is>
      </c>
      <c r="AB1319" s="50" t="inlineStr">
        <is>
          <t>Y</t>
        </is>
      </c>
      <c r="AC1319" s="43">
        <f>HYPERLINK("https://projects.propublica.org/nonprofits/organizations/42103578/202541339349306969/full","view filing")</f>
        <v/>
      </c>
      <c r="AD1319" s="50" t="inlineStr"/>
    </row>
    <row r="1320">
      <c r="A1320" t="inlineStr">
        <is>
          <t>Trustees Of Mount Holyoke College</t>
        </is>
      </c>
      <c r="B1320" s="50" t="inlineStr">
        <is>
          <t>MA</t>
        </is>
      </c>
      <c r="C1320" s="52" t="n">
        <v>1.18</v>
      </c>
      <c r="D1320" t="inlineStr">
        <is>
          <t>Endowment</t>
        </is>
      </c>
      <c r="E1320" s="50" t="n">
        <v>2024</v>
      </c>
      <c r="F1320" s="50" t="inlineStr">
        <is>
          <t>2025-05-13</t>
        </is>
      </c>
      <c r="G1320" s="50" t="inlineStr">
        <is>
          <t>2024-06-30</t>
        </is>
      </c>
      <c r="H1320" t="inlineStr">
        <is>
          <t>Natalie Herter</t>
        </is>
      </c>
      <c r="I1320" t="inlineStr">
        <is>
          <t>DIRECTOR, INVESTMENT OFFICE</t>
        </is>
      </c>
      <c r="J1320" t="inlineStr">
        <is>
          <t>Director of Investments</t>
        </is>
      </c>
      <c r="K1320" t="inlineStr">
        <is>
          <t>Sr Investment Professional</t>
        </is>
      </c>
      <c r="L1320" s="28" t="n">
        <v>203815</v>
      </c>
      <c r="M1320" s="28" t="n">
        <v>0</v>
      </c>
      <c r="N1320" s="28" t="n">
        <v>0</v>
      </c>
      <c r="O1320" s="28" t="n">
        <v>0</v>
      </c>
      <c r="P1320" s="28" t="n">
        <v>242</v>
      </c>
      <c r="Q1320" s="28" t="n">
        <v>204057</v>
      </c>
      <c r="R1320" s="28" t="n">
        <v>0</v>
      </c>
      <c r="S1320" s="28">
        <f>Q1320-R1320</f>
        <v/>
      </c>
      <c r="T1320" s="28">
        <f>IF(S1320="","",S1320*(1+in_GrowthRate)^(YEARFRAC(DATE(2024,6,30),in_AgeToDate)*IF(in_AgeToDate&lt;DATE(2024,6,30),-1,1)+1))</f>
        <v/>
      </c>
      <c r="U1320" s="50">
        <f>IF(AND(AND(OR(in_Mode="All Funds",AND(C1320&gt;=in_BandFloor,C1320&lt;=in_BandCeiling,OR(in_Geography="National",COUNTIFS(lst_GeoPreset,in_Geography,lst_GeoState,B1320)&gt;0,AND(in_Geography="Custom",ISNUMBER(SEARCH(B1320,SUBSTITUTE(in_CustomStates," ",""))))),OR(AND(D1320="Endowment",Inputs!$B$14="Y"),AND(D1320="Foundation",Inputs!$B$15="Y"),AND(D1320="Healthcare",Inputs!$B$16="Y"),AND(D1320="Pension",Inputs!$B$17="Y"),AND(D1320="OCIO",Inputs!$B$18="Y"),AND(D1320="Other",Inputs!$B$19="Y")))),A1320&lt;&gt;in_ClientOrg,NOT(AND(in_ExclHarvard="Y",ISNUMBER(SEARCH("Harvard",A1320))))),$AD1320="Y",K1320&lt;&gt;"",S1320&gt;0),"Y","")</f>
        <v/>
      </c>
      <c r="V1320" s="30" t="n">
        <v>0.1875160240063738</v>
      </c>
      <c r="W1320" t="inlineStr"/>
      <c r="X1320" s="28">
        <f>IF(L1320+M1320=0,"",L1320+M1320)</f>
        <v/>
      </c>
      <c r="Y1320" s="38">
        <f>IF(L1320=0,"",M1320/L1320)</f>
        <v/>
      </c>
      <c r="Z1320" t="inlineStr">
        <is>
          <t>Director &amp; Investment Officer</t>
        </is>
      </c>
      <c r="AA1320" t="inlineStr">
        <is>
          <t>Investments</t>
        </is>
      </c>
      <c r="AB1320" s="50" t="inlineStr"/>
      <c r="AC1320" s="43">
        <f>HYPERLINK("https://projects.propublica.org/nonprofits/organizations/42103578/202541339349306969/full","view filing")</f>
        <v/>
      </c>
      <c r="AD1320" s="50" t="inlineStr"/>
    </row>
    <row r="1321">
      <c r="A1321" t="inlineStr">
        <is>
          <t>Trustees Of Mount Holyoke College</t>
        </is>
      </c>
      <c r="B1321" s="50" t="inlineStr">
        <is>
          <t>MA</t>
        </is>
      </c>
      <c r="C1321" s="52" t="n">
        <v>1.18</v>
      </c>
      <c r="D1321" t="inlineStr">
        <is>
          <t>Endowment</t>
        </is>
      </c>
      <c r="E1321" s="50" t="n">
        <v>2024</v>
      </c>
      <c r="F1321" s="50" t="inlineStr">
        <is>
          <t>2025-05-13</t>
        </is>
      </c>
      <c r="G1321" s="50" t="inlineStr">
        <is>
          <t>2024-06-30</t>
        </is>
      </c>
      <c r="H1321" t="inlineStr">
        <is>
          <t>Thomas Cote</t>
        </is>
      </c>
      <c r="I1321" t="inlineStr">
        <is>
          <t>DIRECTOR, INVESTMENT OFFICE</t>
        </is>
      </c>
      <c r="J1321" t="inlineStr">
        <is>
          <t>Director of Investments</t>
        </is>
      </c>
      <c r="K1321" t="inlineStr">
        <is>
          <t>Sr Investment Professional</t>
        </is>
      </c>
      <c r="L1321" s="28" t="n">
        <v>230000</v>
      </c>
      <c r="M1321" s="28" t="n">
        <v>127125</v>
      </c>
      <c r="N1321" s="28" t="n">
        <v>0</v>
      </c>
      <c r="O1321" s="28" t="n">
        <v>38046</v>
      </c>
      <c r="P1321" s="28" t="n">
        <v>26352</v>
      </c>
      <c r="Q1321" s="28" t="n">
        <v>421523</v>
      </c>
      <c r="R1321" s="28" t="n">
        <v>0</v>
      </c>
      <c r="S1321" s="28">
        <f>Q1321-R1321</f>
        <v/>
      </c>
      <c r="T1321" s="28">
        <f>IF(S1321="","",S1321*(1+in_GrowthRate)^(YEARFRAC(DATE(2024,6,30),in_AgeToDate)*IF(in_AgeToDate&lt;DATE(2024,6,30),-1,1)+1))</f>
        <v/>
      </c>
      <c r="U1321" s="50">
        <f>IF(AND(AND(OR(in_Mode="All Funds",AND(C1321&gt;=in_BandFloor,C1321&lt;=in_BandCeiling,OR(in_Geography="National",COUNTIFS(lst_GeoPreset,in_Geography,lst_GeoState,B1321)&gt;0,AND(in_Geography="Custom",ISNUMBER(SEARCH(B1321,SUBSTITUTE(in_CustomStates," ",""))))),OR(AND(D1321="Endowment",Inputs!$B$14="Y"),AND(D1321="Foundation",Inputs!$B$15="Y"),AND(D1321="Healthcare",Inputs!$B$16="Y"),AND(D1321="Pension",Inputs!$B$17="Y"),AND(D1321="OCIO",Inputs!$B$18="Y"),AND(D1321="Other",Inputs!$B$19="Y")))),A1321&lt;&gt;in_ClientOrg,NOT(AND(in_ExclHarvard="Y",ISNUMBER(SEARCH("Harvard",A1321))))),$AD1321="Y",K1321&lt;&gt;"",S1321&gt;0),"Y","")</f>
        <v/>
      </c>
      <c r="V1321" s="30" t="n">
        <v>0.3873541068781698</v>
      </c>
      <c r="W1321" t="inlineStr"/>
      <c r="X1321" s="28">
        <f>IF(L1321+M1321=0,"",L1321+M1321)</f>
        <v/>
      </c>
      <c r="Y1321" s="38">
        <f>IF(L1321=0,"",M1321/L1321)</f>
        <v/>
      </c>
      <c r="Z1321" t="inlineStr">
        <is>
          <t>Director &amp; Investment Officer</t>
        </is>
      </c>
      <c r="AA1321" t="inlineStr">
        <is>
          <t>Investments</t>
        </is>
      </c>
      <c r="AB1321" s="50" t="inlineStr"/>
      <c r="AC1321" s="43">
        <f>HYPERLINK("https://projects.propublica.org/nonprofits/organizations/42103578/202541339349306969/full","view filing")</f>
        <v/>
      </c>
      <c r="AD1321" s="50" t="inlineStr"/>
    </row>
    <row r="1322">
      <c r="A1322" t="inlineStr">
        <is>
          <t>Trustees Of Mount Holyoke College</t>
        </is>
      </c>
      <c r="B1322" s="50" t="inlineStr">
        <is>
          <t>MA</t>
        </is>
      </c>
      <c r="C1322" s="52" t="n">
        <v>1.18</v>
      </c>
      <c r="D1322" t="inlineStr">
        <is>
          <t>Endowment</t>
        </is>
      </c>
      <c r="E1322" s="50" t="n">
        <v>2023</v>
      </c>
      <c r="F1322" s="50" t="inlineStr">
        <is>
          <t>2024-05-15</t>
        </is>
      </c>
      <c r="G1322" s="50" t="inlineStr">
        <is>
          <t>2023-06-30</t>
        </is>
      </c>
      <c r="H1322" t="inlineStr">
        <is>
          <t>Ana Yankova</t>
        </is>
      </c>
      <c r="I1322" t="inlineStr">
        <is>
          <t>CHIEF INVESTMENT OFFICER</t>
        </is>
      </c>
      <c r="J1322" t="inlineStr">
        <is>
          <t>CIO</t>
        </is>
      </c>
      <c r="K1322" t="inlineStr">
        <is>
          <t>CIO - Top Investment Executive</t>
        </is>
      </c>
      <c r="L1322" s="28" t="n">
        <v>461341</v>
      </c>
      <c r="M1322" s="28" t="n">
        <v>0</v>
      </c>
      <c r="N1322" s="28" t="n">
        <v>37508</v>
      </c>
      <c r="O1322" s="28" t="n">
        <v>32025</v>
      </c>
      <c r="P1322" s="28" t="n">
        <v>26972</v>
      </c>
      <c r="Q1322" s="28" t="n">
        <v>557846</v>
      </c>
      <c r="R1322" s="28" t="n">
        <v>0</v>
      </c>
      <c r="S1322" s="28">
        <f>Q1322-R1322</f>
        <v/>
      </c>
      <c r="T1322" s="28">
        <f>IF(S1322="","",S1322*(1+in_GrowthRate)^(YEARFRAC(DATE(2023,6,30),in_AgeToDate)*IF(in_AgeToDate&lt;DATE(2023,6,30),-1,1)+1))</f>
        <v/>
      </c>
      <c r="U1322" s="50">
        <f>IF(AND(AND(OR(in_Mode="All Funds",AND(C1322&gt;=in_BandFloor,C1322&lt;=in_BandCeiling,OR(in_Geography="National",COUNTIFS(lst_GeoPreset,in_Geography,lst_GeoState,B1322)&gt;0,AND(in_Geography="Custom",ISNUMBER(SEARCH(B1322,SUBSTITUTE(in_CustomStates," ",""))))),OR(AND(D1322="Endowment",Inputs!$B$14="Y"),AND(D1322="Foundation",Inputs!$B$15="Y"),AND(D1322="Healthcare",Inputs!$B$16="Y"),AND(D1322="Pension",Inputs!$B$17="Y"),AND(D1322="OCIO",Inputs!$B$18="Y"),AND(D1322="Other",Inputs!$B$19="Y")))),A1322&lt;&gt;in_ClientOrg,NOT(AND(in_ExclHarvard="Y",ISNUMBER(SEARCH("Harvard",A1322))))),$AD1322="Y",K1322&lt;&gt;"",S1322&gt;0),"Y","")</f>
        <v/>
      </c>
      <c r="V1322" s="30" t="n">
        <v>1</v>
      </c>
      <c r="W1322" t="inlineStr"/>
      <c r="X1322" s="28">
        <f>IF(L1322+M1322=0,"",L1322+M1322)</f>
        <v/>
      </c>
      <c r="Y1322" s="38">
        <f>IF(L1322=0,"",M1322/L1322)</f>
        <v/>
      </c>
      <c r="Z1322" t="inlineStr">
        <is>
          <t>CIO - Top Investment Executive</t>
        </is>
      </c>
      <c r="AA1322" t="inlineStr">
        <is>
          <t>Leadership</t>
        </is>
      </c>
      <c r="AB1322" s="50" t="inlineStr">
        <is>
          <t>Y</t>
        </is>
      </c>
      <c r="AC1322" s="43">
        <f>HYPERLINK("https://projects.propublica.org/nonprofits/organizations/42103578/202441369349302149/full","view filing")</f>
        <v/>
      </c>
      <c r="AD1322" s="50" t="inlineStr"/>
    </row>
    <row r="1323">
      <c r="A1323" t="inlineStr">
        <is>
          <t>Trustees Of Mount Holyoke College</t>
        </is>
      </c>
      <c r="B1323" s="50" t="inlineStr">
        <is>
          <t>MA</t>
        </is>
      </c>
      <c r="C1323" s="52" t="n">
        <v>1.18</v>
      </c>
      <c r="D1323" t="inlineStr">
        <is>
          <t>Endowment</t>
        </is>
      </c>
      <c r="E1323" s="50" t="n">
        <v>2023</v>
      </c>
      <c r="F1323" s="50" t="inlineStr">
        <is>
          <t>2024-05-15</t>
        </is>
      </c>
      <c r="G1323" s="50" t="inlineStr">
        <is>
          <t>2023-06-30</t>
        </is>
      </c>
      <c r="H1323" t="inlineStr">
        <is>
          <t>Thomas Cote</t>
        </is>
      </c>
      <c r="I1323" t="inlineStr">
        <is>
          <t>ASSOCIATE DIRECTOR OF INVESTMENTS</t>
        </is>
      </c>
      <c r="J1323" t="inlineStr">
        <is>
          <t>Director of Investments</t>
        </is>
      </c>
      <c r="K1323" t="inlineStr">
        <is>
          <t>Sr Investment Professional</t>
        </is>
      </c>
      <c r="L1323" s="28" t="n">
        <v>202699</v>
      </c>
      <c r="M1323" s="28" t="n">
        <v>0</v>
      </c>
      <c r="N1323" s="28" t="n">
        <v>1000</v>
      </c>
      <c r="O1323" s="28" t="n">
        <v>21893</v>
      </c>
      <c r="P1323" s="28" t="n">
        <v>23632</v>
      </c>
      <c r="Q1323" s="28" t="n">
        <v>249224</v>
      </c>
      <c r="R1323" s="28" t="n">
        <v>0</v>
      </c>
      <c r="S1323" s="28">
        <f>Q1323-R1323</f>
        <v/>
      </c>
      <c r="T1323" s="28">
        <f>IF(S1323="","",S1323*(1+in_GrowthRate)^(YEARFRAC(DATE(2023,6,30),in_AgeToDate)*IF(in_AgeToDate&lt;DATE(2023,6,30),-1,1)+1))</f>
        <v/>
      </c>
      <c r="U1323" s="50">
        <f>IF(AND(AND(OR(in_Mode="All Funds",AND(C1323&gt;=in_BandFloor,C1323&lt;=in_BandCeiling,OR(in_Geography="National",COUNTIFS(lst_GeoPreset,in_Geography,lst_GeoState,B1323)&gt;0,AND(in_Geography="Custom",ISNUMBER(SEARCH(B1323,SUBSTITUTE(in_CustomStates," ",""))))),OR(AND(D1323="Endowment",Inputs!$B$14="Y"),AND(D1323="Foundation",Inputs!$B$15="Y"),AND(D1323="Healthcare",Inputs!$B$16="Y"),AND(D1323="Pension",Inputs!$B$17="Y"),AND(D1323="OCIO",Inputs!$B$18="Y"),AND(D1323="Other",Inputs!$B$19="Y")))),A1323&lt;&gt;in_ClientOrg,NOT(AND(in_ExclHarvard="Y",ISNUMBER(SEARCH("Harvard",A1323))))),$AD1323="Y",K1323&lt;&gt;"",S1323&gt;0),"Y","")</f>
        <v/>
      </c>
      <c r="V1323" s="30" t="n">
        <v>0.4467612925431033</v>
      </c>
      <c r="W1323" t="inlineStr"/>
      <c r="X1323" s="28">
        <f>IF(L1323+M1323=0,"",L1323+M1323)</f>
        <v/>
      </c>
      <c r="Y1323" s="38">
        <f>IF(L1323=0,"",M1323/L1323)</f>
        <v/>
      </c>
      <c r="Z1323" t="inlineStr">
        <is>
          <t>Director &amp; Investment Officer</t>
        </is>
      </c>
      <c r="AA1323" t="inlineStr">
        <is>
          <t>Investments</t>
        </is>
      </c>
      <c r="AB1323" s="50" t="inlineStr"/>
      <c r="AC1323" s="43">
        <f>HYPERLINK("https://projects.propublica.org/nonprofits/organizations/42103578/202441369349302149/full","view filing")</f>
        <v/>
      </c>
      <c r="AD1323" s="50" t="inlineStr"/>
    </row>
    <row r="1324">
      <c r="A1324" t="inlineStr">
        <is>
          <t>Trustees Of Mount Holyoke College</t>
        </is>
      </c>
      <c r="B1324" s="50" t="inlineStr">
        <is>
          <t>MA</t>
        </is>
      </c>
      <c r="C1324" s="52" t="n">
        <v>1.18</v>
      </c>
      <c r="D1324" t="inlineStr">
        <is>
          <t>Endowment</t>
        </is>
      </c>
      <c r="E1324" s="50" t="n">
        <v>2022</v>
      </c>
      <c r="F1324" s="50" t="inlineStr">
        <is>
          <t>2023-05-12</t>
        </is>
      </c>
      <c r="G1324" s="50" t="inlineStr">
        <is>
          <t>2022-06-30</t>
        </is>
      </c>
      <c r="H1324" t="inlineStr">
        <is>
          <t>Ana Yankova</t>
        </is>
      </c>
      <c r="I1324" t="inlineStr">
        <is>
          <t>CHIEF INVESTMENT OFFICER</t>
        </is>
      </c>
      <c r="J1324" t="inlineStr">
        <is>
          <t>CIO</t>
        </is>
      </c>
      <c r="K1324" t="inlineStr">
        <is>
          <t>CIO - Top Investment Executive</t>
        </is>
      </c>
      <c r="L1324" s="28" t="n">
        <v>447173</v>
      </c>
      <c r="M1324" s="28" t="n">
        <v>125000</v>
      </c>
      <c r="N1324" s="28" t="n">
        <v>1000</v>
      </c>
      <c r="O1324" s="28" t="n">
        <v>24263</v>
      </c>
      <c r="P1324" s="28" t="n">
        <v>24477</v>
      </c>
      <c r="Q1324" s="28" t="n">
        <v>621913</v>
      </c>
      <c r="R1324" s="28" t="n">
        <v>0</v>
      </c>
      <c r="S1324" s="28">
        <f>Q1324-R1324</f>
        <v/>
      </c>
      <c r="T1324" s="28">
        <f>IF(S1324="","",S1324*(1+in_GrowthRate)^(YEARFRAC(DATE(2022,6,30),in_AgeToDate)*IF(in_AgeToDate&lt;DATE(2022,6,30),-1,1)+1))</f>
        <v/>
      </c>
      <c r="U1324" s="50">
        <f>IF(AND(AND(OR(in_Mode="All Funds",AND(C1324&gt;=in_BandFloor,C1324&lt;=in_BandCeiling,OR(in_Geography="National",COUNTIFS(lst_GeoPreset,in_Geography,lst_GeoState,B1324)&gt;0,AND(in_Geography="Custom",ISNUMBER(SEARCH(B1324,SUBSTITUTE(in_CustomStates," ",""))))),OR(AND(D1324="Endowment",Inputs!$B$14="Y"),AND(D1324="Foundation",Inputs!$B$15="Y"),AND(D1324="Healthcare",Inputs!$B$16="Y"),AND(D1324="Pension",Inputs!$B$17="Y"),AND(D1324="OCIO",Inputs!$B$18="Y"),AND(D1324="Other",Inputs!$B$19="Y")))),A1324&lt;&gt;in_ClientOrg,NOT(AND(in_ExclHarvard="Y",ISNUMBER(SEARCH("Harvard",A1324))))),$AD1324="Y",K1324&lt;&gt;"",S1324&gt;0),"Y","")</f>
        <v/>
      </c>
      <c r="V1324" s="30" t="n">
        <v>1</v>
      </c>
      <c r="W1324" t="inlineStr"/>
      <c r="X1324" s="28">
        <f>IF(L1324+M1324=0,"",L1324+M1324)</f>
        <v/>
      </c>
      <c r="Y1324" s="38">
        <f>IF(L1324=0,"",M1324/L1324)</f>
        <v/>
      </c>
      <c r="Z1324" t="inlineStr">
        <is>
          <t>CIO - Top Investment Executive</t>
        </is>
      </c>
      <c r="AA1324" t="inlineStr">
        <is>
          <t>Leadership</t>
        </is>
      </c>
      <c r="AB1324" s="50" t="inlineStr">
        <is>
          <t>Y</t>
        </is>
      </c>
      <c r="AC1324" s="43">
        <f>HYPERLINK("https://projects.propublica.org/nonprofits/organizations/42103578/202331329349308003/full","view filing")</f>
        <v/>
      </c>
      <c r="AD1324" s="50" t="inlineStr"/>
    </row>
    <row r="1325">
      <c r="A1325" t="inlineStr">
        <is>
          <t>Trustees Of Mount Holyoke College</t>
        </is>
      </c>
      <c r="B1325" s="50" t="inlineStr">
        <is>
          <t>MA</t>
        </is>
      </c>
      <c r="C1325" s="52" t="n">
        <v>1.18</v>
      </c>
      <c r="D1325" t="inlineStr">
        <is>
          <t>Endowment</t>
        </is>
      </c>
      <c r="E1325" s="50" t="n">
        <v>2022</v>
      </c>
      <c r="F1325" s="50" t="inlineStr">
        <is>
          <t>2023-05-12</t>
        </is>
      </c>
      <c r="G1325" s="50" t="inlineStr">
        <is>
          <t>2022-06-30</t>
        </is>
      </c>
      <c r="H1325" t="inlineStr">
        <is>
          <t>Thomas Cote</t>
        </is>
      </c>
      <c r="I1325" t="inlineStr">
        <is>
          <t>ASSOCIATE DIRECTOR OF INVESTMENTS</t>
        </is>
      </c>
      <c r="J1325" t="inlineStr">
        <is>
          <t>Director of Investments</t>
        </is>
      </c>
      <c r="K1325" t="inlineStr">
        <is>
          <t>Sr Investment Professional</t>
        </is>
      </c>
      <c r="L1325" s="28" t="n">
        <v>163073</v>
      </c>
      <c r="M1325" s="28" t="n">
        <v>27750</v>
      </c>
      <c r="N1325" s="28" t="n">
        <v>1000</v>
      </c>
      <c r="O1325" s="28" t="n">
        <v>6256</v>
      </c>
      <c r="P1325" s="28" t="n">
        <v>21224</v>
      </c>
      <c r="Q1325" s="28" t="n">
        <v>219303</v>
      </c>
      <c r="R1325" s="28" t="n">
        <v>0</v>
      </c>
      <c r="S1325" s="28">
        <f>Q1325-R1325</f>
        <v/>
      </c>
      <c r="T1325" s="28">
        <f>IF(S1325="","",S1325*(1+in_GrowthRate)^(YEARFRAC(DATE(2022,6,30),in_AgeToDate)*IF(in_AgeToDate&lt;DATE(2022,6,30),-1,1)+1))</f>
        <v/>
      </c>
      <c r="U1325" s="50">
        <f>IF(AND(AND(OR(in_Mode="All Funds",AND(C1325&gt;=in_BandFloor,C1325&lt;=in_BandCeiling,OR(in_Geography="National",COUNTIFS(lst_GeoPreset,in_Geography,lst_GeoState,B1325)&gt;0,AND(in_Geography="Custom",ISNUMBER(SEARCH(B1325,SUBSTITUTE(in_CustomStates," ",""))))),OR(AND(D1325="Endowment",Inputs!$B$14="Y"),AND(D1325="Foundation",Inputs!$B$15="Y"),AND(D1325="Healthcare",Inputs!$B$16="Y"),AND(D1325="Pension",Inputs!$B$17="Y"),AND(D1325="OCIO",Inputs!$B$18="Y"),AND(D1325="Other",Inputs!$B$19="Y")))),A1325&lt;&gt;in_ClientOrg,NOT(AND(in_ExclHarvard="Y",ISNUMBER(SEARCH("Harvard",A1325))))),$AD1325="Y",K1325&lt;&gt;"",S1325&gt;0),"Y","")</f>
        <v/>
      </c>
      <c r="V1325" s="30" t="n">
        <v>0.3526264927731049</v>
      </c>
      <c r="W1325" t="inlineStr"/>
      <c r="X1325" s="28">
        <f>IF(L1325+M1325=0,"",L1325+M1325)</f>
        <v/>
      </c>
      <c r="Y1325" s="38">
        <f>IF(L1325=0,"",M1325/L1325)</f>
        <v/>
      </c>
      <c r="Z1325" t="inlineStr">
        <is>
          <t>Director &amp; Investment Officer</t>
        </is>
      </c>
      <c r="AA1325" t="inlineStr">
        <is>
          <t>Investments</t>
        </is>
      </c>
      <c r="AB1325" s="50" t="inlineStr"/>
      <c r="AC1325" s="43">
        <f>HYPERLINK("https://projects.propublica.org/nonprofits/organizations/42103578/202331329349308003/full","view filing")</f>
        <v/>
      </c>
      <c r="AD1325" s="50" t="inlineStr"/>
    </row>
    <row r="1326">
      <c r="A1326" t="inlineStr">
        <is>
          <t>Trustees Of Phillips Academy</t>
        </is>
      </c>
      <c r="B1326" s="50" t="inlineStr">
        <is>
          <t>MA</t>
        </is>
      </c>
      <c r="C1326" s="52" t="n">
        <v>1.51</v>
      </c>
      <c r="D1326" t="inlineStr">
        <is>
          <t>Endowment</t>
        </is>
      </c>
      <c r="E1326" s="50" t="n">
        <v>2025</v>
      </c>
      <c r="F1326" s="50" t="inlineStr">
        <is>
          <t>2026-05-12</t>
        </is>
      </c>
      <c r="G1326" s="50" t="inlineStr">
        <is>
          <t>2025-06-30</t>
        </is>
      </c>
      <c r="H1326" t="inlineStr">
        <is>
          <t>Andrew Jaffoni</t>
        </is>
      </c>
      <c r="I1326" t="inlineStr">
        <is>
          <t>ASSOC DIRECTOR OF INVESTMENTS</t>
        </is>
      </c>
      <c r="J1326" t="inlineStr">
        <is>
          <t>Director of Investments</t>
        </is>
      </c>
      <c r="K1326" t="inlineStr">
        <is>
          <t>Sr Investment Professional</t>
        </is>
      </c>
      <c r="L1326" s="28" t="n">
        <v>272395</v>
      </c>
      <c r="M1326" s="28" t="n">
        <v>110000</v>
      </c>
      <c r="N1326" s="28" t="n">
        <v>0</v>
      </c>
      <c r="O1326" s="28" t="n">
        <v>30692</v>
      </c>
      <c r="P1326" s="28" t="n">
        <v>14999</v>
      </c>
      <c r="Q1326" s="28" t="n">
        <v>428086</v>
      </c>
      <c r="R1326" s="28" t="n">
        <v>0</v>
      </c>
      <c r="S1326" s="28">
        <f>Q1326-R1326</f>
        <v/>
      </c>
      <c r="T1326" s="28">
        <f>IF(S1326="","",S1326*(1+in_GrowthRate)^(YEARFRAC(DATE(2025,6,30),in_AgeToDate)*IF(in_AgeToDate&lt;DATE(2025,6,30),-1,1)+1))</f>
        <v/>
      </c>
      <c r="U1326" s="50">
        <f>IF(AND(AND(OR(in_Mode="All Funds",AND(C1326&gt;=in_BandFloor,C1326&lt;=in_BandCeiling,OR(in_Geography="National",COUNTIFS(lst_GeoPreset,in_Geography,lst_GeoState,B1326)&gt;0,AND(in_Geography="Custom",ISNUMBER(SEARCH(B1326,SUBSTITUTE(in_CustomStates," ",""))))),OR(AND(D1326="Endowment",Inputs!$B$14="Y"),AND(D1326="Foundation",Inputs!$B$15="Y"),AND(D1326="Healthcare",Inputs!$B$16="Y"),AND(D1326="Pension",Inputs!$B$17="Y"),AND(D1326="OCIO",Inputs!$B$18="Y"),AND(D1326="Other",Inputs!$B$19="Y")))),A1326&lt;&gt;in_ClientOrg,NOT(AND(in_ExclHarvard="Y",ISNUMBER(SEARCH("Harvard",A1326))))),$AD1326="Y",K1326&lt;&gt;"",S1326&gt;0),"Y","")</f>
        <v/>
      </c>
      <c r="V1326" s="30" t="n">
        <v>0.3552318542447902</v>
      </c>
      <c r="W1326" t="inlineStr"/>
      <c r="X1326" s="28">
        <f>IF(L1326+M1326=0,"",L1326+M1326)</f>
        <v/>
      </c>
      <c r="Y1326" s="38">
        <f>IF(L1326=0,"",M1326/L1326)</f>
        <v/>
      </c>
      <c r="Z1326" t="inlineStr">
        <is>
          <t>Director &amp; Investment Officer</t>
        </is>
      </c>
      <c r="AA1326" t="inlineStr">
        <is>
          <t>Investments</t>
        </is>
      </c>
      <c r="AB1326" s="50" t="inlineStr"/>
      <c r="AC1326" s="43">
        <f>HYPERLINK("https://projects.propublica.org/nonprofits/organizations/42103579/202641329349305314/full","view filing")</f>
        <v/>
      </c>
      <c r="AD1326" s="50" t="inlineStr">
        <is>
          <t>Y</t>
        </is>
      </c>
    </row>
    <row r="1327">
      <c r="A1327" t="inlineStr">
        <is>
          <t>Trustees Of Phillips Academy</t>
        </is>
      </c>
      <c r="B1327" s="50" t="inlineStr">
        <is>
          <t>MA</t>
        </is>
      </c>
      <c r="C1327" s="52" t="n">
        <v>1.51</v>
      </c>
      <c r="D1327" t="inlineStr">
        <is>
          <t>Endowment</t>
        </is>
      </c>
      <c r="E1327" s="50" t="n">
        <v>2025</v>
      </c>
      <c r="F1327" s="50" t="inlineStr">
        <is>
          <t>2026-05-12</t>
        </is>
      </c>
      <c r="G1327" s="50" t="inlineStr">
        <is>
          <t>2025-06-30</t>
        </is>
      </c>
      <c r="H1327" t="inlineStr">
        <is>
          <t>Christian A Reusche</t>
        </is>
      </c>
      <c r="I1327" t="inlineStr">
        <is>
          <t>ASSOC DIRECTOR OF INVESTMENTS</t>
        </is>
      </c>
      <c r="J1327" t="inlineStr">
        <is>
          <t>Director of Investments</t>
        </is>
      </c>
      <c r="K1327" t="inlineStr">
        <is>
          <t>Sr Investment Professional</t>
        </is>
      </c>
      <c r="L1327" s="28" t="n">
        <v>284800</v>
      </c>
      <c r="M1327" s="28" t="n">
        <v>150000</v>
      </c>
      <c r="N1327" s="28" t="n">
        <v>0</v>
      </c>
      <c r="O1327" s="28" t="n">
        <v>38550</v>
      </c>
      <c r="P1327" s="28" t="n">
        <v>15094</v>
      </c>
      <c r="Q1327" s="28" t="n">
        <v>488444</v>
      </c>
      <c r="R1327" s="28" t="n">
        <v>0</v>
      </c>
      <c r="S1327" s="28">
        <f>Q1327-R1327</f>
        <v/>
      </c>
      <c r="T1327" s="28">
        <f>IF(S1327="","",S1327*(1+in_GrowthRate)^(YEARFRAC(DATE(2025,6,30),in_AgeToDate)*IF(in_AgeToDate&lt;DATE(2025,6,30),-1,1)+1))</f>
        <v/>
      </c>
      <c r="U1327" s="50">
        <f>IF(AND(AND(OR(in_Mode="All Funds",AND(C1327&gt;=in_BandFloor,C1327&lt;=in_BandCeiling,OR(in_Geography="National",COUNTIFS(lst_GeoPreset,in_Geography,lst_GeoState,B1327)&gt;0,AND(in_Geography="Custom",ISNUMBER(SEARCH(B1327,SUBSTITUTE(in_CustomStates," ",""))))),OR(AND(D1327="Endowment",Inputs!$B$14="Y"),AND(D1327="Foundation",Inputs!$B$15="Y"),AND(D1327="Healthcare",Inputs!$B$16="Y"),AND(D1327="Pension",Inputs!$B$17="Y"),AND(D1327="OCIO",Inputs!$B$18="Y"),AND(D1327="Other",Inputs!$B$19="Y")))),A1327&lt;&gt;in_ClientOrg,NOT(AND(in_ExclHarvard="Y",ISNUMBER(SEARCH("Harvard",A1327))))),$AD1327="Y",K1327&lt;&gt;"",S1327&gt;0),"Y","")</f>
        <v/>
      </c>
      <c r="V1327" s="30" t="n">
        <v>0.4053177815082538</v>
      </c>
      <c r="W1327" t="inlineStr"/>
      <c r="X1327" s="28">
        <f>IF(L1327+M1327=0,"",L1327+M1327)</f>
        <v/>
      </c>
      <c r="Y1327" s="38">
        <f>IF(L1327=0,"",M1327/L1327)</f>
        <v/>
      </c>
      <c r="Z1327" t="inlineStr">
        <is>
          <t>Director &amp; Investment Officer</t>
        </is>
      </c>
      <c r="AA1327" t="inlineStr">
        <is>
          <t>Investments</t>
        </is>
      </c>
      <c r="AB1327" s="50" t="inlineStr"/>
      <c r="AC1327" s="43">
        <f>HYPERLINK("https://projects.propublica.org/nonprofits/organizations/42103579/202641329349305314/full","view filing")</f>
        <v/>
      </c>
      <c r="AD1327" s="50" t="inlineStr">
        <is>
          <t>Y</t>
        </is>
      </c>
    </row>
    <row r="1328">
      <c r="A1328" t="inlineStr">
        <is>
          <t>Trustees Of Phillips Academy</t>
        </is>
      </c>
      <c r="B1328" s="50" t="inlineStr">
        <is>
          <t>MA</t>
        </is>
      </c>
      <c r="C1328" s="52" t="n">
        <v>1.51</v>
      </c>
      <c r="D1328" t="inlineStr">
        <is>
          <t>Endowment</t>
        </is>
      </c>
      <c r="E1328" s="50" t="n">
        <v>2025</v>
      </c>
      <c r="F1328" s="50" t="inlineStr">
        <is>
          <t>2026-05-12</t>
        </is>
      </c>
      <c r="G1328" s="50" t="inlineStr">
        <is>
          <t>2025-06-30</t>
        </is>
      </c>
      <c r="H1328" t="inlineStr">
        <is>
          <t>Kirsten A Glantz</t>
        </is>
      </c>
      <c r="I1328" t="inlineStr">
        <is>
          <t>CHIEF INVESTMENT OFFICER</t>
        </is>
      </c>
      <c r="J1328" t="inlineStr">
        <is>
          <t>CIO</t>
        </is>
      </c>
      <c r="K1328" t="inlineStr">
        <is>
          <t>CIO - Top Investment Executive</t>
        </is>
      </c>
      <c r="L1328" s="28" t="n">
        <v>497123</v>
      </c>
      <c r="M1328" s="28" t="n">
        <v>621039</v>
      </c>
      <c r="N1328" s="28" t="n">
        <v>0</v>
      </c>
      <c r="O1328" s="28" t="n">
        <v>39792</v>
      </c>
      <c r="P1328" s="28" t="n">
        <v>47135</v>
      </c>
      <c r="Q1328" s="28" t="n">
        <v>1205089</v>
      </c>
      <c r="R1328" s="28" t="n">
        <v>0</v>
      </c>
      <c r="S1328" s="28">
        <f>Q1328-R1328</f>
        <v/>
      </c>
      <c r="T1328" s="28">
        <f>IF(S1328="","",S1328*(1+in_GrowthRate)^(YEARFRAC(DATE(2025,6,30),in_AgeToDate)*IF(in_AgeToDate&lt;DATE(2025,6,30),-1,1)+1))</f>
        <v/>
      </c>
      <c r="U1328" s="50">
        <f>IF(AND(AND(OR(in_Mode="All Funds",AND(C1328&gt;=in_BandFloor,C1328&lt;=in_BandCeiling,OR(in_Geography="National",COUNTIFS(lst_GeoPreset,in_Geography,lst_GeoState,B1328)&gt;0,AND(in_Geography="Custom",ISNUMBER(SEARCH(B1328,SUBSTITUTE(in_CustomStates," ",""))))),OR(AND(D1328="Endowment",Inputs!$B$14="Y"),AND(D1328="Foundation",Inputs!$B$15="Y"),AND(D1328="Healthcare",Inputs!$B$16="Y"),AND(D1328="Pension",Inputs!$B$17="Y"),AND(D1328="OCIO",Inputs!$B$18="Y"),AND(D1328="Other",Inputs!$B$19="Y")))),A1328&lt;&gt;in_ClientOrg,NOT(AND(in_ExclHarvard="Y",ISNUMBER(SEARCH("Harvard",A1328))))),$AD1328="Y",K1328&lt;&gt;"",S1328&gt;0),"Y","")</f>
        <v/>
      </c>
      <c r="V1328" s="30" t="n">
        <v>1</v>
      </c>
      <c r="W1328" t="inlineStr"/>
      <c r="X1328" s="28">
        <f>IF(L1328+M1328=0,"",L1328+M1328)</f>
        <v/>
      </c>
      <c r="Y1328" s="38">
        <f>IF(L1328=0,"",M1328/L1328)</f>
        <v/>
      </c>
      <c r="Z1328" t="inlineStr">
        <is>
          <t>CIO - Top Investment Executive</t>
        </is>
      </c>
      <c r="AA1328" t="inlineStr">
        <is>
          <t>Leadership</t>
        </is>
      </c>
      <c r="AB1328" s="50" t="inlineStr">
        <is>
          <t>Y</t>
        </is>
      </c>
      <c r="AC1328" s="43">
        <f>HYPERLINK("https://projects.propublica.org/nonprofits/organizations/42103579/202641329349305314/full","view filing")</f>
        <v/>
      </c>
      <c r="AD1328" s="50" t="inlineStr">
        <is>
          <t>Y</t>
        </is>
      </c>
    </row>
    <row r="1329">
      <c r="A1329" t="inlineStr">
        <is>
          <t>Trustees Of Phillips Academy</t>
        </is>
      </c>
      <c r="B1329" s="50" t="inlineStr">
        <is>
          <t>MA</t>
        </is>
      </c>
      <c r="C1329" s="52" t="n">
        <v>1.51</v>
      </c>
      <c r="D1329" t="inlineStr">
        <is>
          <t>Endowment</t>
        </is>
      </c>
      <c r="E1329" s="50" t="n">
        <v>2025</v>
      </c>
      <c r="F1329" s="50" t="inlineStr">
        <is>
          <t>2026-05-12</t>
        </is>
      </c>
      <c r="G1329" s="50" t="inlineStr">
        <is>
          <t>2025-06-30</t>
        </is>
      </c>
      <c r="H1329" t="inlineStr">
        <is>
          <t>Xue Yang</t>
        </is>
      </c>
      <c r="I1329" t="inlineStr">
        <is>
          <t>ASSOC DIRECTOR OF INVESTMENTS</t>
        </is>
      </c>
      <c r="J1329" t="inlineStr">
        <is>
          <t>Director of Investments</t>
        </is>
      </c>
      <c r="K1329" t="inlineStr">
        <is>
          <t>Sr Investment Professional</t>
        </is>
      </c>
      <c r="L1329" s="28" t="n">
        <v>312353</v>
      </c>
      <c r="M1329" s="28" t="n">
        <v>60000</v>
      </c>
      <c r="N1329" s="28" t="n">
        <v>0</v>
      </c>
      <c r="O1329" s="28" t="n">
        <v>39792</v>
      </c>
      <c r="P1329" s="28" t="n">
        <v>15538</v>
      </c>
      <c r="Q1329" s="28" t="n">
        <v>427683</v>
      </c>
      <c r="R1329" s="28" t="n">
        <v>0</v>
      </c>
      <c r="S1329" s="28">
        <f>Q1329-R1329</f>
        <v/>
      </c>
      <c r="T1329" s="28">
        <f>IF(S1329="","",S1329*(1+in_GrowthRate)^(YEARFRAC(DATE(2025,6,30),in_AgeToDate)*IF(in_AgeToDate&lt;DATE(2025,6,30),-1,1)+1))</f>
        <v/>
      </c>
      <c r="U1329" s="50">
        <f>IF(AND(AND(OR(in_Mode="All Funds",AND(C1329&gt;=in_BandFloor,C1329&lt;=in_BandCeiling,OR(in_Geography="National",COUNTIFS(lst_GeoPreset,in_Geography,lst_GeoState,B1329)&gt;0,AND(in_Geography="Custom",ISNUMBER(SEARCH(B1329,SUBSTITUTE(in_CustomStates," ",""))))),OR(AND(D1329="Endowment",Inputs!$B$14="Y"),AND(D1329="Foundation",Inputs!$B$15="Y"),AND(D1329="Healthcare",Inputs!$B$16="Y"),AND(D1329="Pension",Inputs!$B$17="Y"),AND(D1329="OCIO",Inputs!$B$18="Y"),AND(D1329="Other",Inputs!$B$19="Y")))),A1329&lt;&gt;in_ClientOrg,NOT(AND(in_ExclHarvard="Y",ISNUMBER(SEARCH("Harvard",A1329))))),$AD1329="Y",K1329&lt;&gt;"",S1329&gt;0),"Y","")</f>
        <v/>
      </c>
      <c r="V1329" s="30" t="n">
        <v>0.3548974391103064</v>
      </c>
      <c r="W1329" t="inlineStr"/>
      <c r="X1329" s="28">
        <f>IF(L1329+M1329=0,"",L1329+M1329)</f>
        <v/>
      </c>
      <c r="Y1329" s="38">
        <f>IF(L1329=0,"",M1329/L1329)</f>
        <v/>
      </c>
      <c r="Z1329" t="inlineStr">
        <is>
          <t>Director &amp; Investment Officer</t>
        </is>
      </c>
      <c r="AA1329" t="inlineStr">
        <is>
          <t>Investments</t>
        </is>
      </c>
      <c r="AB1329" s="50" t="inlineStr"/>
      <c r="AC1329" s="43">
        <f>HYPERLINK("https://projects.propublica.org/nonprofits/organizations/42103579/202641329349305314/full","view filing")</f>
        <v/>
      </c>
      <c r="AD1329" s="50" t="inlineStr">
        <is>
          <t>Y</t>
        </is>
      </c>
    </row>
    <row r="1330">
      <c r="A1330" t="inlineStr">
        <is>
          <t>Trustees Of Phillips Academy</t>
        </is>
      </c>
      <c r="B1330" s="50" t="inlineStr">
        <is>
          <t>MA</t>
        </is>
      </c>
      <c r="C1330" s="52" t="n">
        <v>1.51</v>
      </c>
      <c r="D1330" t="inlineStr">
        <is>
          <t>Endowment</t>
        </is>
      </c>
      <c r="E1330" s="50" t="n">
        <v>2024</v>
      </c>
      <c r="F1330" s="50" t="inlineStr">
        <is>
          <t>2025-05-09</t>
        </is>
      </c>
      <c r="G1330" s="50" t="inlineStr">
        <is>
          <t>2024-06-30</t>
        </is>
      </c>
      <c r="H1330" t="inlineStr">
        <is>
          <t>Andrew Jaffoni</t>
        </is>
      </c>
      <c r="I1330" t="inlineStr">
        <is>
          <t>ASSOC DIRECTOR OF INVESTMENTS</t>
        </is>
      </c>
      <c r="J1330" t="inlineStr">
        <is>
          <t>Director of Investments</t>
        </is>
      </c>
      <c r="K1330" t="inlineStr">
        <is>
          <t>Sr Investment Professional</t>
        </is>
      </c>
      <c r="L1330" s="28" t="n">
        <v>239976</v>
      </c>
      <c r="M1330" s="28" t="n">
        <v>115000</v>
      </c>
      <c r="N1330" s="28" t="n">
        <v>0</v>
      </c>
      <c r="O1330" s="28" t="n">
        <v>38094</v>
      </c>
      <c r="P1330" s="28" t="n">
        <v>14917</v>
      </c>
      <c r="Q1330" s="28" t="n">
        <v>407987</v>
      </c>
      <c r="R1330" s="28" t="n">
        <v>0</v>
      </c>
      <c r="S1330" s="28">
        <f>Q1330-R1330</f>
        <v/>
      </c>
      <c r="T1330" s="28">
        <f>IF(S1330="","",S1330*(1+in_GrowthRate)^(YEARFRAC(DATE(2024,6,30),in_AgeToDate)*IF(in_AgeToDate&lt;DATE(2024,6,30),-1,1)+1))</f>
        <v/>
      </c>
      <c r="U1330" s="50">
        <f>IF(AND(AND(OR(in_Mode="All Funds",AND(C1330&gt;=in_BandFloor,C1330&lt;=in_BandCeiling,OR(in_Geography="National",COUNTIFS(lst_GeoPreset,in_Geography,lst_GeoState,B1330)&gt;0,AND(in_Geography="Custom",ISNUMBER(SEARCH(B1330,SUBSTITUTE(in_CustomStates," ",""))))),OR(AND(D1330="Endowment",Inputs!$B$14="Y"),AND(D1330="Foundation",Inputs!$B$15="Y"),AND(D1330="Healthcare",Inputs!$B$16="Y"),AND(D1330="Pension",Inputs!$B$17="Y"),AND(D1330="OCIO",Inputs!$B$18="Y"),AND(D1330="Other",Inputs!$B$19="Y")))),A1330&lt;&gt;in_ClientOrg,NOT(AND(in_ExclHarvard="Y",ISNUMBER(SEARCH("Harvard",A1330))))),$AD1330="Y",K1330&lt;&gt;"",S1330&gt;0),"Y","")</f>
        <v/>
      </c>
      <c r="V1330" s="30" t="n">
        <v>0.3713354485565695</v>
      </c>
      <c r="W1330" t="inlineStr"/>
      <c r="X1330" s="28">
        <f>IF(L1330+M1330=0,"",L1330+M1330)</f>
        <v/>
      </c>
      <c r="Y1330" s="38">
        <f>IF(L1330=0,"",M1330/L1330)</f>
        <v/>
      </c>
      <c r="Z1330" t="inlineStr">
        <is>
          <t>Director &amp; Investment Officer</t>
        </is>
      </c>
      <c r="AA1330" t="inlineStr">
        <is>
          <t>Investments</t>
        </is>
      </c>
      <c r="AB1330" s="50" t="inlineStr"/>
      <c r="AC1330" s="43">
        <f>HYPERLINK("https://projects.propublica.org/nonprofits/organizations/42103579/202521299349300637/full","view filing")</f>
        <v/>
      </c>
      <c r="AD1330" s="50" t="inlineStr"/>
    </row>
    <row r="1331">
      <c r="A1331" t="inlineStr">
        <is>
          <t>Trustees Of Phillips Academy</t>
        </is>
      </c>
      <c r="B1331" s="50" t="inlineStr">
        <is>
          <t>MA</t>
        </is>
      </c>
      <c r="C1331" s="52" t="n">
        <v>1.51</v>
      </c>
      <c r="D1331" t="inlineStr">
        <is>
          <t>Endowment</t>
        </is>
      </c>
      <c r="E1331" s="50" t="n">
        <v>2024</v>
      </c>
      <c r="F1331" s="50" t="inlineStr">
        <is>
          <t>2025-05-09</t>
        </is>
      </c>
      <c r="G1331" s="50" t="inlineStr">
        <is>
          <t>2024-06-30</t>
        </is>
      </c>
      <c r="H1331" t="inlineStr">
        <is>
          <t>Christian A Reusche</t>
        </is>
      </c>
      <c r="I1331" t="inlineStr">
        <is>
          <t>ASSOC DIRECTOR OF INVESTMENTS</t>
        </is>
      </c>
      <c r="J1331" t="inlineStr">
        <is>
          <t>Director of Investments</t>
        </is>
      </c>
      <c r="K1331" t="inlineStr">
        <is>
          <t>Sr Investment Professional</t>
        </is>
      </c>
      <c r="L1331" s="28" t="n">
        <v>211283</v>
      </c>
      <c r="M1331" s="28" t="n">
        <v>172000</v>
      </c>
      <c r="N1331" s="28" t="n">
        <v>0</v>
      </c>
      <c r="O1331" s="28" t="n">
        <v>38094</v>
      </c>
      <c r="P1331" s="28" t="n">
        <v>15097</v>
      </c>
      <c r="Q1331" s="28" t="n">
        <v>436474</v>
      </c>
      <c r="R1331" s="28" t="n">
        <v>0</v>
      </c>
      <c r="S1331" s="28">
        <f>Q1331-R1331</f>
        <v/>
      </c>
      <c r="T1331" s="28">
        <f>IF(S1331="","",S1331*(1+in_GrowthRate)^(YEARFRAC(DATE(2024,6,30),in_AgeToDate)*IF(in_AgeToDate&lt;DATE(2024,6,30),-1,1)+1))</f>
        <v/>
      </c>
      <c r="U1331" s="50">
        <f>IF(AND(AND(OR(in_Mode="All Funds",AND(C1331&gt;=in_BandFloor,C1331&lt;=in_BandCeiling,OR(in_Geography="National",COUNTIFS(lst_GeoPreset,in_Geography,lst_GeoState,B1331)&gt;0,AND(in_Geography="Custom",ISNUMBER(SEARCH(B1331,SUBSTITUTE(in_CustomStates," ",""))))),OR(AND(D1331="Endowment",Inputs!$B$14="Y"),AND(D1331="Foundation",Inputs!$B$15="Y"),AND(D1331="Healthcare",Inputs!$B$16="Y"),AND(D1331="Pension",Inputs!$B$17="Y"),AND(D1331="OCIO",Inputs!$B$18="Y"),AND(D1331="Other",Inputs!$B$19="Y")))),A1331&lt;&gt;in_ClientOrg,NOT(AND(in_ExclHarvard="Y",ISNUMBER(SEARCH("Harvard",A1331))))),$AD1331="Y",K1331&lt;&gt;"",S1331&gt;0),"Y","")</f>
        <v/>
      </c>
      <c r="V1331" s="30" t="n">
        <v>0.3972633161676232</v>
      </c>
      <c r="W1331" t="inlineStr"/>
      <c r="X1331" s="28">
        <f>IF(L1331+M1331=0,"",L1331+M1331)</f>
        <v/>
      </c>
      <c r="Y1331" s="38">
        <f>IF(L1331=0,"",M1331/L1331)</f>
        <v/>
      </c>
      <c r="Z1331" t="inlineStr">
        <is>
          <t>Director &amp; Investment Officer</t>
        </is>
      </c>
      <c r="AA1331" t="inlineStr">
        <is>
          <t>Investments</t>
        </is>
      </c>
      <c r="AB1331" s="50" t="inlineStr"/>
      <c r="AC1331" s="43">
        <f>HYPERLINK("https://projects.propublica.org/nonprofits/organizations/42103579/202521299349300637/full","view filing")</f>
        <v/>
      </c>
      <c r="AD1331" s="50" t="inlineStr"/>
    </row>
    <row r="1332">
      <c r="A1332" t="inlineStr">
        <is>
          <t>Trustees Of Phillips Academy</t>
        </is>
      </c>
      <c r="B1332" s="50" t="inlineStr">
        <is>
          <t>MA</t>
        </is>
      </c>
      <c r="C1332" s="52" t="n">
        <v>1.51</v>
      </c>
      <c r="D1332" t="inlineStr">
        <is>
          <t>Endowment</t>
        </is>
      </c>
      <c r="E1332" s="50" t="n">
        <v>2024</v>
      </c>
      <c r="F1332" s="50" t="inlineStr">
        <is>
          <t>2025-05-09</t>
        </is>
      </c>
      <c r="G1332" s="50" t="inlineStr">
        <is>
          <t>2024-06-30</t>
        </is>
      </c>
      <c r="H1332" t="inlineStr">
        <is>
          <t>Kirsten A Glantz</t>
        </is>
      </c>
      <c r="I1332" t="inlineStr">
        <is>
          <t>CHIEF INVESTMENT OFFICER</t>
        </is>
      </c>
      <c r="J1332" t="inlineStr">
        <is>
          <t>CIO</t>
        </is>
      </c>
      <c r="K1332" t="inlineStr">
        <is>
          <t>CIO - Top Investment Executive</t>
        </is>
      </c>
      <c r="L1332" s="28" t="n">
        <v>464267</v>
      </c>
      <c r="M1332" s="28" t="n">
        <v>548403</v>
      </c>
      <c r="N1332" s="28" t="n">
        <v>0</v>
      </c>
      <c r="O1332" s="28" t="n">
        <v>38094</v>
      </c>
      <c r="P1332" s="28" t="n">
        <v>47938</v>
      </c>
      <c r="Q1332" s="28" t="n">
        <v>1098702</v>
      </c>
      <c r="R1332" s="28" t="n">
        <v>0</v>
      </c>
      <c r="S1332" s="28">
        <f>Q1332-R1332</f>
        <v/>
      </c>
      <c r="T1332" s="28">
        <f>IF(S1332="","",S1332*(1+in_GrowthRate)^(YEARFRAC(DATE(2024,6,30),in_AgeToDate)*IF(in_AgeToDate&lt;DATE(2024,6,30),-1,1)+1))</f>
        <v/>
      </c>
      <c r="U1332" s="50">
        <f>IF(AND(AND(OR(in_Mode="All Funds",AND(C1332&gt;=in_BandFloor,C1332&lt;=in_BandCeiling,OR(in_Geography="National",COUNTIFS(lst_GeoPreset,in_Geography,lst_GeoState,B1332)&gt;0,AND(in_Geography="Custom",ISNUMBER(SEARCH(B1332,SUBSTITUTE(in_CustomStates," ",""))))),OR(AND(D1332="Endowment",Inputs!$B$14="Y"),AND(D1332="Foundation",Inputs!$B$15="Y"),AND(D1332="Healthcare",Inputs!$B$16="Y"),AND(D1332="Pension",Inputs!$B$17="Y"),AND(D1332="OCIO",Inputs!$B$18="Y"),AND(D1332="Other",Inputs!$B$19="Y")))),A1332&lt;&gt;in_ClientOrg,NOT(AND(in_ExclHarvard="Y",ISNUMBER(SEARCH("Harvard",A1332))))),$AD1332="Y",K1332&lt;&gt;"",S1332&gt;0),"Y","")</f>
        <v/>
      </c>
      <c r="V1332" s="30" t="n">
        <v>1</v>
      </c>
      <c r="W1332" t="inlineStr"/>
      <c r="X1332" s="28">
        <f>IF(L1332+M1332=0,"",L1332+M1332)</f>
        <v/>
      </c>
      <c r="Y1332" s="38">
        <f>IF(L1332=0,"",M1332/L1332)</f>
        <v/>
      </c>
      <c r="Z1332" t="inlineStr">
        <is>
          <t>CIO - Top Investment Executive</t>
        </is>
      </c>
      <c r="AA1332" t="inlineStr">
        <is>
          <t>Leadership</t>
        </is>
      </c>
      <c r="AB1332" s="50" t="inlineStr">
        <is>
          <t>Y</t>
        </is>
      </c>
      <c r="AC1332" s="43">
        <f>HYPERLINK("https://projects.propublica.org/nonprofits/organizations/42103579/202521299349300637/full","view filing")</f>
        <v/>
      </c>
      <c r="AD1332" s="50" t="inlineStr"/>
    </row>
    <row r="1333">
      <c r="A1333" t="inlineStr">
        <is>
          <t>Trustees Of Phillips Academy</t>
        </is>
      </c>
      <c r="B1333" s="50" t="inlineStr">
        <is>
          <t>MA</t>
        </is>
      </c>
      <c r="C1333" s="52" t="n">
        <v>1.51</v>
      </c>
      <c r="D1333" t="inlineStr">
        <is>
          <t>Endowment</t>
        </is>
      </c>
      <c r="E1333" s="50" t="n">
        <v>2024</v>
      </c>
      <c r="F1333" s="50" t="inlineStr">
        <is>
          <t>2025-05-09</t>
        </is>
      </c>
      <c r="G1333" s="50" t="inlineStr">
        <is>
          <t>2024-06-30</t>
        </is>
      </c>
      <c r="H1333" t="inlineStr">
        <is>
          <t>Xue Yang</t>
        </is>
      </c>
      <c r="I1333" t="inlineStr">
        <is>
          <t>ASSOC DIRECTOR OF INVESTMENTS</t>
        </is>
      </c>
      <c r="J1333" t="inlineStr">
        <is>
          <t>Director of Investments</t>
        </is>
      </c>
      <c r="K1333" t="inlineStr">
        <is>
          <t>Sr Investment Professional</t>
        </is>
      </c>
      <c r="L1333" s="28" t="n">
        <v>302836</v>
      </c>
      <c r="M1333" s="28" t="n">
        <v>55000</v>
      </c>
      <c r="N1333" s="28" t="n">
        <v>0</v>
      </c>
      <c r="O1333" s="28" t="n">
        <v>38094</v>
      </c>
      <c r="P1333" s="28" t="n">
        <v>13981</v>
      </c>
      <c r="Q1333" s="28" t="n">
        <v>409911</v>
      </c>
      <c r="R1333" s="28" t="n">
        <v>0</v>
      </c>
      <c r="S1333" s="28">
        <f>Q1333-R1333</f>
        <v/>
      </c>
      <c r="T1333" s="28">
        <f>IF(S1333="","",S1333*(1+in_GrowthRate)^(YEARFRAC(DATE(2024,6,30),in_AgeToDate)*IF(in_AgeToDate&lt;DATE(2024,6,30),-1,1)+1))</f>
        <v/>
      </c>
      <c r="U1333" s="50">
        <f>IF(AND(AND(OR(in_Mode="All Funds",AND(C1333&gt;=in_BandFloor,C1333&lt;=in_BandCeiling,OR(in_Geography="National",COUNTIFS(lst_GeoPreset,in_Geography,lst_GeoState,B1333)&gt;0,AND(in_Geography="Custom",ISNUMBER(SEARCH(B1333,SUBSTITUTE(in_CustomStates," ",""))))),OR(AND(D1333="Endowment",Inputs!$B$14="Y"),AND(D1333="Foundation",Inputs!$B$15="Y"),AND(D1333="Healthcare",Inputs!$B$16="Y"),AND(D1333="Pension",Inputs!$B$17="Y"),AND(D1333="OCIO",Inputs!$B$18="Y"),AND(D1333="Other",Inputs!$B$19="Y")))),A1333&lt;&gt;in_ClientOrg,NOT(AND(in_ExclHarvard="Y",ISNUMBER(SEARCH("Harvard",A1333))))),$AD1333="Y",K1333&lt;&gt;"",S1333&gt;0),"Y","")</f>
        <v/>
      </c>
      <c r="V1333" s="30" t="n">
        <v>0.3730866058312445</v>
      </c>
      <c r="W1333" t="inlineStr"/>
      <c r="X1333" s="28">
        <f>IF(L1333+M1333=0,"",L1333+M1333)</f>
        <v/>
      </c>
      <c r="Y1333" s="38">
        <f>IF(L1333=0,"",M1333/L1333)</f>
        <v/>
      </c>
      <c r="Z1333" t="inlineStr">
        <is>
          <t>Director &amp; Investment Officer</t>
        </is>
      </c>
      <c r="AA1333" t="inlineStr">
        <is>
          <t>Investments</t>
        </is>
      </c>
      <c r="AB1333" s="50" t="inlineStr"/>
      <c r="AC1333" s="43">
        <f>HYPERLINK("https://projects.propublica.org/nonprofits/organizations/42103579/202521299349300637/full","view filing")</f>
        <v/>
      </c>
      <c r="AD1333" s="50" t="inlineStr"/>
    </row>
    <row r="1334">
      <c r="A1334" t="inlineStr">
        <is>
          <t>Trustees Of Phillips Academy</t>
        </is>
      </c>
      <c r="B1334" s="50" t="inlineStr">
        <is>
          <t>MA</t>
        </is>
      </c>
      <c r="C1334" s="52" t="n">
        <v>1.51</v>
      </c>
      <c r="D1334" t="inlineStr">
        <is>
          <t>Endowment</t>
        </is>
      </c>
      <c r="E1334" s="50" t="n">
        <v>2023</v>
      </c>
      <c r="F1334" s="50" t="inlineStr">
        <is>
          <t>2024-05-10</t>
        </is>
      </c>
      <c r="G1334" s="50" t="inlineStr">
        <is>
          <t>2023-06-30</t>
        </is>
      </c>
      <c r="H1334" t="inlineStr">
        <is>
          <t>Andrew Jaffoni</t>
        </is>
      </c>
      <c r="I1334" t="inlineStr">
        <is>
          <t>ASSOC DIRECTOR OF INVESTMENTS</t>
        </is>
      </c>
      <c r="J1334" t="inlineStr">
        <is>
          <t>Director of Investments</t>
        </is>
      </c>
      <c r="K1334" t="inlineStr">
        <is>
          <t>Sr Investment Professional</t>
        </is>
      </c>
      <c r="L1334" s="28" t="n">
        <v>215153</v>
      </c>
      <c r="M1334" s="28" t="n">
        <v>97000</v>
      </c>
      <c r="N1334" s="28" t="n">
        <v>0</v>
      </c>
      <c r="O1334" s="28" t="n">
        <v>27875</v>
      </c>
      <c r="P1334" s="28" t="n">
        <v>14219</v>
      </c>
      <c r="Q1334" s="28" t="n">
        <v>354247</v>
      </c>
      <c r="R1334" s="28" t="n">
        <v>0</v>
      </c>
      <c r="S1334" s="28">
        <f>Q1334-R1334</f>
        <v/>
      </c>
      <c r="T1334" s="28">
        <f>IF(S1334="","",S1334*(1+in_GrowthRate)^(YEARFRAC(DATE(2023,6,30),in_AgeToDate)*IF(in_AgeToDate&lt;DATE(2023,6,30),-1,1)+1))</f>
        <v/>
      </c>
      <c r="U1334" s="50">
        <f>IF(AND(AND(OR(in_Mode="All Funds",AND(C1334&gt;=in_BandFloor,C1334&lt;=in_BandCeiling,OR(in_Geography="National",COUNTIFS(lst_GeoPreset,in_Geography,lst_GeoState,B1334)&gt;0,AND(in_Geography="Custom",ISNUMBER(SEARCH(B1334,SUBSTITUTE(in_CustomStates," ",""))))),OR(AND(D1334="Endowment",Inputs!$B$14="Y"),AND(D1334="Foundation",Inputs!$B$15="Y"),AND(D1334="Healthcare",Inputs!$B$16="Y"),AND(D1334="Pension",Inputs!$B$17="Y"),AND(D1334="OCIO",Inputs!$B$18="Y"),AND(D1334="Other",Inputs!$B$19="Y")))),A1334&lt;&gt;in_ClientOrg,NOT(AND(in_ExclHarvard="Y",ISNUMBER(SEARCH("Harvard",A1334))))),$AD1334="Y",K1334&lt;&gt;"",S1334&gt;0),"Y","")</f>
        <v/>
      </c>
      <c r="V1334" s="30" t="n">
        <v>0.3378427094022637</v>
      </c>
      <c r="W1334" t="inlineStr"/>
      <c r="X1334" s="28">
        <f>IF(L1334+M1334=0,"",L1334+M1334)</f>
        <v/>
      </c>
      <c r="Y1334" s="38">
        <f>IF(L1334=0,"",M1334/L1334)</f>
        <v/>
      </c>
      <c r="Z1334" t="inlineStr">
        <is>
          <t>Director &amp; Investment Officer</t>
        </is>
      </c>
      <c r="AA1334" t="inlineStr">
        <is>
          <t>Investments</t>
        </is>
      </c>
      <c r="AB1334" s="50" t="inlineStr"/>
      <c r="AC1334" s="43">
        <f>HYPERLINK("https://projects.propublica.org/nonprofits/organizations/42103579/202421319349302902/full","view filing")</f>
        <v/>
      </c>
      <c r="AD1334" s="50" t="inlineStr"/>
    </row>
    <row r="1335">
      <c r="A1335" t="inlineStr">
        <is>
          <t>Trustees Of Phillips Academy</t>
        </is>
      </c>
      <c r="B1335" s="50" t="inlineStr">
        <is>
          <t>MA</t>
        </is>
      </c>
      <c r="C1335" s="52" t="n">
        <v>1.51</v>
      </c>
      <c r="D1335" t="inlineStr">
        <is>
          <t>Endowment</t>
        </is>
      </c>
      <c r="E1335" s="50" t="n">
        <v>2023</v>
      </c>
      <c r="F1335" s="50" t="inlineStr">
        <is>
          <t>2024-05-10</t>
        </is>
      </c>
      <c r="G1335" s="50" t="inlineStr">
        <is>
          <t>2023-06-30</t>
        </is>
      </c>
      <c r="H1335" t="inlineStr">
        <is>
          <t>Christian A Reusche</t>
        </is>
      </c>
      <c r="I1335" t="inlineStr">
        <is>
          <t>ASSOC DIRECTOR OF INVESTMENTS</t>
        </is>
      </c>
      <c r="J1335" t="inlineStr">
        <is>
          <t>Director of Investments</t>
        </is>
      </c>
      <c r="K1335" t="inlineStr">
        <is>
          <t>Sr Investment Professional</t>
        </is>
      </c>
      <c r="L1335" s="28" t="n">
        <v>161717</v>
      </c>
      <c r="M1335" s="28" t="n">
        <v>145400</v>
      </c>
      <c r="N1335" s="28" t="n">
        <v>0</v>
      </c>
      <c r="O1335" s="28" t="n">
        <v>31490</v>
      </c>
      <c r="P1335" s="28" t="n">
        <v>14000</v>
      </c>
      <c r="Q1335" s="28" t="n">
        <v>352607</v>
      </c>
      <c r="R1335" s="28" t="n">
        <v>0</v>
      </c>
      <c r="S1335" s="28">
        <f>Q1335-R1335</f>
        <v/>
      </c>
      <c r="T1335" s="28">
        <f>IF(S1335="","",S1335*(1+in_GrowthRate)^(YEARFRAC(DATE(2023,6,30),in_AgeToDate)*IF(in_AgeToDate&lt;DATE(2023,6,30),-1,1)+1))</f>
        <v/>
      </c>
      <c r="U1335" s="50">
        <f>IF(AND(AND(OR(in_Mode="All Funds",AND(C1335&gt;=in_BandFloor,C1335&lt;=in_BandCeiling,OR(in_Geography="National",COUNTIFS(lst_GeoPreset,in_Geography,lst_GeoState,B1335)&gt;0,AND(in_Geography="Custom",ISNUMBER(SEARCH(B1335,SUBSTITUTE(in_CustomStates," ",""))))),OR(AND(D1335="Endowment",Inputs!$B$14="Y"),AND(D1335="Foundation",Inputs!$B$15="Y"),AND(D1335="Healthcare",Inputs!$B$16="Y"),AND(D1335="Pension",Inputs!$B$17="Y"),AND(D1335="OCIO",Inputs!$B$18="Y"),AND(D1335="Other",Inputs!$B$19="Y")))),A1335&lt;&gt;in_ClientOrg,NOT(AND(in_ExclHarvard="Y",ISNUMBER(SEARCH("Harvard",A1335))))),$AD1335="Y",K1335&lt;&gt;"",S1335&gt;0),"Y","")</f>
        <v/>
      </c>
      <c r="V1335" s="30" t="n">
        <v>0.3362786536913622</v>
      </c>
      <c r="W1335" t="inlineStr"/>
      <c r="X1335" s="28">
        <f>IF(L1335+M1335=0,"",L1335+M1335)</f>
        <v/>
      </c>
      <c r="Y1335" s="38">
        <f>IF(L1335=0,"",M1335/L1335)</f>
        <v/>
      </c>
      <c r="Z1335" t="inlineStr">
        <is>
          <t>Director &amp; Investment Officer</t>
        </is>
      </c>
      <c r="AA1335" t="inlineStr">
        <is>
          <t>Investments</t>
        </is>
      </c>
      <c r="AB1335" s="50" t="inlineStr"/>
      <c r="AC1335" s="43">
        <f>HYPERLINK("https://projects.propublica.org/nonprofits/organizations/42103579/202421319349302902/full","view filing")</f>
        <v/>
      </c>
      <c r="AD1335" s="50" t="inlineStr"/>
    </row>
    <row r="1336">
      <c r="A1336" t="inlineStr">
        <is>
          <t>Trustees Of Phillips Academy</t>
        </is>
      </c>
      <c r="B1336" s="50" t="inlineStr">
        <is>
          <t>MA</t>
        </is>
      </c>
      <c r="C1336" s="52" t="n">
        <v>1.51</v>
      </c>
      <c r="D1336" t="inlineStr">
        <is>
          <t>Endowment</t>
        </is>
      </c>
      <c r="E1336" s="50" t="n">
        <v>2023</v>
      </c>
      <c r="F1336" s="50" t="inlineStr">
        <is>
          <t>2024-05-10</t>
        </is>
      </c>
      <c r="G1336" s="50" t="inlineStr">
        <is>
          <t>2023-06-30</t>
        </is>
      </c>
      <c r="H1336" t="inlineStr">
        <is>
          <t>Kirsten A Glantz</t>
        </is>
      </c>
      <c r="I1336" t="inlineStr">
        <is>
          <t>CHIEF INVESTMENT OFFICER</t>
        </is>
      </c>
      <c r="J1336" t="inlineStr">
        <is>
          <t>CIO</t>
        </is>
      </c>
      <c r="K1336" t="inlineStr">
        <is>
          <t>CIO - Top Investment Executive</t>
        </is>
      </c>
      <c r="L1336" s="28" t="n">
        <v>432709</v>
      </c>
      <c r="M1336" s="28" t="n">
        <v>533805</v>
      </c>
      <c r="N1336" s="28" t="n">
        <v>0</v>
      </c>
      <c r="O1336" s="28" t="n">
        <v>35240</v>
      </c>
      <c r="P1336" s="28" t="n">
        <v>46802</v>
      </c>
      <c r="Q1336" s="28" t="n">
        <v>1048556</v>
      </c>
      <c r="R1336" s="28" t="n">
        <v>0</v>
      </c>
      <c r="S1336" s="28">
        <f>Q1336-R1336</f>
        <v/>
      </c>
      <c r="T1336" s="28">
        <f>IF(S1336="","",S1336*(1+in_GrowthRate)^(YEARFRAC(DATE(2023,6,30),in_AgeToDate)*IF(in_AgeToDate&lt;DATE(2023,6,30),-1,1)+1))</f>
        <v/>
      </c>
      <c r="U1336" s="50">
        <f>IF(AND(AND(OR(in_Mode="All Funds",AND(C1336&gt;=in_BandFloor,C1336&lt;=in_BandCeiling,OR(in_Geography="National",COUNTIFS(lst_GeoPreset,in_Geography,lst_GeoState,B1336)&gt;0,AND(in_Geography="Custom",ISNUMBER(SEARCH(B1336,SUBSTITUTE(in_CustomStates," ",""))))),OR(AND(D1336="Endowment",Inputs!$B$14="Y"),AND(D1336="Foundation",Inputs!$B$15="Y"),AND(D1336="Healthcare",Inputs!$B$16="Y"),AND(D1336="Pension",Inputs!$B$17="Y"),AND(D1336="OCIO",Inputs!$B$18="Y"),AND(D1336="Other",Inputs!$B$19="Y")))),A1336&lt;&gt;in_ClientOrg,NOT(AND(in_ExclHarvard="Y",ISNUMBER(SEARCH("Harvard",A1336))))),$AD1336="Y",K1336&lt;&gt;"",S1336&gt;0),"Y","")</f>
        <v/>
      </c>
      <c r="V1336" s="30" t="n">
        <v>1</v>
      </c>
      <c r="W1336" t="inlineStr"/>
      <c r="X1336" s="28">
        <f>IF(L1336+M1336=0,"",L1336+M1336)</f>
        <v/>
      </c>
      <c r="Y1336" s="38">
        <f>IF(L1336=0,"",M1336/L1336)</f>
        <v/>
      </c>
      <c r="Z1336" t="inlineStr">
        <is>
          <t>CIO - Top Investment Executive</t>
        </is>
      </c>
      <c r="AA1336" t="inlineStr">
        <is>
          <t>Leadership</t>
        </is>
      </c>
      <c r="AB1336" s="50" t="inlineStr">
        <is>
          <t>Y</t>
        </is>
      </c>
      <c r="AC1336" s="43">
        <f>HYPERLINK("https://projects.propublica.org/nonprofits/organizations/42103579/202421319349302902/full","view filing")</f>
        <v/>
      </c>
      <c r="AD1336" s="50" t="inlineStr"/>
    </row>
    <row r="1337">
      <c r="A1337" t="inlineStr">
        <is>
          <t>Trustees Of Phillips Academy</t>
        </is>
      </c>
      <c r="B1337" s="50" t="inlineStr">
        <is>
          <t>MA</t>
        </is>
      </c>
      <c r="C1337" s="52" t="n">
        <v>1.51</v>
      </c>
      <c r="D1337" t="inlineStr">
        <is>
          <t>Endowment</t>
        </is>
      </c>
      <c r="E1337" s="50" t="n">
        <v>2023</v>
      </c>
      <c r="F1337" s="50" t="inlineStr">
        <is>
          <t>2024-05-10</t>
        </is>
      </c>
      <c r="G1337" s="50" t="inlineStr">
        <is>
          <t>2023-06-30</t>
        </is>
      </c>
      <c r="H1337" t="inlineStr">
        <is>
          <t>Xue Yang</t>
        </is>
      </c>
      <c r="I1337" t="inlineStr">
        <is>
          <t>INVESTMENT ASSOCIATE</t>
        </is>
      </c>
      <c r="J1337" t="inlineStr">
        <is>
          <t>Associate</t>
        </is>
      </c>
      <c r="K1337" t="inlineStr">
        <is>
          <t>Sr Investment Professional</t>
        </is>
      </c>
      <c r="L1337" s="28" t="n">
        <v>280836</v>
      </c>
      <c r="M1337" s="28" t="n">
        <v>132394</v>
      </c>
      <c r="N1337" s="28" t="n">
        <v>0</v>
      </c>
      <c r="O1337" s="28" t="n">
        <v>35240</v>
      </c>
      <c r="P1337" s="28" t="n">
        <v>13484</v>
      </c>
      <c r="Q1337" s="28" t="n">
        <v>461954</v>
      </c>
      <c r="R1337" s="28" t="n">
        <v>0</v>
      </c>
      <c r="S1337" s="28">
        <f>Q1337-R1337</f>
        <v/>
      </c>
      <c r="T1337" s="28">
        <f>IF(S1337="","",S1337*(1+in_GrowthRate)^(YEARFRAC(DATE(2023,6,30),in_AgeToDate)*IF(in_AgeToDate&lt;DATE(2023,6,30),-1,1)+1))</f>
        <v/>
      </c>
      <c r="U1337" s="50">
        <f>IF(AND(AND(OR(in_Mode="All Funds",AND(C1337&gt;=in_BandFloor,C1337&lt;=in_BandCeiling,OR(in_Geography="National",COUNTIFS(lst_GeoPreset,in_Geography,lst_GeoState,B1337)&gt;0,AND(in_Geography="Custom",ISNUMBER(SEARCH(B1337,SUBSTITUTE(in_CustomStates," ",""))))),OR(AND(D1337="Endowment",Inputs!$B$14="Y"),AND(D1337="Foundation",Inputs!$B$15="Y"),AND(D1337="Healthcare",Inputs!$B$16="Y"),AND(D1337="Pension",Inputs!$B$17="Y"),AND(D1337="OCIO",Inputs!$B$18="Y"),AND(D1337="Other",Inputs!$B$19="Y")))),A1337&lt;&gt;in_ClientOrg,NOT(AND(in_ExclHarvard="Y",ISNUMBER(SEARCH("Harvard",A1337))))),$AD1337="Y",K1337&lt;&gt;"",S1337&gt;0),"Y","")</f>
        <v/>
      </c>
      <c r="V1337" s="30" t="n">
        <v>0.4405620682157176</v>
      </c>
      <c r="W1337" t="inlineStr"/>
      <c r="X1337" s="28">
        <f>IF(L1337+M1337=0,"",L1337+M1337)</f>
        <v/>
      </c>
      <c r="Y1337" s="38">
        <f>IF(L1337=0,"",M1337/L1337)</f>
        <v/>
      </c>
      <c r="Z1337" t="inlineStr">
        <is>
          <t>Other investment staff</t>
        </is>
      </c>
      <c r="AA1337" t="inlineStr">
        <is>
          <t>Investments</t>
        </is>
      </c>
      <c r="AB1337" s="50" t="inlineStr"/>
      <c r="AC1337" s="43">
        <f>HYPERLINK("https://projects.propublica.org/nonprofits/organizations/42103579/202421319349302902/full","view filing")</f>
        <v/>
      </c>
      <c r="AD1337" s="50" t="inlineStr"/>
    </row>
    <row r="1338">
      <c r="A1338" t="inlineStr">
        <is>
          <t>Trustees Of Phillips Academy</t>
        </is>
      </c>
      <c r="B1338" s="50" t="inlineStr">
        <is>
          <t>MA</t>
        </is>
      </c>
      <c r="C1338" s="52" t="n">
        <v>1.51</v>
      </c>
      <c r="D1338" t="inlineStr">
        <is>
          <t>Endowment</t>
        </is>
      </c>
      <c r="E1338" s="50" t="n">
        <v>2022</v>
      </c>
      <c r="F1338" s="50" t="inlineStr">
        <is>
          <t>2023-05-11</t>
        </is>
      </c>
      <c r="G1338" s="50" t="inlineStr">
        <is>
          <t>2022-06-30</t>
        </is>
      </c>
      <c r="H1338" t="inlineStr">
        <is>
          <t>Andrew Jaffoni</t>
        </is>
      </c>
      <c r="I1338" t="inlineStr">
        <is>
          <t>INVESTMENT ANALYST</t>
        </is>
      </c>
      <c r="J1338" t="inlineStr">
        <is>
          <t>Analyst</t>
        </is>
      </c>
      <c r="K1338" t="inlineStr">
        <is>
          <t>Sr Investment Professional</t>
        </is>
      </c>
      <c r="L1338" s="28" t="n">
        <v>151856</v>
      </c>
      <c r="M1338" s="28" t="n">
        <v>57189</v>
      </c>
      <c r="N1338" s="28" t="n">
        <v>0</v>
      </c>
      <c r="O1338" s="28" t="n">
        <v>20580</v>
      </c>
      <c r="P1338" s="28" t="n">
        <v>12774</v>
      </c>
      <c r="Q1338" s="28" t="n">
        <v>242399</v>
      </c>
      <c r="R1338" s="28" t="n">
        <v>0</v>
      </c>
      <c r="S1338" s="28">
        <f>Q1338-R1338</f>
        <v/>
      </c>
      <c r="T1338" s="28">
        <f>IF(S1338="","",S1338*(1+in_GrowthRate)^(YEARFRAC(DATE(2022,6,30),in_AgeToDate)*IF(in_AgeToDate&lt;DATE(2022,6,30),-1,1)+1))</f>
        <v/>
      </c>
      <c r="U1338" s="50">
        <f>IF(AND(AND(OR(in_Mode="All Funds",AND(C1338&gt;=in_BandFloor,C1338&lt;=in_BandCeiling,OR(in_Geography="National",COUNTIFS(lst_GeoPreset,in_Geography,lst_GeoState,B1338)&gt;0,AND(in_Geography="Custom",ISNUMBER(SEARCH(B1338,SUBSTITUTE(in_CustomStates," ",""))))),OR(AND(D1338="Endowment",Inputs!$B$14="Y"),AND(D1338="Foundation",Inputs!$B$15="Y"),AND(D1338="Healthcare",Inputs!$B$16="Y"),AND(D1338="Pension",Inputs!$B$17="Y"),AND(D1338="OCIO",Inputs!$B$18="Y"),AND(D1338="Other",Inputs!$B$19="Y")))),A1338&lt;&gt;in_ClientOrg,NOT(AND(in_ExclHarvard="Y",ISNUMBER(SEARCH("Harvard",A1338))))),$AD1338="Y",K1338&lt;&gt;"",S1338&gt;0),"Y","")</f>
        <v/>
      </c>
      <c r="V1338" s="30" t="n">
        <v>0.2302708638707894</v>
      </c>
      <c r="W1338" t="inlineStr"/>
      <c r="X1338" s="28">
        <f>IF(L1338+M1338=0,"",L1338+M1338)</f>
        <v/>
      </c>
      <c r="Y1338" s="38">
        <f>IF(L1338=0,"",M1338/L1338)</f>
        <v/>
      </c>
      <c r="Z1338" t="inlineStr">
        <is>
          <t>Other investment staff</t>
        </is>
      </c>
      <c r="AA1338" t="inlineStr">
        <is>
          <t>Investments</t>
        </is>
      </c>
      <c r="AB1338" s="50" t="inlineStr"/>
      <c r="AC1338" s="43">
        <f>HYPERLINK("https://projects.propublica.org/nonprofits/organizations/42103579/202331319349307333/full","view filing")</f>
        <v/>
      </c>
      <c r="AD1338" s="50" t="inlineStr"/>
    </row>
    <row r="1339">
      <c r="A1339" t="inlineStr">
        <is>
          <t>Trustees Of Phillips Academy</t>
        </is>
      </c>
      <c r="B1339" s="50" t="inlineStr">
        <is>
          <t>MA</t>
        </is>
      </c>
      <c r="C1339" s="52" t="n">
        <v>1.51</v>
      </c>
      <c r="D1339" t="inlineStr">
        <is>
          <t>Endowment</t>
        </is>
      </c>
      <c r="E1339" s="50" t="n">
        <v>2022</v>
      </c>
      <c r="F1339" s="50" t="inlineStr">
        <is>
          <t>2023-05-11</t>
        </is>
      </c>
      <c r="G1339" s="50" t="inlineStr">
        <is>
          <t>2022-06-30</t>
        </is>
      </c>
      <c r="H1339" t="inlineStr">
        <is>
          <t>Kirsten A Glantz</t>
        </is>
      </c>
      <c r="I1339" t="inlineStr">
        <is>
          <t>CHIEF INVESTMENT OFFICER</t>
        </is>
      </c>
      <c r="J1339" t="inlineStr">
        <is>
          <t>CIO</t>
        </is>
      </c>
      <c r="K1339" t="inlineStr">
        <is>
          <t>CIO - Top Investment Executive</t>
        </is>
      </c>
      <c r="L1339" s="28" t="n">
        <v>411674</v>
      </c>
      <c r="M1339" s="28" t="n">
        <v>560769</v>
      </c>
      <c r="N1339" s="28" t="n">
        <v>0</v>
      </c>
      <c r="O1339" s="28" t="n">
        <v>33416</v>
      </c>
      <c r="P1339" s="28" t="n">
        <v>46810</v>
      </c>
      <c r="Q1339" s="28" t="n">
        <v>1052669</v>
      </c>
      <c r="R1339" s="28" t="n">
        <v>0</v>
      </c>
      <c r="S1339" s="28">
        <f>Q1339-R1339</f>
        <v/>
      </c>
      <c r="T1339" s="28">
        <f>IF(S1339="","",S1339*(1+in_GrowthRate)^(YEARFRAC(DATE(2022,6,30),in_AgeToDate)*IF(in_AgeToDate&lt;DATE(2022,6,30),-1,1)+1))</f>
        <v/>
      </c>
      <c r="U1339" s="50">
        <f>IF(AND(AND(OR(in_Mode="All Funds",AND(C1339&gt;=in_BandFloor,C1339&lt;=in_BandCeiling,OR(in_Geography="National",COUNTIFS(lst_GeoPreset,in_Geography,lst_GeoState,B1339)&gt;0,AND(in_Geography="Custom",ISNUMBER(SEARCH(B1339,SUBSTITUTE(in_CustomStates," ",""))))),OR(AND(D1339="Endowment",Inputs!$B$14="Y"),AND(D1339="Foundation",Inputs!$B$15="Y"),AND(D1339="Healthcare",Inputs!$B$16="Y"),AND(D1339="Pension",Inputs!$B$17="Y"),AND(D1339="OCIO",Inputs!$B$18="Y"),AND(D1339="Other",Inputs!$B$19="Y")))),A1339&lt;&gt;in_ClientOrg,NOT(AND(in_ExclHarvard="Y",ISNUMBER(SEARCH("Harvard",A1339))))),$AD1339="Y",K1339&lt;&gt;"",S1339&gt;0),"Y","")</f>
        <v/>
      </c>
      <c r="V1339" s="30" t="n">
        <v>1</v>
      </c>
      <c r="W1339" t="inlineStr"/>
      <c r="X1339" s="28">
        <f>IF(L1339+M1339=0,"",L1339+M1339)</f>
        <v/>
      </c>
      <c r="Y1339" s="38">
        <f>IF(L1339=0,"",M1339/L1339)</f>
        <v/>
      </c>
      <c r="Z1339" t="inlineStr">
        <is>
          <t>CIO - Top Investment Executive</t>
        </is>
      </c>
      <c r="AA1339" t="inlineStr">
        <is>
          <t>Leadership</t>
        </is>
      </c>
      <c r="AB1339" s="50" t="inlineStr">
        <is>
          <t>Y</t>
        </is>
      </c>
      <c r="AC1339" s="43">
        <f>HYPERLINK("https://projects.propublica.org/nonprofits/organizations/42103579/202331319349307333/full","view filing")</f>
        <v/>
      </c>
      <c r="AD1339" s="50" t="inlineStr"/>
    </row>
    <row r="1340">
      <c r="A1340" t="inlineStr">
        <is>
          <t>Trustees Of Phillips Academy</t>
        </is>
      </c>
      <c r="B1340" s="50" t="inlineStr">
        <is>
          <t>MA</t>
        </is>
      </c>
      <c r="C1340" s="52" t="n">
        <v>1.51</v>
      </c>
      <c r="D1340" t="inlineStr">
        <is>
          <t>Endowment</t>
        </is>
      </c>
      <c r="E1340" s="50" t="n">
        <v>2022</v>
      </c>
      <c r="F1340" s="50" t="inlineStr">
        <is>
          <t>2023-05-11</t>
        </is>
      </c>
      <c r="G1340" s="50" t="inlineStr">
        <is>
          <t>2022-06-30</t>
        </is>
      </c>
      <c r="H1340" t="inlineStr">
        <is>
          <t>Xue Yang</t>
        </is>
      </c>
      <c r="I1340" t="inlineStr">
        <is>
          <t>INVESTMENT ASSOCIATE</t>
        </is>
      </c>
      <c r="J1340" t="inlineStr">
        <is>
          <t>Associate</t>
        </is>
      </c>
      <c r="K1340" t="inlineStr">
        <is>
          <t>Sr Investment Professional</t>
        </is>
      </c>
      <c r="L1340" s="28" t="n">
        <v>155981</v>
      </c>
      <c r="M1340" s="28" t="n">
        <v>170950</v>
      </c>
      <c r="N1340" s="28" t="n">
        <v>0</v>
      </c>
      <c r="O1340" s="28" t="n">
        <v>33416</v>
      </c>
      <c r="P1340" s="28" t="n">
        <v>12739</v>
      </c>
      <c r="Q1340" s="28" t="n">
        <v>373086</v>
      </c>
      <c r="R1340" s="28" t="n">
        <v>0</v>
      </c>
      <c r="S1340" s="28">
        <f>Q1340-R1340</f>
        <v/>
      </c>
      <c r="T1340" s="28">
        <f>IF(S1340="","",S1340*(1+in_GrowthRate)^(YEARFRAC(DATE(2022,6,30),in_AgeToDate)*IF(in_AgeToDate&lt;DATE(2022,6,30),-1,1)+1))</f>
        <v/>
      </c>
      <c r="U1340" s="50">
        <f>IF(AND(AND(OR(in_Mode="All Funds",AND(C1340&gt;=in_BandFloor,C1340&lt;=in_BandCeiling,OR(in_Geography="National",COUNTIFS(lst_GeoPreset,in_Geography,lst_GeoState,B1340)&gt;0,AND(in_Geography="Custom",ISNUMBER(SEARCH(B1340,SUBSTITUTE(in_CustomStates," ",""))))),OR(AND(D1340="Endowment",Inputs!$B$14="Y"),AND(D1340="Foundation",Inputs!$B$15="Y"),AND(D1340="Healthcare",Inputs!$B$16="Y"),AND(D1340="Pension",Inputs!$B$17="Y"),AND(D1340="OCIO",Inputs!$B$18="Y"),AND(D1340="Other",Inputs!$B$19="Y")))),A1340&lt;&gt;in_ClientOrg,NOT(AND(in_ExclHarvard="Y",ISNUMBER(SEARCH("Harvard",A1340))))),$AD1340="Y",K1340&lt;&gt;"",S1340&gt;0),"Y","")</f>
        <v/>
      </c>
      <c r="V1340" s="30" t="n">
        <v>0.3544191004009807</v>
      </c>
      <c r="W1340" t="inlineStr"/>
      <c r="X1340" s="28">
        <f>IF(L1340+M1340=0,"",L1340+M1340)</f>
        <v/>
      </c>
      <c r="Y1340" s="38">
        <f>IF(L1340=0,"",M1340/L1340)</f>
        <v/>
      </c>
      <c r="Z1340" t="inlineStr">
        <is>
          <t>Other investment staff</t>
        </is>
      </c>
      <c r="AA1340" t="inlineStr">
        <is>
          <t>Investments</t>
        </is>
      </c>
      <c r="AB1340" s="50" t="inlineStr"/>
      <c r="AC1340" s="43">
        <f>HYPERLINK("https://projects.propublica.org/nonprofits/organizations/42103579/202331319349307333/full","view filing")</f>
        <v/>
      </c>
      <c r="AD1340" s="50" t="inlineStr"/>
    </row>
    <row r="1341">
      <c r="A1341" t="inlineStr">
        <is>
          <t>Trustees Of The Estate Of Bernice Pauahi Bishop</t>
        </is>
      </c>
      <c r="B1341" s="50" t="inlineStr">
        <is>
          <t>HI</t>
        </is>
      </c>
      <c r="C1341" s="52" t="n">
        <v>11.66</v>
      </c>
      <c r="D1341" t="inlineStr">
        <is>
          <t>Endowment</t>
        </is>
      </c>
      <c r="E1341" s="50" t="n">
        <v>2025</v>
      </c>
      <c r="F1341" s="50" t="inlineStr">
        <is>
          <t>2026-05-15</t>
        </is>
      </c>
      <c r="G1341" s="50" t="inlineStr">
        <is>
          <t>2025-06-30</t>
        </is>
      </c>
      <c r="H1341" t="inlineStr">
        <is>
          <t>Burton Yuen</t>
        </is>
      </c>
      <c r="I1341" t="inlineStr">
        <is>
          <t>MANAGING DIR. - FIN'L ASSETS</t>
        </is>
      </c>
      <c r="J1341" t="inlineStr">
        <is>
          <t>Managing Director</t>
        </is>
      </c>
      <c r="K1341" t="inlineStr">
        <is>
          <t>Sr Investment Professional</t>
        </is>
      </c>
      <c r="L1341" s="28" t="n">
        <v>673258</v>
      </c>
      <c r="M1341" s="28" t="n">
        <v>500000</v>
      </c>
      <c r="N1341" s="28" t="n">
        <v>3564</v>
      </c>
      <c r="O1341" s="28" t="n">
        <v>55650</v>
      </c>
      <c r="P1341" s="28" t="n">
        <v>23414</v>
      </c>
      <c r="Q1341" s="28" t="n">
        <v>1255886</v>
      </c>
      <c r="R1341" s="28" t="n">
        <v>0</v>
      </c>
      <c r="S1341" s="28">
        <f>Q1341-R1341</f>
        <v/>
      </c>
      <c r="T1341" s="28">
        <f>IF(S1341="","",S1341*(1+in_GrowthRate)^(YEARFRAC(DATE(2025,6,30),in_AgeToDate)*IF(in_AgeToDate&lt;DATE(2025,6,30),-1,1)+1))</f>
        <v/>
      </c>
      <c r="U1341" s="50">
        <f>IF(AND(AND(OR(in_Mode="All Funds",AND(C1341&gt;=in_BandFloor,C1341&lt;=in_BandCeiling,OR(in_Geography="National",COUNTIFS(lst_GeoPreset,in_Geography,lst_GeoState,B1341)&gt;0,AND(in_Geography="Custom",ISNUMBER(SEARCH(B1341,SUBSTITUTE(in_CustomStates," ",""))))),OR(AND(D1341="Endowment",Inputs!$B$14="Y"),AND(D1341="Foundation",Inputs!$B$15="Y"),AND(D1341="Healthcare",Inputs!$B$16="Y"),AND(D1341="Pension",Inputs!$B$17="Y"),AND(D1341="OCIO",Inputs!$B$18="Y"),AND(D1341="Other",Inputs!$B$19="Y")))),A1341&lt;&gt;in_ClientOrg,NOT(AND(in_ExclHarvard="Y",ISNUMBER(SEARCH("Harvard",A1341))))),$AD1341="Y",K1341&lt;&gt;"",S1341&gt;0),"Y","")</f>
        <v/>
      </c>
      <c r="V1341" s="30" t="n">
        <v>0.5090135184538203</v>
      </c>
      <c r="W1341" t="inlineStr"/>
      <c r="X1341" s="28">
        <f>IF(L1341+M1341=0,"",L1341+M1341)</f>
        <v/>
      </c>
      <c r="Y1341" s="38">
        <f>IF(L1341=0,"",M1341/L1341)</f>
        <v/>
      </c>
      <c r="Z1341" t="inlineStr">
        <is>
          <t>Managing Director</t>
        </is>
      </c>
      <c r="AA1341" t="inlineStr">
        <is>
          <t>Investments</t>
        </is>
      </c>
      <c r="AB1341" s="50" t="inlineStr"/>
      <c r="AC1341" s="43">
        <f>HYPERLINK("https://projects.propublica.org/nonprofits/organizations/990073480/202601359349302395/full","view filing")</f>
        <v/>
      </c>
      <c r="AD1341" s="50" t="inlineStr">
        <is>
          <t>Y</t>
        </is>
      </c>
    </row>
    <row r="1342">
      <c r="A1342" t="inlineStr">
        <is>
          <t>Trustees Of The Estate Of Bernice Pauahi Bishop</t>
        </is>
      </c>
      <c r="B1342" s="50" t="inlineStr">
        <is>
          <t>HI</t>
        </is>
      </c>
      <c r="C1342" s="52" t="n">
        <v>11.66</v>
      </c>
      <c r="D1342" t="inlineStr">
        <is>
          <t>Endowment</t>
        </is>
      </c>
      <c r="E1342" s="50" t="n">
        <v>2025</v>
      </c>
      <c r="F1342" s="50" t="inlineStr">
        <is>
          <t>2026-05-15</t>
        </is>
      </c>
      <c r="G1342" s="50" t="inlineStr">
        <is>
          <t>2025-06-30</t>
        </is>
      </c>
      <c r="H1342" t="inlineStr">
        <is>
          <t>David Ames</t>
        </is>
      </c>
      <c r="I1342" t="inlineStr">
        <is>
          <t>MANAGING DIR. - FIN'L ASSETS</t>
        </is>
      </c>
      <c r="J1342" t="inlineStr">
        <is>
          <t>Managing Director</t>
        </is>
      </c>
      <c r="K1342" t="inlineStr">
        <is>
          <t>Sr Investment Professional</t>
        </is>
      </c>
      <c r="L1342" s="28" t="n">
        <v>443675</v>
      </c>
      <c r="M1342" s="28" t="n">
        <v>400000</v>
      </c>
      <c r="N1342" s="28" t="n">
        <v>486</v>
      </c>
      <c r="O1342" s="28" t="n">
        <v>51587</v>
      </c>
      <c r="P1342" s="28" t="n">
        <v>9710</v>
      </c>
      <c r="Q1342" s="28" t="n">
        <v>905458</v>
      </c>
      <c r="R1342" s="28" t="n">
        <v>0</v>
      </c>
      <c r="S1342" s="28">
        <f>Q1342-R1342</f>
        <v/>
      </c>
      <c r="T1342" s="28">
        <f>IF(S1342="","",S1342*(1+in_GrowthRate)^(YEARFRAC(DATE(2025,6,30),in_AgeToDate)*IF(in_AgeToDate&lt;DATE(2025,6,30),-1,1)+1))</f>
        <v/>
      </c>
      <c r="U1342" s="50">
        <f>IF(AND(AND(OR(in_Mode="All Funds",AND(C1342&gt;=in_BandFloor,C1342&lt;=in_BandCeiling,OR(in_Geography="National",COUNTIFS(lst_GeoPreset,in_Geography,lst_GeoState,B1342)&gt;0,AND(in_Geography="Custom",ISNUMBER(SEARCH(B1342,SUBSTITUTE(in_CustomStates," ",""))))),OR(AND(D1342="Endowment",Inputs!$B$14="Y"),AND(D1342="Foundation",Inputs!$B$15="Y"),AND(D1342="Healthcare",Inputs!$B$16="Y"),AND(D1342="Pension",Inputs!$B$17="Y"),AND(D1342="OCIO",Inputs!$B$18="Y"),AND(D1342="Other",Inputs!$B$19="Y")))),A1342&lt;&gt;in_ClientOrg,NOT(AND(in_ExclHarvard="Y",ISNUMBER(SEARCH("Harvard",A1342))))),$AD1342="Y",K1342&lt;&gt;"",S1342&gt;0),"Y","")</f>
        <v/>
      </c>
      <c r="V1342" s="30" t="n">
        <v>0.3669842345500779</v>
      </c>
      <c r="W1342" t="inlineStr"/>
      <c r="X1342" s="28">
        <f>IF(L1342+M1342=0,"",L1342+M1342)</f>
        <v/>
      </c>
      <c r="Y1342" s="38">
        <f>IF(L1342=0,"",M1342/L1342)</f>
        <v/>
      </c>
      <c r="Z1342" t="inlineStr">
        <is>
          <t>Managing Director</t>
        </is>
      </c>
      <c r="AA1342" t="inlineStr">
        <is>
          <t>Investments</t>
        </is>
      </c>
      <c r="AB1342" s="50" t="inlineStr"/>
      <c r="AC1342" s="43">
        <f>HYPERLINK("https://projects.propublica.org/nonprofits/organizations/990073480/202601359349302395/full","view filing")</f>
        <v/>
      </c>
      <c r="AD1342" s="50" t="inlineStr">
        <is>
          <t>Y</t>
        </is>
      </c>
    </row>
    <row r="1343">
      <c r="A1343" t="inlineStr">
        <is>
          <t>Trustees Of The Estate Of Bernice Pauahi Bishop</t>
        </is>
      </c>
      <c r="B1343" s="50" t="inlineStr">
        <is>
          <t>HI</t>
        </is>
      </c>
      <c r="C1343" s="52" t="n">
        <v>11.66</v>
      </c>
      <c r="D1343" t="inlineStr">
        <is>
          <t>Endowment</t>
        </is>
      </c>
      <c r="E1343" s="50" t="n">
        <v>2025</v>
      </c>
      <c r="F1343" s="50" t="inlineStr">
        <is>
          <t>2026-05-15</t>
        </is>
      </c>
      <c r="G1343" s="50" t="inlineStr">
        <is>
          <t>2025-06-30</t>
        </is>
      </c>
      <c r="H1343" t="inlineStr">
        <is>
          <t>Jeff Heidsieck</t>
        </is>
      </c>
      <c r="I1343" t="inlineStr">
        <is>
          <t>MANAGING DIR. - FIN'L ASSETS</t>
        </is>
      </c>
      <c r="J1343" t="inlineStr">
        <is>
          <t>Managing Director</t>
        </is>
      </c>
      <c r="K1343" t="inlineStr">
        <is>
          <t>Sr Investment Professional</t>
        </is>
      </c>
      <c r="L1343" s="28" t="n">
        <v>443766</v>
      </c>
      <c r="M1343" s="28" t="n">
        <v>370000</v>
      </c>
      <c r="N1343" s="28" t="n">
        <v>3606</v>
      </c>
      <c r="O1343" s="28" t="n">
        <v>56566</v>
      </c>
      <c r="P1343" s="28" t="n">
        <v>1223</v>
      </c>
      <c r="Q1343" s="28" t="n">
        <v>875161</v>
      </c>
      <c r="R1343" s="28" t="n">
        <v>0</v>
      </c>
      <c r="S1343" s="28">
        <f>Q1343-R1343</f>
        <v/>
      </c>
      <c r="T1343" s="28">
        <f>IF(S1343="","",S1343*(1+in_GrowthRate)^(YEARFRAC(DATE(2025,6,30),in_AgeToDate)*IF(in_AgeToDate&lt;DATE(2025,6,30),-1,1)+1))</f>
        <v/>
      </c>
      <c r="U1343" s="50">
        <f>IF(AND(AND(OR(in_Mode="All Funds",AND(C1343&gt;=in_BandFloor,C1343&lt;=in_BandCeiling,OR(in_Geography="National",COUNTIFS(lst_GeoPreset,in_Geography,lst_GeoState,B1343)&gt;0,AND(in_Geography="Custom",ISNUMBER(SEARCH(B1343,SUBSTITUTE(in_CustomStates," ",""))))),OR(AND(D1343="Endowment",Inputs!$B$14="Y"),AND(D1343="Foundation",Inputs!$B$15="Y"),AND(D1343="Healthcare",Inputs!$B$16="Y"),AND(D1343="Pension",Inputs!$B$17="Y"),AND(D1343="OCIO",Inputs!$B$18="Y"),AND(D1343="Other",Inputs!$B$19="Y")))),A1343&lt;&gt;in_ClientOrg,NOT(AND(in_ExclHarvard="Y",ISNUMBER(SEARCH("Harvard",A1343))))),$AD1343="Y",K1343&lt;&gt;"",S1343&gt;0),"Y","")</f>
        <v/>
      </c>
      <c r="V1343" s="30" t="n">
        <v>0.3547047899439629</v>
      </c>
      <c r="W1343" t="inlineStr"/>
      <c r="X1343" s="28">
        <f>IF(L1343+M1343=0,"",L1343+M1343)</f>
        <v/>
      </c>
      <c r="Y1343" s="38">
        <f>IF(L1343=0,"",M1343/L1343)</f>
        <v/>
      </c>
      <c r="Z1343" t="inlineStr">
        <is>
          <t>Managing Director</t>
        </is>
      </c>
      <c r="AA1343" t="inlineStr">
        <is>
          <t>Investments</t>
        </is>
      </c>
      <c r="AB1343" s="50" t="inlineStr"/>
      <c r="AC1343" s="43">
        <f>HYPERLINK("https://projects.propublica.org/nonprofits/organizations/990073480/202601359349302395/full","view filing")</f>
        <v/>
      </c>
      <c r="AD1343" s="50" t="inlineStr">
        <is>
          <t>Y</t>
        </is>
      </c>
    </row>
    <row r="1344">
      <c r="A1344" t="inlineStr">
        <is>
          <t>Trustees Of The Estate Of Bernice Pauahi Bishop</t>
        </is>
      </c>
      <c r="B1344" s="50" t="inlineStr">
        <is>
          <t>HI</t>
        </is>
      </c>
      <c r="C1344" s="52" t="n">
        <v>11.66</v>
      </c>
      <c r="D1344" t="inlineStr">
        <is>
          <t>Endowment</t>
        </is>
      </c>
      <c r="E1344" s="50" t="n">
        <v>2025</v>
      </c>
      <c r="F1344" s="50" t="inlineStr">
        <is>
          <t>2026-05-15</t>
        </is>
      </c>
      <c r="G1344" s="50" t="inlineStr">
        <is>
          <t>2025-06-30</t>
        </is>
      </c>
      <c r="H1344" t="inlineStr">
        <is>
          <t>Jon Iwatani</t>
        </is>
      </c>
      <c r="I1344" t="inlineStr">
        <is>
          <t>MANAGING DIR. - FIN'L ASSETS</t>
        </is>
      </c>
      <c r="J1344" t="inlineStr">
        <is>
          <t>Managing Director</t>
        </is>
      </c>
      <c r="K1344" t="inlineStr">
        <is>
          <t>Sr Investment Professional</t>
        </is>
      </c>
      <c r="L1344" s="28" t="n">
        <v>519705</v>
      </c>
      <c r="M1344" s="28" t="n">
        <v>400000</v>
      </c>
      <c r="N1344" s="28" t="n">
        <v>3744</v>
      </c>
      <c r="O1344" s="28" t="n">
        <v>56386</v>
      </c>
      <c r="P1344" s="28" t="n">
        <v>11993</v>
      </c>
      <c r="Q1344" s="28" t="n">
        <v>991828</v>
      </c>
      <c r="R1344" s="28" t="n">
        <v>0</v>
      </c>
      <c r="S1344" s="28">
        <f>Q1344-R1344</f>
        <v/>
      </c>
      <c r="T1344" s="28">
        <f>IF(S1344="","",S1344*(1+in_GrowthRate)^(YEARFRAC(DATE(2025,6,30),in_AgeToDate)*IF(in_AgeToDate&lt;DATE(2025,6,30),-1,1)+1))</f>
        <v/>
      </c>
      <c r="U1344" s="50">
        <f>IF(AND(AND(OR(in_Mode="All Funds",AND(C1344&gt;=in_BandFloor,C1344&lt;=in_BandCeiling,OR(in_Geography="National",COUNTIFS(lst_GeoPreset,in_Geography,lst_GeoState,B1344)&gt;0,AND(in_Geography="Custom",ISNUMBER(SEARCH(B1344,SUBSTITUTE(in_CustomStates," ",""))))),OR(AND(D1344="Endowment",Inputs!$B$14="Y"),AND(D1344="Foundation",Inputs!$B$15="Y"),AND(D1344="Healthcare",Inputs!$B$16="Y"),AND(D1344="Pension",Inputs!$B$17="Y"),AND(D1344="OCIO",Inputs!$B$18="Y"),AND(D1344="Other",Inputs!$B$19="Y")))),A1344&lt;&gt;in_ClientOrg,NOT(AND(in_ExclHarvard="Y",ISNUMBER(SEARCH("Harvard",A1344))))),$AD1344="Y",K1344&lt;&gt;"",S1344&gt;0),"Y","")</f>
        <v/>
      </c>
      <c r="V1344" s="30" t="n">
        <v>0.4019901965473106</v>
      </c>
      <c r="W1344" t="inlineStr"/>
      <c r="X1344" s="28">
        <f>IF(L1344+M1344=0,"",L1344+M1344)</f>
        <v/>
      </c>
      <c r="Y1344" s="38">
        <f>IF(L1344=0,"",M1344/L1344)</f>
        <v/>
      </c>
      <c r="Z1344" t="inlineStr">
        <is>
          <t>Managing Director</t>
        </is>
      </c>
      <c r="AA1344" t="inlineStr">
        <is>
          <t>Investments</t>
        </is>
      </c>
      <c r="AB1344" s="50" t="inlineStr"/>
      <c r="AC1344" s="43">
        <f>HYPERLINK("https://projects.propublica.org/nonprofits/organizations/990073480/202601359349302395/full","view filing")</f>
        <v/>
      </c>
      <c r="AD1344" s="50" t="inlineStr">
        <is>
          <t>Y</t>
        </is>
      </c>
    </row>
    <row r="1345">
      <c r="A1345" t="inlineStr">
        <is>
          <t>Trustees Of The Estate Of Bernice Pauahi Bishop</t>
        </is>
      </c>
      <c r="B1345" s="50" t="inlineStr">
        <is>
          <t>HI</t>
        </is>
      </c>
      <c r="C1345" s="52" t="n">
        <v>11.66</v>
      </c>
      <c r="D1345" t="inlineStr">
        <is>
          <t>Endowment</t>
        </is>
      </c>
      <c r="E1345" s="50" t="n">
        <v>2025</v>
      </c>
      <c r="F1345" s="50" t="inlineStr">
        <is>
          <t>2026-05-15</t>
        </is>
      </c>
      <c r="G1345" s="50" t="inlineStr">
        <is>
          <t>2025-06-30</t>
        </is>
      </c>
      <c r="H1345" t="inlineStr">
        <is>
          <t>Timothy Donohue</t>
        </is>
      </c>
      <c r="I1345" t="inlineStr">
        <is>
          <t>CIO</t>
        </is>
      </c>
      <c r="J1345" t="inlineStr">
        <is>
          <t>CIO</t>
        </is>
      </c>
      <c r="K1345" t="inlineStr">
        <is>
          <t>CIO - Top Investment Executive</t>
        </is>
      </c>
      <c r="L1345" s="28" t="n">
        <v>1090405</v>
      </c>
      <c r="M1345" s="28" t="n">
        <v>1295959</v>
      </c>
      <c r="N1345" s="28" t="n">
        <v>2862</v>
      </c>
      <c r="O1345" s="28" t="n">
        <v>55950</v>
      </c>
      <c r="P1345" s="28" t="n">
        <v>22118</v>
      </c>
      <c r="Q1345" s="28" t="n">
        <v>2467294</v>
      </c>
      <c r="R1345" s="28" t="n">
        <v>0</v>
      </c>
      <c r="S1345" s="28">
        <f>Q1345-R1345</f>
        <v/>
      </c>
      <c r="T1345" s="28">
        <f>IF(S1345="","",S1345*(1+in_GrowthRate)^(YEARFRAC(DATE(2025,6,30),in_AgeToDate)*IF(in_AgeToDate&lt;DATE(2025,6,30),-1,1)+1))</f>
        <v/>
      </c>
      <c r="U1345" s="50">
        <f>IF(AND(AND(OR(in_Mode="All Funds",AND(C1345&gt;=in_BandFloor,C1345&lt;=in_BandCeiling,OR(in_Geography="National",COUNTIFS(lst_GeoPreset,in_Geography,lst_GeoState,B1345)&gt;0,AND(in_Geography="Custom",ISNUMBER(SEARCH(B1345,SUBSTITUTE(in_CustomStates," ",""))))),OR(AND(D1345="Endowment",Inputs!$B$14="Y"),AND(D1345="Foundation",Inputs!$B$15="Y"),AND(D1345="Healthcare",Inputs!$B$16="Y"),AND(D1345="Pension",Inputs!$B$17="Y"),AND(D1345="OCIO",Inputs!$B$18="Y"),AND(D1345="Other",Inputs!$B$19="Y")))),A1345&lt;&gt;in_ClientOrg,NOT(AND(in_ExclHarvard="Y",ISNUMBER(SEARCH("Harvard",A1345))))),$AD1345="Y",K1345&lt;&gt;"",S1345&gt;0),"Y","")</f>
        <v/>
      </c>
      <c r="V1345" s="30" t="n">
        <v>1</v>
      </c>
      <c r="W1345" t="inlineStr"/>
      <c r="X1345" s="28">
        <f>IF(L1345+M1345=0,"",L1345+M1345)</f>
        <v/>
      </c>
      <c r="Y1345" s="38">
        <f>IF(L1345=0,"",M1345/L1345)</f>
        <v/>
      </c>
      <c r="Z1345" t="inlineStr">
        <is>
          <t>CIO - Top Investment Executive</t>
        </is>
      </c>
      <c r="AA1345" t="inlineStr">
        <is>
          <t>Leadership</t>
        </is>
      </c>
      <c r="AB1345" s="50" t="inlineStr">
        <is>
          <t>Y</t>
        </is>
      </c>
      <c r="AC1345" s="43">
        <f>HYPERLINK("https://projects.propublica.org/nonprofits/organizations/990073480/202601359349302395/full","view filing")</f>
        <v/>
      </c>
      <c r="AD1345" s="50" t="inlineStr">
        <is>
          <t>Y</t>
        </is>
      </c>
    </row>
    <row r="1346">
      <c r="A1346" t="inlineStr">
        <is>
          <t>Trustees Of The Estate Of Bernice Pauahi Bishop</t>
        </is>
      </c>
      <c r="B1346" s="50" t="inlineStr">
        <is>
          <t>HI</t>
        </is>
      </c>
      <c r="C1346" s="52" t="n">
        <v>11.66</v>
      </c>
      <c r="D1346" t="inlineStr">
        <is>
          <t>Endowment</t>
        </is>
      </c>
      <c r="E1346" s="50" t="n">
        <v>2024</v>
      </c>
      <c r="F1346" s="50" t="inlineStr">
        <is>
          <t>2025-05-15</t>
        </is>
      </c>
      <c r="G1346" s="50" t="inlineStr">
        <is>
          <t>2024-06-30</t>
        </is>
      </c>
      <c r="H1346" t="inlineStr">
        <is>
          <t>Burton Yuen</t>
        </is>
      </c>
      <c r="I1346" t="inlineStr">
        <is>
          <t>MANAGING DIR. - FIN'L ASSETS</t>
        </is>
      </c>
      <c r="J1346" t="inlineStr">
        <is>
          <t>Managing Director</t>
        </is>
      </c>
      <c r="K1346" t="inlineStr">
        <is>
          <t>Sr Investment Professional</t>
        </is>
      </c>
      <c r="L1346" s="28" t="n">
        <v>663342</v>
      </c>
      <c r="M1346" s="28" t="n">
        <v>540000</v>
      </c>
      <c r="N1346" s="28" t="n">
        <v>3564</v>
      </c>
      <c r="O1346" s="28" t="n">
        <v>43454</v>
      </c>
      <c r="P1346" s="28" t="n">
        <v>21481</v>
      </c>
      <c r="Q1346" s="28" t="n">
        <v>1271841</v>
      </c>
      <c r="R1346" s="28" t="n">
        <v>0</v>
      </c>
      <c r="S1346" s="28">
        <f>Q1346-R1346</f>
        <v/>
      </c>
      <c r="T1346" s="28">
        <f>IF(S1346="","",S1346*(1+in_GrowthRate)^(YEARFRAC(DATE(2024,6,30),in_AgeToDate)*IF(in_AgeToDate&lt;DATE(2024,6,30),-1,1)+1))</f>
        <v/>
      </c>
      <c r="U1346" s="50">
        <f>IF(AND(AND(OR(in_Mode="All Funds",AND(C1346&gt;=in_BandFloor,C1346&lt;=in_BandCeiling,OR(in_Geography="National",COUNTIFS(lst_GeoPreset,in_Geography,lst_GeoState,B1346)&gt;0,AND(in_Geography="Custom",ISNUMBER(SEARCH(B1346,SUBSTITUTE(in_CustomStates," ",""))))),OR(AND(D1346="Endowment",Inputs!$B$14="Y"),AND(D1346="Foundation",Inputs!$B$15="Y"),AND(D1346="Healthcare",Inputs!$B$16="Y"),AND(D1346="Pension",Inputs!$B$17="Y"),AND(D1346="OCIO",Inputs!$B$18="Y"),AND(D1346="Other",Inputs!$B$19="Y")))),A1346&lt;&gt;in_ClientOrg,NOT(AND(in_ExclHarvard="Y",ISNUMBER(SEARCH("Harvard",A1346))))),$AD1346="Y",K1346&lt;&gt;"",S1346&gt;0),"Y","")</f>
        <v/>
      </c>
      <c r="V1346" s="30" t="n">
        <v>0.5029924276729461</v>
      </c>
      <c r="W1346" t="inlineStr"/>
      <c r="X1346" s="28">
        <f>IF(L1346+M1346=0,"",L1346+M1346)</f>
        <v/>
      </c>
      <c r="Y1346" s="38">
        <f>IF(L1346=0,"",M1346/L1346)</f>
        <v/>
      </c>
      <c r="Z1346" t="inlineStr">
        <is>
          <t>Managing Director</t>
        </is>
      </c>
      <c r="AA1346" t="inlineStr">
        <is>
          <t>Investments</t>
        </is>
      </c>
      <c r="AB1346" s="50" t="inlineStr"/>
      <c r="AC1346" s="43">
        <f>HYPERLINK("https://projects.propublica.org/nonprofits/organizations/990073480/202521359349307492/full","view filing")</f>
        <v/>
      </c>
      <c r="AD1346" s="50" t="inlineStr"/>
    </row>
    <row r="1347">
      <c r="A1347" t="inlineStr">
        <is>
          <t>Trustees Of The Estate Of Bernice Pauahi Bishop</t>
        </is>
      </c>
      <c r="B1347" s="50" t="inlineStr">
        <is>
          <t>HI</t>
        </is>
      </c>
      <c r="C1347" s="52" t="n">
        <v>11.66</v>
      </c>
      <c r="D1347" t="inlineStr">
        <is>
          <t>Endowment</t>
        </is>
      </c>
      <c r="E1347" s="50" t="n">
        <v>2024</v>
      </c>
      <c r="F1347" s="50" t="inlineStr">
        <is>
          <t>2025-05-15</t>
        </is>
      </c>
      <c r="G1347" s="50" t="inlineStr">
        <is>
          <t>2024-06-30</t>
        </is>
      </c>
      <c r="H1347" t="inlineStr">
        <is>
          <t>Cara Nakamura</t>
        </is>
      </c>
      <c r="I1347" t="inlineStr">
        <is>
          <t>MANAGING DIR. - FIN'L ASSETS</t>
        </is>
      </c>
      <c r="J1347" t="inlineStr">
        <is>
          <t>Managing Director</t>
        </is>
      </c>
      <c r="K1347" t="inlineStr">
        <is>
          <t>Sr Investment Professional</t>
        </is>
      </c>
      <c r="L1347" s="28" t="n">
        <v>487433</v>
      </c>
      <c r="M1347" s="28" t="n">
        <v>470000</v>
      </c>
      <c r="N1347" s="28" t="n">
        <v>990</v>
      </c>
      <c r="O1347" s="28" t="n">
        <v>45143</v>
      </c>
      <c r="P1347" s="28" t="n">
        <v>33389</v>
      </c>
      <c r="Q1347" s="28" t="n">
        <v>1036955</v>
      </c>
      <c r="R1347" s="28" t="n">
        <v>0</v>
      </c>
      <c r="S1347" s="28">
        <f>Q1347-R1347</f>
        <v/>
      </c>
      <c r="T1347" s="28">
        <f>IF(S1347="","",S1347*(1+in_GrowthRate)^(YEARFRAC(DATE(2024,6,30),in_AgeToDate)*IF(in_AgeToDate&lt;DATE(2024,6,30),-1,1)+1))</f>
        <v/>
      </c>
      <c r="U1347" s="50">
        <f>IF(AND(AND(OR(in_Mode="All Funds",AND(C1347&gt;=in_BandFloor,C1347&lt;=in_BandCeiling,OR(in_Geography="National",COUNTIFS(lst_GeoPreset,in_Geography,lst_GeoState,B1347)&gt;0,AND(in_Geography="Custom",ISNUMBER(SEARCH(B1347,SUBSTITUTE(in_CustomStates," ",""))))),OR(AND(D1347="Endowment",Inputs!$B$14="Y"),AND(D1347="Foundation",Inputs!$B$15="Y"),AND(D1347="Healthcare",Inputs!$B$16="Y"),AND(D1347="Pension",Inputs!$B$17="Y"),AND(D1347="OCIO",Inputs!$B$18="Y"),AND(D1347="Other",Inputs!$B$19="Y")))),A1347&lt;&gt;in_ClientOrg,NOT(AND(in_ExclHarvard="Y",ISNUMBER(SEARCH("Harvard",A1347))))),$AD1347="Y",K1347&lt;&gt;"",S1347&gt;0),"Y","")</f>
        <v/>
      </c>
      <c r="V1347" s="30" t="n">
        <v>0.4100988353399519</v>
      </c>
      <c r="W1347" t="inlineStr"/>
      <c r="X1347" s="28">
        <f>IF(L1347+M1347=0,"",L1347+M1347)</f>
        <v/>
      </c>
      <c r="Y1347" s="38">
        <f>IF(L1347=0,"",M1347/L1347)</f>
        <v/>
      </c>
      <c r="Z1347" t="inlineStr">
        <is>
          <t>Managing Director</t>
        </is>
      </c>
      <c r="AA1347" t="inlineStr">
        <is>
          <t>Investments</t>
        </is>
      </c>
      <c r="AB1347" s="50" t="inlineStr"/>
      <c r="AC1347" s="43">
        <f>HYPERLINK("https://projects.propublica.org/nonprofits/organizations/990073480/202521359349307492/full","view filing")</f>
        <v/>
      </c>
      <c r="AD1347" s="50" t="inlineStr"/>
    </row>
    <row r="1348">
      <c r="A1348" t="inlineStr">
        <is>
          <t>Trustees Of The Estate Of Bernice Pauahi Bishop</t>
        </is>
      </c>
      <c r="B1348" s="50" t="inlineStr">
        <is>
          <t>HI</t>
        </is>
      </c>
      <c r="C1348" s="52" t="n">
        <v>11.66</v>
      </c>
      <c r="D1348" t="inlineStr">
        <is>
          <t>Endowment</t>
        </is>
      </c>
      <c r="E1348" s="50" t="n">
        <v>2024</v>
      </c>
      <c r="F1348" s="50" t="inlineStr">
        <is>
          <t>2025-05-15</t>
        </is>
      </c>
      <c r="G1348" s="50" t="inlineStr">
        <is>
          <t>2024-06-30</t>
        </is>
      </c>
      <c r="H1348" t="inlineStr">
        <is>
          <t>David Ames</t>
        </is>
      </c>
      <c r="I1348" t="inlineStr">
        <is>
          <t>MANAGING DIR. - FIN'L ASSETS</t>
        </is>
      </c>
      <c r="J1348" t="inlineStr">
        <is>
          <t>Managing Director</t>
        </is>
      </c>
      <c r="K1348" t="inlineStr">
        <is>
          <t>Sr Investment Professional</t>
        </is>
      </c>
      <c r="L1348" s="28" t="n">
        <v>384552</v>
      </c>
      <c r="M1348" s="28" t="n">
        <v>350000</v>
      </c>
      <c r="N1348" s="28" t="n">
        <v>486</v>
      </c>
      <c r="O1348" s="28" t="n">
        <v>50431</v>
      </c>
      <c r="P1348" s="28" t="n">
        <v>9159</v>
      </c>
      <c r="Q1348" s="28" t="n">
        <v>794628</v>
      </c>
      <c r="R1348" s="28" t="n">
        <v>0</v>
      </c>
      <c r="S1348" s="28">
        <f>Q1348-R1348</f>
        <v/>
      </c>
      <c r="T1348" s="28">
        <f>IF(S1348="","",S1348*(1+in_GrowthRate)^(YEARFRAC(DATE(2024,6,30),in_AgeToDate)*IF(in_AgeToDate&lt;DATE(2024,6,30),-1,1)+1))</f>
        <v/>
      </c>
      <c r="U1348" s="50">
        <f>IF(AND(AND(OR(in_Mode="All Funds",AND(C1348&gt;=in_BandFloor,C1348&lt;=in_BandCeiling,OR(in_Geography="National",COUNTIFS(lst_GeoPreset,in_Geography,lst_GeoState,B1348)&gt;0,AND(in_Geography="Custom",ISNUMBER(SEARCH(B1348,SUBSTITUTE(in_CustomStates," ",""))))),OR(AND(D1348="Endowment",Inputs!$B$14="Y"),AND(D1348="Foundation",Inputs!$B$15="Y"),AND(D1348="Healthcare",Inputs!$B$16="Y"),AND(D1348="Pension",Inputs!$B$17="Y"),AND(D1348="OCIO",Inputs!$B$18="Y"),AND(D1348="Other",Inputs!$B$19="Y")))),A1348&lt;&gt;in_ClientOrg,NOT(AND(in_ExclHarvard="Y",ISNUMBER(SEARCH("Harvard",A1348))))),$AD1348="Y",K1348&lt;&gt;"",S1348&gt;0),"Y","")</f>
        <v/>
      </c>
      <c r="V1348" s="30" t="n">
        <v>0.3142624485426226</v>
      </c>
      <c r="W1348" t="inlineStr"/>
      <c r="X1348" s="28">
        <f>IF(L1348+M1348=0,"",L1348+M1348)</f>
        <v/>
      </c>
      <c r="Y1348" s="38">
        <f>IF(L1348=0,"",M1348/L1348)</f>
        <v/>
      </c>
      <c r="Z1348" t="inlineStr">
        <is>
          <t>Managing Director</t>
        </is>
      </c>
      <c r="AA1348" t="inlineStr">
        <is>
          <t>Investments</t>
        </is>
      </c>
      <c r="AB1348" s="50" t="inlineStr"/>
      <c r="AC1348" s="43">
        <f>HYPERLINK("https://projects.propublica.org/nonprofits/organizations/990073480/202521359349307492/full","view filing")</f>
        <v/>
      </c>
      <c r="AD1348" s="50" t="inlineStr"/>
    </row>
    <row r="1349">
      <c r="A1349" t="inlineStr">
        <is>
          <t>Trustees Of The Estate Of Bernice Pauahi Bishop</t>
        </is>
      </c>
      <c r="B1349" s="50" t="inlineStr">
        <is>
          <t>HI</t>
        </is>
      </c>
      <c r="C1349" s="52" t="n">
        <v>11.66</v>
      </c>
      <c r="D1349" t="inlineStr">
        <is>
          <t>Endowment</t>
        </is>
      </c>
      <c r="E1349" s="50" t="n">
        <v>2024</v>
      </c>
      <c r="F1349" s="50" t="inlineStr">
        <is>
          <t>2025-05-15</t>
        </is>
      </c>
      <c r="G1349" s="50" t="inlineStr">
        <is>
          <t>2024-06-30</t>
        </is>
      </c>
      <c r="H1349" t="inlineStr">
        <is>
          <t>Jon Iwatani</t>
        </is>
      </c>
      <c r="I1349" t="inlineStr">
        <is>
          <t>MANAGING DIR. - FIN'L ASSETS</t>
        </is>
      </c>
      <c r="J1349" t="inlineStr">
        <is>
          <t>Managing Director</t>
        </is>
      </c>
      <c r="K1349" t="inlineStr">
        <is>
          <t>Sr Investment Professional</t>
        </is>
      </c>
      <c r="L1349" s="28" t="n">
        <v>498830</v>
      </c>
      <c r="M1349" s="28" t="n">
        <v>450000</v>
      </c>
      <c r="N1349" s="28" t="n">
        <v>2322</v>
      </c>
      <c r="O1349" s="28" t="n">
        <v>50908</v>
      </c>
      <c r="P1349" s="28" t="n">
        <v>11800</v>
      </c>
      <c r="Q1349" s="28" t="n">
        <v>1013860</v>
      </c>
      <c r="R1349" s="28" t="n">
        <v>0</v>
      </c>
      <c r="S1349" s="28">
        <f>Q1349-R1349</f>
        <v/>
      </c>
      <c r="T1349" s="28">
        <f>IF(S1349="","",S1349*(1+in_GrowthRate)^(YEARFRAC(DATE(2024,6,30),in_AgeToDate)*IF(in_AgeToDate&lt;DATE(2024,6,30),-1,1)+1))</f>
        <v/>
      </c>
      <c r="U1349" s="50">
        <f>IF(AND(AND(OR(in_Mode="All Funds",AND(C1349&gt;=in_BandFloor,C1349&lt;=in_BandCeiling,OR(in_Geography="National",COUNTIFS(lst_GeoPreset,in_Geography,lst_GeoState,B1349)&gt;0,AND(in_Geography="Custom",ISNUMBER(SEARCH(B1349,SUBSTITUTE(in_CustomStates," ",""))))),OR(AND(D1349="Endowment",Inputs!$B$14="Y"),AND(D1349="Foundation",Inputs!$B$15="Y"),AND(D1349="Healthcare",Inputs!$B$16="Y"),AND(D1349="Pension",Inputs!$B$17="Y"),AND(D1349="OCIO",Inputs!$B$18="Y"),AND(D1349="Other",Inputs!$B$19="Y")))),A1349&lt;&gt;in_ClientOrg,NOT(AND(in_ExclHarvard="Y",ISNUMBER(SEARCH("Harvard",A1349))))),$AD1349="Y",K1349&lt;&gt;"",S1349&gt;0),"Y","")</f>
        <v/>
      </c>
      <c r="V1349" s="30" t="n">
        <v>0.4009651385043359</v>
      </c>
      <c r="W1349" t="inlineStr"/>
      <c r="X1349" s="28">
        <f>IF(L1349+M1349=0,"",L1349+M1349)</f>
        <v/>
      </c>
      <c r="Y1349" s="38">
        <f>IF(L1349=0,"",M1349/L1349)</f>
        <v/>
      </c>
      <c r="Z1349" t="inlineStr">
        <is>
          <t>Managing Director</t>
        </is>
      </c>
      <c r="AA1349" t="inlineStr">
        <is>
          <t>Investments</t>
        </is>
      </c>
      <c r="AB1349" s="50" t="inlineStr"/>
      <c r="AC1349" s="43">
        <f>HYPERLINK("https://projects.propublica.org/nonprofits/organizations/990073480/202521359349307492/full","view filing")</f>
        <v/>
      </c>
      <c r="AD1349" s="50" t="inlineStr"/>
    </row>
    <row r="1350">
      <c r="A1350" t="inlineStr">
        <is>
          <t>Trustees Of The Estate Of Bernice Pauahi Bishop</t>
        </is>
      </c>
      <c r="B1350" s="50" t="inlineStr">
        <is>
          <t>HI</t>
        </is>
      </c>
      <c r="C1350" s="52" t="n">
        <v>11.66</v>
      </c>
      <c r="D1350" t="inlineStr">
        <is>
          <t>Endowment</t>
        </is>
      </c>
      <c r="E1350" s="50" t="n">
        <v>2024</v>
      </c>
      <c r="F1350" s="50" t="inlineStr">
        <is>
          <t>2025-05-15</t>
        </is>
      </c>
      <c r="G1350" s="50" t="inlineStr">
        <is>
          <t>2024-06-30</t>
        </is>
      </c>
      <c r="H1350" t="inlineStr">
        <is>
          <t>Timothy Donohue</t>
        </is>
      </c>
      <c r="I1350" t="inlineStr">
        <is>
          <t>CIO</t>
        </is>
      </c>
      <c r="J1350" t="inlineStr">
        <is>
          <t>CIO</t>
        </is>
      </c>
      <c r="K1350" t="inlineStr">
        <is>
          <t>CIO - Top Investment Executive</t>
        </is>
      </c>
      <c r="L1350" s="28" t="n">
        <v>1041819</v>
      </c>
      <c r="M1350" s="28" t="n">
        <v>1411011</v>
      </c>
      <c r="N1350" s="28" t="n">
        <v>2862</v>
      </c>
      <c r="O1350" s="28" t="n">
        <v>51750</v>
      </c>
      <c r="P1350" s="28" t="n">
        <v>21107</v>
      </c>
      <c r="Q1350" s="28" t="n">
        <v>2528549</v>
      </c>
      <c r="R1350" s="28" t="n">
        <v>0</v>
      </c>
      <c r="S1350" s="28">
        <f>Q1350-R1350</f>
        <v/>
      </c>
      <c r="T1350" s="28">
        <f>IF(S1350="","",S1350*(1+in_GrowthRate)^(YEARFRAC(DATE(2024,6,30),in_AgeToDate)*IF(in_AgeToDate&lt;DATE(2024,6,30),-1,1)+1))</f>
        <v/>
      </c>
      <c r="U1350" s="50">
        <f>IF(AND(AND(OR(in_Mode="All Funds",AND(C1350&gt;=in_BandFloor,C1350&lt;=in_BandCeiling,OR(in_Geography="National",COUNTIFS(lst_GeoPreset,in_Geography,lst_GeoState,B1350)&gt;0,AND(in_Geography="Custom",ISNUMBER(SEARCH(B1350,SUBSTITUTE(in_CustomStates," ",""))))),OR(AND(D1350="Endowment",Inputs!$B$14="Y"),AND(D1350="Foundation",Inputs!$B$15="Y"),AND(D1350="Healthcare",Inputs!$B$16="Y"),AND(D1350="Pension",Inputs!$B$17="Y"),AND(D1350="OCIO",Inputs!$B$18="Y"),AND(D1350="Other",Inputs!$B$19="Y")))),A1350&lt;&gt;in_ClientOrg,NOT(AND(in_ExclHarvard="Y",ISNUMBER(SEARCH("Harvard",A1350))))),$AD1350="Y",K1350&lt;&gt;"",S1350&gt;0),"Y","")</f>
        <v/>
      </c>
      <c r="V1350" s="30" t="n">
        <v>1</v>
      </c>
      <c r="W1350" t="inlineStr"/>
      <c r="X1350" s="28">
        <f>IF(L1350+M1350=0,"",L1350+M1350)</f>
        <v/>
      </c>
      <c r="Y1350" s="38">
        <f>IF(L1350=0,"",M1350/L1350)</f>
        <v/>
      </c>
      <c r="Z1350" t="inlineStr">
        <is>
          <t>CIO - Top Investment Executive</t>
        </is>
      </c>
      <c r="AA1350" t="inlineStr">
        <is>
          <t>Leadership</t>
        </is>
      </c>
      <c r="AB1350" s="50" t="inlineStr">
        <is>
          <t>Y</t>
        </is>
      </c>
      <c r="AC1350" s="43">
        <f>HYPERLINK("https://projects.propublica.org/nonprofits/organizations/990073480/202521359349307492/full","view filing")</f>
        <v/>
      </c>
      <c r="AD1350" s="50" t="inlineStr"/>
    </row>
    <row r="1351">
      <c r="A1351" t="inlineStr">
        <is>
          <t>Trustees Of The Estate Of Bernice Pauahi Bishop</t>
        </is>
      </c>
      <c r="B1351" s="50" t="inlineStr">
        <is>
          <t>HI</t>
        </is>
      </c>
      <c r="C1351" s="52" t="n">
        <v>11.66</v>
      </c>
      <c r="D1351" t="inlineStr">
        <is>
          <t>Endowment</t>
        </is>
      </c>
      <c r="E1351" s="50" t="n">
        <v>2024</v>
      </c>
      <c r="F1351" s="50" t="inlineStr">
        <is>
          <t>2025-05-15</t>
        </is>
      </c>
      <c r="G1351" s="50" t="inlineStr">
        <is>
          <t>2024-06-30</t>
        </is>
      </c>
      <c r="H1351" t="inlineStr">
        <is>
          <t>Walter Thoemmes</t>
        </is>
      </c>
      <c r="I1351" t="inlineStr">
        <is>
          <t>MD, KS COMMERCIAL REAL ESTATE</t>
        </is>
      </c>
      <c r="J1351" t="inlineStr">
        <is>
          <t>Managing Director</t>
        </is>
      </c>
      <c r="K1351" t="inlineStr">
        <is>
          <t>Sr Investment Professional</t>
        </is>
      </c>
      <c r="L1351" s="28" t="n">
        <v>360904</v>
      </c>
      <c r="M1351" s="28" t="n">
        <v>35014</v>
      </c>
      <c r="N1351" s="28" t="n">
        <v>2758</v>
      </c>
      <c r="O1351" s="28" t="n">
        <v>37101</v>
      </c>
      <c r="P1351" s="28" t="n">
        <v>25202</v>
      </c>
      <c r="Q1351" s="28" t="n">
        <v>460979</v>
      </c>
      <c r="R1351" s="28" t="n">
        <v>0</v>
      </c>
      <c r="S1351" s="28">
        <f>Q1351-R1351</f>
        <v/>
      </c>
      <c r="T1351" s="28">
        <f>IF(S1351="","",S1351*(1+in_GrowthRate)^(YEARFRAC(DATE(2024,6,30),in_AgeToDate)*IF(in_AgeToDate&lt;DATE(2024,6,30),-1,1)+1))</f>
        <v/>
      </c>
      <c r="U1351" s="50">
        <f>IF(AND(AND(OR(in_Mode="All Funds",AND(C1351&gt;=in_BandFloor,C1351&lt;=in_BandCeiling,OR(in_Geography="National",COUNTIFS(lst_GeoPreset,in_Geography,lst_GeoState,B1351)&gt;0,AND(in_Geography="Custom",ISNUMBER(SEARCH(B1351,SUBSTITUTE(in_CustomStates," ",""))))),OR(AND(D1351="Endowment",Inputs!$B$14="Y"),AND(D1351="Foundation",Inputs!$B$15="Y"),AND(D1351="Healthcare",Inputs!$B$16="Y"),AND(D1351="Pension",Inputs!$B$17="Y"),AND(D1351="OCIO",Inputs!$B$18="Y"),AND(D1351="Other",Inputs!$B$19="Y")))),A1351&lt;&gt;in_ClientOrg,NOT(AND(in_ExclHarvard="Y",ISNUMBER(SEARCH("Harvard",A1351))))),$AD1351="Y",K1351&lt;&gt;"",S1351&gt;0),"Y","")</f>
        <v/>
      </c>
      <c r="V1351" s="30" t="n">
        <v>0.1823096961933504</v>
      </c>
      <c r="W1351" t="inlineStr"/>
      <c r="X1351" s="28">
        <f>IF(L1351+M1351=0,"",L1351+M1351)</f>
        <v/>
      </c>
      <c r="Y1351" s="38">
        <f>IF(L1351=0,"",M1351/L1351)</f>
        <v/>
      </c>
      <c r="Z1351" t="inlineStr">
        <is>
          <t>Managing Director</t>
        </is>
      </c>
      <c r="AA1351" t="inlineStr">
        <is>
          <t>Investments</t>
        </is>
      </c>
      <c r="AB1351" s="50" t="inlineStr"/>
      <c r="AC1351" s="43">
        <f>HYPERLINK("https://projects.propublica.org/nonprofits/organizations/990073480/202521359349307492/full","view filing")</f>
        <v/>
      </c>
      <c r="AD1351" s="50" t="inlineStr"/>
    </row>
    <row r="1352">
      <c r="A1352" t="inlineStr">
        <is>
          <t>Trustees Of The Estate Of Bernice Pauahi Bishop</t>
        </is>
      </c>
      <c r="B1352" s="50" t="inlineStr">
        <is>
          <t>HI</t>
        </is>
      </c>
      <c r="C1352" s="52" t="n">
        <v>11.66</v>
      </c>
      <c r="D1352" t="inlineStr">
        <is>
          <t>Endowment</t>
        </is>
      </c>
      <c r="E1352" s="50" t="n">
        <v>2023</v>
      </c>
      <c r="F1352" s="50" t="inlineStr">
        <is>
          <t>2024-05-16</t>
        </is>
      </c>
      <c r="G1352" s="50" t="inlineStr">
        <is>
          <t>2023-06-30</t>
        </is>
      </c>
      <c r="H1352" t="inlineStr">
        <is>
          <t>Burton Yuen</t>
        </is>
      </c>
      <c r="I1352" t="inlineStr">
        <is>
          <t>MANAGING DIR. - FIN'L ASSETS</t>
        </is>
      </c>
      <c r="J1352" t="inlineStr">
        <is>
          <t>Managing Director</t>
        </is>
      </c>
      <c r="K1352" t="inlineStr">
        <is>
          <t>Sr Investment Professional</t>
        </is>
      </c>
      <c r="L1352" s="28" t="n">
        <v>651819</v>
      </c>
      <c r="M1352" s="28" t="n">
        <v>775000</v>
      </c>
      <c r="N1352" s="28" t="n">
        <v>3564</v>
      </c>
      <c r="O1352" s="28" t="n">
        <v>56390</v>
      </c>
      <c r="P1352" s="28" t="n">
        <v>20300</v>
      </c>
      <c r="Q1352" s="28" t="n">
        <v>1507073</v>
      </c>
      <c r="R1352" s="28" t="n">
        <v>0</v>
      </c>
      <c r="S1352" s="28">
        <f>Q1352-R1352</f>
        <v/>
      </c>
      <c r="T1352" s="28">
        <f>IF(S1352="","",S1352*(1+in_GrowthRate)^(YEARFRAC(DATE(2023,6,30),in_AgeToDate)*IF(in_AgeToDate&lt;DATE(2023,6,30),-1,1)+1))</f>
        <v/>
      </c>
      <c r="U1352" s="50">
        <f>IF(AND(AND(OR(in_Mode="All Funds",AND(C1352&gt;=in_BandFloor,C1352&lt;=in_BandCeiling,OR(in_Geography="National",COUNTIFS(lst_GeoPreset,in_Geography,lst_GeoState,B1352)&gt;0,AND(in_Geography="Custom",ISNUMBER(SEARCH(B1352,SUBSTITUTE(in_CustomStates," ",""))))),OR(AND(D1352="Endowment",Inputs!$B$14="Y"),AND(D1352="Foundation",Inputs!$B$15="Y"),AND(D1352="Healthcare",Inputs!$B$16="Y"),AND(D1352="Pension",Inputs!$B$17="Y"),AND(D1352="OCIO",Inputs!$B$18="Y"),AND(D1352="Other",Inputs!$B$19="Y")))),A1352&lt;&gt;in_ClientOrg,NOT(AND(in_ExclHarvard="Y",ISNUMBER(SEARCH("Harvard",A1352))))),$AD1352="Y",K1352&lt;&gt;"",S1352&gt;0),"Y","")</f>
        <v/>
      </c>
      <c r="V1352" s="30" t="n">
        <v>0.4691733485088668</v>
      </c>
      <c r="W1352" t="inlineStr"/>
      <c r="X1352" s="28">
        <f>IF(L1352+M1352=0,"",L1352+M1352)</f>
        <v/>
      </c>
      <c r="Y1352" s="38">
        <f>IF(L1352=0,"",M1352/L1352)</f>
        <v/>
      </c>
      <c r="Z1352" t="inlineStr">
        <is>
          <t>Managing Director</t>
        </is>
      </c>
      <c r="AA1352" t="inlineStr">
        <is>
          <t>Investments</t>
        </is>
      </c>
      <c r="AB1352" s="50" t="inlineStr"/>
      <c r="AC1352" s="43">
        <f>HYPERLINK("https://projects.propublica.org/nonprofits/organizations/990073480/202421369349309122/full","view filing")</f>
        <v/>
      </c>
      <c r="AD1352" s="50" t="inlineStr"/>
    </row>
    <row r="1353">
      <c r="A1353" t="inlineStr">
        <is>
          <t>Trustees Of The Estate Of Bernice Pauahi Bishop</t>
        </is>
      </c>
      <c r="B1353" s="50" t="inlineStr">
        <is>
          <t>HI</t>
        </is>
      </c>
      <c r="C1353" s="52" t="n">
        <v>11.66</v>
      </c>
      <c r="D1353" t="inlineStr">
        <is>
          <t>Endowment</t>
        </is>
      </c>
      <c r="E1353" s="50" t="n">
        <v>2023</v>
      </c>
      <c r="F1353" s="50" t="inlineStr">
        <is>
          <t>2024-05-16</t>
        </is>
      </c>
      <c r="G1353" s="50" t="inlineStr">
        <is>
          <t>2023-06-30</t>
        </is>
      </c>
      <c r="H1353" t="inlineStr">
        <is>
          <t>Cara Nakamura</t>
        </is>
      </c>
      <c r="I1353" t="inlineStr">
        <is>
          <t>MANAGING DIR. - FIN'L ASSETS</t>
        </is>
      </c>
      <c r="J1353" t="inlineStr">
        <is>
          <t>Managing Director</t>
        </is>
      </c>
      <c r="K1353" t="inlineStr">
        <is>
          <t>Sr Investment Professional</t>
        </is>
      </c>
      <c r="L1353" s="28" t="n">
        <v>465926</v>
      </c>
      <c r="M1353" s="28" t="n">
        <v>675000</v>
      </c>
      <c r="N1353" s="28" t="n">
        <v>810</v>
      </c>
      <c r="O1353" s="28" t="n">
        <v>50923</v>
      </c>
      <c r="P1353" s="28" t="n">
        <v>28205</v>
      </c>
      <c r="Q1353" s="28" t="n">
        <v>1220864</v>
      </c>
      <c r="R1353" s="28" t="n">
        <v>0</v>
      </c>
      <c r="S1353" s="28">
        <f>Q1353-R1353</f>
        <v/>
      </c>
      <c r="T1353" s="28">
        <f>IF(S1353="","",S1353*(1+in_GrowthRate)^(YEARFRAC(DATE(2023,6,30),in_AgeToDate)*IF(in_AgeToDate&lt;DATE(2023,6,30),-1,1)+1))</f>
        <v/>
      </c>
      <c r="U1353" s="50">
        <f>IF(AND(AND(OR(in_Mode="All Funds",AND(C1353&gt;=in_BandFloor,C1353&lt;=in_BandCeiling,OR(in_Geography="National",COUNTIFS(lst_GeoPreset,in_Geography,lst_GeoState,B1353)&gt;0,AND(in_Geography="Custom",ISNUMBER(SEARCH(B1353,SUBSTITUTE(in_CustomStates," ",""))))),OR(AND(D1353="Endowment",Inputs!$B$14="Y"),AND(D1353="Foundation",Inputs!$B$15="Y"),AND(D1353="Healthcare",Inputs!$B$16="Y"),AND(D1353="Pension",Inputs!$B$17="Y"),AND(D1353="OCIO",Inputs!$B$18="Y"),AND(D1353="Other",Inputs!$B$19="Y")))),A1353&lt;&gt;in_ClientOrg,NOT(AND(in_ExclHarvard="Y",ISNUMBER(SEARCH("Harvard",A1353))))),$AD1353="Y",K1353&lt;&gt;"",S1353&gt;0),"Y","")</f>
        <v/>
      </c>
      <c r="V1353" s="30" t="n">
        <v>0.380072399249359</v>
      </c>
      <c r="W1353" t="inlineStr"/>
      <c r="X1353" s="28">
        <f>IF(L1353+M1353=0,"",L1353+M1353)</f>
        <v/>
      </c>
      <c r="Y1353" s="38">
        <f>IF(L1353=0,"",M1353/L1353)</f>
        <v/>
      </c>
      <c r="Z1353" t="inlineStr">
        <is>
          <t>Managing Director</t>
        </is>
      </c>
      <c r="AA1353" t="inlineStr">
        <is>
          <t>Investments</t>
        </is>
      </c>
      <c r="AB1353" s="50" t="inlineStr"/>
      <c r="AC1353" s="43">
        <f>HYPERLINK("https://projects.propublica.org/nonprofits/organizations/990073480/202421369349309122/full","view filing")</f>
        <v/>
      </c>
      <c r="AD1353" s="50" t="inlineStr"/>
    </row>
    <row r="1354">
      <c r="A1354" t="inlineStr">
        <is>
          <t>Trustees Of The Estate Of Bernice Pauahi Bishop</t>
        </is>
      </c>
      <c r="B1354" s="50" t="inlineStr">
        <is>
          <t>HI</t>
        </is>
      </c>
      <c r="C1354" s="52" t="n">
        <v>11.66</v>
      </c>
      <c r="D1354" t="inlineStr">
        <is>
          <t>Endowment</t>
        </is>
      </c>
      <c r="E1354" s="50" t="n">
        <v>2023</v>
      </c>
      <c r="F1354" s="50" t="inlineStr">
        <is>
          <t>2024-05-16</t>
        </is>
      </c>
      <c r="G1354" s="50" t="inlineStr">
        <is>
          <t>2023-06-30</t>
        </is>
      </c>
      <c r="H1354" t="inlineStr">
        <is>
          <t>David Ames</t>
        </is>
      </c>
      <c r="I1354" t="inlineStr">
        <is>
          <t>MANAGING DIR. - FIN'L ASSETS</t>
        </is>
      </c>
      <c r="J1354" t="inlineStr">
        <is>
          <t>Managing Director</t>
        </is>
      </c>
      <c r="K1354" t="inlineStr">
        <is>
          <t>Sr Investment Professional</t>
        </is>
      </c>
      <c r="L1354" s="28" t="n">
        <v>340791</v>
      </c>
      <c r="M1354" s="28" t="n">
        <v>400000</v>
      </c>
      <c r="N1354" s="28" t="n">
        <v>432</v>
      </c>
      <c r="O1354" s="28" t="n">
        <v>44434</v>
      </c>
      <c r="P1354" s="28" t="n">
        <v>12661</v>
      </c>
      <c r="Q1354" s="28" t="n">
        <v>798318</v>
      </c>
      <c r="R1354" s="28" t="n">
        <v>0</v>
      </c>
      <c r="S1354" s="28">
        <f>Q1354-R1354</f>
        <v/>
      </c>
      <c r="T1354" s="28">
        <f>IF(S1354="","",S1354*(1+in_GrowthRate)^(YEARFRAC(DATE(2023,6,30),in_AgeToDate)*IF(in_AgeToDate&lt;DATE(2023,6,30),-1,1)+1))</f>
        <v/>
      </c>
      <c r="U1354" s="50">
        <f>IF(AND(AND(OR(in_Mode="All Funds",AND(C1354&gt;=in_BandFloor,C1354&lt;=in_BandCeiling,OR(in_Geography="National",COUNTIFS(lst_GeoPreset,in_Geography,lst_GeoState,B1354)&gt;0,AND(in_Geography="Custom",ISNUMBER(SEARCH(B1354,SUBSTITUTE(in_CustomStates," ",""))))),OR(AND(D1354="Endowment",Inputs!$B$14="Y"),AND(D1354="Foundation",Inputs!$B$15="Y"),AND(D1354="Healthcare",Inputs!$B$16="Y"),AND(D1354="Pension",Inputs!$B$17="Y"),AND(D1354="OCIO",Inputs!$B$18="Y"),AND(D1354="Other",Inputs!$B$19="Y")))),A1354&lt;&gt;in_ClientOrg,NOT(AND(in_ExclHarvard="Y",ISNUMBER(SEARCH("Harvard",A1354))))),$AD1354="Y",K1354&lt;&gt;"",S1354&gt;0),"Y","")</f>
        <v/>
      </c>
      <c r="V1354" s="30" t="n">
        <v>0.2485277947617014</v>
      </c>
      <c r="W1354" t="inlineStr"/>
      <c r="X1354" s="28">
        <f>IF(L1354+M1354=0,"",L1354+M1354)</f>
        <v/>
      </c>
      <c r="Y1354" s="38">
        <f>IF(L1354=0,"",M1354/L1354)</f>
        <v/>
      </c>
      <c r="Z1354" t="inlineStr">
        <is>
          <t>Managing Director</t>
        </is>
      </c>
      <c r="AA1354" t="inlineStr">
        <is>
          <t>Investments</t>
        </is>
      </c>
      <c r="AB1354" s="50" t="inlineStr"/>
      <c r="AC1354" s="43">
        <f>HYPERLINK("https://projects.propublica.org/nonprofits/organizations/990073480/202421369349309122/full","view filing")</f>
        <v/>
      </c>
      <c r="AD1354" s="50" t="inlineStr"/>
    </row>
    <row r="1355">
      <c r="A1355" t="inlineStr">
        <is>
          <t>Trustees Of The Estate Of Bernice Pauahi Bishop</t>
        </is>
      </c>
      <c r="B1355" s="50" t="inlineStr">
        <is>
          <t>HI</t>
        </is>
      </c>
      <c r="C1355" s="52" t="n">
        <v>11.66</v>
      </c>
      <c r="D1355" t="inlineStr">
        <is>
          <t>Endowment</t>
        </is>
      </c>
      <c r="E1355" s="50" t="n">
        <v>2023</v>
      </c>
      <c r="F1355" s="50" t="inlineStr">
        <is>
          <t>2024-05-16</t>
        </is>
      </c>
      <c r="G1355" s="50" t="inlineStr">
        <is>
          <t>2023-06-30</t>
        </is>
      </c>
      <c r="H1355" t="inlineStr">
        <is>
          <t>Jon Iwatani</t>
        </is>
      </c>
      <c r="I1355" t="inlineStr">
        <is>
          <t>MANAGING DIR. - FIN'L ASSETS</t>
        </is>
      </c>
      <c r="J1355" t="inlineStr">
        <is>
          <t>Managing Director</t>
        </is>
      </c>
      <c r="K1355" t="inlineStr">
        <is>
          <t>Sr Investment Professional</t>
        </is>
      </c>
      <c r="L1355" s="28" t="n">
        <v>474125</v>
      </c>
      <c r="M1355" s="28" t="n">
        <v>675000</v>
      </c>
      <c r="N1355" s="28" t="n">
        <v>2322</v>
      </c>
      <c r="O1355" s="28" t="n">
        <v>50916</v>
      </c>
      <c r="P1355" s="28" t="n">
        <v>10928</v>
      </c>
      <c r="Q1355" s="28" t="n">
        <v>1213291</v>
      </c>
      <c r="R1355" s="28" t="n">
        <v>0</v>
      </c>
      <c r="S1355" s="28">
        <f>Q1355-R1355</f>
        <v/>
      </c>
      <c r="T1355" s="28">
        <f>IF(S1355="","",S1355*(1+in_GrowthRate)^(YEARFRAC(DATE(2023,6,30),in_AgeToDate)*IF(in_AgeToDate&lt;DATE(2023,6,30),-1,1)+1))</f>
        <v/>
      </c>
      <c r="U1355" s="50">
        <f>IF(AND(AND(OR(in_Mode="All Funds",AND(C1355&gt;=in_BandFloor,C1355&lt;=in_BandCeiling,OR(in_Geography="National",COUNTIFS(lst_GeoPreset,in_Geography,lst_GeoState,B1355)&gt;0,AND(in_Geography="Custom",ISNUMBER(SEARCH(B1355,SUBSTITUTE(in_CustomStates," ",""))))),OR(AND(D1355="Endowment",Inputs!$B$14="Y"),AND(D1355="Foundation",Inputs!$B$15="Y"),AND(D1355="Healthcare",Inputs!$B$16="Y"),AND(D1355="Pension",Inputs!$B$17="Y"),AND(D1355="OCIO",Inputs!$B$18="Y"),AND(D1355="Other",Inputs!$B$19="Y")))),A1355&lt;&gt;in_ClientOrg,NOT(AND(in_ExclHarvard="Y",ISNUMBER(SEARCH("Harvard",A1355))))),$AD1355="Y",K1355&lt;&gt;"",S1355&gt;0),"Y","")</f>
        <v/>
      </c>
      <c r="V1355" s="30" t="n">
        <v>0.3777148161938218</v>
      </c>
      <c r="W1355" t="inlineStr"/>
      <c r="X1355" s="28">
        <f>IF(L1355+M1355=0,"",L1355+M1355)</f>
        <v/>
      </c>
      <c r="Y1355" s="38">
        <f>IF(L1355=0,"",M1355/L1355)</f>
        <v/>
      </c>
      <c r="Z1355" t="inlineStr">
        <is>
          <t>Managing Director</t>
        </is>
      </c>
      <c r="AA1355" t="inlineStr">
        <is>
          <t>Investments</t>
        </is>
      </c>
      <c r="AB1355" s="50" t="inlineStr"/>
      <c r="AC1355" s="43">
        <f>HYPERLINK("https://projects.propublica.org/nonprofits/organizations/990073480/202421369349309122/full","view filing")</f>
        <v/>
      </c>
      <c r="AD1355" s="50" t="inlineStr"/>
    </row>
    <row r="1356">
      <c r="A1356" t="inlineStr">
        <is>
          <t>Trustees Of The Estate Of Bernice Pauahi Bishop</t>
        </is>
      </c>
      <c r="B1356" s="50" t="inlineStr">
        <is>
          <t>HI</t>
        </is>
      </c>
      <c r="C1356" s="52" t="n">
        <v>11.66</v>
      </c>
      <c r="D1356" t="inlineStr">
        <is>
          <t>Endowment</t>
        </is>
      </c>
      <c r="E1356" s="50" t="n">
        <v>2023</v>
      </c>
      <c r="F1356" s="50" t="inlineStr">
        <is>
          <t>2024-05-16</t>
        </is>
      </c>
      <c r="G1356" s="50" t="inlineStr">
        <is>
          <t>2023-06-30</t>
        </is>
      </c>
      <c r="H1356" t="inlineStr">
        <is>
          <t>Timothy Donohue</t>
        </is>
      </c>
      <c r="I1356" t="inlineStr">
        <is>
          <t>CIO</t>
        </is>
      </c>
      <c r="J1356" t="inlineStr">
        <is>
          <t>CIO</t>
        </is>
      </c>
      <c r="K1356" t="inlineStr">
        <is>
          <t>CIO - Top Investment Executive</t>
        </is>
      </c>
      <c r="L1356" s="28" t="n">
        <v>1005757</v>
      </c>
      <c r="M1356" s="28" t="n">
        <v>2134657</v>
      </c>
      <c r="N1356" s="28" t="n">
        <v>2862</v>
      </c>
      <c r="O1356" s="28" t="n">
        <v>48950</v>
      </c>
      <c r="P1356" s="28" t="n">
        <v>19962</v>
      </c>
      <c r="Q1356" s="28" t="n">
        <v>3212188</v>
      </c>
      <c r="R1356" s="28" t="n">
        <v>0</v>
      </c>
      <c r="S1356" s="28">
        <f>Q1356-R1356</f>
        <v/>
      </c>
      <c r="T1356" s="28">
        <f>IF(S1356="","",S1356*(1+in_GrowthRate)^(YEARFRAC(DATE(2023,6,30),in_AgeToDate)*IF(in_AgeToDate&lt;DATE(2023,6,30),-1,1)+1))</f>
        <v/>
      </c>
      <c r="U1356" s="50">
        <f>IF(AND(AND(OR(in_Mode="All Funds",AND(C1356&gt;=in_BandFloor,C1356&lt;=in_BandCeiling,OR(in_Geography="National",COUNTIFS(lst_GeoPreset,in_Geography,lst_GeoState,B1356)&gt;0,AND(in_Geography="Custom",ISNUMBER(SEARCH(B1356,SUBSTITUTE(in_CustomStates," ",""))))),OR(AND(D1356="Endowment",Inputs!$B$14="Y"),AND(D1356="Foundation",Inputs!$B$15="Y"),AND(D1356="Healthcare",Inputs!$B$16="Y"),AND(D1356="Pension",Inputs!$B$17="Y"),AND(D1356="OCIO",Inputs!$B$18="Y"),AND(D1356="Other",Inputs!$B$19="Y")))),A1356&lt;&gt;in_ClientOrg,NOT(AND(in_ExclHarvard="Y",ISNUMBER(SEARCH("Harvard",A1356))))),$AD1356="Y",K1356&lt;&gt;"",S1356&gt;0),"Y","")</f>
        <v/>
      </c>
      <c r="V1356" s="30" t="n">
        <v>1</v>
      </c>
      <c r="W1356" t="inlineStr"/>
      <c r="X1356" s="28">
        <f>IF(L1356+M1356=0,"",L1356+M1356)</f>
        <v/>
      </c>
      <c r="Y1356" s="38">
        <f>IF(L1356=0,"",M1356/L1356)</f>
        <v/>
      </c>
      <c r="Z1356" t="inlineStr">
        <is>
          <t>CIO - Top Investment Executive</t>
        </is>
      </c>
      <c r="AA1356" t="inlineStr">
        <is>
          <t>Leadership</t>
        </is>
      </c>
      <c r="AB1356" s="50" t="inlineStr">
        <is>
          <t>Y</t>
        </is>
      </c>
      <c r="AC1356" s="43">
        <f>HYPERLINK("https://projects.propublica.org/nonprofits/organizations/990073480/202421369349309122/full","view filing")</f>
        <v/>
      </c>
      <c r="AD1356" s="50" t="inlineStr"/>
    </row>
    <row r="1357">
      <c r="A1357" t="inlineStr">
        <is>
          <t>Trustees Of The Estate Of Bernice Pauahi Bishop</t>
        </is>
      </c>
      <c r="B1357" s="50" t="inlineStr">
        <is>
          <t>HI</t>
        </is>
      </c>
      <c r="C1357" s="52" t="n">
        <v>11.66</v>
      </c>
      <c r="D1357" t="inlineStr">
        <is>
          <t>Endowment</t>
        </is>
      </c>
      <c r="E1357" s="50" t="n">
        <v>2022</v>
      </c>
      <c r="F1357" s="50" t="inlineStr">
        <is>
          <t>2023-05-15</t>
        </is>
      </c>
      <c r="G1357" s="50" t="inlineStr">
        <is>
          <t>2022-06-30</t>
        </is>
      </c>
      <c r="H1357" t="inlineStr">
        <is>
          <t>Burton Yuen</t>
        </is>
      </c>
      <c r="I1357" t="inlineStr">
        <is>
          <t>MANAGING DIR. - FIN'L ASSETS</t>
        </is>
      </c>
      <c r="J1357" t="inlineStr">
        <is>
          <t>Managing Director</t>
        </is>
      </c>
      <c r="K1357" t="inlineStr">
        <is>
          <t>Sr Investment Professional</t>
        </is>
      </c>
      <c r="L1357" s="28" t="n">
        <v>653237</v>
      </c>
      <c r="M1357" s="28" t="n">
        <v>651528</v>
      </c>
      <c r="N1357" s="28" t="n">
        <v>2322</v>
      </c>
      <c r="O1357" s="28" t="n">
        <v>46953</v>
      </c>
      <c r="P1357" s="28" t="n">
        <v>19035</v>
      </c>
      <c r="Q1357" s="28" t="n">
        <v>1373075</v>
      </c>
      <c r="R1357" s="28" t="n">
        <v>0</v>
      </c>
      <c r="S1357" s="28">
        <f>Q1357-R1357</f>
        <v/>
      </c>
      <c r="T1357" s="28">
        <f>IF(S1357="","",S1357*(1+in_GrowthRate)^(YEARFRAC(DATE(2022,6,30),in_AgeToDate)*IF(in_AgeToDate&lt;DATE(2022,6,30),-1,1)+1))</f>
        <v/>
      </c>
      <c r="U1357" s="50">
        <f>IF(AND(AND(OR(in_Mode="All Funds",AND(C1357&gt;=in_BandFloor,C1357&lt;=in_BandCeiling,OR(in_Geography="National",COUNTIFS(lst_GeoPreset,in_Geography,lst_GeoState,B1357)&gt;0,AND(in_Geography="Custom",ISNUMBER(SEARCH(B1357,SUBSTITUTE(in_CustomStates," ",""))))),OR(AND(D1357="Endowment",Inputs!$B$14="Y"),AND(D1357="Foundation",Inputs!$B$15="Y"),AND(D1357="Healthcare",Inputs!$B$16="Y"),AND(D1357="Pension",Inputs!$B$17="Y"),AND(D1357="OCIO",Inputs!$B$18="Y"),AND(D1357="Other",Inputs!$B$19="Y")))),A1357&lt;&gt;in_ClientOrg,NOT(AND(in_ExclHarvard="Y",ISNUMBER(SEARCH("Harvard",A1357))))),$AD1357="Y",K1357&lt;&gt;"",S1357&gt;0),"Y","")</f>
        <v/>
      </c>
      <c r="V1357" s="30" t="n">
        <v>0.7771804437440958</v>
      </c>
      <c r="W1357" t="inlineStr"/>
      <c r="X1357" s="28">
        <f>IF(L1357+M1357=0,"",L1357+M1357)</f>
        <v/>
      </c>
      <c r="Y1357" s="38">
        <f>IF(L1357=0,"",M1357/L1357)</f>
        <v/>
      </c>
      <c r="Z1357" t="inlineStr">
        <is>
          <t>Managing Director</t>
        </is>
      </c>
      <c r="AA1357" t="inlineStr">
        <is>
          <t>Investments</t>
        </is>
      </c>
      <c r="AB1357" s="50" t="inlineStr"/>
      <c r="AC1357" s="43">
        <f>HYPERLINK("https://projects.propublica.org/nonprofits/organizations/990073480/202321359349304577/full","view filing")</f>
        <v/>
      </c>
      <c r="AD1357" s="50" t="inlineStr"/>
    </row>
    <row r="1358">
      <c r="A1358" t="inlineStr">
        <is>
          <t>Trustees Of The Estate Of Bernice Pauahi Bishop</t>
        </is>
      </c>
      <c r="B1358" s="50" t="inlineStr">
        <is>
          <t>HI</t>
        </is>
      </c>
      <c r="C1358" s="52" t="n">
        <v>11.66</v>
      </c>
      <c r="D1358" t="inlineStr">
        <is>
          <t>Endowment</t>
        </is>
      </c>
      <c r="E1358" s="50" t="n">
        <v>2022</v>
      </c>
      <c r="F1358" s="50" t="inlineStr">
        <is>
          <t>2023-05-15</t>
        </is>
      </c>
      <c r="G1358" s="50" t="inlineStr">
        <is>
          <t>2022-06-30</t>
        </is>
      </c>
      <c r="H1358" t="inlineStr">
        <is>
          <t>Cara Nakamura</t>
        </is>
      </c>
      <c r="I1358" t="inlineStr">
        <is>
          <t>MANAGING DIR. - FIN'L ASSETS</t>
        </is>
      </c>
      <c r="J1358" t="inlineStr">
        <is>
          <t>Managing Director</t>
        </is>
      </c>
      <c r="K1358" t="inlineStr">
        <is>
          <t>Sr Investment Professional</t>
        </is>
      </c>
      <c r="L1358" s="28" t="n">
        <v>436778</v>
      </c>
      <c r="M1358" s="28" t="n">
        <v>429675</v>
      </c>
      <c r="N1358" s="28" t="n">
        <v>540</v>
      </c>
      <c r="O1358" s="28" t="n">
        <v>39613</v>
      </c>
      <c r="P1358" s="28" t="n">
        <v>21503</v>
      </c>
      <c r="Q1358" s="28" t="n">
        <v>928109</v>
      </c>
      <c r="R1358" s="28" t="n">
        <v>0</v>
      </c>
      <c r="S1358" s="28">
        <f>Q1358-R1358</f>
        <v/>
      </c>
      <c r="T1358" s="28">
        <f>IF(S1358="","",S1358*(1+in_GrowthRate)^(YEARFRAC(DATE(2022,6,30),in_AgeToDate)*IF(in_AgeToDate&lt;DATE(2022,6,30),-1,1)+1))</f>
        <v/>
      </c>
      <c r="U1358" s="50">
        <f>IF(AND(AND(OR(in_Mode="All Funds",AND(C1358&gt;=in_BandFloor,C1358&lt;=in_BandCeiling,OR(in_Geography="National",COUNTIFS(lst_GeoPreset,in_Geography,lst_GeoState,B1358)&gt;0,AND(in_Geography="Custom",ISNUMBER(SEARCH(B1358,SUBSTITUTE(in_CustomStates," ",""))))),OR(AND(D1358="Endowment",Inputs!$B$14="Y"),AND(D1358="Foundation",Inputs!$B$15="Y"),AND(D1358="Healthcare",Inputs!$B$16="Y"),AND(D1358="Pension",Inputs!$B$17="Y"),AND(D1358="OCIO",Inputs!$B$18="Y"),AND(D1358="Other",Inputs!$B$19="Y")))),A1358&lt;&gt;in_ClientOrg,NOT(AND(in_ExclHarvard="Y",ISNUMBER(SEARCH("Harvard",A1358))))),$AD1358="Y",K1358&lt;&gt;"",S1358&gt;0),"Y","")</f>
        <v/>
      </c>
      <c r="V1358" s="30" t="n">
        <v>0.5253232084648609</v>
      </c>
      <c r="W1358" t="inlineStr"/>
      <c r="X1358" s="28">
        <f>IF(L1358+M1358=0,"",L1358+M1358)</f>
        <v/>
      </c>
      <c r="Y1358" s="38">
        <f>IF(L1358=0,"",M1358/L1358)</f>
        <v/>
      </c>
      <c r="Z1358" t="inlineStr">
        <is>
          <t>Managing Director</t>
        </is>
      </c>
      <c r="AA1358" t="inlineStr">
        <is>
          <t>Investments</t>
        </is>
      </c>
      <c r="AB1358" s="50" t="inlineStr"/>
      <c r="AC1358" s="43">
        <f>HYPERLINK("https://projects.propublica.org/nonprofits/organizations/990073480/202321359349304577/full","view filing")</f>
        <v/>
      </c>
      <c r="AD1358" s="50" t="inlineStr"/>
    </row>
    <row r="1359">
      <c r="A1359" t="inlineStr">
        <is>
          <t>Trustees Of The Estate Of Bernice Pauahi Bishop</t>
        </is>
      </c>
      <c r="B1359" s="50" t="inlineStr">
        <is>
          <t>HI</t>
        </is>
      </c>
      <c r="C1359" s="52" t="n">
        <v>11.66</v>
      </c>
      <c r="D1359" t="inlineStr">
        <is>
          <t>Endowment</t>
        </is>
      </c>
      <c r="E1359" s="50" t="n">
        <v>2022</v>
      </c>
      <c r="F1359" s="50" t="inlineStr">
        <is>
          <t>2023-05-15</t>
        </is>
      </c>
      <c r="G1359" s="50" t="inlineStr">
        <is>
          <t>2022-06-30</t>
        </is>
      </c>
      <c r="H1359" t="inlineStr">
        <is>
          <t>Jon Iwatani</t>
        </is>
      </c>
      <c r="I1359" t="inlineStr">
        <is>
          <t>MANAGING DIR. - FIN'L ASSETS</t>
        </is>
      </c>
      <c r="J1359" t="inlineStr">
        <is>
          <t>Managing Director</t>
        </is>
      </c>
      <c r="K1359" t="inlineStr">
        <is>
          <t>Sr Investment Professional</t>
        </is>
      </c>
      <c r="L1359" s="28" t="n">
        <v>441011</v>
      </c>
      <c r="M1359" s="28" t="n">
        <v>429675</v>
      </c>
      <c r="N1359" s="28" t="n">
        <v>2322</v>
      </c>
      <c r="O1359" s="28" t="n">
        <v>47375</v>
      </c>
      <c r="P1359" s="28" t="n">
        <v>9738</v>
      </c>
      <c r="Q1359" s="28" t="n">
        <v>930121</v>
      </c>
      <c r="R1359" s="28" t="n">
        <v>0</v>
      </c>
      <c r="S1359" s="28">
        <f>Q1359-R1359</f>
        <v/>
      </c>
      <c r="T1359" s="28">
        <f>IF(S1359="","",S1359*(1+in_GrowthRate)^(YEARFRAC(DATE(2022,6,30),in_AgeToDate)*IF(in_AgeToDate&lt;DATE(2022,6,30),-1,1)+1))</f>
        <v/>
      </c>
      <c r="U1359" s="50">
        <f>IF(AND(AND(OR(in_Mode="All Funds",AND(C1359&gt;=in_BandFloor,C1359&lt;=in_BandCeiling,OR(in_Geography="National",COUNTIFS(lst_GeoPreset,in_Geography,lst_GeoState,B1359)&gt;0,AND(in_Geography="Custom",ISNUMBER(SEARCH(B1359,SUBSTITUTE(in_CustomStates," ",""))))),OR(AND(D1359="Endowment",Inputs!$B$14="Y"),AND(D1359="Foundation",Inputs!$B$15="Y"),AND(D1359="Healthcare",Inputs!$B$16="Y"),AND(D1359="Pension",Inputs!$B$17="Y"),AND(D1359="OCIO",Inputs!$B$18="Y"),AND(D1359="Other",Inputs!$B$19="Y")))),A1359&lt;&gt;in_ClientOrg,NOT(AND(in_ExclHarvard="Y",ISNUMBER(SEARCH("Harvard",A1359))))),$AD1359="Y",K1359&lt;&gt;"",S1359&gt;0),"Y","")</f>
        <v/>
      </c>
      <c r="V1359" s="30" t="n">
        <v>0.5264620297621777</v>
      </c>
      <c r="W1359" t="inlineStr"/>
      <c r="X1359" s="28">
        <f>IF(L1359+M1359=0,"",L1359+M1359)</f>
        <v/>
      </c>
      <c r="Y1359" s="38">
        <f>IF(L1359=0,"",M1359/L1359)</f>
        <v/>
      </c>
      <c r="Z1359" t="inlineStr">
        <is>
          <t>Managing Director</t>
        </is>
      </c>
      <c r="AA1359" t="inlineStr">
        <is>
          <t>Investments</t>
        </is>
      </c>
      <c r="AB1359" s="50" t="inlineStr"/>
      <c r="AC1359" s="43">
        <f>HYPERLINK("https://projects.propublica.org/nonprofits/organizations/990073480/202321359349304577/full","view filing")</f>
        <v/>
      </c>
      <c r="AD1359" s="50" t="inlineStr"/>
    </row>
    <row r="1360">
      <c r="A1360" t="inlineStr">
        <is>
          <t>Trustees Of The Estate Of Bernice Pauahi Bishop</t>
        </is>
      </c>
      <c r="B1360" s="50" t="inlineStr">
        <is>
          <t>HI</t>
        </is>
      </c>
      <c r="C1360" s="52" t="n">
        <v>11.66</v>
      </c>
      <c r="D1360" t="inlineStr">
        <is>
          <t>Endowment</t>
        </is>
      </c>
      <c r="E1360" s="50" t="n">
        <v>2022</v>
      </c>
      <c r="F1360" s="50" t="inlineStr">
        <is>
          <t>2023-05-15</t>
        </is>
      </c>
      <c r="G1360" s="50" t="inlineStr">
        <is>
          <t>2022-06-30</t>
        </is>
      </c>
      <c r="H1360" t="inlineStr">
        <is>
          <t>Timothy Donohue</t>
        </is>
      </c>
      <c r="I1360" t="inlineStr">
        <is>
          <t>CIO</t>
        </is>
      </c>
      <c r="J1360" t="inlineStr">
        <is>
          <t>CIO</t>
        </is>
      </c>
      <c r="K1360" t="inlineStr">
        <is>
          <t>CIO - Top Investment Executive</t>
        </is>
      </c>
      <c r="L1360" s="28" t="n">
        <v>975034</v>
      </c>
      <c r="M1360" s="28" t="n">
        <v>1674500</v>
      </c>
      <c r="N1360" s="28" t="n">
        <v>2862</v>
      </c>
      <c r="O1360" s="28" t="n">
        <v>48150</v>
      </c>
      <c r="P1360" s="28" t="n">
        <v>23050</v>
      </c>
      <c r="Q1360" s="28" t="n">
        <v>2723596</v>
      </c>
      <c r="R1360" s="28" t="n">
        <v>956857</v>
      </c>
      <c r="S1360" s="28">
        <f>Q1360-R1360</f>
        <v/>
      </c>
      <c r="T1360" s="28">
        <f>IF(S1360="","",S1360*(1+in_GrowthRate)^(YEARFRAC(DATE(2022,6,30),in_AgeToDate)*IF(in_AgeToDate&lt;DATE(2022,6,30),-1,1)+1))</f>
        <v/>
      </c>
      <c r="U1360" s="50">
        <f>IF(AND(AND(OR(in_Mode="All Funds",AND(C1360&gt;=in_BandFloor,C1360&lt;=in_BandCeiling,OR(in_Geography="National",COUNTIFS(lst_GeoPreset,in_Geography,lst_GeoState,B1360)&gt;0,AND(in_Geography="Custom",ISNUMBER(SEARCH(B1360,SUBSTITUTE(in_CustomStates," ",""))))),OR(AND(D1360="Endowment",Inputs!$B$14="Y"),AND(D1360="Foundation",Inputs!$B$15="Y"),AND(D1360="Healthcare",Inputs!$B$16="Y"),AND(D1360="Pension",Inputs!$B$17="Y"),AND(D1360="OCIO",Inputs!$B$18="Y"),AND(D1360="Other",Inputs!$B$19="Y")))),A1360&lt;&gt;in_ClientOrg,NOT(AND(in_ExclHarvard="Y",ISNUMBER(SEARCH("Harvard",A1360))))),$AD1360="Y",K1360&lt;&gt;"",S1360&gt;0),"Y","")</f>
        <v/>
      </c>
      <c r="V1360" s="30" t="n">
        <v>1</v>
      </c>
      <c r="W1360" t="inlineStr"/>
      <c r="X1360" s="28">
        <f>IF(L1360+M1360=0,"",L1360+M1360)</f>
        <v/>
      </c>
      <c r="Y1360" s="38">
        <f>IF(L1360=0,"",M1360/L1360)</f>
        <v/>
      </c>
      <c r="Z1360" t="inlineStr">
        <is>
          <t>CIO - Top Investment Executive</t>
        </is>
      </c>
      <c r="AA1360" t="inlineStr">
        <is>
          <t>Leadership</t>
        </is>
      </c>
      <c r="AB1360" s="50" t="inlineStr">
        <is>
          <t>Y</t>
        </is>
      </c>
      <c r="AC1360" s="43">
        <f>HYPERLINK("https://projects.propublica.org/nonprofits/organizations/990073480/202321359349304577/full","view filing")</f>
        <v/>
      </c>
      <c r="AD1360" s="50" t="inlineStr"/>
    </row>
    <row r="1361">
      <c r="A1361" t="inlineStr">
        <is>
          <t>Trustees Of The Smith College</t>
        </is>
      </c>
      <c r="B1361" s="50" t="inlineStr">
        <is>
          <t>MA</t>
        </is>
      </c>
      <c r="C1361" s="52" t="n">
        <v>2.71</v>
      </c>
      <c r="D1361" t="inlineStr">
        <is>
          <t>Endowment</t>
        </is>
      </c>
      <c r="E1361" s="50" t="n">
        <v>2025</v>
      </c>
      <c r="F1361" s="50" t="inlineStr">
        <is>
          <t>2026-05-15</t>
        </is>
      </c>
      <c r="G1361" s="50" t="inlineStr">
        <is>
          <t>2025-06-30</t>
        </is>
      </c>
      <c r="H1361" t="inlineStr">
        <is>
          <t>Brian John Dwyer</t>
        </is>
      </c>
      <c r="I1361" t="inlineStr">
        <is>
          <t>DIRECTOR OPERATIONS INVESTMENT</t>
        </is>
      </c>
      <c r="J1361" t="inlineStr">
        <is>
          <t>Head of Inv Ops (Inv Entity)</t>
        </is>
      </c>
      <c r="K1361" t="inlineStr">
        <is>
          <t>COO (Investment Office)</t>
        </is>
      </c>
      <c r="L1361" s="28" t="n">
        <v>232854</v>
      </c>
      <c r="M1361" s="28" t="n">
        <v>75000</v>
      </c>
      <c r="N1361" s="28" t="n">
        <v>3714</v>
      </c>
      <c r="O1361" s="28" t="n">
        <v>40354</v>
      </c>
      <c r="P1361" s="28" t="n">
        <v>23808</v>
      </c>
      <c r="Q1361" s="28" t="n">
        <v>375730</v>
      </c>
      <c r="R1361" s="28" t="n">
        <v>0</v>
      </c>
      <c r="S1361" s="28">
        <f>Q1361-R1361</f>
        <v/>
      </c>
      <c r="T1361" s="28">
        <f>IF(S1361="","",S1361*(1+in_GrowthRate)^(YEARFRAC(DATE(2025,6,30),in_AgeToDate)*IF(in_AgeToDate&lt;DATE(2025,6,30),-1,1)+1))</f>
        <v/>
      </c>
      <c r="U1361" s="50">
        <f>IF(AND(AND(OR(in_Mode="All Funds",AND(C1361&gt;=in_BandFloor,C1361&lt;=in_BandCeiling,OR(in_Geography="National",COUNTIFS(lst_GeoPreset,in_Geography,lst_GeoState,B1361)&gt;0,AND(in_Geography="Custom",ISNUMBER(SEARCH(B1361,SUBSTITUTE(in_CustomStates," ",""))))),OR(AND(D1361="Endowment",Inputs!$B$14="Y"),AND(D1361="Foundation",Inputs!$B$15="Y"),AND(D1361="Healthcare",Inputs!$B$16="Y"),AND(D1361="Pension",Inputs!$B$17="Y"),AND(D1361="OCIO",Inputs!$B$18="Y"),AND(D1361="Other",Inputs!$B$19="Y")))),A1361&lt;&gt;in_ClientOrg,NOT(AND(in_ExclHarvard="Y",ISNUMBER(SEARCH("Harvard",A1361))))),$AD1361="Y",K1361&lt;&gt;"",S1361&gt;0),"Y","")</f>
        <v/>
      </c>
      <c r="V1361" s="30" t="n">
        <v>0.2231305622298685</v>
      </c>
      <c r="W1361" t="inlineStr"/>
      <c r="X1361" s="28">
        <f>IF(L1361+M1361=0,"",L1361+M1361)</f>
        <v/>
      </c>
      <c r="Y1361" s="38">
        <f>IF(L1361=0,"",M1361/L1361)</f>
        <v/>
      </c>
      <c r="Z1361" t="inlineStr">
        <is>
          <t>COO (Investment Office)</t>
        </is>
      </c>
      <c r="AA1361" t="inlineStr">
        <is>
          <t>Operations &amp; Control</t>
        </is>
      </c>
      <c r="AB1361" s="50" t="inlineStr"/>
      <c r="AC1361" s="43">
        <f>HYPERLINK("https://projects.propublica.org/nonprofits/organizations/41843040/202641359349306484/full","view filing")</f>
        <v/>
      </c>
      <c r="AD1361" s="50" t="inlineStr">
        <is>
          <t>Y</t>
        </is>
      </c>
    </row>
    <row r="1362">
      <c r="A1362" t="inlineStr">
        <is>
          <t>Trustees Of The Smith College</t>
        </is>
      </c>
      <c r="B1362" s="50" t="inlineStr">
        <is>
          <t>MA</t>
        </is>
      </c>
      <c r="C1362" s="52" t="n">
        <v>2.71</v>
      </c>
      <c r="D1362" t="inlineStr">
        <is>
          <t>Endowment</t>
        </is>
      </c>
      <c r="E1362" s="50" t="n">
        <v>2025</v>
      </c>
      <c r="F1362" s="50" t="inlineStr">
        <is>
          <t>2026-05-15</t>
        </is>
      </c>
      <c r="G1362" s="50" t="inlineStr">
        <is>
          <t>2025-06-30</t>
        </is>
      </c>
      <c r="H1362" t="inlineStr">
        <is>
          <t>Caroline Thomas</t>
        </is>
      </c>
      <c r="I1362" t="inlineStr">
        <is>
          <t>DIRECTOR OF INVESTMENTS</t>
        </is>
      </c>
      <c r="J1362" t="inlineStr">
        <is>
          <t>Director of Investments</t>
        </is>
      </c>
      <c r="K1362" t="inlineStr">
        <is>
          <t>Sr Investment Professional</t>
        </is>
      </c>
      <c r="L1362" s="28" t="n">
        <v>318625</v>
      </c>
      <c r="M1362" s="28" t="n">
        <v>292500</v>
      </c>
      <c r="N1362" s="28" t="n">
        <v>7016</v>
      </c>
      <c r="O1362" s="28" t="n">
        <v>42500</v>
      </c>
      <c r="P1362" s="28" t="n">
        <v>17687</v>
      </c>
      <c r="Q1362" s="28" t="n">
        <v>678328</v>
      </c>
      <c r="R1362" s="28" t="n">
        <v>0</v>
      </c>
      <c r="S1362" s="28">
        <f>Q1362-R1362</f>
        <v/>
      </c>
      <c r="T1362" s="28">
        <f>IF(S1362="","",S1362*(1+in_GrowthRate)^(YEARFRAC(DATE(2025,6,30),in_AgeToDate)*IF(in_AgeToDate&lt;DATE(2025,6,30),-1,1)+1))</f>
        <v/>
      </c>
      <c r="U1362" s="50">
        <f>IF(AND(AND(OR(in_Mode="All Funds",AND(C1362&gt;=in_BandFloor,C1362&lt;=in_BandCeiling,OR(in_Geography="National",COUNTIFS(lst_GeoPreset,in_Geography,lst_GeoState,B1362)&gt;0,AND(in_Geography="Custom",ISNUMBER(SEARCH(B1362,SUBSTITUTE(in_CustomStates," ",""))))),OR(AND(D1362="Endowment",Inputs!$B$14="Y"),AND(D1362="Foundation",Inputs!$B$15="Y"),AND(D1362="Healthcare",Inputs!$B$16="Y"),AND(D1362="Pension",Inputs!$B$17="Y"),AND(D1362="OCIO",Inputs!$B$18="Y"),AND(D1362="Other",Inputs!$B$19="Y")))),A1362&lt;&gt;in_ClientOrg,NOT(AND(in_ExclHarvard="Y",ISNUMBER(SEARCH("Harvard",A1362))))),$AD1362="Y",K1362&lt;&gt;"",S1362&gt;0),"Y","")</f>
        <v/>
      </c>
      <c r="V1362" s="30" t="n">
        <v>0.4028310436118017</v>
      </c>
      <c r="W1362" t="inlineStr"/>
      <c r="X1362" s="28">
        <f>IF(L1362+M1362=0,"",L1362+M1362)</f>
        <v/>
      </c>
      <c r="Y1362" s="38">
        <f>IF(L1362=0,"",M1362/L1362)</f>
        <v/>
      </c>
      <c r="Z1362" t="inlineStr">
        <is>
          <t>Director &amp; Investment Officer</t>
        </is>
      </c>
      <c r="AA1362" t="inlineStr">
        <is>
          <t>Investments</t>
        </is>
      </c>
      <c r="AB1362" s="50" t="inlineStr"/>
      <c r="AC1362" s="43">
        <f>HYPERLINK("https://projects.propublica.org/nonprofits/organizations/41843040/202641359349306484/full","view filing")</f>
        <v/>
      </c>
      <c r="AD1362" s="50" t="inlineStr">
        <is>
          <t>Y</t>
        </is>
      </c>
    </row>
    <row r="1363">
      <c r="A1363" t="inlineStr">
        <is>
          <t>Trustees Of The Smith College</t>
        </is>
      </c>
      <c r="B1363" s="50" t="inlineStr">
        <is>
          <t>MA</t>
        </is>
      </c>
      <c r="C1363" s="52" t="n">
        <v>2.71</v>
      </c>
      <c r="D1363" t="inlineStr">
        <is>
          <t>Endowment</t>
        </is>
      </c>
      <c r="E1363" s="50" t="n">
        <v>2025</v>
      </c>
      <c r="F1363" s="50" t="inlineStr">
        <is>
          <t>2026-05-15</t>
        </is>
      </c>
      <c r="G1363" s="50" t="inlineStr">
        <is>
          <t>2025-06-30</t>
        </is>
      </c>
      <c r="H1363" t="inlineStr">
        <is>
          <t>Corey Walker</t>
        </is>
      </c>
      <c r="I1363" t="inlineStr">
        <is>
          <t>DIRECTOR OF INVESTMENTS</t>
        </is>
      </c>
      <c r="J1363" t="inlineStr">
        <is>
          <t>Director of Investments</t>
        </is>
      </c>
      <c r="K1363" t="inlineStr">
        <is>
          <t>Sr Investment Professional</t>
        </is>
      </c>
      <c r="L1363" s="28" t="n">
        <v>248673</v>
      </c>
      <c r="M1363" s="28" t="n">
        <v>292500</v>
      </c>
      <c r="N1363" s="28" t="n">
        <v>51100</v>
      </c>
      <c r="O1363" s="28" t="n">
        <v>42500</v>
      </c>
      <c r="P1363" s="28" t="n">
        <v>24345</v>
      </c>
      <c r="Q1363" s="28" t="n">
        <v>659118</v>
      </c>
      <c r="R1363" s="28" t="n">
        <v>0</v>
      </c>
      <c r="S1363" s="28">
        <f>Q1363-R1363</f>
        <v/>
      </c>
      <c r="T1363" s="28">
        <f>IF(S1363="","",S1363*(1+in_GrowthRate)^(YEARFRAC(DATE(2025,6,30),in_AgeToDate)*IF(in_AgeToDate&lt;DATE(2025,6,30),-1,1)+1))</f>
        <v/>
      </c>
      <c r="U1363" s="50">
        <f>IF(AND(AND(OR(in_Mode="All Funds",AND(C1363&gt;=in_BandFloor,C1363&lt;=in_BandCeiling,OR(in_Geography="National",COUNTIFS(lst_GeoPreset,in_Geography,lst_GeoState,B1363)&gt;0,AND(in_Geography="Custom",ISNUMBER(SEARCH(B1363,SUBSTITUTE(in_CustomStates," ",""))))),OR(AND(D1363="Endowment",Inputs!$B$14="Y"),AND(D1363="Foundation",Inputs!$B$15="Y"),AND(D1363="Healthcare",Inputs!$B$16="Y"),AND(D1363="Pension",Inputs!$B$17="Y"),AND(D1363="OCIO",Inputs!$B$18="Y"),AND(D1363="Other",Inputs!$B$19="Y")))),A1363&lt;&gt;in_ClientOrg,NOT(AND(in_ExclHarvard="Y",ISNUMBER(SEARCH("Harvard",A1363))))),$AD1363="Y",K1363&lt;&gt;"",S1363&gt;0),"Y","")</f>
        <v/>
      </c>
      <c r="V1363" s="30" t="n">
        <v>0.3914230163037992</v>
      </c>
      <c r="W1363" t="inlineStr"/>
      <c r="X1363" s="28">
        <f>IF(L1363+M1363=0,"",L1363+M1363)</f>
        <v/>
      </c>
      <c r="Y1363" s="38">
        <f>IF(L1363=0,"",M1363/L1363)</f>
        <v/>
      </c>
      <c r="Z1363" t="inlineStr">
        <is>
          <t>Director &amp; Investment Officer</t>
        </is>
      </c>
      <c r="AA1363" t="inlineStr">
        <is>
          <t>Investments</t>
        </is>
      </c>
      <c r="AB1363" s="50" t="inlineStr"/>
      <c r="AC1363" s="43">
        <f>HYPERLINK("https://projects.propublica.org/nonprofits/organizations/41843040/202641359349306484/full","view filing")</f>
        <v/>
      </c>
      <c r="AD1363" s="50" t="inlineStr">
        <is>
          <t>Y</t>
        </is>
      </c>
    </row>
    <row r="1364">
      <c r="A1364" t="inlineStr">
        <is>
          <t>Trustees Of The Smith College</t>
        </is>
      </c>
      <c r="B1364" s="50" t="inlineStr">
        <is>
          <t>MA</t>
        </is>
      </c>
      <c r="C1364" s="52" t="n">
        <v>2.71</v>
      </c>
      <c r="D1364" t="inlineStr">
        <is>
          <t>Endowment</t>
        </is>
      </c>
      <c r="E1364" s="50" t="n">
        <v>2025</v>
      </c>
      <c r="F1364" s="50" t="inlineStr">
        <is>
          <t>2026-05-15</t>
        </is>
      </c>
      <c r="G1364" s="50" t="inlineStr">
        <is>
          <t>2025-06-30</t>
        </is>
      </c>
      <c r="H1364" t="inlineStr">
        <is>
          <t>Lisa Marie Howie</t>
        </is>
      </c>
      <c r="I1364" t="inlineStr">
        <is>
          <t>CHIEF INVESTMENT OFFICER</t>
        </is>
      </c>
      <c r="J1364" t="inlineStr">
        <is>
          <t>CIO</t>
        </is>
      </c>
      <c r="K1364" t="inlineStr">
        <is>
          <t>CIO - Top Investment Executive</t>
        </is>
      </c>
      <c r="L1364" s="28" t="n">
        <v>685246</v>
      </c>
      <c r="M1364" s="28" t="n">
        <v>882000</v>
      </c>
      <c r="N1364" s="28" t="n">
        <v>63727</v>
      </c>
      <c r="O1364" s="28" t="n">
        <v>42500</v>
      </c>
      <c r="P1364" s="28" t="n">
        <v>10429</v>
      </c>
      <c r="Q1364" s="28" t="n">
        <v>1683902</v>
      </c>
      <c r="R1364" s="28" t="n">
        <v>0</v>
      </c>
      <c r="S1364" s="28">
        <f>Q1364-R1364</f>
        <v/>
      </c>
      <c r="T1364" s="28">
        <f>IF(S1364="","",S1364*(1+in_GrowthRate)^(YEARFRAC(DATE(2025,6,30),in_AgeToDate)*IF(in_AgeToDate&lt;DATE(2025,6,30),-1,1)+1))</f>
        <v/>
      </c>
      <c r="U1364" s="50">
        <f>IF(AND(AND(OR(in_Mode="All Funds",AND(C1364&gt;=in_BandFloor,C1364&lt;=in_BandCeiling,OR(in_Geography="National",COUNTIFS(lst_GeoPreset,in_Geography,lst_GeoState,B1364)&gt;0,AND(in_Geography="Custom",ISNUMBER(SEARCH(B1364,SUBSTITUTE(in_CustomStates," ",""))))),OR(AND(D1364="Endowment",Inputs!$B$14="Y"),AND(D1364="Foundation",Inputs!$B$15="Y"),AND(D1364="Healthcare",Inputs!$B$16="Y"),AND(D1364="Pension",Inputs!$B$17="Y"),AND(D1364="OCIO",Inputs!$B$18="Y"),AND(D1364="Other",Inputs!$B$19="Y")))),A1364&lt;&gt;in_ClientOrg,NOT(AND(in_ExclHarvard="Y",ISNUMBER(SEARCH("Harvard",A1364))))),$AD1364="Y",K1364&lt;&gt;"",S1364&gt;0),"Y","")</f>
        <v/>
      </c>
      <c r="V1364" s="30" t="n">
        <v>1</v>
      </c>
      <c r="W1364" t="inlineStr"/>
      <c r="X1364" s="28">
        <f>IF(L1364+M1364=0,"",L1364+M1364)</f>
        <v/>
      </c>
      <c r="Y1364" s="38">
        <f>IF(L1364=0,"",M1364/L1364)</f>
        <v/>
      </c>
      <c r="Z1364" t="inlineStr">
        <is>
          <t>CIO - Top Investment Executive</t>
        </is>
      </c>
      <c r="AA1364" t="inlineStr">
        <is>
          <t>Leadership</t>
        </is>
      </c>
      <c r="AB1364" s="50" t="inlineStr">
        <is>
          <t>Y</t>
        </is>
      </c>
      <c r="AC1364" s="43">
        <f>HYPERLINK("https://projects.propublica.org/nonprofits/organizations/41843040/202641359349306484/full","view filing")</f>
        <v/>
      </c>
      <c r="AD1364" s="50" t="inlineStr">
        <is>
          <t>Y</t>
        </is>
      </c>
    </row>
    <row r="1365">
      <c r="A1365" t="inlineStr">
        <is>
          <t>Trustees Of The Smith College</t>
        </is>
      </c>
      <c r="B1365" s="50" t="inlineStr">
        <is>
          <t>MA</t>
        </is>
      </c>
      <c r="C1365" s="52" t="n">
        <v>2.71</v>
      </c>
      <c r="D1365" t="inlineStr">
        <is>
          <t>Endowment</t>
        </is>
      </c>
      <c r="E1365" s="50" t="n">
        <v>2024</v>
      </c>
      <c r="F1365" s="50" t="inlineStr">
        <is>
          <t>2025-05-14</t>
        </is>
      </c>
      <c r="G1365" s="50" t="inlineStr">
        <is>
          <t>2024-06-30</t>
        </is>
      </c>
      <c r="H1365" t="inlineStr">
        <is>
          <t>Brian J Dwyer</t>
        </is>
      </c>
      <c r="I1365" t="inlineStr">
        <is>
          <t>DIRECTOR OPERATIONS INVESTMENT</t>
        </is>
      </c>
      <c r="J1365" t="inlineStr">
        <is>
          <t>Head of Inv Ops (Inv Entity)</t>
        </is>
      </c>
      <c r="K1365" t="inlineStr">
        <is>
          <t>COO (Investment Office)</t>
        </is>
      </c>
      <c r="L1365" s="28" t="n">
        <v>224589</v>
      </c>
      <c r="M1365" s="28" t="n">
        <v>80000</v>
      </c>
      <c r="N1365" s="28" t="n">
        <v>2218</v>
      </c>
      <c r="O1365" s="28" t="n">
        <v>39745</v>
      </c>
      <c r="P1365" s="28" t="n">
        <v>22491</v>
      </c>
      <c r="Q1365" s="28" t="n">
        <v>369043</v>
      </c>
      <c r="R1365" s="28" t="n">
        <v>0</v>
      </c>
      <c r="S1365" s="28">
        <f>Q1365-R1365</f>
        <v/>
      </c>
      <c r="T1365" s="28">
        <f>IF(S1365="","",S1365*(1+in_GrowthRate)^(YEARFRAC(DATE(2024,6,30),in_AgeToDate)*IF(in_AgeToDate&lt;DATE(2024,6,30),-1,1)+1))</f>
        <v/>
      </c>
      <c r="U1365" s="50">
        <f>IF(AND(AND(OR(in_Mode="All Funds",AND(C1365&gt;=in_BandFloor,C1365&lt;=in_BandCeiling,OR(in_Geography="National",COUNTIFS(lst_GeoPreset,in_Geography,lst_GeoState,B1365)&gt;0,AND(in_Geography="Custom",ISNUMBER(SEARCH(B1365,SUBSTITUTE(in_CustomStates," ",""))))),OR(AND(D1365="Endowment",Inputs!$B$14="Y"),AND(D1365="Foundation",Inputs!$B$15="Y"),AND(D1365="Healthcare",Inputs!$B$16="Y"),AND(D1365="Pension",Inputs!$B$17="Y"),AND(D1365="OCIO",Inputs!$B$18="Y"),AND(D1365="Other",Inputs!$B$19="Y")))),A1365&lt;&gt;in_ClientOrg,NOT(AND(in_ExclHarvard="Y",ISNUMBER(SEARCH("Harvard",A1365))))),$AD1365="Y",K1365&lt;&gt;"",S1365&gt;0),"Y","")</f>
        <v/>
      </c>
      <c r="V1365" s="30" t="n">
        <v>0.2414191699811597</v>
      </c>
      <c r="W1365" t="inlineStr"/>
      <c r="X1365" s="28">
        <f>IF(L1365+M1365=0,"",L1365+M1365)</f>
        <v/>
      </c>
      <c r="Y1365" s="38">
        <f>IF(L1365=0,"",M1365/L1365)</f>
        <v/>
      </c>
      <c r="Z1365" t="inlineStr">
        <is>
          <t>COO (Investment Office)</t>
        </is>
      </c>
      <c r="AA1365" t="inlineStr">
        <is>
          <t>Operations &amp; Control</t>
        </is>
      </c>
      <c r="AB1365" s="50" t="inlineStr"/>
      <c r="AC1365" s="43">
        <f>HYPERLINK("https://projects.propublica.org/nonprofits/organizations/41843040/202541349349305654/full","view filing")</f>
        <v/>
      </c>
      <c r="AD1365" s="50" t="inlineStr"/>
    </row>
    <row r="1366">
      <c r="A1366" t="inlineStr">
        <is>
          <t>Trustees Of The Smith College</t>
        </is>
      </c>
      <c r="B1366" s="50" t="inlineStr">
        <is>
          <t>MA</t>
        </is>
      </c>
      <c r="C1366" s="52" t="n">
        <v>2.71</v>
      </c>
      <c r="D1366" t="inlineStr">
        <is>
          <t>Endowment</t>
        </is>
      </c>
      <c r="E1366" s="50" t="n">
        <v>2024</v>
      </c>
      <c r="F1366" s="50" t="inlineStr">
        <is>
          <t>2025-05-14</t>
        </is>
      </c>
      <c r="G1366" s="50" t="inlineStr">
        <is>
          <t>2024-06-30</t>
        </is>
      </c>
      <c r="H1366" t="inlineStr">
        <is>
          <t>Caroline Thomas</t>
        </is>
      </c>
      <c r="I1366" t="inlineStr">
        <is>
          <t>DIRECTOR OF INVESTMENTS</t>
        </is>
      </c>
      <c r="J1366" t="inlineStr">
        <is>
          <t>Director of Investments</t>
        </is>
      </c>
      <c r="K1366" t="inlineStr">
        <is>
          <t>Sr Investment Professional</t>
        </is>
      </c>
      <c r="L1366" s="28" t="n">
        <v>301817</v>
      </c>
      <c r="M1366" s="28" t="n">
        <v>275000</v>
      </c>
      <c r="N1366" s="28" t="n">
        <v>11667</v>
      </c>
      <c r="O1366" s="28" t="n">
        <v>40617</v>
      </c>
      <c r="P1366" s="28" t="n">
        <v>16326</v>
      </c>
      <c r="Q1366" s="28" t="n">
        <v>645427</v>
      </c>
      <c r="R1366" s="28" t="n">
        <v>0</v>
      </c>
      <c r="S1366" s="28">
        <f>Q1366-R1366</f>
        <v/>
      </c>
      <c r="T1366" s="28">
        <f>IF(S1366="","",S1366*(1+in_GrowthRate)^(YEARFRAC(DATE(2024,6,30),in_AgeToDate)*IF(in_AgeToDate&lt;DATE(2024,6,30),-1,1)+1))</f>
        <v/>
      </c>
      <c r="U1366" s="50">
        <f>IF(AND(AND(OR(in_Mode="All Funds",AND(C1366&gt;=in_BandFloor,C1366&lt;=in_BandCeiling,OR(in_Geography="National",COUNTIFS(lst_GeoPreset,in_Geography,lst_GeoState,B1366)&gt;0,AND(in_Geography="Custom",ISNUMBER(SEARCH(B1366,SUBSTITUTE(in_CustomStates," ",""))))),OR(AND(D1366="Endowment",Inputs!$B$14="Y"),AND(D1366="Foundation",Inputs!$B$15="Y"),AND(D1366="Healthcare",Inputs!$B$16="Y"),AND(D1366="Pension",Inputs!$B$17="Y"),AND(D1366="OCIO",Inputs!$B$18="Y"),AND(D1366="Other",Inputs!$B$19="Y")))),A1366&lt;&gt;in_ClientOrg,NOT(AND(in_ExclHarvard="Y",ISNUMBER(SEARCH("Harvard",A1366))))),$AD1366="Y",K1366&lt;&gt;"",S1366&gt;0),"Y","")</f>
        <v/>
      </c>
      <c r="V1366" s="30" t="n">
        <v>0.422223021770986</v>
      </c>
      <c r="W1366" t="inlineStr"/>
      <c r="X1366" s="28">
        <f>IF(L1366+M1366=0,"",L1366+M1366)</f>
        <v/>
      </c>
      <c r="Y1366" s="38">
        <f>IF(L1366=0,"",M1366/L1366)</f>
        <v/>
      </c>
      <c r="Z1366" t="inlineStr">
        <is>
          <t>Director &amp; Investment Officer</t>
        </is>
      </c>
      <c r="AA1366" t="inlineStr">
        <is>
          <t>Investments</t>
        </is>
      </c>
      <c r="AB1366" s="50" t="inlineStr"/>
      <c r="AC1366" s="43">
        <f>HYPERLINK("https://projects.propublica.org/nonprofits/organizations/41843040/202541349349305654/full","view filing")</f>
        <v/>
      </c>
      <c r="AD1366" s="50" t="inlineStr"/>
    </row>
    <row r="1367">
      <c r="A1367" t="inlineStr">
        <is>
          <t>Trustees Of The Smith College</t>
        </is>
      </c>
      <c r="B1367" s="50" t="inlineStr">
        <is>
          <t>MA</t>
        </is>
      </c>
      <c r="C1367" s="52" t="n">
        <v>2.71</v>
      </c>
      <c r="D1367" t="inlineStr">
        <is>
          <t>Endowment</t>
        </is>
      </c>
      <c r="E1367" s="50" t="n">
        <v>2024</v>
      </c>
      <c r="F1367" s="50" t="inlineStr">
        <is>
          <t>2025-05-14</t>
        </is>
      </c>
      <c r="G1367" s="50" t="inlineStr">
        <is>
          <t>2024-06-30</t>
        </is>
      </c>
      <c r="H1367" t="inlineStr">
        <is>
          <t>Corey Walker</t>
        </is>
      </c>
      <c r="I1367" t="inlineStr">
        <is>
          <t>DIRECTOR OF INVESTMENTS</t>
        </is>
      </c>
      <c r="J1367" t="inlineStr">
        <is>
          <t>Director of Investments</t>
        </is>
      </c>
      <c r="K1367" t="inlineStr">
        <is>
          <t>Sr Investment Professional</t>
        </is>
      </c>
      <c r="L1367" s="28" t="n">
        <v>265365</v>
      </c>
      <c r="M1367" s="28" t="n">
        <v>245616</v>
      </c>
      <c r="N1367" s="28" t="n">
        <v>41222</v>
      </c>
      <c r="O1367" s="28" t="n">
        <v>11855</v>
      </c>
      <c r="P1367" s="28" t="n">
        <v>23376</v>
      </c>
      <c r="Q1367" s="28" t="n">
        <v>587434</v>
      </c>
      <c r="R1367" s="28" t="n">
        <v>0</v>
      </c>
      <c r="S1367" s="28">
        <f>Q1367-R1367</f>
        <v/>
      </c>
      <c r="T1367" s="28">
        <f>IF(S1367="","",S1367*(1+in_GrowthRate)^(YEARFRAC(DATE(2024,6,30),in_AgeToDate)*IF(in_AgeToDate&lt;DATE(2024,6,30),-1,1)+1))</f>
        <v/>
      </c>
      <c r="U1367" s="50">
        <f>IF(AND(AND(OR(in_Mode="All Funds",AND(C1367&gt;=in_BandFloor,C1367&lt;=in_BandCeiling,OR(in_Geography="National",COUNTIFS(lst_GeoPreset,in_Geography,lst_GeoState,B1367)&gt;0,AND(in_Geography="Custom",ISNUMBER(SEARCH(B1367,SUBSTITUTE(in_CustomStates," ",""))))),OR(AND(D1367="Endowment",Inputs!$B$14="Y"),AND(D1367="Foundation",Inputs!$B$15="Y"),AND(D1367="Healthcare",Inputs!$B$16="Y"),AND(D1367="Pension",Inputs!$B$17="Y"),AND(D1367="OCIO",Inputs!$B$18="Y"),AND(D1367="Other",Inputs!$B$19="Y")))),A1367&lt;&gt;in_ClientOrg,NOT(AND(in_ExclHarvard="Y",ISNUMBER(SEARCH("Harvard",A1367))))),$AD1367="Y",K1367&lt;&gt;"",S1367&gt;0),"Y","")</f>
        <v/>
      </c>
      <c r="V1367" s="30" t="n">
        <v>0.3842853778522085</v>
      </c>
      <c r="W1367" t="inlineStr"/>
      <c r="X1367" s="28">
        <f>IF(L1367+M1367=0,"",L1367+M1367)</f>
        <v/>
      </c>
      <c r="Y1367" s="38">
        <f>IF(L1367=0,"",M1367/L1367)</f>
        <v/>
      </c>
      <c r="Z1367" t="inlineStr">
        <is>
          <t>Director &amp; Investment Officer</t>
        </is>
      </c>
      <c r="AA1367" t="inlineStr">
        <is>
          <t>Investments</t>
        </is>
      </c>
      <c r="AB1367" s="50" t="inlineStr"/>
      <c r="AC1367" s="43">
        <f>HYPERLINK("https://projects.propublica.org/nonprofits/organizations/41843040/202541349349305654/full","view filing")</f>
        <v/>
      </c>
      <c r="AD1367" s="50" t="inlineStr"/>
    </row>
    <row r="1368">
      <c r="A1368" t="inlineStr">
        <is>
          <t>Trustees Of The Smith College</t>
        </is>
      </c>
      <c r="B1368" s="50" t="inlineStr">
        <is>
          <t>MA</t>
        </is>
      </c>
      <c r="C1368" s="52" t="n">
        <v>2.71</v>
      </c>
      <c r="D1368" t="inlineStr">
        <is>
          <t>Endowment</t>
        </is>
      </c>
      <c r="E1368" s="50" t="n">
        <v>2024</v>
      </c>
      <c r="F1368" s="50" t="inlineStr">
        <is>
          <t>2025-05-14</t>
        </is>
      </c>
      <c r="G1368" s="50" t="inlineStr">
        <is>
          <t>2024-06-30</t>
        </is>
      </c>
      <c r="H1368" t="inlineStr">
        <is>
          <t>Lisa Marie Howie</t>
        </is>
      </c>
      <c r="I1368" t="inlineStr">
        <is>
          <t>CHIEF INVESTMENT OFFICER</t>
        </is>
      </c>
      <c r="J1368" t="inlineStr">
        <is>
          <t>CIO</t>
        </is>
      </c>
      <c r="K1368" t="inlineStr">
        <is>
          <t>CIO - Top Investment Executive</t>
        </is>
      </c>
      <c r="L1368" s="28" t="n">
        <v>663789</v>
      </c>
      <c r="M1368" s="28" t="n">
        <v>765000</v>
      </c>
      <c r="N1368" s="28" t="n">
        <v>52806</v>
      </c>
      <c r="O1368" s="28" t="n">
        <v>37140</v>
      </c>
      <c r="P1368" s="28" t="n">
        <v>9905</v>
      </c>
      <c r="Q1368" s="28" t="n">
        <v>1528640</v>
      </c>
      <c r="R1368" s="28" t="n">
        <v>0</v>
      </c>
      <c r="S1368" s="28">
        <f>Q1368-R1368</f>
        <v/>
      </c>
      <c r="T1368" s="28">
        <f>IF(S1368="","",S1368*(1+in_GrowthRate)^(YEARFRAC(DATE(2024,6,30),in_AgeToDate)*IF(in_AgeToDate&lt;DATE(2024,6,30),-1,1)+1))</f>
        <v/>
      </c>
      <c r="U1368" s="50">
        <f>IF(AND(AND(OR(in_Mode="All Funds",AND(C1368&gt;=in_BandFloor,C1368&lt;=in_BandCeiling,OR(in_Geography="National",COUNTIFS(lst_GeoPreset,in_Geography,lst_GeoState,B1368)&gt;0,AND(in_Geography="Custom",ISNUMBER(SEARCH(B1368,SUBSTITUTE(in_CustomStates," ",""))))),OR(AND(D1368="Endowment",Inputs!$B$14="Y"),AND(D1368="Foundation",Inputs!$B$15="Y"),AND(D1368="Healthcare",Inputs!$B$16="Y"),AND(D1368="Pension",Inputs!$B$17="Y"),AND(D1368="OCIO",Inputs!$B$18="Y"),AND(D1368="Other",Inputs!$B$19="Y")))),A1368&lt;&gt;in_ClientOrg,NOT(AND(in_ExclHarvard="Y",ISNUMBER(SEARCH("Harvard",A1368))))),$AD1368="Y",K1368&lt;&gt;"",S1368&gt;0),"Y","")</f>
        <v/>
      </c>
      <c r="V1368" s="30" t="n">
        <v>1</v>
      </c>
      <c r="W1368" t="inlineStr"/>
      <c r="X1368" s="28">
        <f>IF(L1368+M1368=0,"",L1368+M1368)</f>
        <v/>
      </c>
      <c r="Y1368" s="38">
        <f>IF(L1368=0,"",M1368/L1368)</f>
        <v/>
      </c>
      <c r="Z1368" t="inlineStr">
        <is>
          <t>CIO - Top Investment Executive</t>
        </is>
      </c>
      <c r="AA1368" t="inlineStr">
        <is>
          <t>Leadership</t>
        </is>
      </c>
      <c r="AB1368" s="50" t="inlineStr">
        <is>
          <t>Y</t>
        </is>
      </c>
      <c r="AC1368" s="43">
        <f>HYPERLINK("https://projects.propublica.org/nonprofits/organizations/41843040/202541349349305654/full","view filing")</f>
        <v/>
      </c>
      <c r="AD1368" s="50" t="inlineStr"/>
    </row>
    <row r="1369">
      <c r="A1369" t="inlineStr">
        <is>
          <t>Trustees Of The Smith College</t>
        </is>
      </c>
      <c r="B1369" s="50" t="inlineStr">
        <is>
          <t>MA</t>
        </is>
      </c>
      <c r="C1369" s="52" t="n">
        <v>2.71</v>
      </c>
      <c r="D1369" t="inlineStr">
        <is>
          <t>Endowment</t>
        </is>
      </c>
      <c r="E1369" s="50" t="n">
        <v>2023</v>
      </c>
      <c r="F1369" s="50" t="inlineStr">
        <is>
          <t>2024-05-15</t>
        </is>
      </c>
      <c r="G1369" s="50" t="inlineStr">
        <is>
          <t>2023-06-30</t>
        </is>
      </c>
      <c r="H1369" t="inlineStr">
        <is>
          <t>Brian J Dwyer</t>
        </is>
      </c>
      <c r="I1369" t="inlineStr">
        <is>
          <t>DIRECTOR OPERATIONS INVESTMENT</t>
        </is>
      </c>
      <c r="J1369" t="inlineStr">
        <is>
          <t>Head of Inv Ops (Inv Entity)</t>
        </is>
      </c>
      <c r="K1369" t="inlineStr">
        <is>
          <t>COO (Investment Office)</t>
        </is>
      </c>
      <c r="L1369" s="28" t="n">
        <v>218842</v>
      </c>
      <c r="M1369" s="28" t="n">
        <v>1505</v>
      </c>
      <c r="N1369" s="28" t="n">
        <v>71007</v>
      </c>
      <c r="O1369" s="28" t="n">
        <v>1711</v>
      </c>
      <c r="P1369" s="28" t="n">
        <v>20141</v>
      </c>
      <c r="Q1369" s="28" t="n">
        <v>313206</v>
      </c>
      <c r="R1369" s="28" t="n">
        <v>0</v>
      </c>
      <c r="S1369" s="28">
        <f>Q1369-R1369</f>
        <v/>
      </c>
      <c r="T1369" s="28">
        <f>IF(S1369="","",S1369*(1+in_GrowthRate)^(YEARFRAC(DATE(2023,6,30),in_AgeToDate)*IF(in_AgeToDate&lt;DATE(2023,6,30),-1,1)+1))</f>
        <v/>
      </c>
      <c r="U1369" s="50">
        <f>IF(AND(AND(OR(in_Mode="All Funds",AND(C1369&gt;=in_BandFloor,C1369&lt;=in_BandCeiling,OR(in_Geography="National",COUNTIFS(lst_GeoPreset,in_Geography,lst_GeoState,B1369)&gt;0,AND(in_Geography="Custom",ISNUMBER(SEARCH(B1369,SUBSTITUTE(in_CustomStates," ",""))))),OR(AND(D1369="Endowment",Inputs!$B$14="Y"),AND(D1369="Foundation",Inputs!$B$15="Y"),AND(D1369="Healthcare",Inputs!$B$16="Y"),AND(D1369="Pension",Inputs!$B$17="Y"),AND(D1369="OCIO",Inputs!$B$18="Y"),AND(D1369="Other",Inputs!$B$19="Y")))),A1369&lt;&gt;in_ClientOrg,NOT(AND(in_ExclHarvard="Y",ISNUMBER(SEARCH("Harvard",A1369))))),$AD1369="Y",K1369&lt;&gt;"",S1369&gt;0),"Y","")</f>
        <v/>
      </c>
      <c r="V1369" s="30" t="n">
        <v>0.202295218767883</v>
      </c>
      <c r="W1369" t="inlineStr"/>
      <c r="X1369" s="28">
        <f>IF(L1369+M1369=0,"",L1369+M1369)</f>
        <v/>
      </c>
      <c r="Y1369" s="38">
        <f>IF(L1369=0,"",M1369/L1369)</f>
        <v/>
      </c>
      <c r="Z1369" t="inlineStr">
        <is>
          <t>COO (Investment Office)</t>
        </is>
      </c>
      <c r="AA1369" t="inlineStr">
        <is>
          <t>Operations &amp; Control</t>
        </is>
      </c>
      <c r="AB1369" s="50" t="inlineStr"/>
      <c r="AC1369" s="43">
        <f>HYPERLINK("https://projects.propublica.org/nonprofits/organizations/41843040/202441369349306089/full","view filing")</f>
        <v/>
      </c>
      <c r="AD1369" s="50" t="inlineStr"/>
    </row>
    <row r="1370">
      <c r="A1370" t="inlineStr">
        <is>
          <t>Trustees Of The Smith College</t>
        </is>
      </c>
      <c r="B1370" s="50" t="inlineStr">
        <is>
          <t>MA</t>
        </is>
      </c>
      <c r="C1370" s="52" t="n">
        <v>2.71</v>
      </c>
      <c r="D1370" t="inlineStr">
        <is>
          <t>Endowment</t>
        </is>
      </c>
      <c r="E1370" s="50" t="n">
        <v>2023</v>
      </c>
      <c r="F1370" s="50" t="inlineStr">
        <is>
          <t>2024-05-15</t>
        </is>
      </c>
      <c r="G1370" s="50" t="inlineStr">
        <is>
          <t>2023-06-30</t>
        </is>
      </c>
      <c r="H1370" t="inlineStr">
        <is>
          <t>Caroline Thomas</t>
        </is>
      </c>
      <c r="I1370" t="inlineStr">
        <is>
          <t>DIRECTOR OF INVESTMENTS</t>
        </is>
      </c>
      <c r="J1370" t="inlineStr">
        <is>
          <t>Director of Investments</t>
        </is>
      </c>
      <c r="K1370" t="inlineStr">
        <is>
          <t>Sr Investment Professional</t>
        </is>
      </c>
      <c r="L1370" s="28" t="n">
        <v>235154</v>
      </c>
      <c r="M1370" s="28" t="n">
        <v>1480</v>
      </c>
      <c r="N1370" s="28" t="n">
        <v>89590</v>
      </c>
      <c r="O1370" s="28" t="n">
        <v>0</v>
      </c>
      <c r="P1370" s="28" t="n">
        <v>10221</v>
      </c>
      <c r="Q1370" s="28" t="n">
        <v>336445</v>
      </c>
      <c r="R1370" s="28" t="n">
        <v>0</v>
      </c>
      <c r="S1370" s="28">
        <f>Q1370-R1370</f>
        <v/>
      </c>
      <c r="T1370" s="28">
        <f>IF(S1370="","",S1370*(1+in_GrowthRate)^(YEARFRAC(DATE(2023,6,30),in_AgeToDate)*IF(in_AgeToDate&lt;DATE(2023,6,30),-1,1)+1))</f>
        <v/>
      </c>
      <c r="U1370" s="50">
        <f>IF(AND(AND(OR(in_Mode="All Funds",AND(C1370&gt;=in_BandFloor,C1370&lt;=in_BandCeiling,OR(in_Geography="National",COUNTIFS(lst_GeoPreset,in_Geography,lst_GeoState,B1370)&gt;0,AND(in_Geography="Custom",ISNUMBER(SEARCH(B1370,SUBSTITUTE(in_CustomStates," ",""))))),OR(AND(D1370="Endowment",Inputs!$B$14="Y"),AND(D1370="Foundation",Inputs!$B$15="Y"),AND(D1370="Healthcare",Inputs!$B$16="Y"),AND(D1370="Pension",Inputs!$B$17="Y"),AND(D1370="OCIO",Inputs!$B$18="Y"),AND(D1370="Other",Inputs!$B$19="Y")))),A1370&lt;&gt;in_ClientOrg,NOT(AND(in_ExclHarvard="Y",ISNUMBER(SEARCH("Harvard",A1370))))),$AD1370="Y",K1370&lt;&gt;"",S1370&gt;0),"Y","")</f>
        <v/>
      </c>
      <c r="V1370" s="30" t="n">
        <v>0.2173049522626015</v>
      </c>
      <c r="W1370" t="inlineStr"/>
      <c r="X1370" s="28">
        <f>IF(L1370+M1370=0,"",L1370+M1370)</f>
        <v/>
      </c>
      <c r="Y1370" s="38">
        <f>IF(L1370=0,"",M1370/L1370)</f>
        <v/>
      </c>
      <c r="Z1370" t="inlineStr">
        <is>
          <t>Director &amp; Investment Officer</t>
        </is>
      </c>
      <c r="AA1370" t="inlineStr">
        <is>
          <t>Investments</t>
        </is>
      </c>
      <c r="AB1370" s="50" t="inlineStr"/>
      <c r="AC1370" s="43">
        <f>HYPERLINK("https://projects.propublica.org/nonprofits/organizations/41843040/202441369349306089/full","view filing")</f>
        <v/>
      </c>
      <c r="AD1370" s="50" t="inlineStr"/>
    </row>
    <row r="1371">
      <c r="A1371" t="inlineStr">
        <is>
          <t>Trustees Of The Smith College</t>
        </is>
      </c>
      <c r="B1371" s="50" t="inlineStr">
        <is>
          <t>MA</t>
        </is>
      </c>
      <c r="C1371" s="52" t="n">
        <v>2.71</v>
      </c>
      <c r="D1371" t="inlineStr">
        <is>
          <t>Endowment</t>
        </is>
      </c>
      <c r="E1371" s="50" t="n">
        <v>2023</v>
      </c>
      <c r="F1371" s="50" t="inlineStr">
        <is>
          <t>2024-05-15</t>
        </is>
      </c>
      <c r="G1371" s="50" t="inlineStr">
        <is>
          <t>2023-06-30</t>
        </is>
      </c>
      <c r="H1371" t="inlineStr">
        <is>
          <t>Lisa Marie Howie</t>
        </is>
      </c>
      <c r="I1371" t="inlineStr">
        <is>
          <t>CHIEF INVESTMENT OFFICER</t>
        </is>
      </c>
      <c r="J1371" t="inlineStr">
        <is>
          <t>CIO</t>
        </is>
      </c>
      <c r="K1371" t="inlineStr">
        <is>
          <t>CIO - Top Investment Executive</t>
        </is>
      </c>
      <c r="L1371" s="28" t="n">
        <v>691923</v>
      </c>
      <c r="M1371" s="28" t="n">
        <v>801434</v>
      </c>
      <c r="N1371" s="28" t="n">
        <v>8290</v>
      </c>
      <c r="O1371" s="28" t="n">
        <v>37490</v>
      </c>
      <c r="P1371" s="28" t="n">
        <v>9125</v>
      </c>
      <c r="Q1371" s="28" t="n">
        <v>1548262</v>
      </c>
      <c r="R1371" s="28" t="n">
        <v>0</v>
      </c>
      <c r="S1371" s="28">
        <f>Q1371-R1371</f>
        <v/>
      </c>
      <c r="T1371" s="28">
        <f>IF(S1371="","",S1371*(1+in_GrowthRate)^(YEARFRAC(DATE(2023,6,30),in_AgeToDate)*IF(in_AgeToDate&lt;DATE(2023,6,30),-1,1)+1))</f>
        <v/>
      </c>
      <c r="U1371" s="50">
        <f>IF(AND(AND(OR(in_Mode="All Funds",AND(C1371&gt;=in_BandFloor,C1371&lt;=in_BandCeiling,OR(in_Geography="National",COUNTIFS(lst_GeoPreset,in_Geography,lst_GeoState,B1371)&gt;0,AND(in_Geography="Custom",ISNUMBER(SEARCH(B1371,SUBSTITUTE(in_CustomStates," ",""))))),OR(AND(D1371="Endowment",Inputs!$B$14="Y"),AND(D1371="Foundation",Inputs!$B$15="Y"),AND(D1371="Healthcare",Inputs!$B$16="Y"),AND(D1371="Pension",Inputs!$B$17="Y"),AND(D1371="OCIO",Inputs!$B$18="Y"),AND(D1371="Other",Inputs!$B$19="Y")))),A1371&lt;&gt;in_ClientOrg,NOT(AND(in_ExclHarvard="Y",ISNUMBER(SEARCH("Harvard",A1371))))),$AD1371="Y",K1371&lt;&gt;"",S1371&gt;0),"Y","")</f>
        <v/>
      </c>
      <c r="V1371" s="30" t="n">
        <v>1</v>
      </c>
      <c r="W1371" t="inlineStr"/>
      <c r="X1371" s="28">
        <f>IF(L1371+M1371=0,"",L1371+M1371)</f>
        <v/>
      </c>
      <c r="Y1371" s="38">
        <f>IF(L1371=0,"",M1371/L1371)</f>
        <v/>
      </c>
      <c r="Z1371" t="inlineStr">
        <is>
          <t>CIO - Top Investment Executive</t>
        </is>
      </c>
      <c r="AA1371" t="inlineStr">
        <is>
          <t>Leadership</t>
        </is>
      </c>
      <c r="AB1371" s="50" t="inlineStr">
        <is>
          <t>Y</t>
        </is>
      </c>
      <c r="AC1371" s="43">
        <f>HYPERLINK("https://projects.propublica.org/nonprofits/organizations/41843040/202441369349306089/full","view filing")</f>
        <v/>
      </c>
      <c r="AD1371" s="50" t="inlineStr"/>
    </row>
    <row r="1372">
      <c r="A1372" t="inlineStr">
        <is>
          <t>Trustees Of The Smith College</t>
        </is>
      </c>
      <c r="B1372" s="50" t="inlineStr">
        <is>
          <t>MA</t>
        </is>
      </c>
      <c r="C1372" s="52" t="n">
        <v>2.71</v>
      </c>
      <c r="D1372" t="inlineStr">
        <is>
          <t>Endowment</t>
        </is>
      </c>
      <c r="E1372" s="50" t="n">
        <v>2022</v>
      </c>
      <c r="F1372" s="50" t="inlineStr">
        <is>
          <t>2023-05-15</t>
        </is>
      </c>
      <c r="G1372" s="50" t="inlineStr">
        <is>
          <t>2022-06-30</t>
        </is>
      </c>
      <c r="H1372" t="inlineStr">
        <is>
          <t>Lisa M Howie</t>
        </is>
      </c>
      <c r="I1372" t="inlineStr">
        <is>
          <t>CHIEF INVESTMENT OFFICER</t>
        </is>
      </c>
      <c r="J1372" t="inlineStr">
        <is>
          <t>CIO</t>
        </is>
      </c>
      <c r="K1372" t="inlineStr">
        <is>
          <t>CIO - Top Investment Executive</t>
        </is>
      </c>
      <c r="L1372" s="28" t="n">
        <v>345365</v>
      </c>
      <c r="M1372" s="28" t="n">
        <v>712</v>
      </c>
      <c r="N1372" s="28" t="n">
        <v>607</v>
      </c>
      <c r="O1372" s="28" t="n">
        <v>39174</v>
      </c>
      <c r="P1372" s="28" t="n">
        <v>4889</v>
      </c>
      <c r="Q1372" s="28" t="n">
        <v>390747</v>
      </c>
      <c r="R1372" s="28" t="n">
        <v>0</v>
      </c>
      <c r="S1372" s="28">
        <f>Q1372-R1372</f>
        <v/>
      </c>
      <c r="T1372" s="28">
        <f>IF(S1372="","",S1372*(1+in_GrowthRate)^(YEARFRAC(DATE(2022,6,30),in_AgeToDate)*IF(in_AgeToDate&lt;DATE(2022,6,30),-1,1)+1))</f>
        <v/>
      </c>
      <c r="U1372" s="50">
        <f>IF(AND(AND(OR(in_Mode="All Funds",AND(C1372&gt;=in_BandFloor,C1372&lt;=in_BandCeiling,OR(in_Geography="National",COUNTIFS(lst_GeoPreset,in_Geography,lst_GeoState,B1372)&gt;0,AND(in_Geography="Custom",ISNUMBER(SEARCH(B1372,SUBSTITUTE(in_CustomStates," ",""))))),OR(AND(D1372="Endowment",Inputs!$B$14="Y"),AND(D1372="Foundation",Inputs!$B$15="Y"),AND(D1372="Healthcare",Inputs!$B$16="Y"),AND(D1372="Pension",Inputs!$B$17="Y"),AND(D1372="OCIO",Inputs!$B$18="Y"),AND(D1372="Other",Inputs!$B$19="Y")))),A1372&lt;&gt;in_ClientOrg,NOT(AND(in_ExclHarvard="Y",ISNUMBER(SEARCH("Harvard",A1372))))),$AD1372="Y",K1372&lt;&gt;"",S1372&gt;0),"Y","")</f>
        <v/>
      </c>
      <c r="V1372" s="30" t="n">
        <v>1</v>
      </c>
      <c r="W1372" t="inlineStr"/>
      <c r="X1372" s="28">
        <f>IF(L1372+M1372=0,"",L1372+M1372)</f>
        <v/>
      </c>
      <c r="Y1372" s="38">
        <f>IF(L1372=0,"",M1372/L1372)</f>
        <v/>
      </c>
      <c r="Z1372" t="inlineStr">
        <is>
          <t>CIO - Top Investment Executive</t>
        </is>
      </c>
      <c r="AA1372" t="inlineStr">
        <is>
          <t>Leadership</t>
        </is>
      </c>
      <c r="AB1372" s="50" t="inlineStr">
        <is>
          <t>Y</t>
        </is>
      </c>
      <c r="AC1372" s="43">
        <f>HYPERLINK("https://projects.propublica.org/nonprofits/organizations/41843040/202311359349305991/full","view filing")</f>
        <v/>
      </c>
      <c r="AD1372" s="50" t="inlineStr"/>
    </row>
    <row r="1373">
      <c r="A1373" t="inlineStr">
        <is>
          <t>Trustees Of The University Of Pennsylvania</t>
        </is>
      </c>
      <c r="B1373" s="50" t="inlineStr">
        <is>
          <t>PA</t>
        </is>
      </c>
      <c r="C1373" s="52" t="n">
        <v>24.81</v>
      </c>
      <c r="D1373" t="inlineStr">
        <is>
          <t>Endowment</t>
        </is>
      </c>
      <c r="E1373" s="50" t="n">
        <v>2025</v>
      </c>
      <c r="F1373" s="50" t="inlineStr">
        <is>
          <t>2026-05-14</t>
        </is>
      </c>
      <c r="G1373" s="50" t="inlineStr">
        <is>
          <t>2025-06-30</t>
        </is>
      </c>
      <c r="H1373" t="inlineStr">
        <is>
          <t>Ammon Peter</t>
        </is>
      </c>
      <c r="I1373" t="inlineStr">
        <is>
          <t>CHIEF INVESTMENT OFFICER</t>
        </is>
      </c>
      <c r="J1373" t="inlineStr">
        <is>
          <t>CIO</t>
        </is>
      </c>
      <c r="K1373" t="inlineStr">
        <is>
          <t>CIO - Top Investment Executive</t>
        </is>
      </c>
      <c r="L1373" s="28" t="n">
        <v>1219480</v>
      </c>
      <c r="M1373" s="28" t="n">
        <v>3902529</v>
      </c>
      <c r="N1373" s="28" t="n">
        <v>450</v>
      </c>
      <c r="O1373" s="28" t="n">
        <v>2008670</v>
      </c>
      <c r="P1373" s="28" t="n">
        <v>15267</v>
      </c>
      <c r="Q1373" s="28" t="n">
        <v>7146396</v>
      </c>
      <c r="R1373" s="28" t="n">
        <v>2381623</v>
      </c>
      <c r="S1373" s="28">
        <f>Q1373-R1373</f>
        <v/>
      </c>
      <c r="T1373" s="28">
        <f>IF(S1373="","",S1373*(1+in_GrowthRate)^(YEARFRAC(DATE(2025,6,30),in_AgeToDate)*IF(in_AgeToDate&lt;DATE(2025,6,30),-1,1)+1))</f>
        <v/>
      </c>
      <c r="U1373" s="50">
        <f>IF(AND(AND(OR(in_Mode="All Funds",AND(C1373&gt;=in_BandFloor,C1373&lt;=in_BandCeiling,OR(in_Geography="National",COUNTIFS(lst_GeoPreset,in_Geography,lst_GeoState,B1373)&gt;0,AND(in_Geography="Custom",ISNUMBER(SEARCH(B1373,SUBSTITUTE(in_CustomStates," ",""))))),OR(AND(D1373="Endowment",Inputs!$B$14="Y"),AND(D1373="Foundation",Inputs!$B$15="Y"),AND(D1373="Healthcare",Inputs!$B$16="Y"),AND(D1373="Pension",Inputs!$B$17="Y"),AND(D1373="OCIO",Inputs!$B$18="Y"),AND(D1373="Other",Inputs!$B$19="Y")))),A1373&lt;&gt;in_ClientOrg,NOT(AND(in_ExclHarvard="Y",ISNUMBER(SEARCH("Harvard",A1373))))),$AD1373="Y",K1373&lt;&gt;"",S1373&gt;0),"Y","")</f>
        <v/>
      </c>
      <c r="V1373" s="30" t="n">
        <v>1</v>
      </c>
      <c r="W1373" t="inlineStr"/>
      <c r="X1373" s="28">
        <f>IF(L1373+M1373=0,"",L1373+M1373)</f>
        <v/>
      </c>
      <c r="Y1373" s="38">
        <f>IF(L1373=0,"",M1373/L1373)</f>
        <v/>
      </c>
      <c r="Z1373" t="inlineStr">
        <is>
          <t>CIO - Top Investment Executive</t>
        </is>
      </c>
      <c r="AA1373" t="inlineStr">
        <is>
          <t>Leadership</t>
        </is>
      </c>
      <c r="AB1373" s="50" t="inlineStr">
        <is>
          <t>Y</t>
        </is>
      </c>
      <c r="AC1373" s="43">
        <f>HYPERLINK("https://projects.propublica.org/nonprofits/organizations/231352685/202611349349308646/full","view filing")</f>
        <v/>
      </c>
      <c r="AD1373" s="50" t="inlineStr">
        <is>
          <t>Y</t>
        </is>
      </c>
    </row>
    <row r="1374">
      <c r="A1374" t="inlineStr">
        <is>
          <t>Trustees Of The University Of Pennsylvania</t>
        </is>
      </c>
      <c r="B1374" s="50" t="inlineStr">
        <is>
          <t>PA</t>
        </is>
      </c>
      <c r="C1374" s="52" t="n">
        <v>24.81</v>
      </c>
      <c r="D1374" t="inlineStr">
        <is>
          <t>Endowment</t>
        </is>
      </c>
      <c r="E1374" s="50" t="n">
        <v>2024</v>
      </c>
      <c r="F1374" s="50" t="inlineStr">
        <is>
          <t>2025-05-14</t>
        </is>
      </c>
      <c r="G1374" s="50" t="inlineStr">
        <is>
          <t>2024-06-30</t>
        </is>
      </c>
      <c r="H1374" t="inlineStr">
        <is>
          <t>Ammon Peter</t>
        </is>
      </c>
      <c r="I1374" t="inlineStr">
        <is>
          <t>CHIEF INVESTMENT OFFICER</t>
        </is>
      </c>
      <c r="J1374" t="inlineStr">
        <is>
          <t>CIO</t>
        </is>
      </c>
      <c r="K1374" t="inlineStr">
        <is>
          <t>CIO - Top Investment Executive</t>
        </is>
      </c>
      <c r="L1374" s="28" t="n">
        <v>1173717</v>
      </c>
      <c r="M1374" s="28" t="n">
        <v>4173986</v>
      </c>
      <c r="N1374" s="28" t="n">
        <v>450</v>
      </c>
      <c r="O1374" s="28" t="n">
        <v>2407159</v>
      </c>
      <c r="P1374" s="28" t="n">
        <v>14397</v>
      </c>
      <c r="Q1374" s="28" t="n">
        <v>7769709</v>
      </c>
      <c r="R1374" s="28" t="n">
        <v>2376411</v>
      </c>
      <c r="S1374" s="28">
        <f>Q1374-R1374</f>
        <v/>
      </c>
      <c r="T1374" s="28">
        <f>IF(S1374="","",S1374*(1+in_GrowthRate)^(YEARFRAC(DATE(2024,6,30),in_AgeToDate)*IF(in_AgeToDate&lt;DATE(2024,6,30),-1,1)+1))</f>
        <v/>
      </c>
      <c r="U1374" s="50">
        <f>IF(AND(AND(OR(in_Mode="All Funds",AND(C1374&gt;=in_BandFloor,C1374&lt;=in_BandCeiling,OR(in_Geography="National",COUNTIFS(lst_GeoPreset,in_Geography,lst_GeoState,B1374)&gt;0,AND(in_Geography="Custom",ISNUMBER(SEARCH(B1374,SUBSTITUTE(in_CustomStates," ",""))))),OR(AND(D1374="Endowment",Inputs!$B$14="Y"),AND(D1374="Foundation",Inputs!$B$15="Y"),AND(D1374="Healthcare",Inputs!$B$16="Y"),AND(D1374="Pension",Inputs!$B$17="Y"),AND(D1374="OCIO",Inputs!$B$18="Y"),AND(D1374="Other",Inputs!$B$19="Y")))),A1374&lt;&gt;in_ClientOrg,NOT(AND(in_ExclHarvard="Y",ISNUMBER(SEARCH("Harvard",A1374))))),$AD1374="Y",K1374&lt;&gt;"",S1374&gt;0),"Y","")</f>
        <v/>
      </c>
      <c r="V1374" s="30" t="n">
        <v>1</v>
      </c>
      <c r="W1374" t="inlineStr"/>
      <c r="X1374" s="28">
        <f>IF(L1374+M1374=0,"",L1374+M1374)</f>
        <v/>
      </c>
      <c r="Y1374" s="38">
        <f>IF(L1374=0,"",M1374/L1374)</f>
        <v/>
      </c>
      <c r="Z1374" t="inlineStr">
        <is>
          <t>CIO - Top Investment Executive</t>
        </is>
      </c>
      <c r="AA1374" t="inlineStr">
        <is>
          <t>Leadership</t>
        </is>
      </c>
      <c r="AB1374" s="50" t="inlineStr">
        <is>
          <t>Y</t>
        </is>
      </c>
      <c r="AC1374" s="43">
        <f>HYPERLINK("https://projects.propublica.org/nonprofits/organizations/231352685/202541349349311824/full","view filing")</f>
        <v/>
      </c>
      <c r="AD1374" s="50" t="inlineStr"/>
    </row>
    <row r="1375">
      <c r="A1375" t="inlineStr">
        <is>
          <t>Trustees Of The University Of Pennsylvania</t>
        </is>
      </c>
      <c r="B1375" s="50" t="inlineStr">
        <is>
          <t>PA</t>
        </is>
      </c>
      <c r="C1375" s="52" t="n">
        <v>24.81</v>
      </c>
      <c r="D1375" t="inlineStr">
        <is>
          <t>Endowment</t>
        </is>
      </c>
      <c r="E1375" s="50" t="n">
        <v>2023</v>
      </c>
      <c r="F1375" s="50" t="inlineStr">
        <is>
          <t>2024-05-13</t>
        </is>
      </c>
      <c r="G1375" s="50" t="inlineStr">
        <is>
          <t>2023-06-30</t>
        </is>
      </c>
      <c r="H1375" t="inlineStr">
        <is>
          <t>Ammon Peter</t>
        </is>
      </c>
      <c r="I1375" t="inlineStr">
        <is>
          <t>CHIEF INVESTMENT OFFICER</t>
        </is>
      </c>
      <c r="J1375" t="inlineStr">
        <is>
          <t>CIO</t>
        </is>
      </c>
      <c r="K1375" t="inlineStr">
        <is>
          <t>CIO - Top Investment Executive</t>
        </is>
      </c>
      <c r="L1375" s="28" t="n">
        <v>1123244</v>
      </c>
      <c r="M1375" s="28" t="n">
        <v>4266553</v>
      </c>
      <c r="N1375" s="28" t="n">
        <v>256397</v>
      </c>
      <c r="O1375" s="28" t="n">
        <v>2740238</v>
      </c>
      <c r="P1375" s="28" t="n">
        <v>13877</v>
      </c>
      <c r="Q1375" s="28" t="n">
        <v>8400309</v>
      </c>
      <c r="R1375" s="28" t="n">
        <v>1712178</v>
      </c>
      <c r="S1375" s="28">
        <f>Q1375-R1375</f>
        <v/>
      </c>
      <c r="T1375" s="28">
        <f>IF(S1375="","",S1375*(1+in_GrowthRate)^(YEARFRAC(DATE(2023,6,30),in_AgeToDate)*IF(in_AgeToDate&lt;DATE(2023,6,30),-1,1)+1))</f>
        <v/>
      </c>
      <c r="U1375" s="50">
        <f>IF(AND(AND(OR(in_Mode="All Funds",AND(C1375&gt;=in_BandFloor,C1375&lt;=in_BandCeiling,OR(in_Geography="National",COUNTIFS(lst_GeoPreset,in_Geography,lst_GeoState,B1375)&gt;0,AND(in_Geography="Custom",ISNUMBER(SEARCH(B1375,SUBSTITUTE(in_CustomStates," ",""))))),OR(AND(D1375="Endowment",Inputs!$B$14="Y"),AND(D1375="Foundation",Inputs!$B$15="Y"),AND(D1375="Healthcare",Inputs!$B$16="Y"),AND(D1375="Pension",Inputs!$B$17="Y"),AND(D1375="OCIO",Inputs!$B$18="Y"),AND(D1375="Other",Inputs!$B$19="Y")))),A1375&lt;&gt;in_ClientOrg,NOT(AND(in_ExclHarvard="Y",ISNUMBER(SEARCH("Harvard",A1375))))),$AD1375="Y",K1375&lt;&gt;"",S1375&gt;0),"Y","")</f>
        <v/>
      </c>
      <c r="V1375" s="30" t="n">
        <v>1</v>
      </c>
      <c r="W1375" t="inlineStr"/>
      <c r="X1375" s="28">
        <f>IF(L1375+M1375=0,"",L1375+M1375)</f>
        <v/>
      </c>
      <c r="Y1375" s="38">
        <f>IF(L1375=0,"",M1375/L1375)</f>
        <v/>
      </c>
      <c r="Z1375" t="inlineStr">
        <is>
          <t>CIO - Top Investment Executive</t>
        </is>
      </c>
      <c r="AA1375" t="inlineStr">
        <is>
          <t>Leadership</t>
        </is>
      </c>
      <c r="AB1375" s="50" t="inlineStr">
        <is>
          <t>Y</t>
        </is>
      </c>
      <c r="AC1375" s="43">
        <f>HYPERLINK("https://projects.propublica.org/nonprofits/organizations/231352685/202441349349304879/full","view filing")</f>
        <v/>
      </c>
      <c r="AD1375" s="50" t="inlineStr"/>
    </row>
    <row r="1376">
      <c r="A1376" t="inlineStr">
        <is>
          <t>Trustees Of The University Of Pennsylvania</t>
        </is>
      </c>
      <c r="B1376" s="50" t="inlineStr">
        <is>
          <t>PA</t>
        </is>
      </c>
      <c r="C1376" s="52" t="n">
        <v>24.81</v>
      </c>
      <c r="D1376" t="inlineStr">
        <is>
          <t>Endowment</t>
        </is>
      </c>
      <c r="E1376" s="50" t="n">
        <v>2022</v>
      </c>
      <c r="F1376" s="50" t="inlineStr">
        <is>
          <t>2023-05-25</t>
        </is>
      </c>
      <c r="G1376" s="50" t="inlineStr">
        <is>
          <t>2022-06-30</t>
        </is>
      </c>
      <c r="H1376" t="inlineStr">
        <is>
          <t>Peter Ammon</t>
        </is>
      </c>
      <c r="I1376" t="inlineStr">
        <is>
          <t>CHIEF INVESTMENT OFFICER</t>
        </is>
      </c>
      <c r="J1376" t="inlineStr">
        <is>
          <t>CIO</t>
        </is>
      </c>
      <c r="K1376" t="inlineStr">
        <is>
          <t>CIO - Top Investment Executive</t>
        </is>
      </c>
      <c r="L1376" s="28" t="n">
        <v>1037258</v>
      </c>
      <c r="M1376" s="28" t="n">
        <v>4088745</v>
      </c>
      <c r="N1376" s="28" t="n">
        <v>300</v>
      </c>
      <c r="O1376" s="28" t="n">
        <v>2240466</v>
      </c>
      <c r="P1376" s="28" t="n">
        <v>13496</v>
      </c>
      <c r="Q1376" s="28" t="n">
        <v>7380265</v>
      </c>
      <c r="R1376" s="28" t="n">
        <v>1846167</v>
      </c>
      <c r="S1376" s="28">
        <f>Q1376-R1376</f>
        <v/>
      </c>
      <c r="T1376" s="28">
        <f>IF(S1376="","",S1376*(1+in_GrowthRate)^(YEARFRAC(DATE(2022,6,30),in_AgeToDate)*IF(in_AgeToDate&lt;DATE(2022,6,30),-1,1)+1))</f>
        <v/>
      </c>
      <c r="U1376" s="50">
        <f>IF(AND(AND(OR(in_Mode="All Funds",AND(C1376&gt;=in_BandFloor,C1376&lt;=in_BandCeiling,OR(in_Geography="National",COUNTIFS(lst_GeoPreset,in_Geography,lst_GeoState,B1376)&gt;0,AND(in_Geography="Custom",ISNUMBER(SEARCH(B1376,SUBSTITUTE(in_CustomStates," ",""))))),OR(AND(D1376="Endowment",Inputs!$B$14="Y"),AND(D1376="Foundation",Inputs!$B$15="Y"),AND(D1376="Healthcare",Inputs!$B$16="Y"),AND(D1376="Pension",Inputs!$B$17="Y"),AND(D1376="OCIO",Inputs!$B$18="Y"),AND(D1376="Other",Inputs!$B$19="Y")))),A1376&lt;&gt;in_ClientOrg,NOT(AND(in_ExclHarvard="Y",ISNUMBER(SEARCH("Harvard",A1376))))),$AD1376="Y",K1376&lt;&gt;"",S1376&gt;0),"Y","")</f>
        <v/>
      </c>
      <c r="V1376" s="30" t="n">
        <v>1</v>
      </c>
      <c r="W1376" t="inlineStr"/>
      <c r="X1376" s="28">
        <f>IF(L1376+M1376=0,"",L1376+M1376)</f>
        <v/>
      </c>
      <c r="Y1376" s="38">
        <f>IF(L1376=0,"",M1376/L1376)</f>
        <v/>
      </c>
      <c r="Z1376" t="inlineStr">
        <is>
          <t>CIO - Top Investment Executive</t>
        </is>
      </c>
      <c r="AA1376" t="inlineStr">
        <is>
          <t>Leadership</t>
        </is>
      </c>
      <c r="AB1376" s="50" t="inlineStr">
        <is>
          <t>Y</t>
        </is>
      </c>
      <c r="AC1376" s="43">
        <f>HYPERLINK("https://projects.propublica.org/nonprofits/organizations/231352685/202321459349300747/full","view filing")</f>
        <v/>
      </c>
      <c r="AD1376" s="50" t="inlineStr"/>
    </row>
    <row r="1377">
      <c r="A1377" t="inlineStr">
        <is>
          <t>Trustees Of Tufts College</t>
        </is>
      </c>
      <c r="B1377" s="50" t="inlineStr">
        <is>
          <t>MA</t>
        </is>
      </c>
      <c r="C1377" s="52" t="n">
        <v>2.71</v>
      </c>
      <c r="D1377" t="inlineStr">
        <is>
          <t>Endowment</t>
        </is>
      </c>
      <c r="E1377" s="50" t="n">
        <v>2025</v>
      </c>
      <c r="F1377" s="50" t="inlineStr">
        <is>
          <t>2026-05-12</t>
        </is>
      </c>
      <c r="G1377" s="50" t="inlineStr">
        <is>
          <t>2025-06-30</t>
        </is>
      </c>
      <c r="H1377" t="inlineStr">
        <is>
          <t>Craig W Smith</t>
        </is>
      </c>
      <c r="I1377" t="inlineStr">
        <is>
          <t>Chief Investment Officer</t>
        </is>
      </c>
      <c r="J1377" t="inlineStr">
        <is>
          <t>CIO</t>
        </is>
      </c>
      <c r="K1377" t="inlineStr">
        <is>
          <t>CIO - Top Investment Executive</t>
        </is>
      </c>
      <c r="L1377" s="28" t="n">
        <v>520706</v>
      </c>
      <c r="M1377" s="28" t="n">
        <v>0</v>
      </c>
      <c r="N1377" s="28" t="n">
        <v>874</v>
      </c>
      <c r="O1377" s="28" t="n">
        <v>43320</v>
      </c>
      <c r="P1377" s="28" t="n">
        <v>36062</v>
      </c>
      <c r="Q1377" s="28" t="n">
        <v>600962</v>
      </c>
      <c r="R1377" s="28" t="n">
        <v>0</v>
      </c>
      <c r="S1377" s="28">
        <f>Q1377-R1377</f>
        <v/>
      </c>
      <c r="T1377" s="28">
        <f>IF(S1377="","",S1377*(1+in_GrowthRate)^(YEARFRAC(DATE(2025,6,30),in_AgeToDate)*IF(in_AgeToDate&lt;DATE(2025,6,30),-1,1)+1))</f>
        <v/>
      </c>
      <c r="U1377" s="50">
        <f>IF(AND(AND(OR(in_Mode="All Funds",AND(C1377&gt;=in_BandFloor,C1377&lt;=in_BandCeiling,OR(in_Geography="National",COUNTIFS(lst_GeoPreset,in_Geography,lst_GeoState,B1377)&gt;0,AND(in_Geography="Custom",ISNUMBER(SEARCH(B1377,SUBSTITUTE(in_CustomStates," ",""))))),OR(AND(D1377="Endowment",Inputs!$B$14="Y"),AND(D1377="Foundation",Inputs!$B$15="Y"),AND(D1377="Healthcare",Inputs!$B$16="Y"),AND(D1377="Pension",Inputs!$B$17="Y"),AND(D1377="OCIO",Inputs!$B$18="Y"),AND(D1377="Other",Inputs!$B$19="Y")))),A1377&lt;&gt;in_ClientOrg,NOT(AND(in_ExclHarvard="Y",ISNUMBER(SEARCH("Harvard",A1377))))),$AD1377="Y",K1377&lt;&gt;"",S1377&gt;0),"Y","")</f>
        <v/>
      </c>
      <c r="V1377" s="30" t="n">
        <v>1</v>
      </c>
      <c r="W1377" t="inlineStr"/>
      <c r="X1377" s="28">
        <f>IF(L1377+M1377=0,"",L1377+M1377)</f>
        <v/>
      </c>
      <c r="Y1377" s="38">
        <f>IF(L1377=0,"",M1377/L1377)</f>
        <v/>
      </c>
      <c r="Z1377" t="inlineStr">
        <is>
          <t>CIO - Top Investment Executive</t>
        </is>
      </c>
      <c r="AA1377" t="inlineStr">
        <is>
          <t>Leadership</t>
        </is>
      </c>
      <c r="AB1377" s="50" t="inlineStr">
        <is>
          <t>Y</t>
        </is>
      </c>
      <c r="AC1377" s="43">
        <f>HYPERLINK("https://projects.propublica.org/nonprofits/organizations/42103634/202621329349300047/full","view filing")</f>
        <v/>
      </c>
      <c r="AD1377" s="50" t="inlineStr">
        <is>
          <t>Y</t>
        </is>
      </c>
    </row>
    <row r="1378">
      <c r="A1378" t="inlineStr">
        <is>
          <t>Trustees Of Tufts College</t>
        </is>
      </c>
      <c r="B1378" s="50" t="inlineStr">
        <is>
          <t>MA</t>
        </is>
      </c>
      <c r="C1378" s="52" t="n">
        <v>2.71</v>
      </c>
      <c r="D1378" t="inlineStr">
        <is>
          <t>Endowment</t>
        </is>
      </c>
      <c r="E1378" s="50" t="n">
        <v>2024</v>
      </c>
      <c r="F1378" s="50" t="inlineStr">
        <is>
          <t>2025-05-12</t>
        </is>
      </c>
      <c r="G1378" s="50" t="inlineStr">
        <is>
          <t>2024-06-30</t>
        </is>
      </c>
      <c r="H1378" t="inlineStr">
        <is>
          <t>Craig W Smith</t>
        </is>
      </c>
      <c r="I1378" t="inlineStr">
        <is>
          <t>Chief Investment Officer</t>
        </is>
      </c>
      <c r="J1378" t="inlineStr">
        <is>
          <t>CIO</t>
        </is>
      </c>
      <c r="K1378" t="inlineStr">
        <is>
          <t>CIO - Top Investment Executive</t>
        </is>
      </c>
      <c r="L1378" s="28" t="n">
        <v>504052</v>
      </c>
      <c r="M1378" s="28" t="n">
        <v>44762</v>
      </c>
      <c r="N1378" s="28" t="n">
        <v>842</v>
      </c>
      <c r="O1378" s="28" t="n">
        <v>41490</v>
      </c>
      <c r="P1378" s="28" t="n">
        <v>31820</v>
      </c>
      <c r="Q1378" s="28" t="n">
        <v>622966</v>
      </c>
      <c r="R1378" s="28" t="n">
        <v>47748</v>
      </c>
      <c r="S1378" s="28">
        <f>Q1378-R1378</f>
        <v/>
      </c>
      <c r="T1378" s="28">
        <f>IF(S1378="","",S1378*(1+in_GrowthRate)^(YEARFRAC(DATE(2024,6,30),in_AgeToDate)*IF(in_AgeToDate&lt;DATE(2024,6,30),-1,1)+1))</f>
        <v/>
      </c>
      <c r="U1378" s="50">
        <f>IF(AND(AND(OR(in_Mode="All Funds",AND(C1378&gt;=in_BandFloor,C1378&lt;=in_BandCeiling,OR(in_Geography="National",COUNTIFS(lst_GeoPreset,in_Geography,lst_GeoState,B1378)&gt;0,AND(in_Geography="Custom",ISNUMBER(SEARCH(B1378,SUBSTITUTE(in_CustomStates," ",""))))),OR(AND(D1378="Endowment",Inputs!$B$14="Y"),AND(D1378="Foundation",Inputs!$B$15="Y"),AND(D1378="Healthcare",Inputs!$B$16="Y"),AND(D1378="Pension",Inputs!$B$17="Y"),AND(D1378="OCIO",Inputs!$B$18="Y"),AND(D1378="Other",Inputs!$B$19="Y")))),A1378&lt;&gt;in_ClientOrg,NOT(AND(in_ExclHarvard="Y",ISNUMBER(SEARCH("Harvard",A1378))))),$AD1378="Y",K1378&lt;&gt;"",S1378&gt;0),"Y","")</f>
        <v/>
      </c>
      <c r="V1378" s="30" t="n">
        <v>1</v>
      </c>
      <c r="W1378" t="inlineStr"/>
      <c r="X1378" s="28">
        <f>IF(L1378+M1378=0,"",L1378+M1378)</f>
        <v/>
      </c>
      <c r="Y1378" s="38">
        <f>IF(L1378=0,"",M1378/L1378)</f>
        <v/>
      </c>
      <c r="Z1378" t="inlineStr">
        <is>
          <t>CIO - Top Investment Executive</t>
        </is>
      </c>
      <c r="AA1378" t="inlineStr">
        <is>
          <t>Leadership</t>
        </is>
      </c>
      <c r="AB1378" s="50" t="inlineStr">
        <is>
          <t>Y</t>
        </is>
      </c>
      <c r="AC1378" s="43">
        <f>HYPERLINK("https://projects.propublica.org/nonprofits/organizations/42103634/202531329349305298/full","view filing")</f>
        <v/>
      </c>
      <c r="AD1378" s="50" t="inlineStr"/>
    </row>
    <row r="1379">
      <c r="A1379" t="inlineStr">
        <is>
          <t>Trustees Of Tufts College</t>
        </is>
      </c>
      <c r="B1379" s="50" t="inlineStr">
        <is>
          <t>MA</t>
        </is>
      </c>
      <c r="C1379" s="52" t="n">
        <v>2.71</v>
      </c>
      <c r="D1379" t="inlineStr">
        <is>
          <t>Endowment</t>
        </is>
      </c>
      <c r="E1379" s="50" t="n">
        <v>2023</v>
      </c>
      <c r="F1379" s="50" t="inlineStr">
        <is>
          <t>2024-05-14</t>
        </is>
      </c>
      <c r="G1379" s="50" t="inlineStr">
        <is>
          <t>2023-06-30</t>
        </is>
      </c>
      <c r="H1379" t="inlineStr">
        <is>
          <t>Craig W Smith</t>
        </is>
      </c>
      <c r="I1379" t="inlineStr">
        <is>
          <t>Chief Investment Officer</t>
        </is>
      </c>
      <c r="J1379" t="inlineStr">
        <is>
          <t>CIO</t>
        </is>
      </c>
      <c r="K1379" t="inlineStr">
        <is>
          <t>CIO - Top Investment Executive</t>
        </is>
      </c>
      <c r="L1379" s="28" t="n">
        <v>483563</v>
      </c>
      <c r="M1379" s="28" t="n">
        <v>58909</v>
      </c>
      <c r="N1379" s="28" t="n">
        <v>804</v>
      </c>
      <c r="O1379" s="28" t="n">
        <v>41819</v>
      </c>
      <c r="P1379" s="28" t="n">
        <v>29897</v>
      </c>
      <c r="Q1379" s="28" t="n">
        <v>614992</v>
      </c>
      <c r="R1379" s="28" t="n">
        <v>44328</v>
      </c>
      <c r="S1379" s="28">
        <f>Q1379-R1379</f>
        <v/>
      </c>
      <c r="T1379" s="28">
        <f>IF(S1379="","",S1379*(1+in_GrowthRate)^(YEARFRAC(DATE(2023,6,30),in_AgeToDate)*IF(in_AgeToDate&lt;DATE(2023,6,30),-1,1)+1))</f>
        <v/>
      </c>
      <c r="U1379" s="50">
        <f>IF(AND(AND(OR(in_Mode="All Funds",AND(C1379&gt;=in_BandFloor,C1379&lt;=in_BandCeiling,OR(in_Geography="National",COUNTIFS(lst_GeoPreset,in_Geography,lst_GeoState,B1379)&gt;0,AND(in_Geography="Custom",ISNUMBER(SEARCH(B1379,SUBSTITUTE(in_CustomStates," ",""))))),OR(AND(D1379="Endowment",Inputs!$B$14="Y"),AND(D1379="Foundation",Inputs!$B$15="Y"),AND(D1379="Healthcare",Inputs!$B$16="Y"),AND(D1379="Pension",Inputs!$B$17="Y"),AND(D1379="OCIO",Inputs!$B$18="Y"),AND(D1379="Other",Inputs!$B$19="Y")))),A1379&lt;&gt;in_ClientOrg,NOT(AND(in_ExclHarvard="Y",ISNUMBER(SEARCH("Harvard",A1379))))),$AD1379="Y",K1379&lt;&gt;"",S1379&gt;0),"Y","")</f>
        <v/>
      </c>
      <c r="V1379" s="30" t="n">
        <v>1</v>
      </c>
      <c r="W1379" t="inlineStr"/>
      <c r="X1379" s="28">
        <f>IF(L1379+M1379=0,"",L1379+M1379)</f>
        <v/>
      </c>
      <c r="Y1379" s="38">
        <f>IF(L1379=0,"",M1379/L1379)</f>
        <v/>
      </c>
      <c r="Z1379" t="inlineStr">
        <is>
          <t>CIO - Top Investment Executive</t>
        </is>
      </c>
      <c r="AA1379" t="inlineStr">
        <is>
          <t>Leadership</t>
        </is>
      </c>
      <c r="AB1379" s="50" t="inlineStr">
        <is>
          <t>Y</t>
        </is>
      </c>
      <c r="AC1379" s="43">
        <f>HYPERLINK("https://projects.propublica.org/nonprofits/organizations/42103634/202401359349304325/full","view filing")</f>
        <v/>
      </c>
      <c r="AD1379" s="50" t="inlineStr"/>
    </row>
    <row r="1380">
      <c r="A1380" t="inlineStr">
        <is>
          <t>Trustees Of Tufts College</t>
        </is>
      </c>
      <c r="B1380" s="50" t="inlineStr">
        <is>
          <t>MA</t>
        </is>
      </c>
      <c r="C1380" s="52" t="n">
        <v>2.71</v>
      </c>
      <c r="D1380" t="inlineStr">
        <is>
          <t>Endowment</t>
        </is>
      </c>
      <c r="E1380" s="50" t="n">
        <v>2022</v>
      </c>
      <c r="F1380" s="50" t="inlineStr">
        <is>
          <t>2023-05-11</t>
        </is>
      </c>
      <c r="G1380" s="50" t="inlineStr">
        <is>
          <t>2022-06-30</t>
        </is>
      </c>
      <c r="H1380" t="inlineStr">
        <is>
          <t>Craig W Smith</t>
        </is>
      </c>
      <c r="I1380" t="inlineStr">
        <is>
          <t>Chief Investment Officer</t>
        </is>
      </c>
      <c r="J1380" t="inlineStr">
        <is>
          <t>CIO</t>
        </is>
      </c>
      <c r="K1380" t="inlineStr">
        <is>
          <t>CIO - Top Investment Executive</t>
        </is>
      </c>
      <c r="L1380" s="28" t="n">
        <v>420281</v>
      </c>
      <c r="M1380" s="28" t="n">
        <v>141102</v>
      </c>
      <c r="N1380" s="28" t="n">
        <v>685</v>
      </c>
      <c r="O1380" s="28" t="n">
        <v>125017</v>
      </c>
      <c r="P1380" s="28" t="n">
        <v>31294</v>
      </c>
      <c r="Q1380" s="28" t="n">
        <v>718379</v>
      </c>
      <c r="R1380" s="28" t="n">
        <v>0</v>
      </c>
      <c r="S1380" s="28">
        <f>Q1380-R1380</f>
        <v/>
      </c>
      <c r="T1380" s="28">
        <f>IF(S1380="","",S1380*(1+in_GrowthRate)^(YEARFRAC(DATE(2022,6,30),in_AgeToDate)*IF(in_AgeToDate&lt;DATE(2022,6,30),-1,1)+1))</f>
        <v/>
      </c>
      <c r="U1380" s="50">
        <f>IF(AND(AND(OR(in_Mode="All Funds",AND(C1380&gt;=in_BandFloor,C1380&lt;=in_BandCeiling,OR(in_Geography="National",COUNTIFS(lst_GeoPreset,in_Geography,lst_GeoState,B1380)&gt;0,AND(in_Geography="Custom",ISNUMBER(SEARCH(B1380,SUBSTITUTE(in_CustomStates," ",""))))),OR(AND(D1380="Endowment",Inputs!$B$14="Y"),AND(D1380="Foundation",Inputs!$B$15="Y"),AND(D1380="Healthcare",Inputs!$B$16="Y"),AND(D1380="Pension",Inputs!$B$17="Y"),AND(D1380="OCIO",Inputs!$B$18="Y"),AND(D1380="Other",Inputs!$B$19="Y")))),A1380&lt;&gt;in_ClientOrg,NOT(AND(in_ExclHarvard="Y",ISNUMBER(SEARCH("Harvard",A1380))))),$AD1380="Y",K1380&lt;&gt;"",S1380&gt;0),"Y","")</f>
        <v/>
      </c>
      <c r="V1380" s="30" t="n">
        <v>1</v>
      </c>
      <c r="W1380" t="inlineStr"/>
      <c r="X1380" s="28">
        <f>IF(L1380+M1380=0,"",L1380+M1380)</f>
        <v/>
      </c>
      <c r="Y1380" s="38">
        <f>IF(L1380=0,"",M1380/L1380)</f>
        <v/>
      </c>
      <c r="Z1380" t="inlineStr">
        <is>
          <t>CIO - Top Investment Executive</t>
        </is>
      </c>
      <c r="AA1380" t="inlineStr">
        <is>
          <t>Leadership</t>
        </is>
      </c>
      <c r="AB1380" s="50" t="inlineStr">
        <is>
          <t>Y</t>
        </is>
      </c>
      <c r="AC1380" s="43">
        <f>HYPERLINK("https://projects.propublica.org/nonprofits/organizations/42103634/202331319349302683/full","view filing")</f>
        <v/>
      </c>
      <c r="AD1380" s="50" t="inlineStr"/>
    </row>
    <row r="1381">
      <c r="A1381" t="inlineStr">
        <is>
          <t>Trustees Of Tufts College</t>
        </is>
      </c>
      <c r="B1381" s="50" t="inlineStr">
        <is>
          <t>MA</t>
        </is>
      </c>
      <c r="C1381" s="52" t="n">
        <v>2.71</v>
      </c>
      <c r="D1381" t="inlineStr">
        <is>
          <t>Endowment</t>
        </is>
      </c>
      <c r="E1381" s="50" t="n">
        <v>2022</v>
      </c>
      <c r="F1381" s="50" t="inlineStr">
        <is>
          <t>2023-05-11</t>
        </is>
      </c>
      <c r="G1381" s="50" t="inlineStr">
        <is>
          <t>2022-06-30</t>
        </is>
      </c>
      <c r="H1381" t="inlineStr">
        <is>
          <t>Paul Mace</t>
        </is>
      </c>
      <c r="I1381" t="inlineStr">
        <is>
          <t>Director of Investments</t>
        </is>
      </c>
      <c r="J1381" t="inlineStr">
        <is>
          <t>Director of Investments</t>
        </is>
      </c>
      <c r="K1381" t="inlineStr">
        <is>
          <t>Sr Investment Professional</t>
        </is>
      </c>
      <c r="L1381" s="28" t="n">
        <v>306748</v>
      </c>
      <c r="M1381" s="28" t="n">
        <v>123752</v>
      </c>
      <c r="N1381" s="28" t="n">
        <v>699</v>
      </c>
      <c r="O1381" s="28" t="n">
        <v>110013</v>
      </c>
      <c r="P1381" s="28" t="n">
        <v>5359</v>
      </c>
      <c r="Q1381" s="28" t="n">
        <v>546571</v>
      </c>
      <c r="R1381" s="28" t="n">
        <v>0</v>
      </c>
      <c r="S1381" s="28">
        <f>Q1381-R1381</f>
        <v/>
      </c>
      <c r="T1381" s="28">
        <f>IF(S1381="","",S1381*(1+in_GrowthRate)^(YEARFRAC(DATE(2022,6,30),in_AgeToDate)*IF(in_AgeToDate&lt;DATE(2022,6,30),-1,1)+1))</f>
        <v/>
      </c>
      <c r="U1381" s="50">
        <f>IF(AND(AND(OR(in_Mode="All Funds",AND(C1381&gt;=in_BandFloor,C1381&lt;=in_BandCeiling,OR(in_Geography="National",COUNTIFS(lst_GeoPreset,in_Geography,lst_GeoState,B1381)&gt;0,AND(in_Geography="Custom",ISNUMBER(SEARCH(B1381,SUBSTITUTE(in_CustomStates," ",""))))),OR(AND(D1381="Endowment",Inputs!$B$14="Y"),AND(D1381="Foundation",Inputs!$B$15="Y"),AND(D1381="Healthcare",Inputs!$B$16="Y"),AND(D1381="Pension",Inputs!$B$17="Y"),AND(D1381="OCIO",Inputs!$B$18="Y"),AND(D1381="Other",Inputs!$B$19="Y")))),A1381&lt;&gt;in_ClientOrg,NOT(AND(in_ExclHarvard="Y",ISNUMBER(SEARCH("Harvard",A1381))))),$AD1381="Y",K1381&lt;&gt;"",S1381&gt;0),"Y","")</f>
        <v/>
      </c>
      <c r="V1381" s="30" t="n">
        <v>0.7608393341119382</v>
      </c>
      <c r="W1381" t="inlineStr"/>
      <c r="X1381" s="28">
        <f>IF(L1381+M1381=0,"",L1381+M1381)</f>
        <v/>
      </c>
      <c r="Y1381" s="38">
        <f>IF(L1381=0,"",M1381/L1381)</f>
        <v/>
      </c>
      <c r="Z1381" t="inlineStr">
        <is>
          <t>Director &amp; Investment Officer</t>
        </is>
      </c>
      <c r="AA1381" t="inlineStr">
        <is>
          <t>Investments</t>
        </is>
      </c>
      <c r="AB1381" s="50" t="inlineStr"/>
      <c r="AC1381" s="43">
        <f>HYPERLINK("https://projects.propublica.org/nonprofits/organizations/42103634/202331319349302683/full","view filing")</f>
        <v/>
      </c>
      <c r="AD1381" s="50" t="inlineStr"/>
    </row>
    <row r="1382">
      <c r="A1382" t="inlineStr">
        <is>
          <t>Trustees Of Tufts College</t>
        </is>
      </c>
      <c r="B1382" s="50" t="inlineStr">
        <is>
          <t>MA</t>
        </is>
      </c>
      <c r="C1382" s="52" t="n">
        <v>2.71</v>
      </c>
      <c r="D1382" t="inlineStr">
        <is>
          <t>Endowment</t>
        </is>
      </c>
      <c r="E1382" s="50" t="n">
        <v>2022</v>
      </c>
      <c r="F1382" s="50" t="inlineStr">
        <is>
          <t>2023-05-11</t>
        </is>
      </c>
      <c r="G1382" s="50" t="inlineStr">
        <is>
          <t>2022-06-30</t>
        </is>
      </c>
      <c r="H1382" t="inlineStr">
        <is>
          <t>Tryfan D Evans</t>
        </is>
      </c>
      <c r="I1382" t="inlineStr">
        <is>
          <t>DIRECTOR OF INVESTMENTS</t>
        </is>
      </c>
      <c r="J1382" t="inlineStr">
        <is>
          <t>Director of Investments</t>
        </is>
      </c>
      <c r="K1382" t="inlineStr">
        <is>
          <t>Sr Investment Professional</t>
        </is>
      </c>
      <c r="L1382" s="28" t="n">
        <v>303229</v>
      </c>
      <c r="M1382" s="28" t="n">
        <v>184692</v>
      </c>
      <c r="N1382" s="28" t="n">
        <v>676</v>
      </c>
      <c r="O1382" s="28" t="n">
        <v>131910</v>
      </c>
      <c r="P1382" s="28" t="n">
        <v>577</v>
      </c>
      <c r="Q1382" s="28" t="n">
        <v>621084</v>
      </c>
      <c r="R1382" s="28" t="n">
        <v>51342</v>
      </c>
      <c r="S1382" s="28">
        <f>Q1382-R1382</f>
        <v/>
      </c>
      <c r="T1382" s="28">
        <f>IF(S1382="","",S1382*(1+in_GrowthRate)^(YEARFRAC(DATE(2022,6,30),in_AgeToDate)*IF(in_AgeToDate&lt;DATE(2022,6,30),-1,1)+1))</f>
        <v/>
      </c>
      <c r="U1382" s="50">
        <f>IF(AND(AND(OR(in_Mode="All Funds",AND(C1382&gt;=in_BandFloor,C1382&lt;=in_BandCeiling,OR(in_Geography="National",COUNTIFS(lst_GeoPreset,in_Geography,lst_GeoState,B1382)&gt;0,AND(in_Geography="Custom",ISNUMBER(SEARCH(B1382,SUBSTITUTE(in_CustomStates," ",""))))),OR(AND(D1382="Endowment",Inputs!$B$14="Y"),AND(D1382="Foundation",Inputs!$B$15="Y"),AND(D1382="Healthcare",Inputs!$B$16="Y"),AND(D1382="Pension",Inputs!$B$17="Y"),AND(D1382="OCIO",Inputs!$B$18="Y"),AND(D1382="Other",Inputs!$B$19="Y")))),A1382&lt;&gt;in_ClientOrg,NOT(AND(in_ExclHarvard="Y",ISNUMBER(SEARCH("Harvard",A1382))))),$AD1382="Y",K1382&lt;&gt;"",S1382&gt;0),"Y","")</f>
        <v/>
      </c>
      <c r="V1382" s="30" t="n">
        <v>0.793093896118901</v>
      </c>
      <c r="W1382" t="inlineStr"/>
      <c r="X1382" s="28">
        <f>IF(L1382+M1382=0,"",L1382+M1382)</f>
        <v/>
      </c>
      <c r="Y1382" s="38">
        <f>IF(L1382=0,"",M1382/L1382)</f>
        <v/>
      </c>
      <c r="Z1382" t="inlineStr">
        <is>
          <t>Director &amp; Investment Officer</t>
        </is>
      </c>
      <c r="AA1382" t="inlineStr">
        <is>
          <t>Investments</t>
        </is>
      </c>
      <c r="AB1382" s="50" t="inlineStr"/>
      <c r="AC1382" s="43">
        <f>HYPERLINK("https://projects.propublica.org/nonprofits/organizations/42103634/202331319349302683/full","view filing")</f>
        <v/>
      </c>
      <c r="AD1382" s="50" t="inlineStr"/>
    </row>
    <row r="1383">
      <c r="A1383" t="inlineStr">
        <is>
          <t>Uaw Retiree Medical Benefits Tr</t>
        </is>
      </c>
      <c r="B1383" s="50" t="inlineStr">
        <is>
          <t>MI</t>
        </is>
      </c>
      <c r="C1383" s="52" t="n">
        <v>61.42</v>
      </c>
      <c r="D1383" t="inlineStr">
        <is>
          <t>Pension</t>
        </is>
      </c>
      <c r="E1383" s="50" t="n">
        <v>2024</v>
      </c>
      <c r="F1383" s="50" t="inlineStr">
        <is>
          <t>2025-11-14</t>
        </is>
      </c>
      <c r="G1383" s="50" t="inlineStr">
        <is>
          <t>2024-12-31</t>
        </is>
      </c>
      <c r="H1383" t="inlineStr">
        <is>
          <t>Brian Baumhover</t>
        </is>
      </c>
      <c r="I1383" t="inlineStr">
        <is>
          <t>DIRECTOR-REAL ASSETS</t>
        </is>
      </c>
      <c r="J1383" t="inlineStr">
        <is>
          <t>Investment Manager</t>
        </is>
      </c>
      <c r="K1383" t="inlineStr">
        <is>
          <t>Sr Investment Professional</t>
        </is>
      </c>
      <c r="L1383" s="28" t="n">
        <v>302295</v>
      </c>
      <c r="M1383" s="28" t="n">
        <v>221248</v>
      </c>
      <c r="N1383" s="28" t="n">
        <v>1516</v>
      </c>
      <c r="O1383" s="28" t="n">
        <v>30000</v>
      </c>
      <c r="P1383" s="28" t="n">
        <v>28947</v>
      </c>
      <c r="Q1383" s="28" t="n">
        <v>584006</v>
      </c>
      <c r="R1383" s="28" t="n">
        <v>0</v>
      </c>
      <c r="S1383" s="28">
        <f>Q1383-R1383</f>
        <v/>
      </c>
      <c r="T1383" s="28">
        <f>IF(S1383="","",S1383*(1+in_GrowthRate)^(YEARFRAC(DATE(2024,12,31),in_AgeToDate)*IF(in_AgeToDate&lt;DATE(2024,12,31),-1,1)+1))</f>
        <v/>
      </c>
      <c r="U1383" s="50">
        <f>IF(AND(AND(OR(in_Mode="All Funds",AND(C1383&gt;=in_BandFloor,C1383&lt;=in_BandCeiling,OR(in_Geography="National",COUNTIFS(lst_GeoPreset,in_Geography,lst_GeoState,B1383)&gt;0,AND(in_Geography="Custom",ISNUMBER(SEARCH(B1383,SUBSTITUTE(in_CustomStates," ",""))))),OR(AND(D1383="Endowment",Inputs!$B$14="Y"),AND(D1383="Foundation",Inputs!$B$15="Y"),AND(D1383="Healthcare",Inputs!$B$16="Y"),AND(D1383="Pension",Inputs!$B$17="Y"),AND(D1383="OCIO",Inputs!$B$18="Y"),AND(D1383="Other",Inputs!$B$19="Y")))),A1383&lt;&gt;in_ClientOrg,NOT(AND(in_ExclHarvard="Y",ISNUMBER(SEARCH("Harvard",A1383))))),$AD1383="Y",K1383&lt;&gt;"",S1383&gt;0),"Y","")</f>
        <v/>
      </c>
      <c r="V1383" s="30" t="n">
        <v>0.3312789334289343</v>
      </c>
      <c r="W1383" t="inlineStr"/>
      <c r="X1383" s="28">
        <f>IF(L1383+M1383=0,"",L1383+M1383)</f>
        <v/>
      </c>
      <c r="Y1383" s="38">
        <f>IF(L1383=0,"",M1383/L1383)</f>
        <v/>
      </c>
      <c r="Z1383" t="inlineStr">
        <is>
          <t>Director &amp; Investment Officer</t>
        </is>
      </c>
      <c r="AA1383" t="inlineStr">
        <is>
          <t>Investments</t>
        </is>
      </c>
      <c r="AB1383" s="50" t="inlineStr"/>
      <c r="AC1383" s="43">
        <f>HYPERLINK("https://projects.propublica.org/nonprofits/organizations/900424876/202503189349310215/full","view filing")</f>
        <v/>
      </c>
      <c r="AD1383" s="50" t="inlineStr">
        <is>
          <t>Y</t>
        </is>
      </c>
    </row>
    <row r="1384">
      <c r="A1384" t="inlineStr">
        <is>
          <t>Uaw Retiree Medical Benefits Tr</t>
        </is>
      </c>
      <c r="B1384" s="50" t="inlineStr">
        <is>
          <t>MI</t>
        </is>
      </c>
      <c r="C1384" s="52" t="n">
        <v>61.42</v>
      </c>
      <c r="D1384" t="inlineStr">
        <is>
          <t>Pension</t>
        </is>
      </c>
      <c r="E1384" s="50" t="n">
        <v>2024</v>
      </c>
      <c r="F1384" s="50" t="inlineStr">
        <is>
          <t>2025-11-14</t>
        </is>
      </c>
      <c r="G1384" s="50" t="inlineStr">
        <is>
          <t>2024-12-31</t>
        </is>
      </c>
      <c r="H1384" t="inlineStr">
        <is>
          <t>Cameron Hamilton-Wright</t>
        </is>
      </c>
      <c r="I1384" t="inlineStr">
        <is>
          <t>SR MANAGING DIR PORTFOLIO STRA</t>
        </is>
      </c>
      <c r="J1384" t="inlineStr">
        <is>
          <t>Senior Managing Director</t>
        </is>
      </c>
      <c r="K1384" t="inlineStr">
        <is>
          <t>Sr Investment Professional</t>
        </is>
      </c>
      <c r="L1384" s="28" t="n">
        <v>518278</v>
      </c>
      <c r="M1384" s="28" t="n">
        <v>0</v>
      </c>
      <c r="N1384" s="28" t="n">
        <v>990</v>
      </c>
      <c r="O1384" s="28" t="n">
        <v>23000</v>
      </c>
      <c r="P1384" s="28" t="n">
        <v>28947</v>
      </c>
      <c r="Q1384" s="28" t="n">
        <v>571215</v>
      </c>
      <c r="R1384" s="28" t="n">
        <v>0</v>
      </c>
      <c r="S1384" s="28">
        <f>Q1384-R1384</f>
        <v/>
      </c>
      <c r="T1384" s="28">
        <f>IF(S1384="","",S1384*(1+in_GrowthRate)^(YEARFRAC(DATE(2024,12,31),in_AgeToDate)*IF(in_AgeToDate&lt;DATE(2024,12,31),-1,1)+1))</f>
        <v/>
      </c>
      <c r="U1384" s="50">
        <f>IF(AND(AND(OR(in_Mode="All Funds",AND(C1384&gt;=in_BandFloor,C1384&lt;=in_BandCeiling,OR(in_Geography="National",COUNTIFS(lst_GeoPreset,in_Geography,lst_GeoState,B1384)&gt;0,AND(in_Geography="Custom",ISNUMBER(SEARCH(B1384,SUBSTITUTE(in_CustomStates," ",""))))),OR(AND(D1384="Endowment",Inputs!$B$14="Y"),AND(D1384="Foundation",Inputs!$B$15="Y"),AND(D1384="Healthcare",Inputs!$B$16="Y"),AND(D1384="Pension",Inputs!$B$17="Y"),AND(D1384="OCIO",Inputs!$B$18="Y"),AND(D1384="Other",Inputs!$B$19="Y")))),A1384&lt;&gt;in_ClientOrg,NOT(AND(in_ExclHarvard="Y",ISNUMBER(SEARCH("Harvard",A1384))))),$AD1384="Y",K1384&lt;&gt;"",S1384&gt;0),"Y","")</f>
        <v/>
      </c>
      <c r="V1384" s="30" t="n">
        <v>0.3240232051701672</v>
      </c>
      <c r="W1384" t="inlineStr"/>
      <c r="X1384" s="28">
        <f>IF(L1384+M1384=0,"",L1384+M1384)</f>
        <v/>
      </c>
      <c r="Y1384" s="38">
        <f>IF(L1384=0,"",M1384/L1384)</f>
        <v/>
      </c>
      <c r="Z1384" t="inlineStr">
        <is>
          <t>Managing Director</t>
        </is>
      </c>
      <c r="AA1384" t="inlineStr">
        <is>
          <t>Investments</t>
        </is>
      </c>
      <c r="AB1384" s="50" t="inlineStr"/>
      <c r="AC1384" s="43">
        <f>HYPERLINK("https://projects.propublica.org/nonprofits/organizations/900424876/202503189349310215/full","view filing")</f>
        <v/>
      </c>
      <c r="AD1384" s="50" t="inlineStr">
        <is>
          <t>Y</t>
        </is>
      </c>
    </row>
    <row r="1385">
      <c r="A1385" t="inlineStr">
        <is>
          <t>Uaw Retiree Medical Benefits Tr</t>
        </is>
      </c>
      <c r="B1385" s="50" t="inlineStr">
        <is>
          <t>MI</t>
        </is>
      </c>
      <c r="C1385" s="52" t="n">
        <v>61.42</v>
      </c>
      <c r="D1385" t="inlineStr">
        <is>
          <t>Pension</t>
        </is>
      </c>
      <c r="E1385" s="50" t="n">
        <v>2024</v>
      </c>
      <c r="F1385" s="50" t="inlineStr">
        <is>
          <t>2025-11-14</t>
        </is>
      </c>
      <c r="G1385" s="50" t="inlineStr">
        <is>
          <t>2024-12-31</t>
        </is>
      </c>
      <c r="H1385" t="inlineStr">
        <is>
          <t>Hershel Harper</t>
        </is>
      </c>
      <c r="I1385" t="inlineStr">
        <is>
          <t>CHIEF INVESTMENT OFFICER</t>
        </is>
      </c>
      <c r="J1385" t="inlineStr">
        <is>
          <t>CIO</t>
        </is>
      </c>
      <c r="K1385" t="inlineStr">
        <is>
          <t>CIO - Top Investment Executive</t>
        </is>
      </c>
      <c r="L1385" s="28" t="n">
        <v>741158</v>
      </c>
      <c r="M1385" s="28" t="n">
        <v>959440</v>
      </c>
      <c r="N1385" s="28" t="n">
        <v>2838</v>
      </c>
      <c r="O1385" s="28" t="n">
        <v>30500</v>
      </c>
      <c r="P1385" s="28" t="n">
        <v>28947</v>
      </c>
      <c r="Q1385" s="28" t="n">
        <v>1762883</v>
      </c>
      <c r="R1385" s="28" t="n">
        <v>0</v>
      </c>
      <c r="S1385" s="28">
        <f>Q1385-R1385</f>
        <v/>
      </c>
      <c r="T1385" s="28">
        <f>IF(S1385="","",S1385*(1+in_GrowthRate)^(YEARFRAC(DATE(2024,12,31),in_AgeToDate)*IF(in_AgeToDate&lt;DATE(2024,12,31),-1,1)+1))</f>
        <v/>
      </c>
      <c r="U1385" s="50">
        <f>IF(AND(AND(OR(in_Mode="All Funds",AND(C1385&gt;=in_BandFloor,C1385&lt;=in_BandCeiling,OR(in_Geography="National",COUNTIFS(lst_GeoPreset,in_Geography,lst_GeoState,B1385)&gt;0,AND(in_Geography="Custom",ISNUMBER(SEARCH(B1385,SUBSTITUTE(in_CustomStates," ",""))))),OR(AND(D1385="Endowment",Inputs!$B$14="Y"),AND(D1385="Foundation",Inputs!$B$15="Y"),AND(D1385="Healthcare",Inputs!$B$16="Y"),AND(D1385="Pension",Inputs!$B$17="Y"),AND(D1385="OCIO",Inputs!$B$18="Y"),AND(D1385="Other",Inputs!$B$19="Y")))),A1385&lt;&gt;in_ClientOrg,NOT(AND(in_ExclHarvard="Y",ISNUMBER(SEARCH("Harvard",A1385))))),$AD1385="Y",K1385&lt;&gt;"",S1385&gt;0),"Y","")</f>
        <v/>
      </c>
      <c r="V1385" s="30" t="n">
        <v>1</v>
      </c>
      <c r="W1385" t="inlineStr"/>
      <c r="X1385" s="28">
        <f>IF(L1385+M1385=0,"",L1385+M1385)</f>
        <v/>
      </c>
      <c r="Y1385" s="38">
        <f>IF(L1385=0,"",M1385/L1385)</f>
        <v/>
      </c>
      <c r="Z1385" t="inlineStr">
        <is>
          <t>CIO - Top Investment Executive</t>
        </is>
      </c>
      <c r="AA1385" t="inlineStr">
        <is>
          <t>Leadership</t>
        </is>
      </c>
      <c r="AB1385" s="50" t="inlineStr">
        <is>
          <t>Y</t>
        </is>
      </c>
      <c r="AC1385" s="43">
        <f>HYPERLINK("https://projects.propublica.org/nonprofits/organizations/900424876/202503189349310215/full","view filing")</f>
        <v/>
      </c>
      <c r="AD1385" s="50" t="inlineStr">
        <is>
          <t>Y</t>
        </is>
      </c>
    </row>
    <row r="1386">
      <c r="A1386" t="inlineStr">
        <is>
          <t>Uaw Retiree Medical Benefits Tr</t>
        </is>
      </c>
      <c r="B1386" s="50" t="inlineStr">
        <is>
          <t>MI</t>
        </is>
      </c>
      <c r="C1386" s="52" t="n">
        <v>61.42</v>
      </c>
      <c r="D1386" t="inlineStr">
        <is>
          <t>Pension</t>
        </is>
      </c>
      <c r="E1386" s="50" t="n">
        <v>2024</v>
      </c>
      <c r="F1386" s="50" t="inlineStr">
        <is>
          <t>2025-11-14</t>
        </is>
      </c>
      <c r="G1386" s="50" t="inlineStr">
        <is>
          <t>2024-12-31</t>
        </is>
      </c>
      <c r="H1386" t="inlineStr">
        <is>
          <t>Joe Stackpoole</t>
        </is>
      </c>
      <c r="I1386" t="inlineStr">
        <is>
          <t>CHIEF INVESTMENT ADMIN OFFICER</t>
        </is>
      </c>
      <c r="J1386" t="inlineStr">
        <is>
          <t>COO (Inv Entity)</t>
        </is>
      </c>
      <c r="K1386" t="inlineStr">
        <is>
          <t>COO (Investment Office)</t>
        </is>
      </c>
      <c r="L1386" s="28" t="n">
        <v>541515</v>
      </c>
      <c r="M1386" s="28" t="n">
        <v>0</v>
      </c>
      <c r="N1386" s="28" t="n">
        <v>4356</v>
      </c>
      <c r="O1386" s="28" t="n">
        <v>30500</v>
      </c>
      <c r="P1386" s="28" t="n">
        <v>0</v>
      </c>
      <c r="Q1386" s="28" t="n">
        <v>576371</v>
      </c>
      <c r="R1386" s="28" t="n">
        <v>0</v>
      </c>
      <c r="S1386" s="28">
        <f>Q1386-R1386</f>
        <v/>
      </c>
      <c r="T1386" s="28">
        <f>IF(S1386="","",S1386*(1+in_GrowthRate)^(YEARFRAC(DATE(2024,12,31),in_AgeToDate)*IF(in_AgeToDate&lt;DATE(2024,12,31),-1,1)+1))</f>
        <v/>
      </c>
      <c r="U1386" s="50">
        <f>IF(AND(AND(OR(in_Mode="All Funds",AND(C1386&gt;=in_BandFloor,C1386&lt;=in_BandCeiling,OR(in_Geography="National",COUNTIFS(lst_GeoPreset,in_Geography,lst_GeoState,B1386)&gt;0,AND(in_Geography="Custom",ISNUMBER(SEARCH(B1386,SUBSTITUTE(in_CustomStates," ",""))))),OR(AND(D1386="Endowment",Inputs!$B$14="Y"),AND(D1386="Foundation",Inputs!$B$15="Y"),AND(D1386="Healthcare",Inputs!$B$16="Y"),AND(D1386="Pension",Inputs!$B$17="Y"),AND(D1386="OCIO",Inputs!$B$18="Y"),AND(D1386="Other",Inputs!$B$19="Y")))),A1386&lt;&gt;in_ClientOrg,NOT(AND(in_ExclHarvard="Y",ISNUMBER(SEARCH("Harvard",A1386))))),$AD1386="Y",K1386&lt;&gt;"",S1386&gt;0),"Y","")</f>
        <v/>
      </c>
      <c r="V1386" s="30" t="n">
        <v>0.3269479596774148</v>
      </c>
      <c r="W1386" t="inlineStr"/>
      <c r="X1386" s="28">
        <f>IF(L1386+M1386=0,"",L1386+M1386)</f>
        <v/>
      </c>
      <c r="Y1386" s="38">
        <f>IF(L1386=0,"",M1386/L1386)</f>
        <v/>
      </c>
      <c r="Z1386" t="inlineStr">
        <is>
          <t>COO (Investment Office)</t>
        </is>
      </c>
      <c r="AA1386" t="inlineStr">
        <is>
          <t>Operations &amp; Control</t>
        </is>
      </c>
      <c r="AB1386" s="50" t="inlineStr"/>
      <c r="AC1386" s="43">
        <f>HYPERLINK("https://projects.propublica.org/nonprofits/organizations/900424876/202503189349310215/full","view filing")</f>
        <v/>
      </c>
      <c r="AD1386" s="50" t="inlineStr">
        <is>
          <t>Y</t>
        </is>
      </c>
    </row>
    <row r="1387">
      <c r="A1387" t="inlineStr">
        <is>
          <t>Uaw Retiree Medical Benefits Tr</t>
        </is>
      </c>
      <c r="B1387" s="50" t="inlineStr">
        <is>
          <t>MI</t>
        </is>
      </c>
      <c r="C1387" s="52" t="n">
        <v>61.42</v>
      </c>
      <c r="D1387" t="inlineStr">
        <is>
          <t>Pension</t>
        </is>
      </c>
      <c r="E1387" s="50" t="n">
        <v>2024</v>
      </c>
      <c r="F1387" s="50" t="inlineStr">
        <is>
          <t>2025-11-14</t>
        </is>
      </c>
      <c r="G1387" s="50" t="inlineStr">
        <is>
          <t>2024-12-31</t>
        </is>
      </c>
      <c r="H1387" t="inlineStr">
        <is>
          <t>Kenneth Stemme</t>
        </is>
      </c>
      <c r="I1387" t="inlineStr">
        <is>
          <t>SR MANAGING DIR INCOME STRATEG</t>
        </is>
      </c>
      <c r="J1387" t="inlineStr">
        <is>
          <t>Senior Managing Director</t>
        </is>
      </c>
      <c r="K1387" t="inlineStr">
        <is>
          <t>Sr Investment Professional</t>
        </is>
      </c>
      <c r="L1387" s="28" t="n">
        <v>378605</v>
      </c>
      <c r="M1387" s="28" t="n">
        <v>380936</v>
      </c>
      <c r="N1387" s="28" t="n">
        <v>2838</v>
      </c>
      <c r="O1387" s="28" t="n">
        <v>15343</v>
      </c>
      <c r="P1387" s="28" t="n">
        <v>28947</v>
      </c>
      <c r="Q1387" s="28" t="n">
        <v>806669</v>
      </c>
      <c r="R1387" s="28" t="n">
        <v>0</v>
      </c>
      <c r="S1387" s="28">
        <f>Q1387-R1387</f>
        <v/>
      </c>
      <c r="T1387" s="28">
        <f>IF(S1387="","",S1387*(1+in_GrowthRate)^(YEARFRAC(DATE(2024,12,31),in_AgeToDate)*IF(in_AgeToDate&lt;DATE(2024,12,31),-1,1)+1))</f>
        <v/>
      </c>
      <c r="U1387" s="50">
        <f>IF(AND(AND(OR(in_Mode="All Funds",AND(C1387&gt;=in_BandFloor,C1387&lt;=in_BandCeiling,OR(in_Geography="National",COUNTIFS(lst_GeoPreset,in_Geography,lst_GeoState,B1387)&gt;0,AND(in_Geography="Custom",ISNUMBER(SEARCH(B1387,SUBSTITUTE(in_CustomStates," ",""))))),OR(AND(D1387="Endowment",Inputs!$B$14="Y"),AND(D1387="Foundation",Inputs!$B$15="Y"),AND(D1387="Healthcare",Inputs!$B$16="Y"),AND(D1387="Pension",Inputs!$B$17="Y"),AND(D1387="OCIO",Inputs!$B$18="Y"),AND(D1387="Other",Inputs!$B$19="Y")))),A1387&lt;&gt;in_ClientOrg,NOT(AND(in_ExclHarvard="Y",ISNUMBER(SEARCH("Harvard",A1387))))),$AD1387="Y",K1387&lt;&gt;"",S1387&gt;0),"Y","")</f>
        <v/>
      </c>
      <c r="V1387" s="30" t="n">
        <v>0.4575851034924042</v>
      </c>
      <c r="W1387" t="inlineStr"/>
      <c r="X1387" s="28">
        <f>IF(L1387+M1387=0,"",L1387+M1387)</f>
        <v/>
      </c>
      <c r="Y1387" s="38">
        <f>IF(L1387=0,"",M1387/L1387)</f>
        <v/>
      </c>
      <c r="Z1387" t="inlineStr">
        <is>
          <t>Managing Director</t>
        </is>
      </c>
      <c r="AA1387" t="inlineStr">
        <is>
          <t>Investments</t>
        </is>
      </c>
      <c r="AB1387" s="50" t="inlineStr"/>
      <c r="AC1387" s="43">
        <f>HYPERLINK("https://projects.propublica.org/nonprofits/organizations/900424876/202503189349310215/full","view filing")</f>
        <v/>
      </c>
      <c r="AD1387" s="50" t="inlineStr">
        <is>
          <t>Y</t>
        </is>
      </c>
    </row>
    <row r="1388">
      <c r="A1388" t="inlineStr">
        <is>
          <t>Uaw Retiree Medical Benefits Tr</t>
        </is>
      </c>
      <c r="B1388" s="50" t="inlineStr">
        <is>
          <t>MI</t>
        </is>
      </c>
      <c r="C1388" s="52" t="n">
        <v>61.42</v>
      </c>
      <c r="D1388" t="inlineStr">
        <is>
          <t>Pension</t>
        </is>
      </c>
      <c r="E1388" s="50" t="n">
        <v>2023</v>
      </c>
      <c r="F1388" s="50" t="inlineStr">
        <is>
          <t>2024-11-14</t>
        </is>
      </c>
      <c r="G1388" s="50" t="inlineStr">
        <is>
          <t>2023-12-31</t>
        </is>
      </c>
      <c r="H1388" t="inlineStr">
        <is>
          <t>Brian Baumhover</t>
        </is>
      </c>
      <c r="I1388" t="inlineStr">
        <is>
          <t>DIRECTOR-REAL ASSETS</t>
        </is>
      </c>
      <c r="J1388" t="inlineStr">
        <is>
          <t>Investment Manager</t>
        </is>
      </c>
      <c r="K1388" t="inlineStr">
        <is>
          <t>Sr Investment Professional</t>
        </is>
      </c>
      <c r="L1388" s="28" t="n">
        <v>284166</v>
      </c>
      <c r="M1388" s="28" t="n">
        <v>240763</v>
      </c>
      <c r="N1388" s="28" t="n">
        <v>1447</v>
      </c>
      <c r="O1388" s="28" t="n">
        <v>30000</v>
      </c>
      <c r="P1388" s="28" t="n">
        <v>27385</v>
      </c>
      <c r="Q1388" s="28" t="n">
        <v>583761</v>
      </c>
      <c r="R1388" s="28" t="n">
        <v>0</v>
      </c>
      <c r="S1388" s="28">
        <f>Q1388-R1388</f>
        <v/>
      </c>
      <c r="T1388" s="28">
        <f>IF(S1388="","",S1388*(1+in_GrowthRate)^(YEARFRAC(DATE(2023,12,31),in_AgeToDate)*IF(in_AgeToDate&lt;DATE(2023,12,31),-1,1)+1))</f>
        <v/>
      </c>
      <c r="U1388" s="50">
        <f>IF(AND(AND(OR(in_Mode="All Funds",AND(C1388&gt;=in_BandFloor,C1388&lt;=in_BandCeiling,OR(in_Geography="National",COUNTIFS(lst_GeoPreset,in_Geography,lst_GeoState,B1388)&gt;0,AND(in_Geography="Custom",ISNUMBER(SEARCH(B1388,SUBSTITUTE(in_CustomStates," ",""))))),OR(AND(D1388="Endowment",Inputs!$B$14="Y"),AND(D1388="Foundation",Inputs!$B$15="Y"),AND(D1388="Healthcare",Inputs!$B$16="Y"),AND(D1388="Pension",Inputs!$B$17="Y"),AND(D1388="OCIO",Inputs!$B$18="Y"),AND(D1388="Other",Inputs!$B$19="Y")))),A1388&lt;&gt;in_ClientOrg,NOT(AND(in_ExclHarvard="Y",ISNUMBER(SEARCH("Harvard",A1388))))),$AD1388="Y",K1388&lt;&gt;"",S1388&gt;0),"Y","")</f>
        <v/>
      </c>
      <c r="V1388" s="30" t="n">
        <v>0.3659207143891418</v>
      </c>
      <c r="W1388" t="inlineStr"/>
      <c r="X1388" s="28">
        <f>IF(L1388+M1388=0,"",L1388+M1388)</f>
        <v/>
      </c>
      <c r="Y1388" s="38">
        <f>IF(L1388=0,"",M1388/L1388)</f>
        <v/>
      </c>
      <c r="Z1388" t="inlineStr">
        <is>
          <t>Director &amp; Investment Officer</t>
        </is>
      </c>
      <c r="AA1388" t="inlineStr">
        <is>
          <t>Investments</t>
        </is>
      </c>
      <c r="AB1388" s="50" t="inlineStr"/>
      <c r="AC1388" s="43">
        <f>HYPERLINK("https://projects.propublica.org/nonprofits/organizations/900424876/202403199349306100/full","view filing")</f>
        <v/>
      </c>
      <c r="AD1388" s="50" t="inlineStr"/>
    </row>
    <row r="1389">
      <c r="A1389" t="inlineStr">
        <is>
          <t>Uaw Retiree Medical Benefits Tr</t>
        </is>
      </c>
      <c r="B1389" s="50" t="inlineStr">
        <is>
          <t>MI</t>
        </is>
      </c>
      <c r="C1389" s="52" t="n">
        <v>61.42</v>
      </c>
      <c r="D1389" t="inlineStr">
        <is>
          <t>Pension</t>
        </is>
      </c>
      <c r="E1389" s="50" t="n">
        <v>2023</v>
      </c>
      <c r="F1389" s="50" t="inlineStr">
        <is>
          <t>2024-11-14</t>
        </is>
      </c>
      <c r="G1389" s="50" t="inlineStr">
        <is>
          <t>2023-12-31</t>
        </is>
      </c>
      <c r="H1389" t="inlineStr">
        <is>
          <t>Hershel Harper</t>
        </is>
      </c>
      <c r="I1389" t="inlineStr">
        <is>
          <t>CHIEF INVESTMENT OFFICER</t>
        </is>
      </c>
      <c r="J1389" t="inlineStr">
        <is>
          <t>CIO</t>
        </is>
      </c>
      <c r="K1389" t="inlineStr">
        <is>
          <t>CIO - Top Investment Executive</t>
        </is>
      </c>
      <c r="L1389" s="28" t="n">
        <v>645439</v>
      </c>
      <c r="M1389" s="28" t="n">
        <v>893931</v>
      </c>
      <c r="N1389" s="28" t="n">
        <v>1518</v>
      </c>
      <c r="O1389" s="28" t="n">
        <v>27000</v>
      </c>
      <c r="P1389" s="28" t="n">
        <v>27433</v>
      </c>
      <c r="Q1389" s="28" t="n">
        <v>1595321</v>
      </c>
      <c r="R1389" s="28" t="n">
        <v>0</v>
      </c>
      <c r="S1389" s="28">
        <f>Q1389-R1389</f>
        <v/>
      </c>
      <c r="T1389" s="28">
        <f>IF(S1389="","",S1389*(1+in_GrowthRate)^(YEARFRAC(DATE(2023,12,31),in_AgeToDate)*IF(in_AgeToDate&lt;DATE(2023,12,31),-1,1)+1))</f>
        <v/>
      </c>
      <c r="U1389" s="50">
        <f>IF(AND(AND(OR(in_Mode="All Funds",AND(C1389&gt;=in_BandFloor,C1389&lt;=in_BandCeiling,OR(in_Geography="National",COUNTIFS(lst_GeoPreset,in_Geography,lst_GeoState,B1389)&gt;0,AND(in_Geography="Custom",ISNUMBER(SEARCH(B1389,SUBSTITUTE(in_CustomStates," ",""))))),OR(AND(D1389="Endowment",Inputs!$B$14="Y"),AND(D1389="Foundation",Inputs!$B$15="Y"),AND(D1389="Healthcare",Inputs!$B$16="Y"),AND(D1389="Pension",Inputs!$B$17="Y"),AND(D1389="OCIO",Inputs!$B$18="Y"),AND(D1389="Other",Inputs!$B$19="Y")))),A1389&lt;&gt;in_ClientOrg,NOT(AND(in_ExclHarvard="Y",ISNUMBER(SEARCH("Harvard",A1389))))),$AD1389="Y",K1389&lt;&gt;"",S1389&gt;0),"Y","")</f>
        <v/>
      </c>
      <c r="V1389" s="30" t="n">
        <v>1</v>
      </c>
      <c r="W1389" t="inlineStr"/>
      <c r="X1389" s="28">
        <f>IF(L1389+M1389=0,"",L1389+M1389)</f>
        <v/>
      </c>
      <c r="Y1389" s="38">
        <f>IF(L1389=0,"",M1389/L1389)</f>
        <v/>
      </c>
      <c r="Z1389" t="inlineStr">
        <is>
          <t>CIO - Top Investment Executive</t>
        </is>
      </c>
      <c r="AA1389" t="inlineStr">
        <is>
          <t>Leadership</t>
        </is>
      </c>
      <c r="AB1389" s="50" t="inlineStr">
        <is>
          <t>Y</t>
        </is>
      </c>
      <c r="AC1389" s="43">
        <f>HYPERLINK("https://projects.propublica.org/nonprofits/organizations/900424876/202403199349306100/full","view filing")</f>
        <v/>
      </c>
      <c r="AD1389" s="50" t="inlineStr"/>
    </row>
    <row r="1390">
      <c r="A1390" t="inlineStr">
        <is>
          <t>Uaw Retiree Medical Benefits Tr</t>
        </is>
      </c>
      <c r="B1390" s="50" t="inlineStr">
        <is>
          <t>MI</t>
        </is>
      </c>
      <c r="C1390" s="52" t="n">
        <v>61.42</v>
      </c>
      <c r="D1390" t="inlineStr">
        <is>
          <t>Pension</t>
        </is>
      </c>
      <c r="E1390" s="50" t="n">
        <v>2023</v>
      </c>
      <c r="F1390" s="50" t="inlineStr">
        <is>
          <t>2024-11-14</t>
        </is>
      </c>
      <c r="G1390" s="50" t="inlineStr">
        <is>
          <t>2023-12-31</t>
        </is>
      </c>
      <c r="H1390" t="inlineStr">
        <is>
          <t>Joe Stackpoole</t>
        </is>
      </c>
      <c r="I1390" t="inlineStr">
        <is>
          <t>CHIEF INVESTMENT ADMIN OFFICER</t>
        </is>
      </c>
      <c r="J1390" t="inlineStr">
        <is>
          <t>COO (Inv Entity)</t>
        </is>
      </c>
      <c r="K1390" t="inlineStr">
        <is>
          <t>COO (Investment Office)</t>
        </is>
      </c>
      <c r="L1390" s="28" t="n">
        <v>487890</v>
      </c>
      <c r="M1390" s="28" t="n">
        <v>0</v>
      </c>
      <c r="N1390" s="28" t="n">
        <v>4356</v>
      </c>
      <c r="O1390" s="28" t="n">
        <v>30000</v>
      </c>
      <c r="P1390" s="28" t="n">
        <v>936</v>
      </c>
      <c r="Q1390" s="28" t="n">
        <v>523182</v>
      </c>
      <c r="R1390" s="28" t="n">
        <v>0</v>
      </c>
      <c r="S1390" s="28">
        <f>Q1390-R1390</f>
        <v/>
      </c>
      <c r="T1390" s="28">
        <f>IF(S1390="","",S1390*(1+in_GrowthRate)^(YEARFRAC(DATE(2023,12,31),in_AgeToDate)*IF(in_AgeToDate&lt;DATE(2023,12,31),-1,1)+1))</f>
        <v/>
      </c>
      <c r="U1390" s="50">
        <f>IF(AND(AND(OR(in_Mode="All Funds",AND(C1390&gt;=in_BandFloor,C1390&lt;=in_BandCeiling,OR(in_Geography="National",COUNTIFS(lst_GeoPreset,in_Geography,lst_GeoState,B1390)&gt;0,AND(in_Geography="Custom",ISNUMBER(SEARCH(B1390,SUBSTITUTE(in_CustomStates," ",""))))),OR(AND(D1390="Endowment",Inputs!$B$14="Y"),AND(D1390="Foundation",Inputs!$B$15="Y"),AND(D1390="Healthcare",Inputs!$B$16="Y"),AND(D1390="Pension",Inputs!$B$17="Y"),AND(D1390="OCIO",Inputs!$B$18="Y"),AND(D1390="Other",Inputs!$B$19="Y")))),A1390&lt;&gt;in_ClientOrg,NOT(AND(in_ExclHarvard="Y",ISNUMBER(SEARCH("Harvard",A1390))))),$AD1390="Y",K1390&lt;&gt;"",S1390&gt;0),"Y","")</f>
        <v/>
      </c>
      <c r="V1390" s="30" t="n">
        <v>0.327947792325181</v>
      </c>
      <c r="W1390" t="inlineStr"/>
      <c r="X1390" s="28">
        <f>IF(L1390+M1390=0,"",L1390+M1390)</f>
        <v/>
      </c>
      <c r="Y1390" s="38">
        <f>IF(L1390=0,"",M1390/L1390)</f>
        <v/>
      </c>
      <c r="Z1390" t="inlineStr">
        <is>
          <t>COO (Investment Office)</t>
        </is>
      </c>
      <c r="AA1390" t="inlineStr">
        <is>
          <t>Operations &amp; Control</t>
        </is>
      </c>
      <c r="AB1390" s="50" t="inlineStr"/>
      <c r="AC1390" s="43">
        <f>HYPERLINK("https://projects.propublica.org/nonprofits/organizations/900424876/202403199349306100/full","view filing")</f>
        <v/>
      </c>
      <c r="AD1390" s="50" t="inlineStr"/>
    </row>
    <row r="1391">
      <c r="A1391" t="inlineStr">
        <is>
          <t>Uaw Retiree Medical Benefits Tr</t>
        </is>
      </c>
      <c r="B1391" s="50" t="inlineStr">
        <is>
          <t>MI</t>
        </is>
      </c>
      <c r="C1391" s="52" t="n">
        <v>61.42</v>
      </c>
      <c r="D1391" t="inlineStr">
        <is>
          <t>Pension</t>
        </is>
      </c>
      <c r="E1391" s="50" t="n">
        <v>2023</v>
      </c>
      <c r="F1391" s="50" t="inlineStr">
        <is>
          <t>2024-11-14</t>
        </is>
      </c>
      <c r="G1391" s="50" t="inlineStr">
        <is>
          <t>2023-12-31</t>
        </is>
      </c>
      <c r="H1391" t="inlineStr">
        <is>
          <t>Kenneth Stemme</t>
        </is>
      </c>
      <c r="I1391" t="inlineStr">
        <is>
          <t>Sr Managing Dir Income Strateg</t>
        </is>
      </c>
      <c r="J1391" t="inlineStr">
        <is>
          <t>Senior Managing Director</t>
        </is>
      </c>
      <c r="K1391" t="inlineStr">
        <is>
          <t>Sr Investment Professional</t>
        </is>
      </c>
      <c r="L1391" s="28" t="n">
        <v>311824</v>
      </c>
      <c r="M1391" s="28" t="n">
        <v>198159</v>
      </c>
      <c r="N1391" s="28" t="n">
        <v>2635</v>
      </c>
      <c r="O1391" s="28" t="n">
        <v>12646</v>
      </c>
      <c r="P1391" s="28" t="n">
        <v>27228</v>
      </c>
      <c r="Q1391" s="28" t="n">
        <v>552492</v>
      </c>
      <c r="R1391" s="28" t="n">
        <v>0</v>
      </c>
      <c r="S1391" s="28">
        <f>Q1391-R1391</f>
        <v/>
      </c>
      <c r="T1391" s="28">
        <f>IF(S1391="","",S1391*(1+in_GrowthRate)^(YEARFRAC(DATE(2023,12,31),in_AgeToDate)*IF(in_AgeToDate&lt;DATE(2023,12,31),-1,1)+1))</f>
        <v/>
      </c>
      <c r="U1391" s="50">
        <f>IF(AND(AND(OR(in_Mode="All Funds",AND(C1391&gt;=in_BandFloor,C1391&lt;=in_BandCeiling,OR(in_Geography="National",COUNTIFS(lst_GeoPreset,in_Geography,lst_GeoState,B1391)&gt;0,AND(in_Geography="Custom",ISNUMBER(SEARCH(B1391,SUBSTITUTE(in_CustomStates," ",""))))),OR(AND(D1391="Endowment",Inputs!$B$14="Y"),AND(D1391="Foundation",Inputs!$B$15="Y"),AND(D1391="Healthcare",Inputs!$B$16="Y"),AND(D1391="Pension",Inputs!$B$17="Y"),AND(D1391="OCIO",Inputs!$B$18="Y"),AND(D1391="Other",Inputs!$B$19="Y")))),A1391&lt;&gt;in_ClientOrg,NOT(AND(in_ExclHarvard="Y",ISNUMBER(SEARCH("Harvard",A1391))))),$AD1391="Y",K1391&lt;&gt;"",S1391&gt;0),"Y","")</f>
        <v/>
      </c>
      <c r="V1391" s="30" t="n">
        <v>0.3463202703405772</v>
      </c>
      <c r="W1391" t="inlineStr"/>
      <c r="X1391" s="28">
        <f>IF(L1391+M1391=0,"",L1391+M1391)</f>
        <v/>
      </c>
      <c r="Y1391" s="38">
        <f>IF(L1391=0,"",M1391/L1391)</f>
        <v/>
      </c>
      <c r="Z1391" t="inlineStr">
        <is>
          <t>Managing Director</t>
        </is>
      </c>
      <c r="AA1391" t="inlineStr">
        <is>
          <t>Investments</t>
        </is>
      </c>
      <c r="AB1391" s="50" t="inlineStr"/>
      <c r="AC1391" s="43">
        <f>HYPERLINK("https://projects.propublica.org/nonprofits/organizations/900424876/202403199349306100/full","view filing")</f>
        <v/>
      </c>
      <c r="AD1391" s="50" t="inlineStr"/>
    </row>
    <row r="1392">
      <c r="A1392" t="inlineStr">
        <is>
          <t>Uaw Retiree Medical Benefits Tr</t>
        </is>
      </c>
      <c r="B1392" s="50" t="inlineStr">
        <is>
          <t>MI</t>
        </is>
      </c>
      <c r="C1392" s="52" t="n">
        <v>61.42</v>
      </c>
      <c r="D1392" t="inlineStr">
        <is>
          <t>Pension</t>
        </is>
      </c>
      <c r="E1392" s="50" t="n">
        <v>2022</v>
      </c>
      <c r="F1392" s="50" t="inlineStr">
        <is>
          <t>2023-11-14</t>
        </is>
      </c>
      <c r="G1392" s="50" t="inlineStr">
        <is>
          <t>2022-12-31</t>
        </is>
      </c>
      <c r="H1392" t="inlineStr">
        <is>
          <t>Brian Baumhover</t>
        </is>
      </c>
      <c r="I1392" t="inlineStr">
        <is>
          <t>DIRECTOR-REAL ASSETS</t>
        </is>
      </c>
      <c r="J1392" t="inlineStr">
        <is>
          <t>Investment Manager</t>
        </is>
      </c>
      <c r="K1392" t="inlineStr">
        <is>
          <t>Sr Investment Professional</t>
        </is>
      </c>
      <c r="L1392" s="28" t="n">
        <v>272051</v>
      </c>
      <c r="M1392" s="28" t="n">
        <v>234746</v>
      </c>
      <c r="N1392" s="28" t="n">
        <v>900</v>
      </c>
      <c r="O1392" s="28" t="n">
        <v>20500</v>
      </c>
      <c r="P1392" s="28" t="n">
        <v>23710</v>
      </c>
      <c r="Q1392" s="28" t="n">
        <v>551907</v>
      </c>
      <c r="R1392" s="28" t="n">
        <v>199793</v>
      </c>
      <c r="S1392" s="28">
        <f>Q1392-R1392</f>
        <v/>
      </c>
      <c r="T1392" s="28">
        <f>IF(S1392="","",S1392*(1+in_GrowthRate)^(YEARFRAC(DATE(2022,12,31),in_AgeToDate)*IF(in_AgeToDate&lt;DATE(2022,12,31),-1,1)+1))</f>
        <v/>
      </c>
      <c r="U1392" s="50">
        <f>IF(AND(AND(OR(in_Mode="All Funds",AND(C1392&gt;=in_BandFloor,C1392&lt;=in_BandCeiling,OR(in_Geography="National",COUNTIFS(lst_GeoPreset,in_Geography,lst_GeoState,B1392)&gt;0,AND(in_Geography="Custom",ISNUMBER(SEARCH(B1392,SUBSTITUTE(in_CustomStates," ",""))))),OR(AND(D1392="Endowment",Inputs!$B$14="Y"),AND(D1392="Foundation",Inputs!$B$15="Y"),AND(D1392="Healthcare",Inputs!$B$16="Y"),AND(D1392="Pension",Inputs!$B$17="Y"),AND(D1392="OCIO",Inputs!$B$18="Y"),AND(D1392="Other",Inputs!$B$19="Y")))),A1392&lt;&gt;in_ClientOrg,NOT(AND(in_ExclHarvard="Y",ISNUMBER(SEARCH("Harvard",A1392))))),$AD1392="Y",K1392&lt;&gt;"",S1392&gt;0),"Y","")</f>
        <v/>
      </c>
      <c r="V1392" s="30" t="n">
        <v>0.4418569047905875</v>
      </c>
      <c r="W1392" t="inlineStr"/>
      <c r="X1392" s="28">
        <f>IF(L1392+M1392=0,"",L1392+M1392)</f>
        <v/>
      </c>
      <c r="Y1392" s="38">
        <f>IF(L1392=0,"",M1392/L1392)</f>
        <v/>
      </c>
      <c r="Z1392" t="inlineStr">
        <is>
          <t>Director &amp; Investment Officer</t>
        </is>
      </c>
      <c r="AA1392" t="inlineStr">
        <is>
          <t>Investments</t>
        </is>
      </c>
      <c r="AB1392" s="50" t="inlineStr"/>
      <c r="AC1392" s="43">
        <f>HYPERLINK("https://projects.propublica.org/nonprofits/organizations/900424876/202303189349312525/full","view filing")</f>
        <v/>
      </c>
      <c r="AD1392" s="50" t="inlineStr"/>
    </row>
    <row r="1393">
      <c r="A1393" t="inlineStr">
        <is>
          <t>Uaw Retiree Medical Benefits Tr</t>
        </is>
      </c>
      <c r="B1393" s="50" t="inlineStr">
        <is>
          <t>MI</t>
        </is>
      </c>
      <c r="C1393" s="52" t="n">
        <v>61.42</v>
      </c>
      <c r="D1393" t="inlineStr">
        <is>
          <t>Pension</t>
        </is>
      </c>
      <c r="E1393" s="50" t="n">
        <v>2022</v>
      </c>
      <c r="F1393" s="50" t="inlineStr">
        <is>
          <t>2023-11-14</t>
        </is>
      </c>
      <c r="G1393" s="50" t="inlineStr">
        <is>
          <t>2022-12-31</t>
        </is>
      </c>
      <c r="H1393" t="inlineStr">
        <is>
          <t>Hershel Harper</t>
        </is>
      </c>
      <c r="I1393" t="inlineStr">
        <is>
          <t>CHIEF INVESTMENT OFFICER</t>
        </is>
      </c>
      <c r="J1393" t="inlineStr">
        <is>
          <t>CIO</t>
        </is>
      </c>
      <c r="K1393" t="inlineStr">
        <is>
          <t>CIO - Top Investment Executive</t>
        </is>
      </c>
      <c r="L1393" s="28" t="n">
        <v>599867</v>
      </c>
      <c r="M1393" s="28" t="n">
        <v>1005991</v>
      </c>
      <c r="N1393" s="28" t="n">
        <v>1518</v>
      </c>
      <c r="O1393" s="28" t="n">
        <v>27000</v>
      </c>
      <c r="P1393" s="28" t="n">
        <v>23788</v>
      </c>
      <c r="Q1393" s="28" t="n">
        <v>1658164</v>
      </c>
      <c r="R1393" s="28" t="n">
        <v>861268</v>
      </c>
      <c r="S1393" s="28">
        <f>Q1393-R1393</f>
        <v/>
      </c>
      <c r="T1393" s="28">
        <f>IF(S1393="","",S1393*(1+in_GrowthRate)^(YEARFRAC(DATE(2022,12,31),in_AgeToDate)*IF(in_AgeToDate&lt;DATE(2022,12,31),-1,1)+1))</f>
        <v/>
      </c>
      <c r="U1393" s="50">
        <f>IF(AND(AND(OR(in_Mode="All Funds",AND(C1393&gt;=in_BandFloor,C1393&lt;=in_BandCeiling,OR(in_Geography="National",COUNTIFS(lst_GeoPreset,in_Geography,lst_GeoState,B1393)&gt;0,AND(in_Geography="Custom",ISNUMBER(SEARCH(B1393,SUBSTITUTE(in_CustomStates," ",""))))),OR(AND(D1393="Endowment",Inputs!$B$14="Y"),AND(D1393="Foundation",Inputs!$B$15="Y"),AND(D1393="Healthcare",Inputs!$B$16="Y"),AND(D1393="Pension",Inputs!$B$17="Y"),AND(D1393="OCIO",Inputs!$B$18="Y"),AND(D1393="Other",Inputs!$B$19="Y")))),A1393&lt;&gt;in_ClientOrg,NOT(AND(in_ExclHarvard="Y",ISNUMBER(SEARCH("Harvard",A1393))))),$AD1393="Y",K1393&lt;&gt;"",S1393&gt;0),"Y","")</f>
        <v/>
      </c>
      <c r="V1393" s="30" t="n">
        <v>1</v>
      </c>
      <c r="W1393" t="inlineStr"/>
      <c r="X1393" s="28">
        <f>IF(L1393+M1393=0,"",L1393+M1393)</f>
        <v/>
      </c>
      <c r="Y1393" s="38">
        <f>IF(L1393=0,"",M1393/L1393)</f>
        <v/>
      </c>
      <c r="Z1393" t="inlineStr">
        <is>
          <t>CIO - Top Investment Executive</t>
        </is>
      </c>
      <c r="AA1393" t="inlineStr">
        <is>
          <t>Leadership</t>
        </is>
      </c>
      <c r="AB1393" s="50" t="inlineStr">
        <is>
          <t>Y</t>
        </is>
      </c>
      <c r="AC1393" s="43">
        <f>HYPERLINK("https://projects.propublica.org/nonprofits/organizations/900424876/202303189349312525/full","view filing")</f>
        <v/>
      </c>
      <c r="AD1393" s="50" t="inlineStr"/>
    </row>
    <row r="1394">
      <c r="A1394" t="inlineStr">
        <is>
          <t>Uc Berkeley Management Company</t>
        </is>
      </c>
      <c r="B1394" s="50" t="inlineStr">
        <is>
          <t>CA</t>
        </is>
      </c>
      <c r="C1394" s="52" t="n">
        <v>3.39</v>
      </c>
      <c r="D1394" t="inlineStr">
        <is>
          <t>Endowment</t>
        </is>
      </c>
      <c r="E1394" s="50" t="n">
        <v>2025</v>
      </c>
      <c r="F1394" s="50" t="inlineStr">
        <is>
          <t>2026-05-15</t>
        </is>
      </c>
      <c r="G1394" s="50" t="inlineStr">
        <is>
          <t>2025-06-30</t>
        </is>
      </c>
      <c r="H1394" t="inlineStr">
        <is>
          <t>Catherine Nguyen</t>
        </is>
      </c>
      <c r="I1394" t="inlineStr">
        <is>
          <t>Managing Director of Operations</t>
        </is>
      </c>
      <c r="J1394" t="inlineStr">
        <is>
          <t>Managing Director</t>
        </is>
      </c>
      <c r="K1394" t="inlineStr">
        <is>
          <t>COO (Investment Office)</t>
        </is>
      </c>
      <c r="L1394" s="28" t="n">
        <v>250595</v>
      </c>
      <c r="M1394" s="28" t="n">
        <v>139680</v>
      </c>
      <c r="N1394" s="28" t="n">
        <v>0</v>
      </c>
      <c r="O1394" s="28" t="n">
        <v>44850</v>
      </c>
      <c r="P1394" s="28" t="n">
        <v>25321</v>
      </c>
      <c r="Q1394" s="28" t="n">
        <v>460446</v>
      </c>
      <c r="R1394" s="28" t="n">
        <v>0</v>
      </c>
      <c r="S1394" s="28">
        <f>Q1394-R1394</f>
        <v/>
      </c>
      <c r="T1394" s="28">
        <f>IF(S1394="","",S1394*(1+in_GrowthRate)^(YEARFRAC(DATE(2025,6,30),in_AgeToDate)*IF(in_AgeToDate&lt;DATE(2025,6,30),-1,1)+1))</f>
        <v/>
      </c>
      <c r="U1394" s="50">
        <f>IF(AND(AND(OR(in_Mode="All Funds",AND(C1394&gt;=in_BandFloor,C1394&lt;=in_BandCeiling,OR(in_Geography="National",COUNTIFS(lst_GeoPreset,in_Geography,lst_GeoState,B1394)&gt;0,AND(in_Geography="Custom",ISNUMBER(SEARCH(B1394,SUBSTITUTE(in_CustomStates," ",""))))),OR(AND(D1394="Endowment",Inputs!$B$14="Y"),AND(D1394="Foundation",Inputs!$B$15="Y"),AND(D1394="Healthcare",Inputs!$B$16="Y"),AND(D1394="Pension",Inputs!$B$17="Y"),AND(D1394="OCIO",Inputs!$B$18="Y"),AND(D1394="Other",Inputs!$B$19="Y")))),A1394&lt;&gt;in_ClientOrg,NOT(AND(in_ExclHarvard="Y",ISNUMBER(SEARCH("Harvard",A1394))))),$AD1394="Y",K1394&lt;&gt;"",S1394&gt;0),"Y","")</f>
        <v/>
      </c>
      <c r="V1394" s="30" t="n">
        <v>0.4419228056031442</v>
      </c>
      <c r="W1394" t="inlineStr"/>
      <c r="X1394" s="28">
        <f>IF(L1394+M1394=0,"",L1394+M1394)</f>
        <v/>
      </c>
      <c r="Y1394" s="38">
        <f>IF(L1394=0,"",M1394/L1394)</f>
        <v/>
      </c>
      <c r="Z1394" t="inlineStr">
        <is>
          <t>COO (Investment Office)</t>
        </is>
      </c>
      <c r="AA1394" t="inlineStr">
        <is>
          <t>Operations &amp; Control</t>
        </is>
      </c>
      <c r="AB1394" s="50" t="inlineStr"/>
      <c r="AC1394" s="43">
        <f>HYPERLINK("https://projects.propublica.org/nonprofits/organizations/270652636/202601359349316565/full","view filing")</f>
        <v/>
      </c>
      <c r="AD1394" s="50" t="inlineStr">
        <is>
          <t>Y</t>
        </is>
      </c>
    </row>
    <row r="1395">
      <c r="A1395" t="inlineStr">
        <is>
          <t>Uc Berkeley Management Company</t>
        </is>
      </c>
      <c r="B1395" s="50" t="inlineStr">
        <is>
          <t>CA</t>
        </is>
      </c>
      <c r="C1395" s="52" t="n">
        <v>3.39</v>
      </c>
      <c r="D1395" t="inlineStr">
        <is>
          <t>Endowment</t>
        </is>
      </c>
      <c r="E1395" s="50" t="n">
        <v>2025</v>
      </c>
      <c r="F1395" s="50" t="inlineStr">
        <is>
          <t>2026-05-15</t>
        </is>
      </c>
      <c r="G1395" s="50" t="inlineStr">
        <is>
          <t>2025-06-30</t>
        </is>
      </c>
      <c r="H1395" t="inlineStr">
        <is>
          <t>David Bahr</t>
        </is>
      </c>
      <c r="I1395" t="inlineStr">
        <is>
          <t>Managing Director</t>
        </is>
      </c>
      <c r="J1395" t="inlineStr">
        <is>
          <t>Managing Director</t>
        </is>
      </c>
      <c r="K1395" t="inlineStr">
        <is>
          <t>Sr Investment Professional</t>
        </is>
      </c>
      <c r="L1395" s="28" t="n">
        <v>351237</v>
      </c>
      <c r="M1395" s="28" t="n">
        <v>189162</v>
      </c>
      <c r="N1395" s="28" t="n">
        <v>0</v>
      </c>
      <c r="O1395" s="28" t="n">
        <v>44357</v>
      </c>
      <c r="P1395" s="28" t="n">
        <v>4056</v>
      </c>
      <c r="Q1395" s="28" t="n">
        <v>588812</v>
      </c>
      <c r="R1395" s="28" t="n">
        <v>0</v>
      </c>
      <c r="S1395" s="28">
        <f>Q1395-R1395</f>
        <v/>
      </c>
      <c r="T1395" s="28">
        <f>IF(S1395="","",S1395*(1+in_GrowthRate)^(YEARFRAC(DATE(2025,6,30),in_AgeToDate)*IF(in_AgeToDate&lt;DATE(2025,6,30),-1,1)+1))</f>
        <v/>
      </c>
      <c r="U1395" s="50">
        <f>IF(AND(AND(OR(in_Mode="All Funds",AND(C1395&gt;=in_BandFloor,C1395&lt;=in_BandCeiling,OR(in_Geography="National",COUNTIFS(lst_GeoPreset,in_Geography,lst_GeoState,B1395)&gt;0,AND(in_Geography="Custom",ISNUMBER(SEARCH(B1395,SUBSTITUTE(in_CustomStates," ",""))))),OR(AND(D1395="Endowment",Inputs!$B$14="Y"),AND(D1395="Foundation",Inputs!$B$15="Y"),AND(D1395="Healthcare",Inputs!$B$16="Y"),AND(D1395="Pension",Inputs!$B$17="Y"),AND(D1395="OCIO",Inputs!$B$18="Y"),AND(D1395="Other",Inputs!$B$19="Y")))),A1395&lt;&gt;in_ClientOrg,NOT(AND(in_ExclHarvard="Y",ISNUMBER(SEARCH("Harvard",A1395))))),$AD1395="Y",K1395&lt;&gt;"",S1395&gt;0),"Y","")</f>
        <v/>
      </c>
      <c r="V1395" s="30" t="n">
        <v>0.565124794249051</v>
      </c>
      <c r="W1395" t="inlineStr"/>
      <c r="X1395" s="28">
        <f>IF(L1395+M1395=0,"",L1395+M1395)</f>
        <v/>
      </c>
      <c r="Y1395" s="38">
        <f>IF(L1395=0,"",M1395/L1395)</f>
        <v/>
      </c>
      <c r="Z1395" t="inlineStr">
        <is>
          <t>Managing Director</t>
        </is>
      </c>
      <c r="AA1395" t="inlineStr">
        <is>
          <t>Investments</t>
        </is>
      </c>
      <c r="AB1395" s="50" t="inlineStr"/>
      <c r="AC1395" s="43">
        <f>HYPERLINK("https://projects.propublica.org/nonprofits/organizations/270652636/202601359349316565/full","view filing")</f>
        <v/>
      </c>
      <c r="AD1395" s="50" t="inlineStr">
        <is>
          <t>Y</t>
        </is>
      </c>
    </row>
    <row r="1396">
      <c r="A1396" t="inlineStr">
        <is>
          <t>Uc Berkeley Management Company</t>
        </is>
      </c>
      <c r="B1396" s="50" t="inlineStr">
        <is>
          <t>CA</t>
        </is>
      </c>
      <c r="C1396" s="52" t="n">
        <v>3.39</v>
      </c>
      <c r="D1396" t="inlineStr">
        <is>
          <t>Endowment</t>
        </is>
      </c>
      <c r="E1396" s="50" t="n">
        <v>2025</v>
      </c>
      <c r="F1396" s="50" t="inlineStr">
        <is>
          <t>2026-05-15</t>
        </is>
      </c>
      <c r="G1396" s="50" t="inlineStr">
        <is>
          <t>2025-06-30</t>
        </is>
      </c>
      <c r="H1396" t="inlineStr">
        <is>
          <t>David Mcauliffe</t>
        </is>
      </c>
      <c r="I1396" t="inlineStr">
        <is>
          <t>President &amp; Chief Investment Officer</t>
        </is>
      </c>
      <c r="J1396" t="inlineStr">
        <is>
          <t>CIO</t>
        </is>
      </c>
      <c r="K1396" t="inlineStr">
        <is>
          <t>CIO - Top Investment Executive</t>
        </is>
      </c>
      <c r="L1396" s="28" t="n">
        <v>841597</v>
      </c>
      <c r="M1396" s="28" t="n">
        <v>105625</v>
      </c>
      <c r="N1396" s="28" t="n">
        <v>0</v>
      </c>
      <c r="O1396" s="28" t="n">
        <v>44850</v>
      </c>
      <c r="P1396" s="28" t="n">
        <v>49843</v>
      </c>
      <c r="Q1396" s="28" t="n">
        <v>1041915</v>
      </c>
      <c r="R1396" s="28" t="n">
        <v>0</v>
      </c>
      <c r="S1396" s="28">
        <f>Q1396-R1396</f>
        <v/>
      </c>
      <c r="T1396" s="28">
        <f>IF(S1396="","",S1396*(1+in_GrowthRate)^(YEARFRAC(DATE(2025,6,30),in_AgeToDate)*IF(in_AgeToDate&lt;DATE(2025,6,30),-1,1)+1))</f>
        <v/>
      </c>
      <c r="U1396" s="50">
        <f>IF(AND(AND(OR(in_Mode="All Funds",AND(C1396&gt;=in_BandFloor,C1396&lt;=in_BandCeiling,OR(in_Geography="National",COUNTIFS(lst_GeoPreset,in_Geography,lst_GeoState,B1396)&gt;0,AND(in_Geography="Custom",ISNUMBER(SEARCH(B1396,SUBSTITUTE(in_CustomStates," ",""))))),OR(AND(D1396="Endowment",Inputs!$B$14="Y"),AND(D1396="Foundation",Inputs!$B$15="Y"),AND(D1396="Healthcare",Inputs!$B$16="Y"),AND(D1396="Pension",Inputs!$B$17="Y"),AND(D1396="OCIO",Inputs!$B$18="Y"),AND(D1396="Other",Inputs!$B$19="Y")))),A1396&lt;&gt;in_ClientOrg,NOT(AND(in_ExclHarvard="Y",ISNUMBER(SEARCH("Harvard",A1396))))),$AD1396="Y",K1396&lt;&gt;"",S1396&gt;0),"Y","")</f>
        <v/>
      </c>
      <c r="V1396" s="30" t="n">
        <v>1</v>
      </c>
      <c r="W1396" t="inlineStr"/>
      <c r="X1396" s="28">
        <f>IF(L1396+M1396=0,"",L1396+M1396)</f>
        <v/>
      </c>
      <c r="Y1396" s="38">
        <f>IF(L1396=0,"",M1396/L1396)</f>
        <v/>
      </c>
      <c r="Z1396" t="inlineStr">
        <is>
          <t>CIO - Top Investment Executive</t>
        </is>
      </c>
      <c r="AA1396" t="inlineStr">
        <is>
          <t>Leadership</t>
        </is>
      </c>
      <c r="AB1396" s="50" t="inlineStr">
        <is>
          <t>Y</t>
        </is>
      </c>
      <c r="AC1396" s="43">
        <f>HYPERLINK("https://projects.propublica.org/nonprofits/organizations/270652636/202601359349316565/full","view filing")</f>
        <v/>
      </c>
      <c r="AD1396" s="50" t="inlineStr">
        <is>
          <t>Y</t>
        </is>
      </c>
    </row>
    <row r="1397">
      <c r="A1397" t="inlineStr">
        <is>
          <t>Uc Berkeley Management Company</t>
        </is>
      </c>
      <c r="B1397" s="50" t="inlineStr">
        <is>
          <t>CA</t>
        </is>
      </c>
      <c r="C1397" s="52" t="n">
        <v>3.39</v>
      </c>
      <c r="D1397" t="inlineStr">
        <is>
          <t>Endowment</t>
        </is>
      </c>
      <c r="E1397" s="50" t="n">
        <v>2025</v>
      </c>
      <c r="F1397" s="50" t="inlineStr">
        <is>
          <t>2026-05-15</t>
        </is>
      </c>
      <c r="G1397" s="50" t="inlineStr">
        <is>
          <t>2025-06-30</t>
        </is>
      </c>
      <c r="H1397" t="inlineStr">
        <is>
          <t>Melody Ing</t>
        </is>
      </c>
      <c r="I1397" t="inlineStr">
        <is>
          <t>Managing Director</t>
        </is>
      </c>
      <c r="J1397" t="inlineStr">
        <is>
          <t>Managing Director</t>
        </is>
      </c>
      <c r="K1397" t="inlineStr">
        <is>
          <t>Sr Investment Professional</t>
        </is>
      </c>
      <c r="L1397" s="28" t="n">
        <v>405898</v>
      </c>
      <c r="M1397" s="28" t="n">
        <v>235200</v>
      </c>
      <c r="N1397" s="28" t="n">
        <v>0</v>
      </c>
      <c r="O1397" s="28" t="n">
        <v>44850</v>
      </c>
      <c r="P1397" s="28" t="n">
        <v>14090</v>
      </c>
      <c r="Q1397" s="28" t="n">
        <v>700038</v>
      </c>
      <c r="R1397" s="28" t="n">
        <v>0</v>
      </c>
      <c r="S1397" s="28">
        <f>Q1397-R1397</f>
        <v/>
      </c>
      <c r="T1397" s="28">
        <f>IF(S1397="","",S1397*(1+in_GrowthRate)^(YEARFRAC(DATE(2025,6,30),in_AgeToDate)*IF(in_AgeToDate&lt;DATE(2025,6,30),-1,1)+1))</f>
        <v/>
      </c>
      <c r="U1397" s="50">
        <f>IF(AND(AND(OR(in_Mode="All Funds",AND(C1397&gt;=in_BandFloor,C1397&lt;=in_BandCeiling,OR(in_Geography="National",COUNTIFS(lst_GeoPreset,in_Geography,lst_GeoState,B1397)&gt;0,AND(in_Geography="Custom",ISNUMBER(SEARCH(B1397,SUBSTITUTE(in_CustomStates," ",""))))),OR(AND(D1397="Endowment",Inputs!$B$14="Y"),AND(D1397="Foundation",Inputs!$B$15="Y"),AND(D1397="Healthcare",Inputs!$B$16="Y"),AND(D1397="Pension",Inputs!$B$17="Y"),AND(D1397="OCIO",Inputs!$B$18="Y"),AND(D1397="Other",Inputs!$B$19="Y")))),A1397&lt;&gt;in_ClientOrg,NOT(AND(in_ExclHarvard="Y",ISNUMBER(SEARCH("Harvard",A1397))))),$AD1397="Y",K1397&lt;&gt;"",S1397&gt;0),"Y","")</f>
        <v/>
      </c>
      <c r="V1397" s="30" t="n">
        <v>0.6718763046889622</v>
      </c>
      <c r="W1397" t="inlineStr"/>
      <c r="X1397" s="28">
        <f>IF(L1397+M1397=0,"",L1397+M1397)</f>
        <v/>
      </c>
      <c r="Y1397" s="38">
        <f>IF(L1397=0,"",M1397/L1397)</f>
        <v/>
      </c>
      <c r="Z1397" t="inlineStr">
        <is>
          <t>Managing Director</t>
        </is>
      </c>
      <c r="AA1397" t="inlineStr">
        <is>
          <t>Investments</t>
        </is>
      </c>
      <c r="AB1397" s="50" t="inlineStr"/>
      <c r="AC1397" s="43">
        <f>HYPERLINK("https://projects.propublica.org/nonprofits/organizations/270652636/202601359349316565/full","view filing")</f>
        <v/>
      </c>
      <c r="AD1397" s="50" t="inlineStr">
        <is>
          <t>Y</t>
        </is>
      </c>
    </row>
    <row r="1398">
      <c r="A1398" t="inlineStr">
        <is>
          <t>Uc Berkeley Management Company</t>
        </is>
      </c>
      <c r="B1398" s="50" t="inlineStr">
        <is>
          <t>CA</t>
        </is>
      </c>
      <c r="C1398" s="52" t="n">
        <v>3.39</v>
      </c>
      <c r="D1398" t="inlineStr">
        <is>
          <t>Endowment</t>
        </is>
      </c>
      <c r="E1398" s="50" t="n">
        <v>2024</v>
      </c>
      <c r="F1398" s="50" t="inlineStr">
        <is>
          <t>2025-05-02</t>
        </is>
      </c>
      <c r="G1398" s="50" t="inlineStr">
        <is>
          <t>2024-06-30</t>
        </is>
      </c>
      <c r="H1398" t="inlineStr">
        <is>
          <t>Catherine Nguyen</t>
        </is>
      </c>
      <c r="I1398" t="inlineStr">
        <is>
          <t>MANAGING DIRECTOR OF OPERATIONS</t>
        </is>
      </c>
      <c r="J1398" t="inlineStr">
        <is>
          <t>Managing Director</t>
        </is>
      </c>
      <c r="K1398" t="inlineStr">
        <is>
          <t>COO (Investment Office)</t>
        </is>
      </c>
      <c r="L1398" s="28" t="n">
        <v>232070</v>
      </c>
      <c r="M1398" s="28" t="n">
        <v>141012</v>
      </c>
      <c r="N1398" s="28" t="n">
        <v>0</v>
      </c>
      <c r="O1398" s="28" t="n">
        <v>42900</v>
      </c>
      <c r="P1398" s="28" t="n">
        <v>23445</v>
      </c>
      <c r="Q1398" s="28" t="n">
        <v>439427</v>
      </c>
      <c r="R1398" s="28" t="n">
        <v>0</v>
      </c>
      <c r="S1398" s="28">
        <f>Q1398-R1398</f>
        <v/>
      </c>
      <c r="T1398" s="28">
        <f>IF(S1398="","",S1398*(1+in_GrowthRate)^(YEARFRAC(DATE(2024,6,30),in_AgeToDate)*IF(in_AgeToDate&lt;DATE(2024,6,30),-1,1)+1))</f>
        <v/>
      </c>
      <c r="U1398" s="50">
        <f>IF(AND(AND(OR(in_Mode="All Funds",AND(C1398&gt;=in_BandFloor,C1398&lt;=in_BandCeiling,OR(in_Geography="National",COUNTIFS(lst_GeoPreset,in_Geography,lst_GeoState,B1398)&gt;0,AND(in_Geography="Custom",ISNUMBER(SEARCH(B1398,SUBSTITUTE(in_CustomStates," ",""))))),OR(AND(D1398="Endowment",Inputs!$B$14="Y"),AND(D1398="Foundation",Inputs!$B$15="Y"),AND(D1398="Healthcare",Inputs!$B$16="Y"),AND(D1398="Pension",Inputs!$B$17="Y"),AND(D1398="OCIO",Inputs!$B$18="Y"),AND(D1398="Other",Inputs!$B$19="Y")))),A1398&lt;&gt;in_ClientOrg,NOT(AND(in_ExclHarvard="Y",ISNUMBER(SEARCH("Harvard",A1398))))),$AD1398="Y",K1398&lt;&gt;"",S1398&gt;0),"Y","")</f>
        <v/>
      </c>
      <c r="V1398" s="30" t="n">
        <v>0.3327749560202137</v>
      </c>
      <c r="W1398" t="inlineStr"/>
      <c r="X1398" s="28">
        <f>IF(L1398+M1398=0,"",L1398+M1398)</f>
        <v/>
      </c>
      <c r="Y1398" s="38">
        <f>IF(L1398=0,"",M1398/L1398)</f>
        <v/>
      </c>
      <c r="Z1398" t="inlineStr">
        <is>
          <t>COO (Investment Office)</t>
        </is>
      </c>
      <c r="AA1398" t="inlineStr">
        <is>
          <t>Operations &amp; Control</t>
        </is>
      </c>
      <c r="AB1398" s="50" t="inlineStr"/>
      <c r="AC1398" s="43">
        <f>HYPERLINK("https://projects.propublica.org/nonprofits/organizations/270652636/202511229349302776/full","view filing")</f>
        <v/>
      </c>
      <c r="AD1398" s="50" t="inlineStr"/>
    </row>
    <row r="1399">
      <c r="A1399" t="inlineStr">
        <is>
          <t>Uc Berkeley Management Company</t>
        </is>
      </c>
      <c r="B1399" s="50" t="inlineStr">
        <is>
          <t>CA</t>
        </is>
      </c>
      <c r="C1399" s="52" t="n">
        <v>3.39</v>
      </c>
      <c r="D1399" t="inlineStr">
        <is>
          <t>Endowment</t>
        </is>
      </c>
      <c r="E1399" s="50" t="n">
        <v>2024</v>
      </c>
      <c r="F1399" s="50" t="inlineStr">
        <is>
          <t>2025-05-02</t>
        </is>
      </c>
      <c r="G1399" s="50" t="inlineStr">
        <is>
          <t>2024-06-30</t>
        </is>
      </c>
      <c r="H1399" t="inlineStr">
        <is>
          <t>David Bahr</t>
        </is>
      </c>
      <c r="I1399" t="inlineStr">
        <is>
          <t>MANAGING DIRECTOR</t>
        </is>
      </c>
      <c r="J1399" t="inlineStr">
        <is>
          <t>Managing Director</t>
        </is>
      </c>
      <c r="K1399" t="inlineStr">
        <is>
          <t>Sr Investment Professional</t>
        </is>
      </c>
      <c r="L1399" s="28" t="n">
        <v>326080</v>
      </c>
      <c r="M1399" s="28" t="n">
        <v>206065</v>
      </c>
      <c r="N1399" s="28" t="n">
        <v>0</v>
      </c>
      <c r="O1399" s="28" t="n">
        <v>42900</v>
      </c>
      <c r="P1399" s="28" t="n">
        <v>15476</v>
      </c>
      <c r="Q1399" s="28" t="n">
        <v>590521</v>
      </c>
      <c r="R1399" s="28" t="n">
        <v>0</v>
      </c>
      <c r="S1399" s="28">
        <f>Q1399-R1399</f>
        <v/>
      </c>
      <c r="T1399" s="28">
        <f>IF(S1399="","",S1399*(1+in_GrowthRate)^(YEARFRAC(DATE(2024,6,30),in_AgeToDate)*IF(in_AgeToDate&lt;DATE(2024,6,30),-1,1)+1))</f>
        <v/>
      </c>
      <c r="U1399" s="50">
        <f>IF(AND(AND(OR(in_Mode="All Funds",AND(C1399&gt;=in_BandFloor,C1399&lt;=in_BandCeiling,OR(in_Geography="National",COUNTIFS(lst_GeoPreset,in_Geography,lst_GeoState,B1399)&gt;0,AND(in_Geography="Custom",ISNUMBER(SEARCH(B1399,SUBSTITUTE(in_CustomStates," ",""))))),OR(AND(D1399="Endowment",Inputs!$B$14="Y"),AND(D1399="Foundation",Inputs!$B$15="Y"),AND(D1399="Healthcare",Inputs!$B$16="Y"),AND(D1399="Pension",Inputs!$B$17="Y"),AND(D1399="OCIO",Inputs!$B$18="Y"),AND(D1399="Other",Inputs!$B$19="Y")))),A1399&lt;&gt;in_ClientOrg,NOT(AND(in_ExclHarvard="Y",ISNUMBER(SEARCH("Harvard",A1399))))),$AD1399="Y",K1399&lt;&gt;"",S1399&gt;0),"Y","")</f>
        <v/>
      </c>
      <c r="V1399" s="30" t="n">
        <v>0.4471973724964843</v>
      </c>
      <c r="W1399" t="inlineStr"/>
      <c r="X1399" s="28">
        <f>IF(L1399+M1399=0,"",L1399+M1399)</f>
        <v/>
      </c>
      <c r="Y1399" s="38">
        <f>IF(L1399=0,"",M1399/L1399)</f>
        <v/>
      </c>
      <c r="Z1399" t="inlineStr">
        <is>
          <t>Managing Director</t>
        </is>
      </c>
      <c r="AA1399" t="inlineStr">
        <is>
          <t>Investments</t>
        </is>
      </c>
      <c r="AB1399" s="50" t="inlineStr"/>
      <c r="AC1399" s="43">
        <f>HYPERLINK("https://projects.propublica.org/nonprofits/organizations/270652636/202511229349302776/full","view filing")</f>
        <v/>
      </c>
      <c r="AD1399" s="50" t="inlineStr"/>
    </row>
    <row r="1400">
      <c r="A1400" t="inlineStr">
        <is>
          <t>Uc Berkeley Management Company</t>
        </is>
      </c>
      <c r="B1400" s="50" t="inlineStr">
        <is>
          <t>CA</t>
        </is>
      </c>
      <c r="C1400" s="52" t="n">
        <v>3.39</v>
      </c>
      <c r="D1400" t="inlineStr">
        <is>
          <t>Endowment</t>
        </is>
      </c>
      <c r="E1400" s="50" t="n">
        <v>2024</v>
      </c>
      <c r="F1400" s="50" t="inlineStr">
        <is>
          <t>2025-05-02</t>
        </is>
      </c>
      <c r="G1400" s="50" t="inlineStr">
        <is>
          <t>2024-06-30</t>
        </is>
      </c>
      <c r="H1400" t="inlineStr">
        <is>
          <t>David Mcauliffe</t>
        </is>
      </c>
      <c r="I1400" t="inlineStr">
        <is>
          <t>PRESIDENT &amp; CHIEF INVESTMENT OFFICER</t>
        </is>
      </c>
      <c r="J1400" t="inlineStr">
        <is>
          <t>CIO</t>
        </is>
      </c>
      <c r="K1400" t="inlineStr">
        <is>
          <t>CIO - Top Investment Executive</t>
        </is>
      </c>
      <c r="L1400" s="28" t="n">
        <v>815158</v>
      </c>
      <c r="M1400" s="28" t="n">
        <v>407344</v>
      </c>
      <c r="N1400" s="28" t="n">
        <v>180</v>
      </c>
      <c r="O1400" s="28" t="n">
        <v>42900</v>
      </c>
      <c r="P1400" s="28" t="n">
        <v>54911</v>
      </c>
      <c r="Q1400" s="28" t="n">
        <v>1320493</v>
      </c>
      <c r="R1400" s="28" t="n">
        <v>0</v>
      </c>
      <c r="S1400" s="28">
        <f>Q1400-R1400</f>
        <v/>
      </c>
      <c r="T1400" s="28">
        <f>IF(S1400="","",S1400*(1+in_GrowthRate)^(YEARFRAC(DATE(2024,6,30),in_AgeToDate)*IF(in_AgeToDate&lt;DATE(2024,6,30),-1,1)+1))</f>
        <v/>
      </c>
      <c r="U1400" s="50">
        <f>IF(AND(AND(OR(in_Mode="All Funds",AND(C1400&gt;=in_BandFloor,C1400&lt;=in_BandCeiling,OR(in_Geography="National",COUNTIFS(lst_GeoPreset,in_Geography,lst_GeoState,B1400)&gt;0,AND(in_Geography="Custom",ISNUMBER(SEARCH(B1400,SUBSTITUTE(in_CustomStates," ",""))))),OR(AND(D1400="Endowment",Inputs!$B$14="Y"),AND(D1400="Foundation",Inputs!$B$15="Y"),AND(D1400="Healthcare",Inputs!$B$16="Y"),AND(D1400="Pension",Inputs!$B$17="Y"),AND(D1400="OCIO",Inputs!$B$18="Y"),AND(D1400="Other",Inputs!$B$19="Y")))),A1400&lt;&gt;in_ClientOrg,NOT(AND(in_ExclHarvard="Y",ISNUMBER(SEARCH("Harvard",A1400))))),$AD1400="Y",K1400&lt;&gt;"",S1400&gt;0),"Y","")</f>
        <v/>
      </c>
      <c r="V1400" s="30" t="n">
        <v>1</v>
      </c>
      <c r="W1400" t="inlineStr"/>
      <c r="X1400" s="28">
        <f>IF(L1400+M1400=0,"",L1400+M1400)</f>
        <v/>
      </c>
      <c r="Y1400" s="38">
        <f>IF(L1400=0,"",M1400/L1400)</f>
        <v/>
      </c>
      <c r="Z1400" t="inlineStr">
        <is>
          <t>CIO - Top Investment Executive</t>
        </is>
      </c>
      <c r="AA1400" t="inlineStr">
        <is>
          <t>Leadership</t>
        </is>
      </c>
      <c r="AB1400" s="50" t="inlineStr">
        <is>
          <t>Y</t>
        </is>
      </c>
      <c r="AC1400" s="43">
        <f>HYPERLINK("https://projects.propublica.org/nonprofits/organizations/270652636/202511229349302776/full","view filing")</f>
        <v/>
      </c>
      <c r="AD1400" s="50" t="inlineStr"/>
    </row>
    <row r="1401">
      <c r="A1401" t="inlineStr">
        <is>
          <t>Uc Berkeley Management Company</t>
        </is>
      </c>
      <c r="B1401" s="50" t="inlineStr">
        <is>
          <t>CA</t>
        </is>
      </c>
      <c r="C1401" s="52" t="n">
        <v>3.39</v>
      </c>
      <c r="D1401" t="inlineStr">
        <is>
          <t>Endowment</t>
        </is>
      </c>
      <c r="E1401" s="50" t="n">
        <v>2024</v>
      </c>
      <c r="F1401" s="50" t="inlineStr">
        <is>
          <t>2025-05-02</t>
        </is>
      </c>
      <c r="G1401" s="50" t="inlineStr">
        <is>
          <t>2024-06-30</t>
        </is>
      </c>
      <c r="H1401" t="inlineStr">
        <is>
          <t>Melody Ing</t>
        </is>
      </c>
      <c r="I1401" t="inlineStr">
        <is>
          <t>MANAGING DIRECTOR</t>
        </is>
      </c>
      <c r="J1401" t="inlineStr">
        <is>
          <t>Managing Director</t>
        </is>
      </c>
      <c r="K1401" t="inlineStr">
        <is>
          <t>Sr Investment Professional</t>
        </is>
      </c>
      <c r="L1401" s="28" t="n">
        <v>385081</v>
      </c>
      <c r="M1401" s="28" t="n">
        <v>226669</v>
      </c>
      <c r="N1401" s="28" t="n">
        <v>0</v>
      </c>
      <c r="O1401" s="28" t="n">
        <v>42900</v>
      </c>
      <c r="P1401" s="28" t="n">
        <v>10630</v>
      </c>
      <c r="Q1401" s="28" t="n">
        <v>665280</v>
      </c>
      <c r="R1401" s="28" t="n">
        <v>0</v>
      </c>
      <c r="S1401" s="28">
        <f>Q1401-R1401</f>
        <v/>
      </c>
      <c r="T1401" s="28">
        <f>IF(S1401="","",S1401*(1+in_GrowthRate)^(YEARFRAC(DATE(2024,6,30),in_AgeToDate)*IF(in_AgeToDate&lt;DATE(2024,6,30),-1,1)+1))</f>
        <v/>
      </c>
      <c r="U1401" s="50">
        <f>IF(AND(AND(OR(in_Mode="All Funds",AND(C1401&gt;=in_BandFloor,C1401&lt;=in_BandCeiling,OR(in_Geography="National",COUNTIFS(lst_GeoPreset,in_Geography,lst_GeoState,B1401)&gt;0,AND(in_Geography="Custom",ISNUMBER(SEARCH(B1401,SUBSTITUTE(in_CustomStates," ",""))))),OR(AND(D1401="Endowment",Inputs!$B$14="Y"),AND(D1401="Foundation",Inputs!$B$15="Y"),AND(D1401="Healthcare",Inputs!$B$16="Y"),AND(D1401="Pension",Inputs!$B$17="Y"),AND(D1401="OCIO",Inputs!$B$18="Y"),AND(D1401="Other",Inputs!$B$19="Y")))),A1401&lt;&gt;in_ClientOrg,NOT(AND(in_ExclHarvard="Y",ISNUMBER(SEARCH("Harvard",A1401))))),$AD1401="Y",K1401&lt;&gt;"",S1401&gt;0),"Y","")</f>
        <v/>
      </c>
      <c r="V1401" s="30" t="n">
        <v>0.5038118339135459</v>
      </c>
      <c r="W1401" t="inlineStr"/>
      <c r="X1401" s="28">
        <f>IF(L1401+M1401=0,"",L1401+M1401)</f>
        <v/>
      </c>
      <c r="Y1401" s="38">
        <f>IF(L1401=0,"",M1401/L1401)</f>
        <v/>
      </c>
      <c r="Z1401" t="inlineStr">
        <is>
          <t>Managing Director</t>
        </is>
      </c>
      <c r="AA1401" t="inlineStr">
        <is>
          <t>Investments</t>
        </is>
      </c>
      <c r="AB1401" s="50" t="inlineStr"/>
      <c r="AC1401" s="43">
        <f>HYPERLINK("https://projects.propublica.org/nonprofits/organizations/270652636/202511229349302776/full","view filing")</f>
        <v/>
      </c>
      <c r="AD1401" s="50" t="inlineStr"/>
    </row>
    <row r="1402">
      <c r="A1402" t="inlineStr">
        <is>
          <t>Uc Berkeley Management Company</t>
        </is>
      </c>
      <c r="B1402" s="50" t="inlineStr">
        <is>
          <t>CA</t>
        </is>
      </c>
      <c r="C1402" s="52" t="n">
        <v>3.39</v>
      </c>
      <c r="D1402" t="inlineStr">
        <is>
          <t>Endowment</t>
        </is>
      </c>
      <c r="E1402" s="50" t="n">
        <v>2024</v>
      </c>
      <c r="F1402" s="50" t="inlineStr">
        <is>
          <t>2025-05-02</t>
        </is>
      </c>
      <c r="G1402" s="50" t="inlineStr">
        <is>
          <t>2024-06-30</t>
        </is>
      </c>
      <c r="H1402" t="inlineStr">
        <is>
          <t>Steven Algert</t>
        </is>
      </c>
      <c r="I1402" t="inlineStr">
        <is>
          <t>MANAGING DIRECTOR</t>
        </is>
      </c>
      <c r="J1402" t="inlineStr">
        <is>
          <t>Managing Director</t>
        </is>
      </c>
      <c r="K1402" t="inlineStr">
        <is>
          <t>Sr Investment Professional</t>
        </is>
      </c>
      <c r="L1402" s="28" t="n">
        <v>165275</v>
      </c>
      <c r="M1402" s="28" t="n">
        <v>178500</v>
      </c>
      <c r="N1402" s="28" t="n">
        <v>23722</v>
      </c>
      <c r="O1402" s="28" t="n">
        <v>39315</v>
      </c>
      <c r="P1402" s="28" t="n">
        <v>22025</v>
      </c>
      <c r="Q1402" s="28" t="n">
        <v>428837</v>
      </c>
      <c r="R1402" s="28" t="n">
        <v>0</v>
      </c>
      <c r="S1402" s="28">
        <f>Q1402-R1402</f>
        <v/>
      </c>
      <c r="T1402" s="28">
        <f>IF(S1402="","",S1402*(1+in_GrowthRate)^(YEARFRAC(DATE(2024,6,30),in_AgeToDate)*IF(in_AgeToDate&lt;DATE(2024,6,30),-1,1)+1))</f>
        <v/>
      </c>
      <c r="U1402" s="50">
        <f>IF(AND(AND(OR(in_Mode="All Funds",AND(C1402&gt;=in_BandFloor,C1402&lt;=in_BandCeiling,OR(in_Geography="National",COUNTIFS(lst_GeoPreset,in_Geography,lst_GeoState,B1402)&gt;0,AND(in_Geography="Custom",ISNUMBER(SEARCH(B1402,SUBSTITUTE(in_CustomStates," ",""))))),OR(AND(D1402="Endowment",Inputs!$B$14="Y"),AND(D1402="Foundation",Inputs!$B$15="Y"),AND(D1402="Healthcare",Inputs!$B$16="Y"),AND(D1402="Pension",Inputs!$B$17="Y"),AND(D1402="OCIO",Inputs!$B$18="Y"),AND(D1402="Other",Inputs!$B$19="Y")))),A1402&lt;&gt;in_ClientOrg,NOT(AND(in_ExclHarvard="Y",ISNUMBER(SEARCH("Harvard",A1402))))),$AD1402="Y",K1402&lt;&gt;"",S1402&gt;0),"Y","")</f>
        <v/>
      </c>
      <c r="V1402" s="30" t="n">
        <v>0.3247552239958864</v>
      </c>
      <c r="W1402" t="inlineStr"/>
      <c r="X1402" s="28">
        <f>IF(L1402+M1402=0,"",L1402+M1402)</f>
        <v/>
      </c>
      <c r="Y1402" s="38">
        <f>IF(L1402=0,"",M1402/L1402)</f>
        <v/>
      </c>
      <c r="Z1402" t="inlineStr">
        <is>
          <t>Managing Director</t>
        </is>
      </c>
      <c r="AA1402" t="inlineStr">
        <is>
          <t>Investments</t>
        </is>
      </c>
      <c r="AB1402" s="50" t="inlineStr"/>
      <c r="AC1402" s="43">
        <f>HYPERLINK("https://projects.propublica.org/nonprofits/organizations/270652636/202511229349302776/full","view filing")</f>
        <v/>
      </c>
      <c r="AD1402" s="50" t="inlineStr"/>
    </row>
    <row r="1403">
      <c r="A1403" t="inlineStr">
        <is>
          <t>Uc Berkeley Management Company</t>
        </is>
      </c>
      <c r="B1403" s="50" t="inlineStr">
        <is>
          <t>CA</t>
        </is>
      </c>
      <c r="C1403" s="52" t="n">
        <v>3.39</v>
      </c>
      <c r="D1403" t="inlineStr">
        <is>
          <t>Endowment</t>
        </is>
      </c>
      <c r="E1403" s="50" t="n">
        <v>2023</v>
      </c>
      <c r="F1403" s="50" t="inlineStr">
        <is>
          <t>2024-05-13</t>
        </is>
      </c>
      <c r="G1403" s="50" t="inlineStr">
        <is>
          <t>2023-06-30</t>
        </is>
      </c>
      <c r="H1403" t="inlineStr">
        <is>
          <t>Annika Ulrich</t>
        </is>
      </c>
      <c r="I1403" t="inlineStr">
        <is>
          <t>INVESTMENT ASSOCIATE</t>
        </is>
      </c>
      <c r="J1403" t="inlineStr">
        <is>
          <t>Associate</t>
        </is>
      </c>
      <c r="K1403" t="inlineStr">
        <is>
          <t>Sr Investment Professional</t>
        </is>
      </c>
      <c r="L1403" s="28" t="n">
        <v>124316</v>
      </c>
      <c r="M1403" s="28" t="n">
        <v>46080</v>
      </c>
      <c r="N1403" s="28" t="n">
        <v>998</v>
      </c>
      <c r="O1403" s="28" t="n">
        <v>22547</v>
      </c>
      <c r="P1403" s="28" t="n">
        <v>18294</v>
      </c>
      <c r="Q1403" s="28" t="n">
        <v>212235</v>
      </c>
      <c r="R1403" s="28" t="n">
        <v>0</v>
      </c>
      <c r="S1403" s="28">
        <f>Q1403-R1403</f>
        <v/>
      </c>
      <c r="T1403" s="28">
        <f>IF(S1403="","",S1403*(1+in_GrowthRate)^(YEARFRAC(DATE(2023,6,30),in_AgeToDate)*IF(in_AgeToDate&lt;DATE(2023,6,30),-1,1)+1))</f>
        <v/>
      </c>
      <c r="U1403" s="50">
        <f>IF(AND(AND(OR(in_Mode="All Funds",AND(C1403&gt;=in_BandFloor,C1403&lt;=in_BandCeiling,OR(in_Geography="National",COUNTIFS(lst_GeoPreset,in_Geography,lst_GeoState,B1403)&gt;0,AND(in_Geography="Custom",ISNUMBER(SEARCH(B1403,SUBSTITUTE(in_CustomStates," ",""))))),OR(AND(D1403="Endowment",Inputs!$B$14="Y"),AND(D1403="Foundation",Inputs!$B$15="Y"),AND(D1403="Healthcare",Inputs!$B$16="Y"),AND(D1403="Pension",Inputs!$B$17="Y"),AND(D1403="OCIO",Inputs!$B$18="Y"),AND(D1403="Other",Inputs!$B$19="Y")))),A1403&lt;&gt;in_ClientOrg,NOT(AND(in_ExclHarvard="Y",ISNUMBER(SEARCH("Harvard",A1403))))),$AD1403="Y",K1403&lt;&gt;"",S1403&gt;0),"Y","")</f>
        <v/>
      </c>
      <c r="V1403" s="30" t="n">
        <v>0.150561319499867</v>
      </c>
      <c r="W1403" t="inlineStr"/>
      <c r="X1403" s="28">
        <f>IF(L1403+M1403=0,"",L1403+M1403)</f>
        <v/>
      </c>
      <c r="Y1403" s="38">
        <f>IF(L1403=0,"",M1403/L1403)</f>
        <v/>
      </c>
      <c r="Z1403" t="inlineStr">
        <is>
          <t>Other investment staff</t>
        </is>
      </c>
      <c r="AA1403" t="inlineStr">
        <is>
          <t>Investments</t>
        </is>
      </c>
      <c r="AB1403" s="50" t="inlineStr"/>
      <c r="AC1403" s="43">
        <f>HYPERLINK("https://projects.propublica.org/nonprofits/organizations/270652636/202401349349302270/full","view filing")</f>
        <v/>
      </c>
      <c r="AD1403" s="50" t="inlineStr"/>
    </row>
    <row r="1404">
      <c r="A1404" t="inlineStr">
        <is>
          <t>Uc Berkeley Management Company</t>
        </is>
      </c>
      <c r="B1404" s="50" t="inlineStr">
        <is>
          <t>CA</t>
        </is>
      </c>
      <c r="C1404" s="52" t="n">
        <v>3.39</v>
      </c>
      <c r="D1404" t="inlineStr">
        <is>
          <t>Endowment</t>
        </is>
      </c>
      <c r="E1404" s="50" t="n">
        <v>2023</v>
      </c>
      <c r="F1404" s="50" t="inlineStr">
        <is>
          <t>2024-05-13</t>
        </is>
      </c>
      <c r="G1404" s="50" t="inlineStr">
        <is>
          <t>2023-06-30</t>
        </is>
      </c>
      <c r="H1404" t="inlineStr">
        <is>
          <t>Catherine Nguyen</t>
        </is>
      </c>
      <c r="I1404" t="inlineStr">
        <is>
          <t>OPERATIONS DIRECTOR</t>
        </is>
      </c>
      <c r="J1404" t="inlineStr">
        <is>
          <t>Head of Inv Ops (Inv Entity)</t>
        </is>
      </c>
      <c r="K1404" t="inlineStr">
        <is>
          <t>COO (Investment Office)</t>
        </is>
      </c>
      <c r="L1404" s="28" t="n">
        <v>214729</v>
      </c>
      <c r="M1404" s="28" t="n">
        <v>135216</v>
      </c>
      <c r="N1404" s="28" t="n">
        <v>3504</v>
      </c>
      <c r="O1404" s="28" t="n">
        <v>39650</v>
      </c>
      <c r="P1404" s="28" t="n">
        <v>18294</v>
      </c>
      <c r="Q1404" s="28" t="n">
        <v>411393</v>
      </c>
      <c r="R1404" s="28" t="n">
        <v>0</v>
      </c>
      <c r="S1404" s="28">
        <f>Q1404-R1404</f>
        <v/>
      </c>
      <c r="T1404" s="28">
        <f>IF(S1404="","",S1404*(1+in_GrowthRate)^(YEARFRAC(DATE(2023,6,30),in_AgeToDate)*IF(in_AgeToDate&lt;DATE(2023,6,30),-1,1)+1))</f>
        <v/>
      </c>
      <c r="U1404" s="50">
        <f>IF(AND(AND(OR(in_Mode="All Funds",AND(C1404&gt;=in_BandFloor,C1404&lt;=in_BandCeiling,OR(in_Geography="National",COUNTIFS(lst_GeoPreset,in_Geography,lst_GeoState,B1404)&gt;0,AND(in_Geography="Custom",ISNUMBER(SEARCH(B1404,SUBSTITUTE(in_CustomStates," ",""))))),OR(AND(D1404="Endowment",Inputs!$B$14="Y"),AND(D1404="Foundation",Inputs!$B$15="Y"),AND(D1404="Healthcare",Inputs!$B$16="Y"),AND(D1404="Pension",Inputs!$B$17="Y"),AND(D1404="OCIO",Inputs!$B$18="Y"),AND(D1404="Other",Inputs!$B$19="Y")))),A1404&lt;&gt;in_ClientOrg,NOT(AND(in_ExclHarvard="Y",ISNUMBER(SEARCH("Harvard",A1404))))),$AD1404="Y",K1404&lt;&gt;"",S1404&gt;0),"Y","")</f>
        <v/>
      </c>
      <c r="V1404" s="30" t="n">
        <v>0.2918457036445863</v>
      </c>
      <c r="W1404" t="inlineStr"/>
      <c r="X1404" s="28">
        <f>IF(L1404+M1404=0,"",L1404+M1404)</f>
        <v/>
      </c>
      <c r="Y1404" s="38">
        <f>IF(L1404=0,"",M1404/L1404)</f>
        <v/>
      </c>
      <c r="Z1404" t="inlineStr">
        <is>
          <t>COO (Investment Office)</t>
        </is>
      </c>
      <c r="AA1404" t="inlineStr">
        <is>
          <t>Operations &amp; Control</t>
        </is>
      </c>
      <c r="AB1404" s="50" t="inlineStr"/>
      <c r="AC1404" s="43">
        <f>HYPERLINK("https://projects.propublica.org/nonprofits/organizations/270652636/202401349349302270/full","view filing")</f>
        <v/>
      </c>
      <c r="AD1404" s="50" t="inlineStr"/>
    </row>
    <row r="1405">
      <c r="A1405" t="inlineStr">
        <is>
          <t>Uc Berkeley Management Company</t>
        </is>
      </c>
      <c r="B1405" s="50" t="inlineStr">
        <is>
          <t>CA</t>
        </is>
      </c>
      <c r="C1405" s="52" t="n">
        <v>3.39</v>
      </c>
      <c r="D1405" t="inlineStr">
        <is>
          <t>Endowment</t>
        </is>
      </c>
      <c r="E1405" s="50" t="n">
        <v>2023</v>
      </c>
      <c r="F1405" s="50" t="inlineStr">
        <is>
          <t>2024-05-13</t>
        </is>
      </c>
      <c r="G1405" s="50" t="inlineStr">
        <is>
          <t>2023-06-30</t>
        </is>
      </c>
      <c r="H1405" t="inlineStr">
        <is>
          <t>David Bahr</t>
        </is>
      </c>
      <c r="I1405" t="inlineStr">
        <is>
          <t>INVESTMENT OFFICER</t>
        </is>
      </c>
      <c r="J1405" t="inlineStr">
        <is>
          <t>Investment Officer</t>
        </is>
      </c>
      <c r="K1405" t="inlineStr">
        <is>
          <t>Sr Investment Professional</t>
        </is>
      </c>
      <c r="L1405" s="28" t="n">
        <v>302121</v>
      </c>
      <c r="M1405" s="28" t="n">
        <v>187898</v>
      </c>
      <c r="N1405" s="28" t="n">
        <v>3697</v>
      </c>
      <c r="O1405" s="28" t="n">
        <v>39650</v>
      </c>
      <c r="P1405" s="28" t="n">
        <v>18294</v>
      </c>
      <c r="Q1405" s="28" t="n">
        <v>551660</v>
      </c>
      <c r="R1405" s="28" t="n">
        <v>0</v>
      </c>
      <c r="S1405" s="28">
        <f>Q1405-R1405</f>
        <v/>
      </c>
      <c r="T1405" s="28">
        <f>IF(S1405="","",S1405*(1+in_GrowthRate)^(YEARFRAC(DATE(2023,6,30),in_AgeToDate)*IF(in_AgeToDate&lt;DATE(2023,6,30),-1,1)+1))</f>
        <v/>
      </c>
      <c r="U1405" s="50">
        <f>IF(AND(AND(OR(in_Mode="All Funds",AND(C1405&gt;=in_BandFloor,C1405&lt;=in_BandCeiling,OR(in_Geography="National",COUNTIFS(lst_GeoPreset,in_Geography,lst_GeoState,B1405)&gt;0,AND(in_Geography="Custom",ISNUMBER(SEARCH(B1405,SUBSTITUTE(in_CustomStates," ",""))))),OR(AND(D1405="Endowment",Inputs!$B$14="Y"),AND(D1405="Foundation",Inputs!$B$15="Y"),AND(D1405="Healthcare",Inputs!$B$16="Y"),AND(D1405="Pension",Inputs!$B$17="Y"),AND(D1405="OCIO",Inputs!$B$18="Y"),AND(D1405="Other",Inputs!$B$19="Y")))),A1405&lt;&gt;in_ClientOrg,NOT(AND(in_ExclHarvard="Y",ISNUMBER(SEARCH("Harvard",A1405))))),$AD1405="Y",K1405&lt;&gt;"",S1405&gt;0),"Y","")</f>
        <v/>
      </c>
      <c r="V1405" s="30" t="n">
        <v>0.3913523100115279</v>
      </c>
      <c r="W1405" t="inlineStr"/>
      <c r="X1405" s="28">
        <f>IF(L1405+M1405=0,"",L1405+M1405)</f>
        <v/>
      </c>
      <c r="Y1405" s="38">
        <f>IF(L1405=0,"",M1405/L1405)</f>
        <v/>
      </c>
      <c r="Z1405" t="inlineStr">
        <is>
          <t>Director &amp; Investment Officer</t>
        </is>
      </c>
      <c r="AA1405" t="inlineStr">
        <is>
          <t>Investments</t>
        </is>
      </c>
      <c r="AB1405" s="50" t="inlineStr"/>
      <c r="AC1405" s="43">
        <f>HYPERLINK("https://projects.propublica.org/nonprofits/organizations/270652636/202401349349302270/full","view filing")</f>
        <v/>
      </c>
      <c r="AD1405" s="50" t="inlineStr"/>
    </row>
    <row r="1406">
      <c r="A1406" t="inlineStr">
        <is>
          <t>Uc Berkeley Management Company</t>
        </is>
      </c>
      <c r="B1406" s="50" t="inlineStr">
        <is>
          <t>CA</t>
        </is>
      </c>
      <c r="C1406" s="52" t="n">
        <v>3.39</v>
      </c>
      <c r="D1406" t="inlineStr">
        <is>
          <t>Endowment</t>
        </is>
      </c>
      <c r="E1406" s="50" t="n">
        <v>2023</v>
      </c>
      <c r="F1406" s="50" t="inlineStr">
        <is>
          <t>2024-05-13</t>
        </is>
      </c>
      <c r="G1406" s="50" t="inlineStr">
        <is>
          <t>2023-06-30</t>
        </is>
      </c>
      <c r="H1406" t="inlineStr">
        <is>
          <t>David Mcauliffe</t>
        </is>
      </c>
      <c r="I1406" t="inlineStr">
        <is>
          <t>PRESIDENT AND CIO</t>
        </is>
      </c>
      <c r="J1406" t="inlineStr">
        <is>
          <t>CIO</t>
        </is>
      </c>
      <c r="K1406" t="inlineStr">
        <is>
          <t>CIO - Top Investment Executive</t>
        </is>
      </c>
      <c r="L1406" s="28" t="n">
        <v>778724</v>
      </c>
      <c r="M1406" s="28" t="n">
        <v>530000</v>
      </c>
      <c r="N1406" s="28" t="n">
        <v>5820</v>
      </c>
      <c r="O1406" s="28" t="n">
        <v>39650</v>
      </c>
      <c r="P1406" s="28" t="n">
        <v>55431</v>
      </c>
      <c r="Q1406" s="28" t="n">
        <v>1409625</v>
      </c>
      <c r="R1406" s="28" t="n">
        <v>0</v>
      </c>
      <c r="S1406" s="28">
        <f>Q1406-R1406</f>
        <v/>
      </c>
      <c r="T1406" s="28">
        <f>IF(S1406="","",S1406*(1+in_GrowthRate)^(YEARFRAC(DATE(2023,6,30),in_AgeToDate)*IF(in_AgeToDate&lt;DATE(2023,6,30),-1,1)+1))</f>
        <v/>
      </c>
      <c r="U1406" s="50">
        <f>IF(AND(AND(OR(in_Mode="All Funds",AND(C1406&gt;=in_BandFloor,C1406&lt;=in_BandCeiling,OR(in_Geography="National",COUNTIFS(lst_GeoPreset,in_Geography,lst_GeoState,B1406)&gt;0,AND(in_Geography="Custom",ISNUMBER(SEARCH(B1406,SUBSTITUTE(in_CustomStates," ",""))))),OR(AND(D1406="Endowment",Inputs!$B$14="Y"),AND(D1406="Foundation",Inputs!$B$15="Y"),AND(D1406="Healthcare",Inputs!$B$16="Y"),AND(D1406="Pension",Inputs!$B$17="Y"),AND(D1406="OCIO",Inputs!$B$18="Y"),AND(D1406="Other",Inputs!$B$19="Y")))),A1406&lt;&gt;in_ClientOrg,NOT(AND(in_ExclHarvard="Y",ISNUMBER(SEARCH("Harvard",A1406))))),$AD1406="Y",K1406&lt;&gt;"",S1406&gt;0),"Y","")</f>
        <v/>
      </c>
      <c r="V1406" s="30" t="n">
        <v>1</v>
      </c>
      <c r="W1406" t="inlineStr"/>
      <c r="X1406" s="28">
        <f>IF(L1406+M1406=0,"",L1406+M1406)</f>
        <v/>
      </c>
      <c r="Y1406" s="38">
        <f>IF(L1406=0,"",M1406/L1406)</f>
        <v/>
      </c>
      <c r="Z1406" t="inlineStr">
        <is>
          <t>CIO - Top Investment Executive</t>
        </is>
      </c>
      <c r="AA1406" t="inlineStr">
        <is>
          <t>Leadership</t>
        </is>
      </c>
      <c r="AB1406" s="50" t="inlineStr">
        <is>
          <t>Y</t>
        </is>
      </c>
      <c r="AC1406" s="43">
        <f>HYPERLINK("https://projects.propublica.org/nonprofits/organizations/270652636/202401349349302270/full","view filing")</f>
        <v/>
      </c>
      <c r="AD1406" s="50" t="inlineStr"/>
    </row>
    <row r="1407">
      <c r="A1407" t="inlineStr">
        <is>
          <t>Uc Berkeley Management Company</t>
        </is>
      </c>
      <c r="B1407" s="50" t="inlineStr">
        <is>
          <t>CA</t>
        </is>
      </c>
      <c r="C1407" s="52" t="n">
        <v>3.39</v>
      </c>
      <c r="D1407" t="inlineStr">
        <is>
          <t>Endowment</t>
        </is>
      </c>
      <c r="E1407" s="50" t="n">
        <v>2023</v>
      </c>
      <c r="F1407" s="50" t="inlineStr">
        <is>
          <t>2024-05-13</t>
        </is>
      </c>
      <c r="G1407" s="50" t="inlineStr">
        <is>
          <t>2023-06-30</t>
        </is>
      </c>
      <c r="H1407" t="inlineStr">
        <is>
          <t>Loraine Binion</t>
        </is>
      </c>
      <c r="I1407" t="inlineStr">
        <is>
          <t>TREASURER</t>
        </is>
      </c>
      <c r="J1407" t="inlineStr">
        <is>
          <t>Corporate Officer (Inv Entity)</t>
        </is>
      </c>
      <c r="K1407" t="inlineStr">
        <is>
          <t>Other disclosed professionals</t>
        </is>
      </c>
      <c r="L1407" s="28" t="n">
        <v>219685</v>
      </c>
      <c r="M1407" s="28" t="n">
        <v>0</v>
      </c>
      <c r="N1407" s="28" t="n">
        <v>0</v>
      </c>
      <c r="O1407" s="28" t="n">
        <v>32014</v>
      </c>
      <c r="P1407" s="28" t="n">
        <v>7955</v>
      </c>
      <c r="Q1407" s="28" t="n">
        <v>259654</v>
      </c>
      <c r="R1407" s="28" t="n">
        <v>0</v>
      </c>
      <c r="S1407" s="28">
        <f>Q1407-R1407</f>
        <v/>
      </c>
      <c r="T1407" s="28">
        <f>IF(S1407="","",S1407*(1+in_GrowthRate)^(YEARFRAC(DATE(2023,6,30),in_AgeToDate)*IF(in_AgeToDate&lt;DATE(2023,6,30),-1,1)+1))</f>
        <v/>
      </c>
      <c r="U1407" s="50">
        <f>IF(AND(AND(OR(in_Mode="All Funds",AND(C1407&gt;=in_BandFloor,C1407&lt;=in_BandCeiling,OR(in_Geography="National",COUNTIFS(lst_GeoPreset,in_Geography,lst_GeoState,B1407)&gt;0,AND(in_Geography="Custom",ISNUMBER(SEARCH(B1407,SUBSTITUTE(in_CustomStates," ",""))))),OR(AND(D1407="Endowment",Inputs!$B$14="Y"),AND(D1407="Foundation",Inputs!$B$15="Y"),AND(D1407="Healthcare",Inputs!$B$16="Y"),AND(D1407="Pension",Inputs!$B$17="Y"),AND(D1407="OCIO",Inputs!$B$18="Y"),AND(D1407="Other",Inputs!$B$19="Y")))),A1407&lt;&gt;in_ClientOrg,NOT(AND(in_ExclHarvard="Y",ISNUMBER(SEARCH("Harvard",A1407))))),$AD1407="Y",K1407&lt;&gt;"",S1407&gt;0),"Y","")</f>
        <v/>
      </c>
      <c r="V1407" s="30" t="n">
        <v>0.1842007626141704</v>
      </c>
      <c r="W1407" t="inlineStr">
        <is>
          <t>Other disclosed professionals</t>
        </is>
      </c>
      <c r="X1407" s="28">
        <f>IF(L1407+M1407=0,"",L1407+M1407)</f>
        <v/>
      </c>
      <c r="Y1407" s="38">
        <f>IF(L1407=0,"",M1407/L1407)</f>
        <v/>
      </c>
      <c r="Z1407" t="inlineStr">
        <is>
          <t>Other disclosed professionals</t>
        </is>
      </c>
      <c r="AA1407" t="inlineStr">
        <is>
          <t>Operations &amp; Control</t>
        </is>
      </c>
      <c r="AB1407" s="50" t="inlineStr"/>
      <c r="AC1407" s="43">
        <f>HYPERLINK("https://projects.propublica.org/nonprofits/organizations/270652636/202401349349302270/full","view filing")</f>
        <v/>
      </c>
      <c r="AD1407" s="50" t="inlineStr"/>
    </row>
    <row r="1408">
      <c r="A1408" t="inlineStr">
        <is>
          <t>Uc Berkeley Management Company</t>
        </is>
      </c>
      <c r="B1408" s="50" t="inlineStr">
        <is>
          <t>CA</t>
        </is>
      </c>
      <c r="C1408" s="52" t="n">
        <v>3.39</v>
      </c>
      <c r="D1408" t="inlineStr">
        <is>
          <t>Endowment</t>
        </is>
      </c>
      <c r="E1408" s="50" t="n">
        <v>2023</v>
      </c>
      <c r="F1408" s="50" t="inlineStr">
        <is>
          <t>2024-05-13</t>
        </is>
      </c>
      <c r="G1408" s="50" t="inlineStr">
        <is>
          <t>2023-06-30</t>
        </is>
      </c>
      <c r="H1408" t="inlineStr">
        <is>
          <t>Melody Ing</t>
        </is>
      </c>
      <c r="I1408" t="inlineStr">
        <is>
          <t>INVESTMENT OFFICER</t>
        </is>
      </c>
      <c r="J1408" t="inlineStr">
        <is>
          <t>Investment Officer</t>
        </is>
      </c>
      <c r="K1408" t="inlineStr">
        <is>
          <t>Sr Investment Professional</t>
        </is>
      </c>
      <c r="L1408" s="28" t="n">
        <v>339038</v>
      </c>
      <c r="M1408" s="28" t="n">
        <v>241882</v>
      </c>
      <c r="N1408" s="28" t="n">
        <v>4003</v>
      </c>
      <c r="O1408" s="28" t="n">
        <v>39650</v>
      </c>
      <c r="P1408" s="28" t="n">
        <v>12348</v>
      </c>
      <c r="Q1408" s="28" t="n">
        <v>636921</v>
      </c>
      <c r="R1408" s="28" t="n">
        <v>0</v>
      </c>
      <c r="S1408" s="28">
        <f>Q1408-R1408</f>
        <v/>
      </c>
      <c r="T1408" s="28">
        <f>IF(S1408="","",S1408*(1+in_GrowthRate)^(YEARFRAC(DATE(2023,6,30),in_AgeToDate)*IF(in_AgeToDate&lt;DATE(2023,6,30),-1,1)+1))</f>
        <v/>
      </c>
      <c r="U1408" s="50">
        <f>IF(AND(AND(OR(in_Mode="All Funds",AND(C1408&gt;=in_BandFloor,C1408&lt;=in_BandCeiling,OR(in_Geography="National",COUNTIFS(lst_GeoPreset,in_Geography,lst_GeoState,B1408)&gt;0,AND(in_Geography="Custom",ISNUMBER(SEARCH(B1408,SUBSTITUTE(in_CustomStates," ",""))))),OR(AND(D1408="Endowment",Inputs!$B$14="Y"),AND(D1408="Foundation",Inputs!$B$15="Y"),AND(D1408="Healthcare",Inputs!$B$16="Y"),AND(D1408="Pension",Inputs!$B$17="Y"),AND(D1408="OCIO",Inputs!$B$18="Y"),AND(D1408="Other",Inputs!$B$19="Y")))),A1408&lt;&gt;in_ClientOrg,NOT(AND(in_ExclHarvard="Y",ISNUMBER(SEARCH("Harvard",A1408))))),$AD1408="Y",K1408&lt;&gt;"",S1408&gt;0),"Y","")</f>
        <v/>
      </c>
      <c r="V1408" s="30" t="n">
        <v>0.4518371907422187</v>
      </c>
      <c r="W1408" t="inlineStr"/>
      <c r="X1408" s="28">
        <f>IF(L1408+M1408=0,"",L1408+M1408)</f>
        <v/>
      </c>
      <c r="Y1408" s="38">
        <f>IF(L1408=0,"",M1408/L1408)</f>
        <v/>
      </c>
      <c r="Z1408" t="inlineStr">
        <is>
          <t>Director &amp; Investment Officer</t>
        </is>
      </c>
      <c r="AA1408" t="inlineStr">
        <is>
          <t>Investments</t>
        </is>
      </c>
      <c r="AB1408" s="50" t="inlineStr"/>
      <c r="AC1408" s="43">
        <f>HYPERLINK("https://projects.propublica.org/nonprofits/organizations/270652636/202401349349302270/full","view filing")</f>
        <v/>
      </c>
      <c r="AD1408" s="50" t="inlineStr"/>
    </row>
    <row r="1409">
      <c r="A1409" t="inlineStr">
        <is>
          <t>Uc Berkeley Management Company</t>
        </is>
      </c>
      <c r="B1409" s="50" t="inlineStr">
        <is>
          <t>CA</t>
        </is>
      </c>
      <c r="C1409" s="52" t="n">
        <v>3.39</v>
      </c>
      <c r="D1409" t="inlineStr">
        <is>
          <t>Endowment</t>
        </is>
      </c>
      <c r="E1409" s="50" t="n">
        <v>2023</v>
      </c>
      <c r="F1409" s="50" t="inlineStr">
        <is>
          <t>2024-05-13</t>
        </is>
      </c>
      <c r="G1409" s="50" t="inlineStr">
        <is>
          <t>2023-06-30</t>
        </is>
      </c>
      <c r="H1409" t="inlineStr">
        <is>
          <t>Steven Algert</t>
        </is>
      </c>
      <c r="I1409" t="inlineStr">
        <is>
          <t>INVESTMENT OFFICER</t>
        </is>
      </c>
      <c r="J1409" t="inlineStr">
        <is>
          <t>Investment Officer</t>
        </is>
      </c>
      <c r="K1409" t="inlineStr">
        <is>
          <t>Sr Investment Professional</t>
        </is>
      </c>
      <c r="L1409" s="28" t="n">
        <v>324833</v>
      </c>
      <c r="M1409" s="28" t="n">
        <v>185130</v>
      </c>
      <c r="N1409" s="28" t="n">
        <v>3365</v>
      </c>
      <c r="O1409" s="28" t="n">
        <v>39650</v>
      </c>
      <c r="P1409" s="28" t="n">
        <v>45192</v>
      </c>
      <c r="Q1409" s="28" t="n">
        <v>598170</v>
      </c>
      <c r="R1409" s="28" t="n">
        <v>0</v>
      </c>
      <c r="S1409" s="28">
        <f>Q1409-R1409</f>
        <v/>
      </c>
      <c r="T1409" s="28">
        <f>IF(S1409="","",S1409*(1+in_GrowthRate)^(YEARFRAC(DATE(2023,6,30),in_AgeToDate)*IF(in_AgeToDate&lt;DATE(2023,6,30),-1,1)+1))</f>
        <v/>
      </c>
      <c r="U1409" s="50">
        <f>IF(AND(AND(OR(in_Mode="All Funds",AND(C1409&gt;=in_BandFloor,C1409&lt;=in_BandCeiling,OR(in_Geography="National",COUNTIFS(lst_GeoPreset,in_Geography,lst_GeoState,B1409)&gt;0,AND(in_Geography="Custom",ISNUMBER(SEARCH(B1409,SUBSTITUTE(in_CustomStates," ",""))))),OR(AND(D1409="Endowment",Inputs!$B$14="Y"),AND(D1409="Foundation",Inputs!$B$15="Y"),AND(D1409="Healthcare",Inputs!$B$16="Y"),AND(D1409="Pension",Inputs!$B$17="Y"),AND(D1409="OCIO",Inputs!$B$18="Y"),AND(D1409="Other",Inputs!$B$19="Y")))),A1409&lt;&gt;in_ClientOrg,NOT(AND(in_ExclHarvard="Y",ISNUMBER(SEARCH("Harvard",A1409))))),$AD1409="Y",K1409&lt;&gt;"",S1409&gt;0),"Y","")</f>
        <v/>
      </c>
      <c r="V1409" s="30" t="n">
        <v>0.4243469007714818</v>
      </c>
      <c r="W1409" t="inlineStr"/>
      <c r="X1409" s="28">
        <f>IF(L1409+M1409=0,"",L1409+M1409)</f>
        <v/>
      </c>
      <c r="Y1409" s="38">
        <f>IF(L1409=0,"",M1409/L1409)</f>
        <v/>
      </c>
      <c r="Z1409" t="inlineStr">
        <is>
          <t>Director &amp; Investment Officer</t>
        </is>
      </c>
      <c r="AA1409" t="inlineStr">
        <is>
          <t>Investments</t>
        </is>
      </c>
      <c r="AB1409" s="50" t="inlineStr"/>
      <c r="AC1409" s="43">
        <f>HYPERLINK("https://projects.propublica.org/nonprofits/organizations/270652636/202401349349302270/full","view filing")</f>
        <v/>
      </c>
      <c r="AD1409" s="50" t="inlineStr"/>
    </row>
    <row r="1410">
      <c r="A1410" t="inlineStr">
        <is>
          <t>Uc Berkeley Management Company</t>
        </is>
      </c>
      <c r="B1410" s="50" t="inlineStr">
        <is>
          <t>CA</t>
        </is>
      </c>
      <c r="C1410" s="52" t="n">
        <v>3.39</v>
      </c>
      <c r="D1410" t="inlineStr">
        <is>
          <t>Endowment</t>
        </is>
      </c>
      <c r="E1410" s="50" t="n">
        <v>2022</v>
      </c>
      <c r="F1410" s="50" t="inlineStr">
        <is>
          <t>2023-05-11</t>
        </is>
      </c>
      <c r="G1410" s="50" t="inlineStr">
        <is>
          <t>2022-06-30</t>
        </is>
      </c>
      <c r="H1410" t="inlineStr">
        <is>
          <t>Catherine Nguyen</t>
        </is>
      </c>
      <c r="I1410" t="inlineStr">
        <is>
          <t>OPERATIONS DIRECTOR</t>
        </is>
      </c>
      <c r="J1410" t="inlineStr">
        <is>
          <t>Head of Inv Ops (Inv Entity)</t>
        </is>
      </c>
      <c r="K1410" t="inlineStr">
        <is>
          <t>COO (Investment Office)</t>
        </is>
      </c>
      <c r="L1410" s="28" t="n">
        <v>178389</v>
      </c>
      <c r="M1410" s="28" t="n">
        <v>135660</v>
      </c>
      <c r="N1410" s="28" t="n">
        <v>3463</v>
      </c>
      <c r="O1410" s="28" t="n">
        <v>37700</v>
      </c>
      <c r="P1410" s="28" t="n">
        <v>15837</v>
      </c>
      <c r="Q1410" s="28" t="n">
        <v>371049</v>
      </c>
      <c r="R1410" s="28" t="n">
        <v>0</v>
      </c>
      <c r="S1410" s="28">
        <f>Q1410-R1410</f>
        <v/>
      </c>
      <c r="T1410" s="28">
        <f>IF(S1410="","",S1410*(1+in_GrowthRate)^(YEARFRAC(DATE(2022,6,30),in_AgeToDate)*IF(in_AgeToDate&lt;DATE(2022,6,30),-1,1)+1))</f>
        <v/>
      </c>
      <c r="U1410" s="50">
        <f>IF(AND(AND(OR(in_Mode="All Funds",AND(C1410&gt;=in_BandFloor,C1410&lt;=in_BandCeiling,OR(in_Geography="National",COUNTIFS(lst_GeoPreset,in_Geography,lst_GeoState,B1410)&gt;0,AND(in_Geography="Custom",ISNUMBER(SEARCH(B1410,SUBSTITUTE(in_CustomStates," ",""))))),OR(AND(D1410="Endowment",Inputs!$B$14="Y"),AND(D1410="Foundation",Inputs!$B$15="Y"),AND(D1410="Healthcare",Inputs!$B$16="Y"),AND(D1410="Pension",Inputs!$B$17="Y"),AND(D1410="OCIO",Inputs!$B$18="Y"),AND(D1410="Other",Inputs!$B$19="Y")))),A1410&lt;&gt;in_ClientOrg,NOT(AND(in_ExclHarvard="Y",ISNUMBER(SEARCH("Harvard",A1410))))),$AD1410="Y",K1410&lt;&gt;"",S1410&gt;0),"Y","")</f>
        <v/>
      </c>
      <c r="V1410" s="30" t="n">
        <v>0.1898405243204249</v>
      </c>
      <c r="W1410" t="inlineStr"/>
      <c r="X1410" s="28">
        <f>IF(L1410+M1410=0,"",L1410+M1410)</f>
        <v/>
      </c>
      <c r="Y1410" s="38">
        <f>IF(L1410=0,"",M1410/L1410)</f>
        <v/>
      </c>
      <c r="Z1410" t="inlineStr">
        <is>
          <t>COO (Investment Office)</t>
        </is>
      </c>
      <c r="AA1410" t="inlineStr">
        <is>
          <t>Operations &amp; Control</t>
        </is>
      </c>
      <c r="AB1410" s="50" t="inlineStr"/>
      <c r="AC1410" s="43">
        <f>HYPERLINK("https://projects.propublica.org/nonprofits/organizations/270652636/202321319349305012/full","view filing")</f>
        <v/>
      </c>
      <c r="AD1410" s="50" t="inlineStr"/>
    </row>
    <row r="1411">
      <c r="A1411" t="inlineStr">
        <is>
          <t>Uc Berkeley Management Company</t>
        </is>
      </c>
      <c r="B1411" s="50" t="inlineStr">
        <is>
          <t>CA</t>
        </is>
      </c>
      <c r="C1411" s="52" t="n">
        <v>3.39</v>
      </c>
      <c r="D1411" t="inlineStr">
        <is>
          <t>Endowment</t>
        </is>
      </c>
      <c r="E1411" s="50" t="n">
        <v>2022</v>
      </c>
      <c r="F1411" s="50" t="inlineStr">
        <is>
          <t>2023-05-11</t>
        </is>
      </c>
      <c r="G1411" s="50" t="inlineStr">
        <is>
          <t>2022-06-30</t>
        </is>
      </c>
      <c r="H1411" t="inlineStr">
        <is>
          <t>Connor Creagh</t>
        </is>
      </c>
      <c r="I1411" t="inlineStr">
        <is>
          <t>INVESTMENT ASSOCIATE</t>
        </is>
      </c>
      <c r="J1411" t="inlineStr">
        <is>
          <t>Associate</t>
        </is>
      </c>
      <c r="K1411" t="inlineStr">
        <is>
          <t>Sr Investment Professional</t>
        </is>
      </c>
      <c r="L1411" s="28" t="n">
        <v>121065</v>
      </c>
      <c r="M1411" s="28" t="n">
        <v>76750</v>
      </c>
      <c r="N1411" s="28" t="n">
        <v>3314</v>
      </c>
      <c r="O1411" s="28" t="n">
        <v>27391</v>
      </c>
      <c r="P1411" s="28" t="n">
        <v>12165</v>
      </c>
      <c r="Q1411" s="28" t="n">
        <v>240685</v>
      </c>
      <c r="R1411" s="28" t="n">
        <v>0</v>
      </c>
      <c r="S1411" s="28">
        <f>Q1411-R1411</f>
        <v/>
      </c>
      <c r="T1411" s="28">
        <f>IF(S1411="","",S1411*(1+in_GrowthRate)^(YEARFRAC(DATE(2022,6,30),in_AgeToDate)*IF(in_AgeToDate&lt;DATE(2022,6,30),-1,1)+1))</f>
        <v/>
      </c>
      <c r="U1411" s="50">
        <f>IF(AND(AND(OR(in_Mode="All Funds",AND(C1411&gt;=in_BandFloor,C1411&lt;=in_BandCeiling,OR(in_Geography="National",COUNTIFS(lst_GeoPreset,in_Geography,lst_GeoState,B1411)&gt;0,AND(in_Geography="Custom",ISNUMBER(SEARCH(B1411,SUBSTITUTE(in_CustomStates," ",""))))),OR(AND(D1411="Endowment",Inputs!$B$14="Y"),AND(D1411="Foundation",Inputs!$B$15="Y"),AND(D1411="Healthcare",Inputs!$B$16="Y"),AND(D1411="Pension",Inputs!$B$17="Y"),AND(D1411="OCIO",Inputs!$B$18="Y"),AND(D1411="Other",Inputs!$B$19="Y")))),A1411&lt;&gt;in_ClientOrg,NOT(AND(in_ExclHarvard="Y",ISNUMBER(SEARCH("Harvard",A1411))))),$AD1411="Y",K1411&lt;&gt;"",S1411&gt;0),"Y","")</f>
        <v/>
      </c>
      <c r="V1411" s="30" t="n">
        <v>0.123142136472707</v>
      </c>
      <c r="W1411" t="inlineStr"/>
      <c r="X1411" s="28">
        <f>IF(L1411+M1411=0,"",L1411+M1411)</f>
        <v/>
      </c>
      <c r="Y1411" s="38">
        <f>IF(L1411=0,"",M1411/L1411)</f>
        <v/>
      </c>
      <c r="Z1411" t="inlineStr">
        <is>
          <t>Other investment staff</t>
        </is>
      </c>
      <c r="AA1411" t="inlineStr">
        <is>
          <t>Investments</t>
        </is>
      </c>
      <c r="AB1411" s="50" t="inlineStr"/>
      <c r="AC1411" s="43">
        <f>HYPERLINK("https://projects.propublica.org/nonprofits/organizations/270652636/202321319349305012/full","view filing")</f>
        <v/>
      </c>
      <c r="AD1411" s="50" t="inlineStr"/>
    </row>
    <row r="1412">
      <c r="A1412" t="inlineStr">
        <is>
          <t>Uc Berkeley Management Company</t>
        </is>
      </c>
      <c r="B1412" s="50" t="inlineStr">
        <is>
          <t>CA</t>
        </is>
      </c>
      <c r="C1412" s="52" t="n">
        <v>3.39</v>
      </c>
      <c r="D1412" t="inlineStr">
        <is>
          <t>Endowment</t>
        </is>
      </c>
      <c r="E1412" s="50" t="n">
        <v>2022</v>
      </c>
      <c r="F1412" s="50" t="inlineStr">
        <is>
          <t>2023-05-11</t>
        </is>
      </c>
      <c r="G1412" s="50" t="inlineStr">
        <is>
          <t>2022-06-30</t>
        </is>
      </c>
      <c r="H1412" t="inlineStr">
        <is>
          <t>David Bahr</t>
        </is>
      </c>
      <c r="I1412" t="inlineStr">
        <is>
          <t>INVESTMENT OFFICER</t>
        </is>
      </c>
      <c r="J1412" t="inlineStr">
        <is>
          <t>Investment Officer</t>
        </is>
      </c>
      <c r="K1412" t="inlineStr">
        <is>
          <t>Sr Investment Professional</t>
        </is>
      </c>
      <c r="L1412" s="28" t="n">
        <v>249167</v>
      </c>
      <c r="M1412" s="28" t="n">
        <v>269510</v>
      </c>
      <c r="N1412" s="28" t="n">
        <v>3598</v>
      </c>
      <c r="O1412" s="28" t="n">
        <v>35220</v>
      </c>
      <c r="P1412" s="28" t="n">
        <v>15837</v>
      </c>
      <c r="Q1412" s="28" t="n">
        <v>573332</v>
      </c>
      <c r="R1412" s="28" t="n">
        <v>0</v>
      </c>
      <c r="S1412" s="28">
        <f>Q1412-R1412</f>
        <v/>
      </c>
      <c r="T1412" s="28">
        <f>IF(S1412="","",S1412*(1+in_GrowthRate)^(YEARFRAC(DATE(2022,6,30),in_AgeToDate)*IF(in_AgeToDate&lt;DATE(2022,6,30),-1,1)+1))</f>
        <v/>
      </c>
      <c r="U1412" s="50">
        <f>IF(AND(AND(OR(in_Mode="All Funds",AND(C1412&gt;=in_BandFloor,C1412&lt;=in_BandCeiling,OR(in_Geography="National",COUNTIFS(lst_GeoPreset,in_Geography,lst_GeoState,B1412)&gt;0,AND(in_Geography="Custom",ISNUMBER(SEARCH(B1412,SUBSTITUTE(in_CustomStates," ",""))))),OR(AND(D1412="Endowment",Inputs!$B$14="Y"),AND(D1412="Foundation",Inputs!$B$15="Y"),AND(D1412="Healthcare",Inputs!$B$16="Y"),AND(D1412="Pension",Inputs!$B$17="Y"),AND(D1412="OCIO",Inputs!$B$18="Y"),AND(D1412="Other",Inputs!$B$19="Y")))),A1412&lt;&gt;in_ClientOrg,NOT(AND(in_ExclHarvard="Y",ISNUMBER(SEARCH("Harvard",A1412))))),$AD1412="Y",K1412&lt;&gt;"",S1412&gt;0),"Y","")</f>
        <v/>
      </c>
      <c r="V1412" s="30" t="n">
        <v>0.2933349705555812</v>
      </c>
      <c r="W1412" t="inlineStr"/>
      <c r="X1412" s="28">
        <f>IF(L1412+M1412=0,"",L1412+M1412)</f>
        <v/>
      </c>
      <c r="Y1412" s="38">
        <f>IF(L1412=0,"",M1412/L1412)</f>
        <v/>
      </c>
      <c r="Z1412" t="inlineStr">
        <is>
          <t>Director &amp; Investment Officer</t>
        </is>
      </c>
      <c r="AA1412" t="inlineStr">
        <is>
          <t>Investments</t>
        </is>
      </c>
      <c r="AB1412" s="50" t="inlineStr"/>
      <c r="AC1412" s="43">
        <f>HYPERLINK("https://projects.propublica.org/nonprofits/organizations/270652636/202321319349305012/full","view filing")</f>
        <v/>
      </c>
      <c r="AD1412" s="50" t="inlineStr"/>
    </row>
    <row r="1413">
      <c r="A1413" t="inlineStr">
        <is>
          <t>Uc Berkeley Management Company</t>
        </is>
      </c>
      <c r="B1413" s="50" t="inlineStr">
        <is>
          <t>CA</t>
        </is>
      </c>
      <c r="C1413" s="52" t="n">
        <v>3.39</v>
      </c>
      <c r="D1413" t="inlineStr">
        <is>
          <t>Endowment</t>
        </is>
      </c>
      <c r="E1413" s="50" t="n">
        <v>2022</v>
      </c>
      <c r="F1413" s="50" t="inlineStr">
        <is>
          <t>2023-05-11</t>
        </is>
      </c>
      <c r="G1413" s="50" t="inlineStr">
        <is>
          <t>2022-06-30</t>
        </is>
      </c>
      <c r="H1413" t="inlineStr">
        <is>
          <t>David Mcauliffe</t>
        </is>
      </c>
      <c r="I1413" t="inlineStr">
        <is>
          <t>PRESIDENT AND CIO</t>
        </is>
      </c>
      <c r="J1413" t="inlineStr">
        <is>
          <t>CIO</t>
        </is>
      </c>
      <c r="K1413" t="inlineStr">
        <is>
          <t>CIO - Top Investment Executive</t>
        </is>
      </c>
      <c r="L1413" s="28" t="n">
        <v>738911</v>
      </c>
      <c r="M1413" s="28" t="n">
        <v>1125000</v>
      </c>
      <c r="N1413" s="28" t="n">
        <v>4940</v>
      </c>
      <c r="O1413" s="28" t="n">
        <v>37700</v>
      </c>
      <c r="P1413" s="28" t="n">
        <v>47979</v>
      </c>
      <c r="Q1413" s="28" t="n">
        <v>1954530</v>
      </c>
      <c r="R1413" s="28" t="n">
        <v>0</v>
      </c>
      <c r="S1413" s="28">
        <f>Q1413-R1413</f>
        <v/>
      </c>
      <c r="T1413" s="28">
        <f>IF(S1413="","",S1413*(1+in_GrowthRate)^(YEARFRAC(DATE(2022,6,30),in_AgeToDate)*IF(in_AgeToDate&lt;DATE(2022,6,30),-1,1)+1))</f>
        <v/>
      </c>
      <c r="U1413" s="50">
        <f>IF(AND(AND(OR(in_Mode="All Funds",AND(C1413&gt;=in_BandFloor,C1413&lt;=in_BandCeiling,OR(in_Geography="National",COUNTIFS(lst_GeoPreset,in_Geography,lst_GeoState,B1413)&gt;0,AND(in_Geography="Custom",ISNUMBER(SEARCH(B1413,SUBSTITUTE(in_CustomStates," ",""))))),OR(AND(D1413="Endowment",Inputs!$B$14="Y"),AND(D1413="Foundation",Inputs!$B$15="Y"),AND(D1413="Healthcare",Inputs!$B$16="Y"),AND(D1413="Pension",Inputs!$B$17="Y"),AND(D1413="OCIO",Inputs!$B$18="Y"),AND(D1413="Other",Inputs!$B$19="Y")))),A1413&lt;&gt;in_ClientOrg,NOT(AND(in_ExclHarvard="Y",ISNUMBER(SEARCH("Harvard",A1413))))),$AD1413="Y",K1413&lt;&gt;"",S1413&gt;0),"Y","")</f>
        <v/>
      </c>
      <c r="V1413" s="30" t="n">
        <v>1</v>
      </c>
      <c r="W1413" t="inlineStr"/>
      <c r="X1413" s="28">
        <f>IF(L1413+M1413=0,"",L1413+M1413)</f>
        <v/>
      </c>
      <c r="Y1413" s="38">
        <f>IF(L1413=0,"",M1413/L1413)</f>
        <v/>
      </c>
      <c r="Z1413" t="inlineStr">
        <is>
          <t>CIO - Top Investment Executive</t>
        </is>
      </c>
      <c r="AA1413" t="inlineStr">
        <is>
          <t>Leadership</t>
        </is>
      </c>
      <c r="AB1413" s="50" t="inlineStr">
        <is>
          <t>Y</t>
        </is>
      </c>
      <c r="AC1413" s="43">
        <f>HYPERLINK("https://projects.propublica.org/nonprofits/organizations/270652636/202321319349305012/full","view filing")</f>
        <v/>
      </c>
      <c r="AD1413" s="50" t="inlineStr"/>
    </row>
    <row r="1414">
      <c r="A1414" t="inlineStr">
        <is>
          <t>Uc Berkeley Management Company</t>
        </is>
      </c>
      <c r="B1414" s="50" t="inlineStr">
        <is>
          <t>CA</t>
        </is>
      </c>
      <c r="C1414" s="52" t="n">
        <v>3.39</v>
      </c>
      <c r="D1414" t="inlineStr">
        <is>
          <t>Endowment</t>
        </is>
      </c>
      <c r="E1414" s="50" t="n">
        <v>2022</v>
      </c>
      <c r="F1414" s="50" t="inlineStr">
        <is>
          <t>2023-05-11</t>
        </is>
      </c>
      <c r="G1414" s="50" t="inlineStr">
        <is>
          <t>2022-06-30</t>
        </is>
      </c>
      <c r="H1414" t="inlineStr">
        <is>
          <t>Loraine Binion</t>
        </is>
      </c>
      <c r="I1414" t="inlineStr">
        <is>
          <t>TREASURER</t>
        </is>
      </c>
      <c r="J1414" t="inlineStr">
        <is>
          <t>Corporate Officer (Inv Entity)</t>
        </is>
      </c>
      <c r="K1414" t="inlineStr">
        <is>
          <t>Other disclosed professionals</t>
        </is>
      </c>
      <c r="L1414" s="28" t="n">
        <v>209912</v>
      </c>
      <c r="M1414" s="28" t="n">
        <v>0</v>
      </c>
      <c r="N1414" s="28" t="n">
        <v>0</v>
      </c>
      <c r="O1414" s="28" t="n">
        <v>47915</v>
      </c>
      <c r="P1414" s="28" t="n">
        <v>10493</v>
      </c>
      <c r="Q1414" s="28" t="n">
        <v>268320</v>
      </c>
      <c r="R1414" s="28" t="n">
        <v>0</v>
      </c>
      <c r="S1414" s="28">
        <f>Q1414-R1414</f>
        <v/>
      </c>
      <c r="T1414" s="28">
        <f>IF(S1414="","",S1414*(1+in_GrowthRate)^(YEARFRAC(DATE(2022,6,30),in_AgeToDate)*IF(in_AgeToDate&lt;DATE(2022,6,30),-1,1)+1))</f>
        <v/>
      </c>
      <c r="U1414" s="50">
        <f>IF(AND(AND(OR(in_Mode="All Funds",AND(C1414&gt;=in_BandFloor,C1414&lt;=in_BandCeiling,OR(in_Geography="National",COUNTIFS(lst_GeoPreset,in_Geography,lst_GeoState,B1414)&gt;0,AND(in_Geography="Custom",ISNUMBER(SEARCH(B1414,SUBSTITUTE(in_CustomStates," ",""))))),OR(AND(D1414="Endowment",Inputs!$B$14="Y"),AND(D1414="Foundation",Inputs!$B$15="Y"),AND(D1414="Healthcare",Inputs!$B$16="Y"),AND(D1414="Pension",Inputs!$B$17="Y"),AND(D1414="OCIO",Inputs!$B$18="Y"),AND(D1414="Other",Inputs!$B$19="Y")))),A1414&lt;&gt;in_ClientOrg,NOT(AND(in_ExclHarvard="Y",ISNUMBER(SEARCH("Harvard",A1414))))),$AD1414="Y",K1414&lt;&gt;"",S1414&gt;0),"Y","")</f>
        <v/>
      </c>
      <c r="V1414" s="30" t="n">
        <v>0.1372810854783503</v>
      </c>
      <c r="W1414" t="inlineStr">
        <is>
          <t>Other disclosed professionals</t>
        </is>
      </c>
      <c r="X1414" s="28">
        <f>IF(L1414+M1414=0,"",L1414+M1414)</f>
        <v/>
      </c>
      <c r="Y1414" s="38">
        <f>IF(L1414=0,"",M1414/L1414)</f>
        <v/>
      </c>
      <c r="Z1414" t="inlineStr">
        <is>
          <t>Other disclosed professionals</t>
        </is>
      </c>
      <c r="AA1414" t="inlineStr">
        <is>
          <t>Operations &amp; Control</t>
        </is>
      </c>
      <c r="AB1414" s="50" t="inlineStr"/>
      <c r="AC1414" s="43">
        <f>HYPERLINK("https://projects.propublica.org/nonprofits/organizations/270652636/202321319349305012/full","view filing")</f>
        <v/>
      </c>
      <c r="AD1414" s="50" t="inlineStr"/>
    </row>
    <row r="1415">
      <c r="A1415" t="inlineStr">
        <is>
          <t>Uc Berkeley Management Company</t>
        </is>
      </c>
      <c r="B1415" s="50" t="inlineStr">
        <is>
          <t>CA</t>
        </is>
      </c>
      <c r="C1415" s="52" t="n">
        <v>3.39</v>
      </c>
      <c r="D1415" t="inlineStr">
        <is>
          <t>Endowment</t>
        </is>
      </c>
      <c r="E1415" s="50" t="n">
        <v>2022</v>
      </c>
      <c r="F1415" s="50" t="inlineStr">
        <is>
          <t>2023-05-11</t>
        </is>
      </c>
      <c r="G1415" s="50" t="inlineStr">
        <is>
          <t>2022-06-30</t>
        </is>
      </c>
      <c r="H1415" t="inlineStr">
        <is>
          <t>Melody Ing</t>
        </is>
      </c>
      <c r="I1415" t="inlineStr">
        <is>
          <t>INVESTMENT OFFICER</t>
        </is>
      </c>
      <c r="J1415" t="inlineStr">
        <is>
          <t>Investment Officer</t>
        </is>
      </c>
      <c r="K1415" t="inlineStr">
        <is>
          <t>Sr Investment Professional</t>
        </is>
      </c>
      <c r="L1415" s="28" t="n">
        <v>326909</v>
      </c>
      <c r="M1415" s="28" t="n">
        <v>331000</v>
      </c>
      <c r="N1415" s="28" t="n">
        <v>3865</v>
      </c>
      <c r="O1415" s="28" t="n">
        <v>37700</v>
      </c>
      <c r="P1415" s="28" t="n">
        <v>14259</v>
      </c>
      <c r="Q1415" s="28" t="n">
        <v>713733</v>
      </c>
      <c r="R1415" s="28" t="n">
        <v>0</v>
      </c>
      <c r="S1415" s="28">
        <f>Q1415-R1415</f>
        <v/>
      </c>
      <c r="T1415" s="28">
        <f>IF(S1415="","",S1415*(1+in_GrowthRate)^(YEARFRAC(DATE(2022,6,30),in_AgeToDate)*IF(in_AgeToDate&lt;DATE(2022,6,30),-1,1)+1))</f>
        <v/>
      </c>
      <c r="U1415" s="50">
        <f>IF(AND(AND(OR(in_Mode="All Funds",AND(C1415&gt;=in_BandFloor,C1415&lt;=in_BandCeiling,OR(in_Geography="National",COUNTIFS(lst_GeoPreset,in_Geography,lst_GeoState,B1415)&gt;0,AND(in_Geography="Custom",ISNUMBER(SEARCH(B1415,SUBSTITUTE(in_CustomStates," ",""))))),OR(AND(D1415="Endowment",Inputs!$B$14="Y"),AND(D1415="Foundation",Inputs!$B$15="Y"),AND(D1415="Healthcare",Inputs!$B$16="Y"),AND(D1415="Pension",Inputs!$B$17="Y"),AND(D1415="OCIO",Inputs!$B$18="Y"),AND(D1415="Other",Inputs!$B$19="Y")))),A1415&lt;&gt;in_ClientOrg,NOT(AND(in_ExclHarvard="Y",ISNUMBER(SEARCH("Harvard",A1415))))),$AD1415="Y",K1415&lt;&gt;"",S1415&gt;0),"Y","")</f>
        <v/>
      </c>
      <c r="V1415" s="30" t="n">
        <v>0.3651686083099261</v>
      </c>
      <c r="W1415" t="inlineStr"/>
      <c r="X1415" s="28">
        <f>IF(L1415+M1415=0,"",L1415+M1415)</f>
        <v/>
      </c>
      <c r="Y1415" s="38">
        <f>IF(L1415=0,"",M1415/L1415)</f>
        <v/>
      </c>
      <c r="Z1415" t="inlineStr">
        <is>
          <t>Director &amp; Investment Officer</t>
        </is>
      </c>
      <c r="AA1415" t="inlineStr">
        <is>
          <t>Investments</t>
        </is>
      </c>
      <c r="AB1415" s="50" t="inlineStr"/>
      <c r="AC1415" s="43">
        <f>HYPERLINK("https://projects.propublica.org/nonprofits/organizations/270652636/202321319349305012/full","view filing")</f>
        <v/>
      </c>
      <c r="AD1415" s="50" t="inlineStr"/>
    </row>
    <row r="1416">
      <c r="A1416" t="inlineStr">
        <is>
          <t>Uc Berkeley Management Company</t>
        </is>
      </c>
      <c r="B1416" s="50" t="inlineStr">
        <is>
          <t>CA</t>
        </is>
      </c>
      <c r="C1416" s="52" t="n">
        <v>3.39</v>
      </c>
      <c r="D1416" t="inlineStr">
        <is>
          <t>Endowment</t>
        </is>
      </c>
      <c r="E1416" s="50" t="n">
        <v>2022</v>
      </c>
      <c r="F1416" s="50" t="inlineStr">
        <is>
          <t>2023-05-11</t>
        </is>
      </c>
      <c r="G1416" s="50" t="inlineStr">
        <is>
          <t>2022-06-30</t>
        </is>
      </c>
      <c r="H1416" t="inlineStr">
        <is>
          <t>Steven Algert</t>
        </is>
      </c>
      <c r="I1416" t="inlineStr">
        <is>
          <t>INVESTMENT OFFICER</t>
        </is>
      </c>
      <c r="J1416" t="inlineStr">
        <is>
          <t>Investment Officer</t>
        </is>
      </c>
      <c r="K1416" t="inlineStr">
        <is>
          <t>Sr Investment Professional</t>
        </is>
      </c>
      <c r="L1416" s="28" t="n">
        <v>281071</v>
      </c>
      <c r="M1416" s="28" t="n">
        <v>89258</v>
      </c>
      <c r="N1416" s="28" t="n">
        <v>5203</v>
      </c>
      <c r="O1416" s="28" t="n">
        <v>37255</v>
      </c>
      <c r="P1416" s="28" t="n">
        <v>35998</v>
      </c>
      <c r="Q1416" s="28" t="n">
        <v>448785</v>
      </c>
      <c r="R1416" s="28" t="n">
        <v>0</v>
      </c>
      <c r="S1416" s="28">
        <f>Q1416-R1416</f>
        <v/>
      </c>
      <c r="T1416" s="28">
        <f>IF(S1416="","",S1416*(1+in_GrowthRate)^(YEARFRAC(DATE(2022,6,30),in_AgeToDate)*IF(in_AgeToDate&lt;DATE(2022,6,30),-1,1)+1))</f>
        <v/>
      </c>
      <c r="U1416" s="50">
        <f>IF(AND(AND(OR(in_Mode="All Funds",AND(C1416&gt;=in_BandFloor,C1416&lt;=in_BandCeiling,OR(in_Geography="National",COUNTIFS(lst_GeoPreset,in_Geography,lst_GeoState,B1416)&gt;0,AND(in_Geography="Custom",ISNUMBER(SEARCH(B1416,SUBSTITUTE(in_CustomStates," ",""))))),OR(AND(D1416="Endowment",Inputs!$B$14="Y"),AND(D1416="Foundation",Inputs!$B$15="Y"),AND(D1416="Healthcare",Inputs!$B$16="Y"),AND(D1416="Pension",Inputs!$B$17="Y"),AND(D1416="OCIO",Inputs!$B$18="Y"),AND(D1416="Other",Inputs!$B$19="Y")))),A1416&lt;&gt;in_ClientOrg,NOT(AND(in_ExclHarvard="Y",ISNUMBER(SEARCH("Harvard",A1416))))),$AD1416="Y",K1416&lt;&gt;"",S1416&gt;0),"Y","")</f>
        <v/>
      </c>
      <c r="V1416" s="30" t="n">
        <v>0.2296127457751992</v>
      </c>
      <c r="W1416" t="inlineStr"/>
      <c r="X1416" s="28">
        <f>IF(L1416+M1416=0,"",L1416+M1416)</f>
        <v/>
      </c>
      <c r="Y1416" s="38">
        <f>IF(L1416=0,"",M1416/L1416)</f>
        <v/>
      </c>
      <c r="Z1416" t="inlineStr">
        <is>
          <t>Director &amp; Investment Officer</t>
        </is>
      </c>
      <c r="AA1416" t="inlineStr">
        <is>
          <t>Investments</t>
        </is>
      </c>
      <c r="AB1416" s="50" t="inlineStr"/>
      <c r="AC1416" s="43">
        <f>HYPERLINK("https://projects.propublica.org/nonprofits/organizations/270652636/202321319349305012/full","view filing")</f>
        <v/>
      </c>
      <c r="AD1416" s="50" t="inlineStr"/>
    </row>
    <row r="1417">
      <c r="A1417" t="inlineStr">
        <is>
          <t>Ucsf Foundation Investment Company</t>
        </is>
      </c>
      <c r="B1417" s="50" t="inlineStr">
        <is>
          <t>CA</t>
        </is>
      </c>
      <c r="C1417" s="52" t="n">
        <v>2.95</v>
      </c>
      <c r="D1417" t="inlineStr">
        <is>
          <t>Endowment</t>
        </is>
      </c>
      <c r="E1417" s="50" t="n">
        <v>2025</v>
      </c>
      <c r="F1417" s="50" t="inlineStr">
        <is>
          <t>2026-05-05</t>
        </is>
      </c>
      <c r="G1417" s="50" t="inlineStr">
        <is>
          <t>2025-06-30</t>
        </is>
      </c>
      <c r="H1417" t="inlineStr">
        <is>
          <t>Ashley Artim</t>
        </is>
      </c>
      <c r="I1417" t="inlineStr">
        <is>
          <t>MANAGING DIRECTOR</t>
        </is>
      </c>
      <c r="J1417" t="inlineStr">
        <is>
          <t>Managing Director</t>
        </is>
      </c>
      <c r="K1417" t="inlineStr">
        <is>
          <t>Sr Investment Professional</t>
        </is>
      </c>
      <c r="L1417" s="28" t="n">
        <v>355239</v>
      </c>
      <c r="M1417" s="28" t="n">
        <v>134000</v>
      </c>
      <c r="N1417" s="28" t="n">
        <v>1108</v>
      </c>
      <c r="O1417" s="28" t="n">
        <v>69000</v>
      </c>
      <c r="P1417" s="28" t="n">
        <v>45098</v>
      </c>
      <c r="Q1417" s="28" t="n">
        <v>604445</v>
      </c>
      <c r="R1417" s="28" t="n">
        <v>0</v>
      </c>
      <c r="S1417" s="28">
        <f>Q1417-R1417</f>
        <v/>
      </c>
      <c r="T1417" s="28">
        <f>IF(S1417="","",S1417*(1+in_GrowthRate)^(YEARFRAC(DATE(2025,6,30),in_AgeToDate)*IF(in_AgeToDate&lt;DATE(2025,6,30),-1,1)+1))</f>
        <v/>
      </c>
      <c r="U1417" s="50">
        <f>IF(AND(AND(OR(in_Mode="All Funds",AND(C1417&gt;=in_BandFloor,C1417&lt;=in_BandCeiling,OR(in_Geography="National",COUNTIFS(lst_GeoPreset,in_Geography,lst_GeoState,B1417)&gt;0,AND(in_Geography="Custom",ISNUMBER(SEARCH(B1417,SUBSTITUTE(in_CustomStates," ",""))))),OR(AND(D1417="Endowment",Inputs!$B$14="Y"),AND(D1417="Foundation",Inputs!$B$15="Y"),AND(D1417="Healthcare",Inputs!$B$16="Y"),AND(D1417="Pension",Inputs!$B$17="Y"),AND(D1417="OCIO",Inputs!$B$18="Y"),AND(D1417="Other",Inputs!$B$19="Y")))),A1417&lt;&gt;in_ClientOrg,NOT(AND(in_ExclHarvard="Y",ISNUMBER(SEARCH("Harvard",A1417))))),$AD1417="Y",K1417&lt;&gt;"",S1417&gt;0),"Y","")</f>
        <v/>
      </c>
      <c r="V1417" s="30" t="n">
        <v>0.4289043246998284</v>
      </c>
      <c r="W1417" t="inlineStr"/>
      <c r="X1417" s="28">
        <f>IF(L1417+M1417=0,"",L1417+M1417)</f>
        <v/>
      </c>
      <c r="Y1417" s="38">
        <f>IF(L1417=0,"",M1417/L1417)</f>
        <v/>
      </c>
      <c r="Z1417" t="inlineStr">
        <is>
          <t>Managing Director</t>
        </is>
      </c>
      <c r="AA1417" t="inlineStr">
        <is>
          <t>Investments</t>
        </is>
      </c>
      <c r="AB1417" s="50" t="inlineStr"/>
      <c r="AC1417" s="43">
        <f>HYPERLINK("https://projects.propublica.org/nonprofits/organizations/473599471/202631259349303618/full","view filing")</f>
        <v/>
      </c>
      <c r="AD1417" s="50" t="inlineStr">
        <is>
          <t>Y</t>
        </is>
      </c>
    </row>
    <row r="1418">
      <c r="A1418" t="inlineStr">
        <is>
          <t>Ucsf Foundation Investment Company</t>
        </is>
      </c>
      <c r="B1418" s="50" t="inlineStr">
        <is>
          <t>CA</t>
        </is>
      </c>
      <c r="C1418" s="52" t="n">
        <v>2.95</v>
      </c>
      <c r="D1418" t="inlineStr">
        <is>
          <t>Endowment</t>
        </is>
      </c>
      <c r="E1418" s="50" t="n">
        <v>2025</v>
      </c>
      <c r="F1418" s="50" t="inlineStr">
        <is>
          <t>2026-05-05</t>
        </is>
      </c>
      <c r="G1418" s="50" t="inlineStr">
        <is>
          <t>2025-06-30</t>
        </is>
      </c>
      <c r="H1418" t="inlineStr">
        <is>
          <t>David Harkins</t>
        </is>
      </c>
      <c r="I1418" t="inlineStr">
        <is>
          <t>PRESIDENT &amp; CIO</t>
        </is>
      </c>
      <c r="J1418" t="inlineStr">
        <is>
          <t>CIO</t>
        </is>
      </c>
      <c r="K1418" t="inlineStr">
        <is>
          <t>CIO - Top Investment Executive</t>
        </is>
      </c>
      <c r="L1418" s="28" t="n">
        <v>714671</v>
      </c>
      <c r="M1418" s="28" t="n">
        <v>571000</v>
      </c>
      <c r="N1418" s="28" t="n">
        <v>8052</v>
      </c>
      <c r="O1418" s="28" t="n">
        <v>69000</v>
      </c>
      <c r="P1418" s="28" t="n">
        <v>46554</v>
      </c>
      <c r="Q1418" s="28" t="n">
        <v>1409277</v>
      </c>
      <c r="R1418" s="28" t="n">
        <v>0</v>
      </c>
      <c r="S1418" s="28">
        <f>Q1418-R1418</f>
        <v/>
      </c>
      <c r="T1418" s="28">
        <f>IF(S1418="","",S1418*(1+in_GrowthRate)^(YEARFRAC(DATE(2025,6,30),in_AgeToDate)*IF(in_AgeToDate&lt;DATE(2025,6,30),-1,1)+1))</f>
        <v/>
      </c>
      <c r="U1418" s="50">
        <f>IF(AND(AND(OR(in_Mode="All Funds",AND(C1418&gt;=in_BandFloor,C1418&lt;=in_BandCeiling,OR(in_Geography="National",COUNTIFS(lst_GeoPreset,in_Geography,lst_GeoState,B1418)&gt;0,AND(in_Geography="Custom",ISNUMBER(SEARCH(B1418,SUBSTITUTE(in_CustomStates," ",""))))),OR(AND(D1418="Endowment",Inputs!$B$14="Y"),AND(D1418="Foundation",Inputs!$B$15="Y"),AND(D1418="Healthcare",Inputs!$B$16="Y"),AND(D1418="Pension",Inputs!$B$17="Y"),AND(D1418="OCIO",Inputs!$B$18="Y"),AND(D1418="Other",Inputs!$B$19="Y")))),A1418&lt;&gt;in_ClientOrg,NOT(AND(in_ExclHarvard="Y",ISNUMBER(SEARCH("Harvard",A1418))))),$AD1418="Y",K1418&lt;&gt;"",S1418&gt;0),"Y","")</f>
        <v/>
      </c>
      <c r="V1418" s="30" t="n">
        <v>1</v>
      </c>
      <c r="W1418" t="inlineStr"/>
      <c r="X1418" s="28">
        <f>IF(L1418+M1418=0,"",L1418+M1418)</f>
        <v/>
      </c>
      <c r="Y1418" s="38">
        <f>IF(L1418=0,"",M1418/L1418)</f>
        <v/>
      </c>
      <c r="Z1418" t="inlineStr">
        <is>
          <t>CIO - Top Investment Executive</t>
        </is>
      </c>
      <c r="AA1418" t="inlineStr">
        <is>
          <t>Leadership</t>
        </is>
      </c>
      <c r="AB1418" s="50" t="inlineStr">
        <is>
          <t>Y</t>
        </is>
      </c>
      <c r="AC1418" s="43">
        <f>HYPERLINK("https://projects.propublica.org/nonprofits/organizations/473599471/202631259349303618/full","view filing")</f>
        <v/>
      </c>
      <c r="AD1418" s="50" t="inlineStr">
        <is>
          <t>Y</t>
        </is>
      </c>
    </row>
    <row r="1419">
      <c r="A1419" t="inlineStr">
        <is>
          <t>Ucsf Foundation Investment Company</t>
        </is>
      </c>
      <c r="B1419" s="50" t="inlineStr">
        <is>
          <t>CA</t>
        </is>
      </c>
      <c r="C1419" s="52" t="n">
        <v>2.95</v>
      </c>
      <c r="D1419" t="inlineStr">
        <is>
          <t>Endowment</t>
        </is>
      </c>
      <c r="E1419" s="50" t="n">
        <v>2025</v>
      </c>
      <c r="F1419" s="50" t="inlineStr">
        <is>
          <t>2026-05-05</t>
        </is>
      </c>
      <c r="G1419" s="50" t="inlineStr">
        <is>
          <t>2025-06-30</t>
        </is>
      </c>
      <c r="H1419" t="inlineStr">
        <is>
          <t>Elijah Greene</t>
        </is>
      </c>
      <c r="I1419" t="inlineStr">
        <is>
          <t>SENIOR INVESTMENT ASSOCIATE</t>
        </is>
      </c>
      <c r="J1419" t="inlineStr">
        <is>
          <t>Associate</t>
        </is>
      </c>
      <c r="K1419" t="inlineStr">
        <is>
          <t>Sr Investment Professional</t>
        </is>
      </c>
      <c r="L1419" s="28" t="n">
        <v>135019</v>
      </c>
      <c r="M1419" s="28" t="n">
        <v>30000</v>
      </c>
      <c r="N1419" s="28" t="n">
        <v>405</v>
      </c>
      <c r="O1419" s="28" t="n">
        <v>43550</v>
      </c>
      <c r="P1419" s="28" t="n">
        <v>12143</v>
      </c>
      <c r="Q1419" s="28" t="n">
        <v>221117</v>
      </c>
      <c r="R1419" s="28" t="n">
        <v>0</v>
      </c>
      <c r="S1419" s="28">
        <f>Q1419-R1419</f>
        <v/>
      </c>
      <c r="T1419" s="28">
        <f>IF(S1419="","",S1419*(1+in_GrowthRate)^(YEARFRAC(DATE(2025,6,30),in_AgeToDate)*IF(in_AgeToDate&lt;DATE(2025,6,30),-1,1)+1))</f>
        <v/>
      </c>
      <c r="U1419" s="50">
        <f>IF(AND(AND(OR(in_Mode="All Funds",AND(C1419&gt;=in_BandFloor,C1419&lt;=in_BandCeiling,OR(in_Geography="National",COUNTIFS(lst_GeoPreset,in_Geography,lst_GeoState,B1419)&gt;0,AND(in_Geography="Custom",ISNUMBER(SEARCH(B1419,SUBSTITUTE(in_CustomStates," ",""))))),OR(AND(D1419="Endowment",Inputs!$B$14="Y"),AND(D1419="Foundation",Inputs!$B$15="Y"),AND(D1419="Healthcare",Inputs!$B$16="Y"),AND(D1419="Pension",Inputs!$B$17="Y"),AND(D1419="OCIO",Inputs!$B$18="Y"),AND(D1419="Other",Inputs!$B$19="Y")))),A1419&lt;&gt;in_ClientOrg,NOT(AND(in_ExclHarvard="Y",ISNUMBER(SEARCH("Harvard",A1419))))),$AD1419="Y",K1419&lt;&gt;"",S1419&gt;0),"Y","")</f>
        <v/>
      </c>
      <c r="V1419" s="30" t="n">
        <v>0.1569010208780814</v>
      </c>
      <c r="W1419" t="inlineStr"/>
      <c r="X1419" s="28">
        <f>IF(L1419+M1419=0,"",L1419+M1419)</f>
        <v/>
      </c>
      <c r="Y1419" s="38">
        <f>IF(L1419=0,"",M1419/L1419)</f>
        <v/>
      </c>
      <c r="Z1419" t="inlineStr">
        <is>
          <t>Other investment staff</t>
        </is>
      </c>
      <c r="AA1419" t="inlineStr">
        <is>
          <t>Investments</t>
        </is>
      </c>
      <c r="AB1419" s="50" t="inlineStr"/>
      <c r="AC1419" s="43">
        <f>HYPERLINK("https://projects.propublica.org/nonprofits/organizations/473599471/202631259349303618/full","view filing")</f>
        <v/>
      </c>
      <c r="AD1419" s="50" t="inlineStr">
        <is>
          <t>Y</t>
        </is>
      </c>
    </row>
    <row r="1420">
      <c r="A1420" t="inlineStr">
        <is>
          <t>Ucsf Foundation Investment Company</t>
        </is>
      </c>
      <c r="B1420" s="50" t="inlineStr">
        <is>
          <t>CA</t>
        </is>
      </c>
      <c r="C1420" s="52" t="n">
        <v>2.95</v>
      </c>
      <c r="D1420" t="inlineStr">
        <is>
          <t>Endowment</t>
        </is>
      </c>
      <c r="E1420" s="50" t="n">
        <v>2025</v>
      </c>
      <c r="F1420" s="50" t="inlineStr">
        <is>
          <t>2026-05-05</t>
        </is>
      </c>
      <c r="G1420" s="50" t="inlineStr">
        <is>
          <t>2025-06-30</t>
        </is>
      </c>
      <c r="H1420" t="inlineStr">
        <is>
          <t>Joseph Calger</t>
        </is>
      </c>
      <c r="I1420" t="inlineStr">
        <is>
          <t>VICE PRESIDENT</t>
        </is>
      </c>
      <c r="J1420" t="inlineStr">
        <is>
          <t>Investment Officer</t>
        </is>
      </c>
      <c r="K1420" t="inlineStr">
        <is>
          <t>Sr Investment Professional</t>
        </is>
      </c>
      <c r="L1420" s="28" t="n">
        <v>0</v>
      </c>
      <c r="M1420" s="28" t="n">
        <v>0</v>
      </c>
      <c r="N1420" s="28" t="n">
        <v>0</v>
      </c>
      <c r="O1420" s="28" t="n">
        <v>0</v>
      </c>
      <c r="P1420" s="28" t="n">
        <v>0</v>
      </c>
      <c r="Q1420" s="28" t="n">
        <v>302052</v>
      </c>
      <c r="R1420" s="28" t="n">
        <v>0</v>
      </c>
      <c r="S1420" s="28">
        <f>Q1420-R1420</f>
        <v/>
      </c>
      <c r="T1420" s="28">
        <f>IF(S1420="","",S1420*(1+in_GrowthRate)^(YEARFRAC(DATE(2025,6,30),in_AgeToDate)*IF(in_AgeToDate&lt;DATE(2025,6,30),-1,1)+1))</f>
        <v/>
      </c>
      <c r="U1420" s="50">
        <f>IF(AND(AND(OR(in_Mode="All Funds",AND(C1420&gt;=in_BandFloor,C1420&lt;=in_BandCeiling,OR(in_Geography="National",COUNTIFS(lst_GeoPreset,in_Geography,lst_GeoState,B1420)&gt;0,AND(in_Geography="Custom",ISNUMBER(SEARCH(B1420,SUBSTITUTE(in_CustomStates," ",""))))),OR(AND(D1420="Endowment",Inputs!$B$14="Y"),AND(D1420="Foundation",Inputs!$B$15="Y"),AND(D1420="Healthcare",Inputs!$B$16="Y"),AND(D1420="Pension",Inputs!$B$17="Y"),AND(D1420="OCIO",Inputs!$B$18="Y"),AND(D1420="Other",Inputs!$B$19="Y")))),A1420&lt;&gt;in_ClientOrg,NOT(AND(in_ExclHarvard="Y",ISNUMBER(SEARCH("Harvard",A1420))))),$AD1420="Y",K1420&lt;&gt;"",S1420&gt;0),"Y","")</f>
        <v/>
      </c>
      <c r="V1420" s="30" t="n">
        <v>0.2143311783276105</v>
      </c>
      <c r="W1420" t="inlineStr"/>
      <c r="X1420" s="28">
        <f>IF(L1420+M1420=0,"",L1420+M1420)</f>
        <v/>
      </c>
      <c r="Y1420" s="38">
        <f>IF(L1420=0,"",M1420/L1420)</f>
        <v/>
      </c>
      <c r="Z1420" t="inlineStr">
        <is>
          <t>Director &amp; Investment Officer</t>
        </is>
      </c>
      <c r="AA1420" t="inlineStr">
        <is>
          <t>Investments</t>
        </is>
      </c>
      <c r="AB1420" s="50" t="inlineStr"/>
      <c r="AC1420" s="43">
        <f>HYPERLINK("https://projects.propublica.org/nonprofits/organizations/473599471/202631259349303618/full","view filing")</f>
        <v/>
      </c>
      <c r="AD1420" s="50" t="inlineStr">
        <is>
          <t>Y</t>
        </is>
      </c>
    </row>
    <row r="1421">
      <c r="A1421" t="inlineStr">
        <is>
          <t>Ucsf Foundation Investment Company</t>
        </is>
      </c>
      <c r="B1421" s="50" t="inlineStr">
        <is>
          <t>CA</t>
        </is>
      </c>
      <c r="C1421" s="52" t="n">
        <v>2.95</v>
      </c>
      <c r="D1421" t="inlineStr">
        <is>
          <t>Endowment</t>
        </is>
      </c>
      <c r="E1421" s="50" t="n">
        <v>2025</v>
      </c>
      <c r="F1421" s="50" t="inlineStr">
        <is>
          <t>2026-05-05</t>
        </is>
      </c>
      <c r="G1421" s="50" t="inlineStr">
        <is>
          <t>2025-06-30</t>
        </is>
      </c>
      <c r="H1421" t="inlineStr">
        <is>
          <t>Kaushal Shah</t>
        </is>
      </c>
      <c r="I1421" t="inlineStr">
        <is>
          <t>SECRETARY &amp; CFO</t>
        </is>
      </c>
      <c r="J1421" t="inlineStr">
        <is>
          <t>CFO (Inv Entity)</t>
        </is>
      </c>
      <c r="K1421" t="inlineStr">
        <is>
          <t>Other disclosed professionals</t>
        </is>
      </c>
      <c r="L1421" s="28" t="n">
        <v>379647</v>
      </c>
      <c r="M1421" s="28" t="n">
        <v>0</v>
      </c>
      <c r="N1421" s="28" t="n">
        <v>1377</v>
      </c>
      <c r="O1421" s="28" t="n">
        <v>69000</v>
      </c>
      <c r="P1421" s="28" t="n">
        <v>45342</v>
      </c>
      <c r="Q1421" s="28" t="n">
        <v>495366</v>
      </c>
      <c r="R1421" s="28" t="n">
        <v>0</v>
      </c>
      <c r="S1421" s="28">
        <f>Q1421-R1421</f>
        <v/>
      </c>
      <c r="T1421" s="28">
        <f>IF(S1421="","",S1421*(1+in_GrowthRate)^(YEARFRAC(DATE(2025,6,30),in_AgeToDate)*IF(in_AgeToDate&lt;DATE(2025,6,30),-1,1)+1))</f>
        <v/>
      </c>
      <c r="U1421" s="50">
        <f>IF(AND(AND(OR(in_Mode="All Funds",AND(C1421&gt;=in_BandFloor,C1421&lt;=in_BandCeiling,OR(in_Geography="National",COUNTIFS(lst_GeoPreset,in_Geography,lst_GeoState,B1421)&gt;0,AND(in_Geography="Custom",ISNUMBER(SEARCH(B1421,SUBSTITUTE(in_CustomStates," ",""))))),OR(AND(D1421="Endowment",Inputs!$B$14="Y"),AND(D1421="Foundation",Inputs!$B$15="Y"),AND(D1421="Healthcare",Inputs!$B$16="Y"),AND(D1421="Pension",Inputs!$B$17="Y"),AND(D1421="OCIO",Inputs!$B$18="Y"),AND(D1421="Other",Inputs!$B$19="Y")))),A1421&lt;&gt;in_ClientOrg,NOT(AND(in_ExclHarvard="Y",ISNUMBER(SEARCH("Harvard",A1421))))),$AD1421="Y",K1421&lt;&gt;"",S1421&gt;0),"Y","")</f>
        <v/>
      </c>
      <c r="V1421" s="30" t="n">
        <v>0.3515036433575514</v>
      </c>
      <c r="W1421" t="inlineStr">
        <is>
          <t>Other disclosed professionals</t>
        </is>
      </c>
      <c r="X1421" s="28">
        <f>IF(L1421+M1421=0,"",L1421+M1421)</f>
        <v/>
      </c>
      <c r="Y1421" s="38">
        <f>IF(L1421=0,"",M1421/L1421)</f>
        <v/>
      </c>
      <c r="Z1421" t="inlineStr">
        <is>
          <t>Other disclosed professionals</t>
        </is>
      </c>
      <c r="AA1421" t="inlineStr">
        <is>
          <t>Operations &amp; Control</t>
        </is>
      </c>
      <c r="AB1421" s="50" t="inlineStr"/>
      <c r="AC1421" s="43">
        <f>HYPERLINK("https://projects.propublica.org/nonprofits/organizations/473599471/202631259349303618/full","view filing")</f>
        <v/>
      </c>
      <c r="AD1421" s="50" t="inlineStr">
        <is>
          <t>Y</t>
        </is>
      </c>
    </row>
    <row r="1422">
      <c r="A1422" t="inlineStr">
        <is>
          <t>Ucsf Foundation Investment Company</t>
        </is>
      </c>
      <c r="B1422" s="50" t="inlineStr">
        <is>
          <t>CA</t>
        </is>
      </c>
      <c r="C1422" s="52" t="n">
        <v>2.95</v>
      </c>
      <c r="D1422" t="inlineStr">
        <is>
          <t>Endowment</t>
        </is>
      </c>
      <c r="E1422" s="50" t="n">
        <v>2025</v>
      </c>
      <c r="F1422" s="50" t="inlineStr">
        <is>
          <t>2026-05-05</t>
        </is>
      </c>
      <c r="G1422" s="50" t="inlineStr">
        <is>
          <t>2025-06-30</t>
        </is>
      </c>
      <c r="H1422" t="inlineStr">
        <is>
          <t>Nikita Gujral</t>
        </is>
      </c>
      <c r="I1422" t="inlineStr">
        <is>
          <t>MANAGING DIRECTOR</t>
        </is>
      </c>
      <c r="J1422" t="inlineStr">
        <is>
          <t>Managing Director</t>
        </is>
      </c>
      <c r="K1422" t="inlineStr">
        <is>
          <t>Sr Investment Professional</t>
        </is>
      </c>
      <c r="L1422" s="28" t="n">
        <v>438086</v>
      </c>
      <c r="M1422" s="28" t="n">
        <v>306000</v>
      </c>
      <c r="N1422" s="28" t="n">
        <v>3131</v>
      </c>
      <c r="O1422" s="28" t="n">
        <v>69000</v>
      </c>
      <c r="P1422" s="28" t="n">
        <v>46512</v>
      </c>
      <c r="Q1422" s="28" t="n">
        <v>862729</v>
      </c>
      <c r="R1422" s="28" t="n">
        <v>0</v>
      </c>
      <c r="S1422" s="28">
        <f>Q1422-R1422</f>
        <v/>
      </c>
      <c r="T1422" s="28">
        <f>IF(S1422="","",S1422*(1+in_GrowthRate)^(YEARFRAC(DATE(2025,6,30),in_AgeToDate)*IF(in_AgeToDate&lt;DATE(2025,6,30),-1,1)+1))</f>
        <v/>
      </c>
      <c r="U1422" s="50">
        <f>IF(AND(AND(OR(in_Mode="All Funds",AND(C1422&gt;=in_BandFloor,C1422&lt;=in_BandCeiling,OR(in_Geography="National",COUNTIFS(lst_GeoPreset,in_Geography,lst_GeoState,B1422)&gt;0,AND(in_Geography="Custom",ISNUMBER(SEARCH(B1422,SUBSTITUTE(in_CustomStates," ",""))))),OR(AND(D1422="Endowment",Inputs!$B$14="Y"),AND(D1422="Foundation",Inputs!$B$15="Y"),AND(D1422="Healthcare",Inputs!$B$16="Y"),AND(D1422="Pension",Inputs!$B$17="Y"),AND(D1422="OCIO",Inputs!$B$18="Y"),AND(D1422="Other",Inputs!$B$19="Y")))),A1422&lt;&gt;in_ClientOrg,NOT(AND(in_ExclHarvard="Y",ISNUMBER(SEARCH("Harvard",A1422))))),$AD1422="Y",K1422&lt;&gt;"",S1422&gt;0),"Y","")</f>
        <v/>
      </c>
      <c r="V1422" s="30" t="n">
        <v>0.6121784432726852</v>
      </c>
      <c r="W1422" t="inlineStr"/>
      <c r="X1422" s="28">
        <f>IF(L1422+M1422=0,"",L1422+M1422)</f>
        <v/>
      </c>
      <c r="Y1422" s="38">
        <f>IF(L1422=0,"",M1422/L1422)</f>
        <v/>
      </c>
      <c r="Z1422" t="inlineStr">
        <is>
          <t>Managing Director</t>
        </is>
      </c>
      <c r="AA1422" t="inlineStr">
        <is>
          <t>Investments</t>
        </is>
      </c>
      <c r="AB1422" s="50" t="inlineStr"/>
      <c r="AC1422" s="43">
        <f>HYPERLINK("https://projects.propublica.org/nonprofits/organizations/473599471/202631259349303618/full","view filing")</f>
        <v/>
      </c>
      <c r="AD1422" s="50" t="inlineStr">
        <is>
          <t>Y</t>
        </is>
      </c>
    </row>
    <row r="1423">
      <c r="A1423" t="inlineStr">
        <is>
          <t>Ucsf Foundation Investment Company</t>
        </is>
      </c>
      <c r="B1423" s="50" t="inlineStr">
        <is>
          <t>CA</t>
        </is>
      </c>
      <c r="C1423" s="52" t="n">
        <v>2.95</v>
      </c>
      <c r="D1423" t="inlineStr">
        <is>
          <t>Endowment</t>
        </is>
      </c>
      <c r="E1423" s="50" t="n">
        <v>2024</v>
      </c>
      <c r="F1423" s="50" t="inlineStr">
        <is>
          <t>2025-05-12</t>
        </is>
      </c>
      <c r="G1423" s="50" t="inlineStr">
        <is>
          <t>2024-06-30</t>
        </is>
      </c>
      <c r="H1423" t="inlineStr">
        <is>
          <t>David Harkins</t>
        </is>
      </c>
      <c r="I1423" t="inlineStr">
        <is>
          <t>PRESIDENT &amp; CIO</t>
        </is>
      </c>
      <c r="J1423" t="inlineStr">
        <is>
          <t>CIO</t>
        </is>
      </c>
      <c r="K1423" t="inlineStr">
        <is>
          <t>CIO - Top Investment Executive</t>
        </is>
      </c>
      <c r="L1423" s="28" t="n">
        <v>652732</v>
      </c>
      <c r="M1423" s="28" t="n">
        <v>479000</v>
      </c>
      <c r="N1423" s="28" t="n">
        <v>8052</v>
      </c>
      <c r="O1423" s="28" t="n">
        <v>66000</v>
      </c>
      <c r="P1423" s="28" t="n">
        <v>43050</v>
      </c>
      <c r="Q1423" s="28" t="n">
        <v>1248834</v>
      </c>
      <c r="R1423" s="28" t="n">
        <v>0</v>
      </c>
      <c r="S1423" s="28">
        <f>Q1423-R1423</f>
        <v/>
      </c>
      <c r="T1423" s="28">
        <f>IF(S1423="","",S1423*(1+in_GrowthRate)^(YEARFRAC(DATE(2024,6,30),in_AgeToDate)*IF(in_AgeToDate&lt;DATE(2024,6,30),-1,1)+1))</f>
        <v/>
      </c>
      <c r="U1423" s="50">
        <f>IF(AND(AND(OR(in_Mode="All Funds",AND(C1423&gt;=in_BandFloor,C1423&lt;=in_BandCeiling,OR(in_Geography="National",COUNTIFS(lst_GeoPreset,in_Geography,lst_GeoState,B1423)&gt;0,AND(in_Geography="Custom",ISNUMBER(SEARCH(B1423,SUBSTITUTE(in_CustomStates," ",""))))),OR(AND(D1423="Endowment",Inputs!$B$14="Y"),AND(D1423="Foundation",Inputs!$B$15="Y"),AND(D1423="Healthcare",Inputs!$B$16="Y"),AND(D1423="Pension",Inputs!$B$17="Y"),AND(D1423="OCIO",Inputs!$B$18="Y"),AND(D1423="Other",Inputs!$B$19="Y")))),A1423&lt;&gt;in_ClientOrg,NOT(AND(in_ExclHarvard="Y",ISNUMBER(SEARCH("Harvard",A1423))))),$AD1423="Y",K1423&lt;&gt;"",S1423&gt;0),"Y","")</f>
        <v/>
      </c>
      <c r="V1423" s="30" t="n">
        <v>1</v>
      </c>
      <c r="W1423" t="inlineStr"/>
      <c r="X1423" s="28">
        <f>IF(L1423+M1423=0,"",L1423+M1423)</f>
        <v/>
      </c>
      <c r="Y1423" s="38">
        <f>IF(L1423=0,"",M1423/L1423)</f>
        <v/>
      </c>
      <c r="Z1423" t="inlineStr">
        <is>
          <t>CIO - Top Investment Executive</t>
        </is>
      </c>
      <c r="AA1423" t="inlineStr">
        <is>
          <t>Leadership</t>
        </is>
      </c>
      <c r="AB1423" s="50" t="inlineStr">
        <is>
          <t>Y</t>
        </is>
      </c>
      <c r="AC1423" s="43">
        <f>HYPERLINK("https://projects.propublica.org/nonprofits/organizations/473599471/202531329349306253/full","view filing")</f>
        <v/>
      </c>
      <c r="AD1423" s="50" t="inlineStr"/>
    </row>
    <row r="1424">
      <c r="A1424" t="inlineStr">
        <is>
          <t>Ucsf Foundation Investment Company</t>
        </is>
      </c>
      <c r="B1424" s="50" t="inlineStr">
        <is>
          <t>CA</t>
        </is>
      </c>
      <c r="C1424" s="52" t="n">
        <v>2.95</v>
      </c>
      <c r="D1424" t="inlineStr">
        <is>
          <t>Endowment</t>
        </is>
      </c>
      <c r="E1424" s="50" t="n">
        <v>2024</v>
      </c>
      <c r="F1424" s="50" t="inlineStr">
        <is>
          <t>2025-05-12</t>
        </is>
      </c>
      <c r="G1424" s="50" t="inlineStr">
        <is>
          <t>2024-06-30</t>
        </is>
      </c>
      <c r="H1424" t="inlineStr">
        <is>
          <t>David Schofield</t>
        </is>
      </c>
      <c r="I1424" t="inlineStr">
        <is>
          <t>MANAGING DIRECTOR</t>
        </is>
      </c>
      <c r="J1424" t="inlineStr">
        <is>
          <t>Managing Director</t>
        </is>
      </c>
      <c r="K1424" t="inlineStr">
        <is>
          <t>Sr Investment Professional</t>
        </is>
      </c>
      <c r="L1424" s="28" t="n">
        <v>76200</v>
      </c>
      <c r="M1424" s="28" t="n">
        <v>150000</v>
      </c>
      <c r="N1424" s="28" t="n">
        <v>3030</v>
      </c>
      <c r="O1424" s="28" t="n">
        <v>11467</v>
      </c>
      <c r="P1424" s="28" t="n">
        <v>3873</v>
      </c>
      <c r="Q1424" s="28" t="n">
        <v>244570</v>
      </c>
      <c r="R1424" s="28" t="n">
        <v>0</v>
      </c>
      <c r="S1424" s="28">
        <f>Q1424-R1424</f>
        <v/>
      </c>
      <c r="T1424" s="28">
        <f>IF(S1424="","",S1424*(1+in_GrowthRate)^(YEARFRAC(DATE(2024,6,30),in_AgeToDate)*IF(in_AgeToDate&lt;DATE(2024,6,30),-1,1)+1))</f>
        <v/>
      </c>
      <c r="U1424" s="50">
        <f>IF(AND(AND(OR(in_Mode="All Funds",AND(C1424&gt;=in_BandFloor,C1424&lt;=in_BandCeiling,OR(in_Geography="National",COUNTIFS(lst_GeoPreset,in_Geography,lst_GeoState,B1424)&gt;0,AND(in_Geography="Custom",ISNUMBER(SEARCH(B1424,SUBSTITUTE(in_CustomStates," ",""))))),OR(AND(D1424="Endowment",Inputs!$B$14="Y"),AND(D1424="Foundation",Inputs!$B$15="Y"),AND(D1424="Healthcare",Inputs!$B$16="Y"),AND(D1424="Pension",Inputs!$B$17="Y"),AND(D1424="OCIO",Inputs!$B$18="Y"),AND(D1424="Other",Inputs!$B$19="Y")))),A1424&lt;&gt;in_ClientOrg,NOT(AND(in_ExclHarvard="Y",ISNUMBER(SEARCH("Harvard",A1424))))),$AD1424="Y",K1424&lt;&gt;"",S1424&gt;0),"Y","")</f>
        <v/>
      </c>
      <c r="V1424" s="30" t="n">
        <v>0.1958386783191361</v>
      </c>
      <c r="W1424" t="inlineStr"/>
      <c r="X1424" s="28">
        <f>IF(L1424+M1424=0,"",L1424+M1424)</f>
        <v/>
      </c>
      <c r="Y1424" s="38">
        <f>IF(L1424=0,"",M1424/L1424)</f>
        <v/>
      </c>
      <c r="Z1424" t="inlineStr">
        <is>
          <t>Managing Director</t>
        </is>
      </c>
      <c r="AA1424" t="inlineStr">
        <is>
          <t>Investments</t>
        </is>
      </c>
      <c r="AB1424" s="50" t="inlineStr"/>
      <c r="AC1424" s="43">
        <f>HYPERLINK("https://projects.propublica.org/nonprofits/organizations/473599471/202531329349306253/full","view filing")</f>
        <v/>
      </c>
      <c r="AD1424" s="50" t="inlineStr"/>
    </row>
    <row r="1425">
      <c r="A1425" t="inlineStr">
        <is>
          <t>Ucsf Foundation Investment Company</t>
        </is>
      </c>
      <c r="B1425" s="50" t="inlineStr">
        <is>
          <t>CA</t>
        </is>
      </c>
      <c r="C1425" s="52" t="n">
        <v>2.95</v>
      </c>
      <c r="D1425" t="inlineStr">
        <is>
          <t>Endowment</t>
        </is>
      </c>
      <c r="E1425" s="50" t="n">
        <v>2024</v>
      </c>
      <c r="F1425" s="50" t="inlineStr">
        <is>
          <t>2025-05-12</t>
        </is>
      </c>
      <c r="G1425" s="50" t="inlineStr">
        <is>
          <t>2024-06-30</t>
        </is>
      </c>
      <c r="H1425" t="inlineStr">
        <is>
          <t>Joseph Calger</t>
        </is>
      </c>
      <c r="I1425" t="inlineStr">
        <is>
          <t>VICE PRESIDENT</t>
        </is>
      </c>
      <c r="J1425" t="inlineStr">
        <is>
          <t>Investment Officer</t>
        </is>
      </c>
      <c r="K1425" t="inlineStr">
        <is>
          <t>Sr Investment Professional</t>
        </is>
      </c>
      <c r="L1425" s="28" t="n">
        <v>0</v>
      </c>
      <c r="M1425" s="28" t="n">
        <v>0</v>
      </c>
      <c r="N1425" s="28" t="n">
        <v>0</v>
      </c>
      <c r="O1425" s="28" t="n">
        <v>0</v>
      </c>
      <c r="P1425" s="28" t="n">
        <v>0</v>
      </c>
      <c r="Q1425" s="28" t="n">
        <v>289283</v>
      </c>
      <c r="R1425" s="28" t="n">
        <v>0</v>
      </c>
      <c r="S1425" s="28">
        <f>Q1425-R1425</f>
        <v/>
      </c>
      <c r="T1425" s="28">
        <f>IF(S1425="","",S1425*(1+in_GrowthRate)^(YEARFRAC(DATE(2024,6,30),in_AgeToDate)*IF(in_AgeToDate&lt;DATE(2024,6,30),-1,1)+1))</f>
        <v/>
      </c>
      <c r="U1425" s="50">
        <f>IF(AND(AND(OR(in_Mode="All Funds",AND(C1425&gt;=in_BandFloor,C1425&lt;=in_BandCeiling,OR(in_Geography="National",COUNTIFS(lst_GeoPreset,in_Geography,lst_GeoState,B1425)&gt;0,AND(in_Geography="Custom",ISNUMBER(SEARCH(B1425,SUBSTITUTE(in_CustomStates," ",""))))),OR(AND(D1425="Endowment",Inputs!$B$14="Y"),AND(D1425="Foundation",Inputs!$B$15="Y"),AND(D1425="Healthcare",Inputs!$B$16="Y"),AND(D1425="Pension",Inputs!$B$17="Y"),AND(D1425="OCIO",Inputs!$B$18="Y"),AND(D1425="Other",Inputs!$B$19="Y")))),A1425&lt;&gt;in_ClientOrg,NOT(AND(in_ExclHarvard="Y",ISNUMBER(SEARCH("Harvard",A1425))))),$AD1425="Y",K1425&lt;&gt;"",S1425&gt;0),"Y","")</f>
        <v/>
      </c>
      <c r="V1425" s="30" t="n">
        <v>0.2316424761017077</v>
      </c>
      <c r="W1425" t="inlineStr"/>
      <c r="X1425" s="28">
        <f>IF(L1425+M1425=0,"",L1425+M1425)</f>
        <v/>
      </c>
      <c r="Y1425" s="38">
        <f>IF(L1425=0,"",M1425/L1425)</f>
        <v/>
      </c>
      <c r="Z1425" t="inlineStr">
        <is>
          <t>Director &amp; Investment Officer</t>
        </is>
      </c>
      <c r="AA1425" t="inlineStr">
        <is>
          <t>Investments</t>
        </is>
      </c>
      <c r="AB1425" s="50" t="inlineStr"/>
      <c r="AC1425" s="43">
        <f>HYPERLINK("https://projects.propublica.org/nonprofits/organizations/473599471/202531329349306253/full","view filing")</f>
        <v/>
      </c>
      <c r="AD1425" s="50" t="inlineStr"/>
    </row>
    <row r="1426">
      <c r="A1426" t="inlineStr">
        <is>
          <t>Ucsf Foundation Investment Company</t>
        </is>
      </c>
      <c r="B1426" s="50" t="inlineStr">
        <is>
          <t>CA</t>
        </is>
      </c>
      <c r="C1426" s="52" t="n">
        <v>2.95</v>
      </c>
      <c r="D1426" t="inlineStr">
        <is>
          <t>Endowment</t>
        </is>
      </c>
      <c r="E1426" s="50" t="n">
        <v>2024</v>
      </c>
      <c r="F1426" s="50" t="inlineStr">
        <is>
          <t>2025-05-12</t>
        </is>
      </c>
      <c r="G1426" s="50" t="inlineStr">
        <is>
          <t>2024-06-30</t>
        </is>
      </c>
      <c r="H1426" t="inlineStr">
        <is>
          <t>Kaushal Shah</t>
        </is>
      </c>
      <c r="I1426" t="inlineStr">
        <is>
          <t>secretary &amp; CFO</t>
        </is>
      </c>
      <c r="J1426" t="inlineStr">
        <is>
          <t>CFO (Inv Entity)</t>
        </is>
      </c>
      <c r="K1426" t="inlineStr">
        <is>
          <t>Other disclosed professionals</t>
        </is>
      </c>
      <c r="L1426" s="28" t="n">
        <v>331452</v>
      </c>
      <c r="M1426" s="28" t="n">
        <v>35000</v>
      </c>
      <c r="N1426" s="28" t="n">
        <v>1373</v>
      </c>
      <c r="O1426" s="28" t="n">
        <v>66000</v>
      </c>
      <c r="P1426" s="28" t="n">
        <v>41831</v>
      </c>
      <c r="Q1426" s="28" t="n">
        <v>475656</v>
      </c>
      <c r="R1426" s="28" t="n">
        <v>0</v>
      </c>
      <c r="S1426" s="28">
        <f>Q1426-R1426</f>
        <v/>
      </c>
      <c r="T1426" s="28">
        <f>IF(S1426="","",S1426*(1+in_GrowthRate)^(YEARFRAC(DATE(2024,6,30),in_AgeToDate)*IF(in_AgeToDate&lt;DATE(2024,6,30),-1,1)+1))</f>
        <v/>
      </c>
      <c r="U1426" s="50">
        <f>IF(AND(AND(OR(in_Mode="All Funds",AND(C1426&gt;=in_BandFloor,C1426&lt;=in_BandCeiling,OR(in_Geography="National",COUNTIFS(lst_GeoPreset,in_Geography,lst_GeoState,B1426)&gt;0,AND(in_Geography="Custom",ISNUMBER(SEARCH(B1426,SUBSTITUTE(in_CustomStates," ",""))))),OR(AND(D1426="Endowment",Inputs!$B$14="Y"),AND(D1426="Foundation",Inputs!$B$15="Y"),AND(D1426="Healthcare",Inputs!$B$16="Y"),AND(D1426="Pension",Inputs!$B$17="Y"),AND(D1426="OCIO",Inputs!$B$18="Y"),AND(D1426="Other",Inputs!$B$19="Y")))),A1426&lt;&gt;in_ClientOrg,NOT(AND(in_ExclHarvard="Y",ISNUMBER(SEARCH("Harvard",A1426))))),$AD1426="Y",K1426&lt;&gt;"",S1426&gt;0),"Y","")</f>
        <v/>
      </c>
      <c r="V1426" s="30" t="n">
        <v>0.3808800849432351</v>
      </c>
      <c r="W1426" t="inlineStr">
        <is>
          <t>Other disclosed professionals</t>
        </is>
      </c>
      <c r="X1426" s="28">
        <f>IF(L1426+M1426=0,"",L1426+M1426)</f>
        <v/>
      </c>
      <c r="Y1426" s="38">
        <f>IF(L1426=0,"",M1426/L1426)</f>
        <v/>
      </c>
      <c r="Z1426" t="inlineStr">
        <is>
          <t>Other disclosed professionals</t>
        </is>
      </c>
      <c r="AA1426" t="inlineStr">
        <is>
          <t>Operations &amp; Control</t>
        </is>
      </c>
      <c r="AB1426" s="50" t="inlineStr"/>
      <c r="AC1426" s="43">
        <f>HYPERLINK("https://projects.propublica.org/nonprofits/organizations/473599471/202531329349306253/full","view filing")</f>
        <v/>
      </c>
      <c r="AD1426" s="50" t="inlineStr"/>
    </row>
    <row r="1427">
      <c r="A1427" t="inlineStr">
        <is>
          <t>Ucsf Foundation Investment Company</t>
        </is>
      </c>
      <c r="B1427" s="50" t="inlineStr">
        <is>
          <t>CA</t>
        </is>
      </c>
      <c r="C1427" s="52" t="n">
        <v>2.95</v>
      </c>
      <c r="D1427" t="inlineStr">
        <is>
          <t>Endowment</t>
        </is>
      </c>
      <c r="E1427" s="50" t="n">
        <v>2024</v>
      </c>
      <c r="F1427" s="50" t="inlineStr">
        <is>
          <t>2025-05-12</t>
        </is>
      </c>
      <c r="G1427" s="50" t="inlineStr">
        <is>
          <t>2024-06-30</t>
        </is>
      </c>
      <c r="H1427" t="inlineStr">
        <is>
          <t>Nikita Gujral</t>
        </is>
      </c>
      <c r="I1427" t="inlineStr">
        <is>
          <t>MANAGING DIRECTOR</t>
        </is>
      </c>
      <c r="J1427" t="inlineStr">
        <is>
          <t>Managing Director</t>
        </is>
      </c>
      <c r="K1427" t="inlineStr">
        <is>
          <t>Sr Investment Professional</t>
        </is>
      </c>
      <c r="L1427" s="28" t="n">
        <v>426222</v>
      </c>
      <c r="M1427" s="28" t="n">
        <v>350000</v>
      </c>
      <c r="N1427" s="28" t="n">
        <v>2299</v>
      </c>
      <c r="O1427" s="28" t="n">
        <v>66000</v>
      </c>
      <c r="P1427" s="28" t="n">
        <v>43036</v>
      </c>
      <c r="Q1427" s="28" t="n">
        <v>887557</v>
      </c>
      <c r="R1427" s="28" t="n">
        <v>0</v>
      </c>
      <c r="S1427" s="28">
        <f>Q1427-R1427</f>
        <v/>
      </c>
      <c r="T1427" s="28">
        <f>IF(S1427="","",S1427*(1+in_GrowthRate)^(YEARFRAC(DATE(2024,6,30),in_AgeToDate)*IF(in_AgeToDate&lt;DATE(2024,6,30),-1,1)+1))</f>
        <v/>
      </c>
      <c r="U1427" s="50">
        <f>IF(AND(AND(OR(in_Mode="All Funds",AND(C1427&gt;=in_BandFloor,C1427&lt;=in_BandCeiling,OR(in_Geography="National",COUNTIFS(lst_GeoPreset,in_Geography,lst_GeoState,B1427)&gt;0,AND(in_Geography="Custom",ISNUMBER(SEARCH(B1427,SUBSTITUTE(in_CustomStates," ",""))))),OR(AND(D1427="Endowment",Inputs!$B$14="Y"),AND(D1427="Foundation",Inputs!$B$15="Y"),AND(D1427="Healthcare",Inputs!$B$16="Y"),AND(D1427="Pension",Inputs!$B$17="Y"),AND(D1427="OCIO",Inputs!$B$18="Y"),AND(D1427="Other",Inputs!$B$19="Y")))),A1427&lt;&gt;in_ClientOrg,NOT(AND(in_ExclHarvard="Y",ISNUMBER(SEARCH("Harvard",A1427))))),$AD1427="Y",K1427&lt;&gt;"",S1427&gt;0),"Y","")</f>
        <v/>
      </c>
      <c r="V1427" s="30" t="n">
        <v>0.710708548934446</v>
      </c>
      <c r="W1427" t="inlineStr"/>
      <c r="X1427" s="28">
        <f>IF(L1427+M1427=0,"",L1427+M1427)</f>
        <v/>
      </c>
      <c r="Y1427" s="38">
        <f>IF(L1427=0,"",M1427/L1427)</f>
        <v/>
      </c>
      <c r="Z1427" t="inlineStr">
        <is>
          <t>Managing Director</t>
        </is>
      </c>
      <c r="AA1427" t="inlineStr">
        <is>
          <t>Investments</t>
        </is>
      </c>
      <c r="AB1427" s="50" t="inlineStr"/>
      <c r="AC1427" s="43">
        <f>HYPERLINK("https://projects.propublica.org/nonprofits/organizations/473599471/202531329349306253/full","view filing")</f>
        <v/>
      </c>
      <c r="AD1427" s="50" t="inlineStr"/>
    </row>
    <row r="1428">
      <c r="A1428" t="inlineStr">
        <is>
          <t>Ucsf Foundation Investment Company</t>
        </is>
      </c>
      <c r="B1428" s="50" t="inlineStr">
        <is>
          <t>CA</t>
        </is>
      </c>
      <c r="C1428" s="52" t="n">
        <v>2.95</v>
      </c>
      <c r="D1428" t="inlineStr">
        <is>
          <t>Endowment</t>
        </is>
      </c>
      <c r="E1428" s="50" t="n">
        <v>2023</v>
      </c>
      <c r="F1428" s="50" t="inlineStr">
        <is>
          <t>2024-05-14</t>
        </is>
      </c>
      <c r="G1428" s="50" t="inlineStr">
        <is>
          <t>2023-06-30</t>
        </is>
      </c>
      <c r="H1428" t="inlineStr">
        <is>
          <t>David Harkins</t>
        </is>
      </c>
      <c r="I1428" t="inlineStr">
        <is>
          <t>PRESIDENT &amp; CIO</t>
        </is>
      </c>
      <c r="J1428" t="inlineStr">
        <is>
          <t>CIO</t>
        </is>
      </c>
      <c r="K1428" t="inlineStr">
        <is>
          <t>CIO - Top Investment Executive</t>
        </is>
      </c>
      <c r="L1428" s="28" t="n">
        <v>553692</v>
      </c>
      <c r="M1428" s="28" t="n">
        <v>400500</v>
      </c>
      <c r="N1428" s="28" t="n">
        <v>4572</v>
      </c>
      <c r="O1428" s="28" t="n">
        <v>61000</v>
      </c>
      <c r="P1428" s="28" t="n">
        <v>39891</v>
      </c>
      <c r="Q1428" s="28" t="n">
        <v>1059655</v>
      </c>
      <c r="R1428" s="28" t="n">
        <v>0</v>
      </c>
      <c r="S1428" s="28">
        <f>Q1428-R1428</f>
        <v/>
      </c>
      <c r="T1428" s="28">
        <f>IF(S1428="","",S1428*(1+in_GrowthRate)^(YEARFRAC(DATE(2023,6,30),in_AgeToDate)*IF(in_AgeToDate&lt;DATE(2023,6,30),-1,1)+1))</f>
        <v/>
      </c>
      <c r="U1428" s="50">
        <f>IF(AND(AND(OR(in_Mode="All Funds",AND(C1428&gt;=in_BandFloor,C1428&lt;=in_BandCeiling,OR(in_Geography="National",COUNTIFS(lst_GeoPreset,in_Geography,lst_GeoState,B1428)&gt;0,AND(in_Geography="Custom",ISNUMBER(SEARCH(B1428,SUBSTITUTE(in_CustomStates," ",""))))),OR(AND(D1428="Endowment",Inputs!$B$14="Y"),AND(D1428="Foundation",Inputs!$B$15="Y"),AND(D1428="Healthcare",Inputs!$B$16="Y"),AND(D1428="Pension",Inputs!$B$17="Y"),AND(D1428="OCIO",Inputs!$B$18="Y"),AND(D1428="Other",Inputs!$B$19="Y")))),A1428&lt;&gt;in_ClientOrg,NOT(AND(in_ExclHarvard="Y",ISNUMBER(SEARCH("Harvard",A1428))))),$AD1428="Y",K1428&lt;&gt;"",S1428&gt;0),"Y","")</f>
        <v/>
      </c>
      <c r="V1428" s="30" t="n">
        <v>1</v>
      </c>
      <c r="W1428" t="inlineStr"/>
      <c r="X1428" s="28">
        <f>IF(L1428+M1428=0,"",L1428+M1428)</f>
        <v/>
      </c>
      <c r="Y1428" s="38">
        <f>IF(L1428=0,"",M1428/L1428)</f>
        <v/>
      </c>
      <c r="Z1428" t="inlineStr">
        <is>
          <t>CIO - Top Investment Executive</t>
        </is>
      </c>
      <c r="AA1428" t="inlineStr">
        <is>
          <t>Leadership</t>
        </is>
      </c>
      <c r="AB1428" s="50" t="inlineStr">
        <is>
          <t>Y</t>
        </is>
      </c>
      <c r="AC1428" s="43">
        <f>HYPERLINK("https://projects.propublica.org/nonprofits/organizations/473599471/202411359349313316/full","view filing")</f>
        <v/>
      </c>
      <c r="AD1428" s="50" t="inlineStr"/>
    </row>
    <row r="1429">
      <c r="A1429" t="inlineStr">
        <is>
          <t>Ucsf Foundation Investment Company</t>
        </is>
      </c>
      <c r="B1429" s="50" t="inlineStr">
        <is>
          <t>CA</t>
        </is>
      </c>
      <c r="C1429" s="52" t="n">
        <v>2.95</v>
      </c>
      <c r="D1429" t="inlineStr">
        <is>
          <t>Endowment</t>
        </is>
      </c>
      <c r="E1429" s="50" t="n">
        <v>2023</v>
      </c>
      <c r="F1429" s="50" t="inlineStr">
        <is>
          <t>2024-05-14</t>
        </is>
      </c>
      <c r="G1429" s="50" t="inlineStr">
        <is>
          <t>2023-06-30</t>
        </is>
      </c>
      <c r="H1429" t="inlineStr">
        <is>
          <t>David Schofield</t>
        </is>
      </c>
      <c r="I1429" t="inlineStr">
        <is>
          <t>MANAGING DIRECTOR</t>
        </is>
      </c>
      <c r="J1429" t="inlineStr">
        <is>
          <t>Managing Director</t>
        </is>
      </c>
      <c r="K1429" t="inlineStr">
        <is>
          <t>Sr Investment Professional</t>
        </is>
      </c>
      <c r="L1429" s="28" t="n">
        <v>407043</v>
      </c>
      <c r="M1429" s="28" t="n">
        <v>307500</v>
      </c>
      <c r="N1429" s="28" t="n">
        <v>12054</v>
      </c>
      <c r="O1429" s="28" t="n">
        <v>61000</v>
      </c>
      <c r="P1429" s="28" t="n">
        <v>13199</v>
      </c>
      <c r="Q1429" s="28" t="n">
        <v>800796</v>
      </c>
      <c r="R1429" s="28" t="n">
        <v>0</v>
      </c>
      <c r="S1429" s="28">
        <f>Q1429-R1429</f>
        <v/>
      </c>
      <c r="T1429" s="28">
        <f>IF(S1429="","",S1429*(1+in_GrowthRate)^(YEARFRAC(DATE(2023,6,30),in_AgeToDate)*IF(in_AgeToDate&lt;DATE(2023,6,30),-1,1)+1))</f>
        <v/>
      </c>
      <c r="U1429" s="50">
        <f>IF(AND(AND(OR(in_Mode="All Funds",AND(C1429&gt;=in_BandFloor,C1429&lt;=in_BandCeiling,OR(in_Geography="National",COUNTIFS(lst_GeoPreset,in_Geography,lst_GeoState,B1429)&gt;0,AND(in_Geography="Custom",ISNUMBER(SEARCH(B1429,SUBSTITUTE(in_CustomStates," ",""))))),OR(AND(D1429="Endowment",Inputs!$B$14="Y"),AND(D1429="Foundation",Inputs!$B$15="Y"),AND(D1429="Healthcare",Inputs!$B$16="Y"),AND(D1429="Pension",Inputs!$B$17="Y"),AND(D1429="OCIO",Inputs!$B$18="Y"),AND(D1429="Other",Inputs!$B$19="Y")))),A1429&lt;&gt;in_ClientOrg,NOT(AND(in_ExclHarvard="Y",ISNUMBER(SEARCH("Harvard",A1429))))),$AD1429="Y",K1429&lt;&gt;"",S1429&gt;0),"Y","")</f>
        <v/>
      </c>
      <c r="V1429" s="30" t="n">
        <v>0.7557138880107205</v>
      </c>
      <c r="W1429" t="inlineStr"/>
      <c r="X1429" s="28">
        <f>IF(L1429+M1429=0,"",L1429+M1429)</f>
        <v/>
      </c>
      <c r="Y1429" s="38">
        <f>IF(L1429=0,"",M1429/L1429)</f>
        <v/>
      </c>
      <c r="Z1429" t="inlineStr">
        <is>
          <t>Managing Director</t>
        </is>
      </c>
      <c r="AA1429" t="inlineStr">
        <is>
          <t>Investments</t>
        </is>
      </c>
      <c r="AB1429" s="50" t="inlineStr"/>
      <c r="AC1429" s="43">
        <f>HYPERLINK("https://projects.propublica.org/nonprofits/organizations/473599471/202411359349313316/full","view filing")</f>
        <v/>
      </c>
      <c r="AD1429" s="50" t="inlineStr"/>
    </row>
    <row r="1430">
      <c r="A1430" t="inlineStr">
        <is>
          <t>Ucsf Foundation Investment Company</t>
        </is>
      </c>
      <c r="B1430" s="50" t="inlineStr">
        <is>
          <t>CA</t>
        </is>
      </c>
      <c r="C1430" s="52" t="n">
        <v>2.95</v>
      </c>
      <c r="D1430" t="inlineStr">
        <is>
          <t>Endowment</t>
        </is>
      </c>
      <c r="E1430" s="50" t="n">
        <v>2023</v>
      </c>
      <c r="F1430" s="50" t="inlineStr">
        <is>
          <t>2024-05-14</t>
        </is>
      </c>
      <c r="G1430" s="50" t="inlineStr">
        <is>
          <t>2023-06-30</t>
        </is>
      </c>
      <c r="H1430" t="inlineStr">
        <is>
          <t>Joseph Calger</t>
        </is>
      </c>
      <c r="I1430" t="inlineStr">
        <is>
          <t>VICE PRESIDENT</t>
        </is>
      </c>
      <c r="J1430" t="inlineStr">
        <is>
          <t>Investment Officer</t>
        </is>
      </c>
      <c r="K1430" t="inlineStr">
        <is>
          <t>Sr Investment Professional</t>
        </is>
      </c>
      <c r="L1430" s="28" t="n">
        <v>0</v>
      </c>
      <c r="M1430" s="28" t="n">
        <v>0</v>
      </c>
      <c r="N1430" s="28" t="n">
        <v>0</v>
      </c>
      <c r="O1430" s="28" t="n">
        <v>0</v>
      </c>
      <c r="P1430" s="28" t="n">
        <v>0</v>
      </c>
      <c r="Q1430" s="28" t="n">
        <v>276764</v>
      </c>
      <c r="R1430" s="28" t="n">
        <v>0</v>
      </c>
      <c r="S1430" s="28">
        <f>Q1430-R1430</f>
        <v/>
      </c>
      <c r="T1430" s="28">
        <f>IF(S1430="","",S1430*(1+in_GrowthRate)^(YEARFRAC(DATE(2023,6,30),in_AgeToDate)*IF(in_AgeToDate&lt;DATE(2023,6,30),-1,1)+1))</f>
        <v/>
      </c>
      <c r="U1430" s="50">
        <f>IF(AND(AND(OR(in_Mode="All Funds",AND(C1430&gt;=in_BandFloor,C1430&lt;=in_BandCeiling,OR(in_Geography="National",COUNTIFS(lst_GeoPreset,in_Geography,lst_GeoState,B1430)&gt;0,AND(in_Geography="Custom",ISNUMBER(SEARCH(B1430,SUBSTITUTE(in_CustomStates," ",""))))),OR(AND(D1430="Endowment",Inputs!$B$14="Y"),AND(D1430="Foundation",Inputs!$B$15="Y"),AND(D1430="Healthcare",Inputs!$B$16="Y"),AND(D1430="Pension",Inputs!$B$17="Y"),AND(D1430="OCIO",Inputs!$B$18="Y"),AND(D1430="Other",Inputs!$B$19="Y")))),A1430&lt;&gt;in_ClientOrg,NOT(AND(in_ExclHarvard="Y",ISNUMBER(SEARCH("Harvard",A1430))))),$AD1430="Y",K1430&lt;&gt;"",S1430&gt;0),"Y","")</f>
        <v/>
      </c>
      <c r="V1430" s="30" t="n">
        <v>0.261183120921432</v>
      </c>
      <c r="W1430" t="inlineStr"/>
      <c r="X1430" s="28">
        <f>IF(L1430+M1430=0,"",L1430+M1430)</f>
        <v/>
      </c>
      <c r="Y1430" s="38">
        <f>IF(L1430=0,"",M1430/L1430)</f>
        <v/>
      </c>
      <c r="Z1430" t="inlineStr">
        <is>
          <t>Director &amp; Investment Officer</t>
        </is>
      </c>
      <c r="AA1430" t="inlineStr">
        <is>
          <t>Investments</t>
        </is>
      </c>
      <c r="AB1430" s="50" t="inlineStr"/>
      <c r="AC1430" s="43">
        <f>HYPERLINK("https://projects.propublica.org/nonprofits/organizations/473599471/202411359349313316/full","view filing")</f>
        <v/>
      </c>
      <c r="AD1430" s="50" t="inlineStr"/>
    </row>
    <row r="1431">
      <c r="A1431" t="inlineStr">
        <is>
          <t>Ucsf Foundation Investment Company</t>
        </is>
      </c>
      <c r="B1431" s="50" t="inlineStr">
        <is>
          <t>CA</t>
        </is>
      </c>
      <c r="C1431" s="52" t="n">
        <v>2.95</v>
      </c>
      <c r="D1431" t="inlineStr">
        <is>
          <t>Endowment</t>
        </is>
      </c>
      <c r="E1431" s="50" t="n">
        <v>2023</v>
      </c>
      <c r="F1431" s="50" t="inlineStr">
        <is>
          <t>2024-05-14</t>
        </is>
      </c>
      <c r="G1431" s="50" t="inlineStr">
        <is>
          <t>2023-06-30</t>
        </is>
      </c>
      <c r="H1431" t="inlineStr">
        <is>
          <t>Kaushal Shah</t>
        </is>
      </c>
      <c r="I1431" t="inlineStr">
        <is>
          <t>SECRETARY &amp; CFO</t>
        </is>
      </c>
      <c r="J1431" t="inlineStr">
        <is>
          <t>CFO (Inv Entity)</t>
        </is>
      </c>
      <c r="K1431" t="inlineStr">
        <is>
          <t>Other disclosed professionals</t>
        </is>
      </c>
      <c r="L1431" s="28" t="n">
        <v>314404</v>
      </c>
      <c r="M1431" s="28" t="n">
        <v>10500</v>
      </c>
      <c r="N1431" s="28" t="n">
        <v>1521</v>
      </c>
      <c r="O1431" s="28" t="n">
        <v>61000</v>
      </c>
      <c r="P1431" s="28" t="n">
        <v>38866</v>
      </c>
      <c r="Q1431" s="28" t="n">
        <v>426291</v>
      </c>
      <c r="R1431" s="28" t="n">
        <v>0</v>
      </c>
      <c r="S1431" s="28">
        <f>Q1431-R1431</f>
        <v/>
      </c>
      <c r="T1431" s="28">
        <f>IF(S1431="","",S1431*(1+in_GrowthRate)^(YEARFRAC(DATE(2023,6,30),in_AgeToDate)*IF(in_AgeToDate&lt;DATE(2023,6,30),-1,1)+1))</f>
        <v/>
      </c>
      <c r="U1431" s="50">
        <f>IF(AND(AND(OR(in_Mode="All Funds",AND(C1431&gt;=in_BandFloor,C1431&lt;=in_BandCeiling,OR(in_Geography="National",COUNTIFS(lst_GeoPreset,in_Geography,lst_GeoState,B1431)&gt;0,AND(in_Geography="Custom",ISNUMBER(SEARCH(B1431,SUBSTITUTE(in_CustomStates," ",""))))),OR(AND(D1431="Endowment",Inputs!$B$14="Y"),AND(D1431="Foundation",Inputs!$B$15="Y"),AND(D1431="Healthcare",Inputs!$B$16="Y"),AND(D1431="Pension",Inputs!$B$17="Y"),AND(D1431="OCIO",Inputs!$B$18="Y"),AND(D1431="Other",Inputs!$B$19="Y")))),A1431&lt;&gt;in_ClientOrg,NOT(AND(in_ExclHarvard="Y",ISNUMBER(SEARCH("Harvard",A1431))))),$AD1431="Y",K1431&lt;&gt;"",S1431&gt;0),"Y","")</f>
        <v/>
      </c>
      <c r="V1431" s="30" t="n">
        <v>0.4022922554982518</v>
      </c>
      <c r="W1431" t="inlineStr">
        <is>
          <t>Other disclosed professionals</t>
        </is>
      </c>
      <c r="X1431" s="28">
        <f>IF(L1431+M1431=0,"",L1431+M1431)</f>
        <v/>
      </c>
      <c r="Y1431" s="38">
        <f>IF(L1431=0,"",M1431/L1431)</f>
        <v/>
      </c>
      <c r="Z1431" t="inlineStr">
        <is>
          <t>Other disclosed professionals</t>
        </is>
      </c>
      <c r="AA1431" t="inlineStr">
        <is>
          <t>Operations &amp; Control</t>
        </is>
      </c>
      <c r="AB1431" s="50" t="inlineStr"/>
      <c r="AC1431" s="43">
        <f>HYPERLINK("https://projects.propublica.org/nonprofits/organizations/473599471/202411359349313316/full","view filing")</f>
        <v/>
      </c>
      <c r="AD1431" s="50" t="inlineStr"/>
    </row>
    <row r="1432">
      <c r="A1432" t="inlineStr">
        <is>
          <t>Ucsf Foundation Investment Company</t>
        </is>
      </c>
      <c r="B1432" s="50" t="inlineStr">
        <is>
          <t>CA</t>
        </is>
      </c>
      <c r="C1432" s="52" t="n">
        <v>2.95</v>
      </c>
      <c r="D1432" t="inlineStr">
        <is>
          <t>Endowment</t>
        </is>
      </c>
      <c r="E1432" s="50" t="n">
        <v>2023</v>
      </c>
      <c r="F1432" s="50" t="inlineStr">
        <is>
          <t>2024-05-14</t>
        </is>
      </c>
      <c r="G1432" s="50" t="inlineStr">
        <is>
          <t>2023-06-30</t>
        </is>
      </c>
      <c r="H1432" t="inlineStr">
        <is>
          <t>Matthew Freedman</t>
        </is>
      </c>
      <c r="I1432" t="inlineStr">
        <is>
          <t>ASSISTANT CONTROLLER</t>
        </is>
      </c>
      <c r="J1432" t="inlineStr">
        <is>
          <t>Controller (Inv Entity)</t>
        </is>
      </c>
      <c r="K1432" t="inlineStr">
        <is>
          <t>Other disclosed professionals</t>
        </is>
      </c>
      <c r="L1432" s="28" t="n">
        <v>149954</v>
      </c>
      <c r="M1432" s="28" t="n">
        <v>5500</v>
      </c>
      <c r="N1432" s="28" t="n">
        <v>623</v>
      </c>
      <c r="O1432" s="28" t="n">
        <v>38566</v>
      </c>
      <c r="P1432" s="28" t="n">
        <v>37199</v>
      </c>
      <c r="Q1432" s="28" t="n">
        <v>231842</v>
      </c>
      <c r="R1432" s="28" t="n">
        <v>0</v>
      </c>
      <c r="S1432" s="28">
        <f>Q1432-R1432</f>
        <v/>
      </c>
      <c r="T1432" s="28">
        <f>IF(S1432="","",S1432*(1+in_GrowthRate)^(YEARFRAC(DATE(2023,6,30),in_AgeToDate)*IF(in_AgeToDate&lt;DATE(2023,6,30),-1,1)+1))</f>
        <v/>
      </c>
      <c r="U1432" s="50">
        <f>IF(AND(AND(OR(in_Mode="All Funds",AND(C1432&gt;=in_BandFloor,C1432&lt;=in_BandCeiling,OR(in_Geography="National",COUNTIFS(lst_GeoPreset,in_Geography,lst_GeoState,B1432)&gt;0,AND(in_Geography="Custom",ISNUMBER(SEARCH(B1432,SUBSTITUTE(in_CustomStates," ",""))))),OR(AND(D1432="Endowment",Inputs!$B$14="Y"),AND(D1432="Foundation",Inputs!$B$15="Y"),AND(D1432="Healthcare",Inputs!$B$16="Y"),AND(D1432="Pension",Inputs!$B$17="Y"),AND(D1432="OCIO",Inputs!$B$18="Y"),AND(D1432="Other",Inputs!$B$19="Y")))),A1432&lt;&gt;in_ClientOrg,NOT(AND(in_ExclHarvard="Y",ISNUMBER(SEARCH("Harvard",A1432))))),$AD1432="Y",K1432&lt;&gt;"",S1432&gt;0),"Y","")</f>
        <v/>
      </c>
      <c r="V1432" s="30" t="n">
        <v>0.2187900779027136</v>
      </c>
      <c r="W1432" t="inlineStr">
        <is>
          <t>Other disclosed professionals</t>
        </is>
      </c>
      <c r="X1432" s="28">
        <f>IF(L1432+M1432=0,"",L1432+M1432)</f>
        <v/>
      </c>
      <c r="Y1432" s="38">
        <f>IF(L1432=0,"",M1432/L1432)</f>
        <v/>
      </c>
      <c r="Z1432" t="inlineStr">
        <is>
          <t>Other disclosed professionals</t>
        </is>
      </c>
      <c r="AA1432" t="inlineStr">
        <is>
          <t>Operations &amp; Control</t>
        </is>
      </c>
      <c r="AB1432" s="50" t="inlineStr"/>
      <c r="AC1432" s="43">
        <f>HYPERLINK("https://projects.propublica.org/nonprofits/organizations/473599471/202411359349313316/full","view filing")</f>
        <v/>
      </c>
      <c r="AD1432" s="50" t="inlineStr"/>
    </row>
    <row r="1433">
      <c r="A1433" t="inlineStr">
        <is>
          <t>Ucsf Foundation Investment Company</t>
        </is>
      </c>
      <c r="B1433" s="50" t="inlineStr">
        <is>
          <t>CA</t>
        </is>
      </c>
      <c r="C1433" s="52" t="n">
        <v>2.95</v>
      </c>
      <c r="D1433" t="inlineStr">
        <is>
          <t>Endowment</t>
        </is>
      </c>
      <c r="E1433" s="50" t="n">
        <v>2023</v>
      </c>
      <c r="F1433" s="50" t="inlineStr">
        <is>
          <t>2024-05-14</t>
        </is>
      </c>
      <c r="G1433" s="50" t="inlineStr">
        <is>
          <t>2023-06-30</t>
        </is>
      </c>
      <c r="H1433" t="inlineStr">
        <is>
          <t>Nikita Gujral</t>
        </is>
      </c>
      <c r="I1433" t="inlineStr">
        <is>
          <t>MANAGING DIRECTOR</t>
        </is>
      </c>
      <c r="J1433" t="inlineStr">
        <is>
          <t>Managing Director</t>
        </is>
      </c>
      <c r="K1433" t="inlineStr">
        <is>
          <t>Sr Investment Professional</t>
        </is>
      </c>
      <c r="L1433" s="28" t="n">
        <v>401134</v>
      </c>
      <c r="M1433" s="28" t="n">
        <v>307500</v>
      </c>
      <c r="N1433" s="28" t="n">
        <v>2224</v>
      </c>
      <c r="O1433" s="28" t="n">
        <v>61000</v>
      </c>
      <c r="P1433" s="28" t="n">
        <v>39779</v>
      </c>
      <c r="Q1433" s="28" t="n">
        <v>811637</v>
      </c>
      <c r="R1433" s="28" t="n">
        <v>0</v>
      </c>
      <c r="S1433" s="28">
        <f>Q1433-R1433</f>
        <v/>
      </c>
      <c r="T1433" s="28">
        <f>IF(S1433="","",S1433*(1+in_GrowthRate)^(YEARFRAC(DATE(2023,6,30),in_AgeToDate)*IF(in_AgeToDate&lt;DATE(2023,6,30),-1,1)+1))</f>
        <v/>
      </c>
      <c r="U1433" s="50">
        <f>IF(AND(AND(OR(in_Mode="All Funds",AND(C1433&gt;=in_BandFloor,C1433&lt;=in_BandCeiling,OR(in_Geography="National",COUNTIFS(lst_GeoPreset,in_Geography,lst_GeoState,B1433)&gt;0,AND(in_Geography="Custom",ISNUMBER(SEARCH(B1433,SUBSTITUTE(in_CustomStates," ",""))))),OR(AND(D1433="Endowment",Inputs!$B$14="Y"),AND(D1433="Foundation",Inputs!$B$15="Y"),AND(D1433="Healthcare",Inputs!$B$16="Y"),AND(D1433="Pension",Inputs!$B$17="Y"),AND(D1433="OCIO",Inputs!$B$18="Y"),AND(D1433="Other",Inputs!$B$19="Y")))),A1433&lt;&gt;in_ClientOrg,NOT(AND(in_ExclHarvard="Y",ISNUMBER(SEARCH("Harvard",A1433))))),$AD1433="Y",K1433&lt;&gt;"",S1433&gt;0),"Y","")</f>
        <v/>
      </c>
      <c r="V1433" s="30" t="n">
        <v>0.7659445763007772</v>
      </c>
      <c r="W1433" t="inlineStr"/>
      <c r="X1433" s="28">
        <f>IF(L1433+M1433=0,"",L1433+M1433)</f>
        <v/>
      </c>
      <c r="Y1433" s="38">
        <f>IF(L1433=0,"",M1433/L1433)</f>
        <v/>
      </c>
      <c r="Z1433" t="inlineStr">
        <is>
          <t>Managing Director</t>
        </is>
      </c>
      <c r="AA1433" t="inlineStr">
        <is>
          <t>Investments</t>
        </is>
      </c>
      <c r="AB1433" s="50" t="inlineStr"/>
      <c r="AC1433" s="43">
        <f>HYPERLINK("https://projects.propublica.org/nonprofits/organizations/473599471/202411359349313316/full","view filing")</f>
        <v/>
      </c>
      <c r="AD1433" s="50" t="inlineStr"/>
    </row>
    <row r="1434">
      <c r="A1434" t="inlineStr">
        <is>
          <t>Ucsf Foundation Investment Company</t>
        </is>
      </c>
      <c r="B1434" s="50" t="inlineStr">
        <is>
          <t>CA</t>
        </is>
      </c>
      <c r="C1434" s="52" t="n">
        <v>2.95</v>
      </c>
      <c r="D1434" t="inlineStr">
        <is>
          <t>Endowment</t>
        </is>
      </c>
      <c r="E1434" s="50" t="n">
        <v>2022</v>
      </c>
      <c r="F1434" s="50" t="inlineStr">
        <is>
          <t>2023-05-04</t>
        </is>
      </c>
      <c r="G1434" s="50" t="inlineStr">
        <is>
          <t>2022-06-30</t>
        </is>
      </c>
      <c r="H1434" t="inlineStr">
        <is>
          <t>David Harkins</t>
        </is>
      </c>
      <c r="I1434" t="inlineStr">
        <is>
          <t>PRESIDENT &amp; CIO</t>
        </is>
      </c>
      <c r="J1434" t="inlineStr">
        <is>
          <t>CIO</t>
        </is>
      </c>
      <c r="K1434" t="inlineStr">
        <is>
          <t>CIO - Top Investment Executive</t>
        </is>
      </c>
      <c r="L1434" s="28" t="n">
        <v>467947</v>
      </c>
      <c r="M1434" s="28" t="n">
        <v>495000</v>
      </c>
      <c r="N1434" s="28" t="n">
        <v>4772</v>
      </c>
      <c r="O1434" s="28" t="n">
        <v>58000</v>
      </c>
      <c r="P1434" s="28" t="n">
        <v>36396</v>
      </c>
      <c r="Q1434" s="28" t="n">
        <v>1062115</v>
      </c>
      <c r="R1434" s="28" t="n">
        <v>0</v>
      </c>
      <c r="S1434" s="28">
        <f>Q1434-R1434</f>
        <v/>
      </c>
      <c r="T1434" s="28">
        <f>IF(S1434="","",S1434*(1+in_GrowthRate)^(YEARFRAC(DATE(2022,6,30),in_AgeToDate)*IF(in_AgeToDate&lt;DATE(2022,6,30),-1,1)+1))</f>
        <v/>
      </c>
      <c r="U1434" s="50">
        <f>IF(AND(AND(OR(in_Mode="All Funds",AND(C1434&gt;=in_BandFloor,C1434&lt;=in_BandCeiling,OR(in_Geography="National",COUNTIFS(lst_GeoPreset,in_Geography,lst_GeoState,B1434)&gt;0,AND(in_Geography="Custom",ISNUMBER(SEARCH(B1434,SUBSTITUTE(in_CustomStates," ",""))))),OR(AND(D1434="Endowment",Inputs!$B$14="Y"),AND(D1434="Foundation",Inputs!$B$15="Y"),AND(D1434="Healthcare",Inputs!$B$16="Y"),AND(D1434="Pension",Inputs!$B$17="Y"),AND(D1434="OCIO",Inputs!$B$18="Y"),AND(D1434="Other",Inputs!$B$19="Y")))),A1434&lt;&gt;in_ClientOrg,NOT(AND(in_ExclHarvard="Y",ISNUMBER(SEARCH("Harvard",A1434))))),$AD1434="Y",K1434&lt;&gt;"",S1434&gt;0),"Y","")</f>
        <v/>
      </c>
      <c r="V1434" s="30" t="n">
        <v>1</v>
      </c>
      <c r="W1434" t="inlineStr"/>
      <c r="X1434" s="28">
        <f>IF(L1434+M1434=0,"",L1434+M1434)</f>
        <v/>
      </c>
      <c r="Y1434" s="38">
        <f>IF(L1434=0,"",M1434/L1434)</f>
        <v/>
      </c>
      <c r="Z1434" t="inlineStr">
        <is>
          <t>CIO - Top Investment Executive</t>
        </is>
      </c>
      <c r="AA1434" t="inlineStr">
        <is>
          <t>Leadership</t>
        </is>
      </c>
      <c r="AB1434" s="50" t="inlineStr">
        <is>
          <t>Y</t>
        </is>
      </c>
      <c r="AC1434" s="43">
        <f>HYPERLINK("https://projects.propublica.org/nonprofits/organizations/473599471/202331249349301898/full","view filing")</f>
        <v/>
      </c>
      <c r="AD1434" s="50" t="inlineStr"/>
    </row>
    <row r="1435">
      <c r="A1435" t="inlineStr">
        <is>
          <t>Ucsf Foundation Investment Company</t>
        </is>
      </c>
      <c r="B1435" s="50" t="inlineStr">
        <is>
          <t>CA</t>
        </is>
      </c>
      <c r="C1435" s="52" t="n">
        <v>2.95</v>
      </c>
      <c r="D1435" t="inlineStr">
        <is>
          <t>Endowment</t>
        </is>
      </c>
      <c r="E1435" s="50" t="n">
        <v>2022</v>
      </c>
      <c r="F1435" s="50" t="inlineStr">
        <is>
          <t>2023-05-04</t>
        </is>
      </c>
      <c r="G1435" s="50" t="inlineStr">
        <is>
          <t>2022-06-30</t>
        </is>
      </c>
      <c r="H1435" t="inlineStr">
        <is>
          <t>David Schofield</t>
        </is>
      </c>
      <c r="I1435" t="inlineStr">
        <is>
          <t>MANAGING DIRECTOR</t>
        </is>
      </c>
      <c r="J1435" t="inlineStr">
        <is>
          <t>Managing Director</t>
        </is>
      </c>
      <c r="K1435" t="inlineStr">
        <is>
          <t>Sr Investment Professional</t>
        </is>
      </c>
      <c r="L1435" s="28" t="n">
        <v>395438</v>
      </c>
      <c r="M1435" s="28" t="n">
        <v>375000</v>
      </c>
      <c r="N1435" s="28" t="n">
        <v>11898</v>
      </c>
      <c r="O1435" s="28" t="n">
        <v>58000</v>
      </c>
      <c r="P1435" s="28" t="n">
        <v>11631</v>
      </c>
      <c r="Q1435" s="28" t="n">
        <v>851967</v>
      </c>
      <c r="R1435" s="28" t="n">
        <v>0</v>
      </c>
      <c r="S1435" s="28">
        <f>Q1435-R1435</f>
        <v/>
      </c>
      <c r="T1435" s="28">
        <f>IF(S1435="","",S1435*(1+in_GrowthRate)^(YEARFRAC(DATE(2022,6,30),in_AgeToDate)*IF(in_AgeToDate&lt;DATE(2022,6,30),-1,1)+1))</f>
        <v/>
      </c>
      <c r="U1435" s="50">
        <f>IF(AND(AND(OR(in_Mode="All Funds",AND(C1435&gt;=in_BandFloor,C1435&lt;=in_BandCeiling,OR(in_Geography="National",COUNTIFS(lst_GeoPreset,in_Geography,lst_GeoState,B1435)&gt;0,AND(in_Geography="Custom",ISNUMBER(SEARCH(B1435,SUBSTITUTE(in_CustomStates," ",""))))),OR(AND(D1435="Endowment",Inputs!$B$14="Y"),AND(D1435="Foundation",Inputs!$B$15="Y"),AND(D1435="Healthcare",Inputs!$B$16="Y"),AND(D1435="Pension",Inputs!$B$17="Y"),AND(D1435="OCIO",Inputs!$B$18="Y"),AND(D1435="Other",Inputs!$B$19="Y")))),A1435&lt;&gt;in_ClientOrg,NOT(AND(in_ExclHarvard="Y",ISNUMBER(SEARCH("Harvard",A1435))))),$AD1435="Y",K1435&lt;&gt;"",S1435&gt;0),"Y","")</f>
        <v/>
      </c>
      <c r="V1435" s="30" t="n">
        <v>0.8021419526134176</v>
      </c>
      <c r="W1435" t="inlineStr"/>
      <c r="X1435" s="28">
        <f>IF(L1435+M1435=0,"",L1435+M1435)</f>
        <v/>
      </c>
      <c r="Y1435" s="38">
        <f>IF(L1435=0,"",M1435/L1435)</f>
        <v/>
      </c>
      <c r="Z1435" t="inlineStr">
        <is>
          <t>Managing Director</t>
        </is>
      </c>
      <c r="AA1435" t="inlineStr">
        <is>
          <t>Investments</t>
        </is>
      </c>
      <c r="AB1435" s="50" t="inlineStr"/>
      <c r="AC1435" s="43">
        <f>HYPERLINK("https://projects.propublica.org/nonprofits/organizations/473599471/202331249349301898/full","view filing")</f>
        <v/>
      </c>
      <c r="AD1435" s="50" t="inlineStr"/>
    </row>
    <row r="1436">
      <c r="A1436" t="inlineStr">
        <is>
          <t>Ucsf Foundation Investment Company</t>
        </is>
      </c>
      <c r="B1436" s="50" t="inlineStr">
        <is>
          <t>CA</t>
        </is>
      </c>
      <c r="C1436" s="52" t="n">
        <v>2.95</v>
      </c>
      <c r="D1436" t="inlineStr">
        <is>
          <t>Endowment</t>
        </is>
      </c>
      <c r="E1436" s="50" t="n">
        <v>2022</v>
      </c>
      <c r="F1436" s="50" t="inlineStr">
        <is>
          <t>2023-05-04</t>
        </is>
      </c>
      <c r="G1436" s="50" t="inlineStr">
        <is>
          <t>2022-06-30</t>
        </is>
      </c>
      <c r="H1436" t="inlineStr">
        <is>
          <t>Herme Edolmo</t>
        </is>
      </c>
      <c r="I1436" t="inlineStr">
        <is>
          <t>CONTROLLER/INVESTMENT OPS</t>
        </is>
      </c>
      <c r="J1436" t="inlineStr">
        <is>
          <t>Controller (Inv Entity)</t>
        </is>
      </c>
      <c r="K1436" t="inlineStr">
        <is>
          <t>Other disclosed professionals</t>
        </is>
      </c>
      <c r="L1436" s="28" t="n">
        <v>174058</v>
      </c>
      <c r="M1436" s="28" t="n">
        <v>35000</v>
      </c>
      <c r="N1436" s="28" t="n">
        <v>893</v>
      </c>
      <c r="O1436" s="28" t="n">
        <v>43680</v>
      </c>
      <c r="P1436" s="28" t="n">
        <v>11431</v>
      </c>
      <c r="Q1436" s="28" t="n">
        <v>265062</v>
      </c>
      <c r="R1436" s="28" t="n">
        <v>0</v>
      </c>
      <c r="S1436" s="28">
        <f>Q1436-R1436</f>
        <v/>
      </c>
      <c r="T1436" s="28">
        <f>IF(S1436="","",S1436*(1+in_GrowthRate)^(YEARFRAC(DATE(2022,6,30),in_AgeToDate)*IF(in_AgeToDate&lt;DATE(2022,6,30),-1,1)+1))</f>
        <v/>
      </c>
      <c r="U1436" s="50">
        <f>IF(AND(AND(OR(in_Mode="All Funds",AND(C1436&gt;=in_BandFloor,C1436&lt;=in_BandCeiling,OR(in_Geography="National",COUNTIFS(lst_GeoPreset,in_Geography,lst_GeoState,B1436)&gt;0,AND(in_Geography="Custom",ISNUMBER(SEARCH(B1436,SUBSTITUTE(in_CustomStates," ",""))))),OR(AND(D1436="Endowment",Inputs!$B$14="Y"),AND(D1436="Foundation",Inputs!$B$15="Y"),AND(D1436="Healthcare",Inputs!$B$16="Y"),AND(D1436="Pension",Inputs!$B$17="Y"),AND(D1436="OCIO",Inputs!$B$18="Y"),AND(D1436="Other",Inputs!$B$19="Y")))),A1436&lt;&gt;in_ClientOrg,NOT(AND(in_ExclHarvard="Y",ISNUMBER(SEARCH("Harvard",A1436))))),$AD1436="Y",K1436&lt;&gt;"",S1436&gt;0),"Y","")</f>
        <v/>
      </c>
      <c r="V1436" s="30" t="n">
        <v>0.2495605466451373</v>
      </c>
      <c r="W1436" t="inlineStr">
        <is>
          <t>Other disclosed professionals</t>
        </is>
      </c>
      <c r="X1436" s="28">
        <f>IF(L1436+M1436=0,"",L1436+M1436)</f>
        <v/>
      </c>
      <c r="Y1436" s="38">
        <f>IF(L1436=0,"",M1436/L1436)</f>
        <v/>
      </c>
      <c r="Z1436" t="inlineStr">
        <is>
          <t>Other disclosed professionals</t>
        </is>
      </c>
      <c r="AA1436" t="inlineStr">
        <is>
          <t>Operations &amp; Control</t>
        </is>
      </c>
      <c r="AB1436" s="50" t="inlineStr"/>
      <c r="AC1436" s="43">
        <f>HYPERLINK("https://projects.propublica.org/nonprofits/organizations/473599471/202331249349301898/full","view filing")</f>
        <v/>
      </c>
      <c r="AD1436" s="50" t="inlineStr"/>
    </row>
    <row r="1437">
      <c r="A1437" t="inlineStr">
        <is>
          <t>Ucsf Foundation Investment Company</t>
        </is>
      </c>
      <c r="B1437" s="50" t="inlineStr">
        <is>
          <t>CA</t>
        </is>
      </c>
      <c r="C1437" s="52" t="n">
        <v>2.95</v>
      </c>
      <c r="D1437" t="inlineStr">
        <is>
          <t>Endowment</t>
        </is>
      </c>
      <c r="E1437" s="50" t="n">
        <v>2022</v>
      </c>
      <c r="F1437" s="50" t="inlineStr">
        <is>
          <t>2023-05-04</t>
        </is>
      </c>
      <c r="G1437" s="50" t="inlineStr">
        <is>
          <t>2022-06-30</t>
        </is>
      </c>
      <c r="H1437" t="inlineStr">
        <is>
          <t>Jennifer Arnett</t>
        </is>
      </c>
      <c r="I1437" t="inlineStr">
        <is>
          <t>VICE PRESIDENT</t>
        </is>
      </c>
      <c r="J1437" t="inlineStr">
        <is>
          <t>Investment Officer</t>
        </is>
      </c>
      <c r="K1437" t="inlineStr">
        <is>
          <t>Sr Investment Professional</t>
        </is>
      </c>
      <c r="L1437" s="28" t="n">
        <v>0</v>
      </c>
      <c r="M1437" s="28" t="n">
        <v>0</v>
      </c>
      <c r="N1437" s="28" t="n">
        <v>0</v>
      </c>
      <c r="O1437" s="28" t="n">
        <v>0</v>
      </c>
      <c r="P1437" s="28" t="n">
        <v>0</v>
      </c>
      <c r="Q1437" s="28" t="n">
        <v>528642</v>
      </c>
      <c r="R1437" s="28" t="n">
        <v>0</v>
      </c>
      <c r="S1437" s="28">
        <f>Q1437-R1437</f>
        <v/>
      </c>
      <c r="T1437" s="28">
        <f>IF(S1437="","",S1437*(1+in_GrowthRate)^(YEARFRAC(DATE(2022,6,30),in_AgeToDate)*IF(in_AgeToDate&lt;DATE(2022,6,30),-1,1)+1))</f>
        <v/>
      </c>
      <c r="U1437" s="50">
        <f>IF(AND(AND(OR(in_Mode="All Funds",AND(C1437&gt;=in_BandFloor,C1437&lt;=in_BandCeiling,OR(in_Geography="National",COUNTIFS(lst_GeoPreset,in_Geography,lst_GeoState,B1437)&gt;0,AND(in_Geography="Custom",ISNUMBER(SEARCH(B1437,SUBSTITUTE(in_CustomStates," ",""))))),OR(AND(D1437="Endowment",Inputs!$B$14="Y"),AND(D1437="Foundation",Inputs!$B$15="Y"),AND(D1437="Healthcare",Inputs!$B$16="Y"),AND(D1437="Pension",Inputs!$B$17="Y"),AND(D1437="OCIO",Inputs!$B$18="Y"),AND(D1437="Other",Inputs!$B$19="Y")))),A1437&lt;&gt;in_ClientOrg,NOT(AND(in_ExclHarvard="Y",ISNUMBER(SEARCH("Harvard",A1437))))),$AD1437="Y",K1437&lt;&gt;"",S1437&gt;0),"Y","")</f>
        <v/>
      </c>
      <c r="V1437" s="30" t="n">
        <v>0.4977257641592483</v>
      </c>
      <c r="W1437" t="inlineStr"/>
      <c r="X1437" s="28">
        <f>IF(L1437+M1437=0,"",L1437+M1437)</f>
        <v/>
      </c>
      <c r="Y1437" s="38">
        <f>IF(L1437=0,"",M1437/L1437)</f>
        <v/>
      </c>
      <c r="Z1437" t="inlineStr">
        <is>
          <t>Director &amp; Investment Officer</t>
        </is>
      </c>
      <c r="AA1437" t="inlineStr">
        <is>
          <t>Investments</t>
        </is>
      </c>
      <c r="AB1437" s="50" t="inlineStr"/>
      <c r="AC1437" s="43">
        <f>HYPERLINK("https://projects.propublica.org/nonprofits/organizations/473599471/202331249349301898/full","view filing")</f>
        <v/>
      </c>
      <c r="AD1437" s="50" t="inlineStr"/>
    </row>
    <row r="1438">
      <c r="A1438" t="inlineStr">
        <is>
          <t>Ucsf Foundation Investment Company</t>
        </is>
      </c>
      <c r="B1438" s="50" t="inlineStr">
        <is>
          <t>CA</t>
        </is>
      </c>
      <c r="C1438" s="52" t="n">
        <v>2.95</v>
      </c>
      <c r="D1438" t="inlineStr">
        <is>
          <t>Endowment</t>
        </is>
      </c>
      <c r="E1438" s="50" t="n">
        <v>2022</v>
      </c>
      <c r="F1438" s="50" t="inlineStr">
        <is>
          <t>2023-05-04</t>
        </is>
      </c>
      <c r="G1438" s="50" t="inlineStr">
        <is>
          <t>2022-06-30</t>
        </is>
      </c>
      <c r="H1438" t="inlineStr">
        <is>
          <t>Joseph Calger</t>
        </is>
      </c>
      <c r="I1438" t="inlineStr">
        <is>
          <t>VICE PRESIDENT</t>
        </is>
      </c>
      <c r="J1438" t="inlineStr">
        <is>
          <t>Investment Officer</t>
        </is>
      </c>
      <c r="K1438" t="inlineStr">
        <is>
          <t>Sr Investment Professional</t>
        </is>
      </c>
      <c r="L1438" s="28" t="n">
        <v>0</v>
      </c>
      <c r="M1438" s="28" t="n">
        <v>0</v>
      </c>
      <c r="N1438" s="28" t="n">
        <v>0</v>
      </c>
      <c r="O1438" s="28" t="n">
        <v>0</v>
      </c>
      <c r="P1438" s="28" t="n">
        <v>0</v>
      </c>
      <c r="Q1438" s="28" t="n">
        <v>265937</v>
      </c>
      <c r="R1438" s="28" t="n">
        <v>0</v>
      </c>
      <c r="S1438" s="28">
        <f>Q1438-R1438</f>
        <v/>
      </c>
      <c r="T1438" s="28">
        <f>IF(S1438="","",S1438*(1+in_GrowthRate)^(YEARFRAC(DATE(2022,6,30),in_AgeToDate)*IF(in_AgeToDate&lt;DATE(2022,6,30),-1,1)+1))</f>
        <v/>
      </c>
      <c r="U1438" s="50">
        <f>IF(AND(AND(OR(in_Mode="All Funds",AND(C1438&gt;=in_BandFloor,C1438&lt;=in_BandCeiling,OR(in_Geography="National",COUNTIFS(lst_GeoPreset,in_Geography,lst_GeoState,B1438)&gt;0,AND(in_Geography="Custom",ISNUMBER(SEARCH(B1438,SUBSTITUTE(in_CustomStates," ",""))))),OR(AND(D1438="Endowment",Inputs!$B$14="Y"),AND(D1438="Foundation",Inputs!$B$15="Y"),AND(D1438="Healthcare",Inputs!$B$16="Y"),AND(D1438="Pension",Inputs!$B$17="Y"),AND(D1438="OCIO",Inputs!$B$18="Y"),AND(D1438="Other",Inputs!$B$19="Y")))),A1438&lt;&gt;in_ClientOrg,NOT(AND(in_ExclHarvard="Y",ISNUMBER(SEARCH("Harvard",A1438))))),$AD1438="Y",K1438&lt;&gt;"",S1438&gt;0),"Y","")</f>
        <v/>
      </c>
      <c r="V1438" s="30" t="n">
        <v>0.2503843745733748</v>
      </c>
      <c r="W1438" t="inlineStr"/>
      <c r="X1438" s="28">
        <f>IF(L1438+M1438=0,"",L1438+M1438)</f>
        <v/>
      </c>
      <c r="Y1438" s="38">
        <f>IF(L1438=0,"",M1438/L1438)</f>
        <v/>
      </c>
      <c r="Z1438" t="inlineStr">
        <is>
          <t>Director &amp; Investment Officer</t>
        </is>
      </c>
      <c r="AA1438" t="inlineStr">
        <is>
          <t>Investments</t>
        </is>
      </c>
      <c r="AB1438" s="50" t="inlineStr"/>
      <c r="AC1438" s="43">
        <f>HYPERLINK("https://projects.propublica.org/nonprofits/organizations/473599471/202331249349301898/full","view filing")</f>
        <v/>
      </c>
      <c r="AD1438" s="50" t="inlineStr"/>
    </row>
    <row r="1439">
      <c r="A1439" t="inlineStr">
        <is>
          <t>Ucsf Foundation Investment Company</t>
        </is>
      </c>
      <c r="B1439" s="50" t="inlineStr">
        <is>
          <t>CA</t>
        </is>
      </c>
      <c r="C1439" s="52" t="n">
        <v>2.95</v>
      </c>
      <c r="D1439" t="inlineStr">
        <is>
          <t>Endowment</t>
        </is>
      </c>
      <c r="E1439" s="50" t="n">
        <v>2022</v>
      </c>
      <c r="F1439" s="50" t="inlineStr">
        <is>
          <t>2023-05-04</t>
        </is>
      </c>
      <c r="G1439" s="50" t="inlineStr">
        <is>
          <t>2022-06-30</t>
        </is>
      </c>
      <c r="H1439" t="inlineStr">
        <is>
          <t>Kaushal Shah</t>
        </is>
      </c>
      <c r="I1439" t="inlineStr">
        <is>
          <t>SECRETARY &amp; CFO</t>
        </is>
      </c>
      <c r="J1439" t="inlineStr">
        <is>
          <t>CFO (Inv Entity)</t>
        </is>
      </c>
      <c r="K1439" t="inlineStr">
        <is>
          <t>Other disclosed professionals</t>
        </is>
      </c>
      <c r="L1439" s="28" t="n">
        <v>270022</v>
      </c>
      <c r="M1439" s="28" t="n">
        <v>45000</v>
      </c>
      <c r="N1439" s="28" t="n">
        <v>1353</v>
      </c>
      <c r="O1439" s="28" t="n">
        <v>58000</v>
      </c>
      <c r="P1439" s="28" t="n">
        <v>34882</v>
      </c>
      <c r="Q1439" s="28" t="n">
        <v>409257</v>
      </c>
      <c r="R1439" s="28" t="n">
        <v>0</v>
      </c>
      <c r="S1439" s="28">
        <f>Q1439-R1439</f>
        <v/>
      </c>
      <c r="T1439" s="28">
        <f>IF(S1439="","",S1439*(1+in_GrowthRate)^(YEARFRAC(DATE(2022,6,30),in_AgeToDate)*IF(in_AgeToDate&lt;DATE(2022,6,30),-1,1)+1))</f>
        <v/>
      </c>
      <c r="U1439" s="50">
        <f>IF(AND(AND(OR(in_Mode="All Funds",AND(C1439&gt;=in_BandFloor,C1439&lt;=in_BandCeiling,OR(in_Geography="National",COUNTIFS(lst_GeoPreset,in_Geography,lst_GeoState,B1439)&gt;0,AND(in_Geography="Custom",ISNUMBER(SEARCH(B1439,SUBSTITUTE(in_CustomStates," ",""))))),OR(AND(D1439="Endowment",Inputs!$B$14="Y"),AND(D1439="Foundation",Inputs!$B$15="Y"),AND(D1439="Healthcare",Inputs!$B$16="Y"),AND(D1439="Pension",Inputs!$B$17="Y"),AND(D1439="OCIO",Inputs!$B$18="Y"),AND(D1439="Other",Inputs!$B$19="Y")))),A1439&lt;&gt;in_ClientOrg,NOT(AND(in_ExclHarvard="Y",ISNUMBER(SEARCH("Harvard",A1439))))),$AD1439="Y",K1439&lt;&gt;"",S1439&gt;0),"Y","")</f>
        <v/>
      </c>
      <c r="V1439" s="30" t="n">
        <v>0.3853226816305202</v>
      </c>
      <c r="W1439" t="inlineStr">
        <is>
          <t>Other disclosed professionals</t>
        </is>
      </c>
      <c r="X1439" s="28">
        <f>IF(L1439+M1439=0,"",L1439+M1439)</f>
        <v/>
      </c>
      <c r="Y1439" s="38">
        <f>IF(L1439=0,"",M1439/L1439)</f>
        <v/>
      </c>
      <c r="Z1439" t="inlineStr">
        <is>
          <t>Other disclosed professionals</t>
        </is>
      </c>
      <c r="AA1439" t="inlineStr">
        <is>
          <t>Operations &amp; Control</t>
        </is>
      </c>
      <c r="AB1439" s="50" t="inlineStr"/>
      <c r="AC1439" s="43">
        <f>HYPERLINK("https://projects.propublica.org/nonprofits/organizations/473599471/202331249349301898/full","view filing")</f>
        <v/>
      </c>
      <c r="AD1439" s="50" t="inlineStr"/>
    </row>
    <row r="1440">
      <c r="A1440" t="inlineStr">
        <is>
          <t>Ucsf Foundation Investment Company</t>
        </is>
      </c>
      <c r="B1440" s="50" t="inlineStr">
        <is>
          <t>CA</t>
        </is>
      </c>
      <c r="C1440" s="52" t="n">
        <v>2.95</v>
      </c>
      <c r="D1440" t="inlineStr">
        <is>
          <t>Endowment</t>
        </is>
      </c>
      <c r="E1440" s="50" t="n">
        <v>2022</v>
      </c>
      <c r="F1440" s="50" t="inlineStr">
        <is>
          <t>2023-05-04</t>
        </is>
      </c>
      <c r="G1440" s="50" t="inlineStr">
        <is>
          <t>2022-06-30</t>
        </is>
      </c>
      <c r="H1440" t="inlineStr">
        <is>
          <t>Nikita Gurjal</t>
        </is>
      </c>
      <c r="I1440" t="inlineStr">
        <is>
          <t>MANAGING DIRECTOR</t>
        </is>
      </c>
      <c r="J1440" t="inlineStr">
        <is>
          <t>Managing Director</t>
        </is>
      </c>
      <c r="K1440" t="inlineStr">
        <is>
          <t>Sr Investment Professional</t>
        </is>
      </c>
      <c r="L1440" s="28" t="n">
        <v>388911</v>
      </c>
      <c r="M1440" s="28" t="n">
        <v>375000</v>
      </c>
      <c r="N1440" s="28" t="n">
        <v>2256</v>
      </c>
      <c r="O1440" s="28" t="n">
        <v>58000</v>
      </c>
      <c r="P1440" s="28" t="n">
        <v>36035</v>
      </c>
      <c r="Q1440" s="28" t="n">
        <v>860202</v>
      </c>
      <c r="R1440" s="28" t="n">
        <v>0</v>
      </c>
      <c r="S1440" s="28">
        <f>Q1440-R1440</f>
        <v/>
      </c>
      <c r="T1440" s="28">
        <f>IF(S1440="","",S1440*(1+in_GrowthRate)^(YEARFRAC(DATE(2022,6,30),in_AgeToDate)*IF(in_AgeToDate&lt;DATE(2022,6,30),-1,1)+1))</f>
        <v/>
      </c>
      <c r="U1440" s="50">
        <f>IF(AND(AND(OR(in_Mode="All Funds",AND(C1440&gt;=in_BandFloor,C1440&lt;=in_BandCeiling,OR(in_Geography="National",COUNTIFS(lst_GeoPreset,in_Geography,lst_GeoState,B1440)&gt;0,AND(in_Geography="Custom",ISNUMBER(SEARCH(B1440,SUBSTITUTE(in_CustomStates," ",""))))),OR(AND(D1440="Endowment",Inputs!$B$14="Y"),AND(D1440="Foundation",Inputs!$B$15="Y"),AND(D1440="Healthcare",Inputs!$B$16="Y"),AND(D1440="Pension",Inputs!$B$17="Y"),AND(D1440="OCIO",Inputs!$B$18="Y"),AND(D1440="Other",Inputs!$B$19="Y")))),A1440&lt;&gt;in_ClientOrg,NOT(AND(in_ExclHarvard="Y",ISNUMBER(SEARCH("Harvard",A1440))))),$AD1440="Y",K1440&lt;&gt;"",S1440&gt;0),"Y","")</f>
        <v/>
      </c>
      <c r="V1440" s="30" t="n">
        <v>0.809895350315173</v>
      </c>
      <c r="W1440" t="inlineStr"/>
      <c r="X1440" s="28">
        <f>IF(L1440+M1440=0,"",L1440+M1440)</f>
        <v/>
      </c>
      <c r="Y1440" s="38">
        <f>IF(L1440=0,"",M1440/L1440)</f>
        <v/>
      </c>
      <c r="Z1440" t="inlineStr">
        <is>
          <t>Managing Director</t>
        </is>
      </c>
      <c r="AA1440" t="inlineStr">
        <is>
          <t>Investments</t>
        </is>
      </c>
      <c r="AB1440" s="50" t="inlineStr"/>
      <c r="AC1440" s="43">
        <f>HYPERLINK("https://projects.propublica.org/nonprofits/organizations/473599471/202331249349301898/full","view filing")</f>
        <v/>
      </c>
      <c r="AD1440" s="50" t="inlineStr"/>
    </row>
    <row r="1441">
      <c r="A1441" t="inlineStr">
        <is>
          <t>Unc Management Company Inc</t>
        </is>
      </c>
      <c r="B1441" s="50" t="inlineStr">
        <is>
          <t>NC</t>
        </is>
      </c>
      <c r="C1441" s="52" t="n">
        <v>6.22</v>
      </c>
      <c r="D1441" t="inlineStr">
        <is>
          <t>Endowment</t>
        </is>
      </c>
      <c r="E1441" s="50" t="n">
        <v>2025</v>
      </c>
      <c r="F1441" s="50" t="inlineStr">
        <is>
          <t>2026-05-12</t>
        </is>
      </c>
      <c r="G1441" s="50" t="inlineStr">
        <is>
          <t>2025-06-30</t>
        </is>
      </c>
      <c r="H1441" t="inlineStr">
        <is>
          <t>Angela Moss</t>
        </is>
      </c>
      <c r="I1441" t="inlineStr">
        <is>
          <t>MANAGING DIRECTOR, INVESTMENTS</t>
        </is>
      </c>
      <c r="J1441" t="inlineStr">
        <is>
          <t>Managing Director</t>
        </is>
      </c>
      <c r="K1441" t="inlineStr">
        <is>
          <t>Sr Investment Professional</t>
        </is>
      </c>
      <c r="L1441" s="28" t="n">
        <v>427814</v>
      </c>
      <c r="M1441" s="28" t="n">
        <v>694513</v>
      </c>
      <c r="N1441" s="28" t="n">
        <v>2624</v>
      </c>
      <c r="O1441" s="28" t="n">
        <v>494005</v>
      </c>
      <c r="P1441" s="28" t="n">
        <v>45323</v>
      </c>
      <c r="Q1441" s="28" t="n">
        <v>1664279</v>
      </c>
      <c r="R1441" s="28" t="n">
        <v>241654</v>
      </c>
      <c r="S1441" s="28">
        <f>Q1441-R1441</f>
        <v/>
      </c>
      <c r="T1441" s="28">
        <f>IF(S1441="","",S1441*(1+in_GrowthRate)^(YEARFRAC(DATE(2025,6,30),in_AgeToDate)*IF(in_AgeToDate&lt;DATE(2025,6,30),-1,1)+1))</f>
        <v/>
      </c>
      <c r="U1441" s="50">
        <f>IF(AND(AND(OR(in_Mode="All Funds",AND(C1441&gt;=in_BandFloor,C1441&lt;=in_BandCeiling,OR(in_Geography="National",COUNTIFS(lst_GeoPreset,in_Geography,lst_GeoState,B1441)&gt;0,AND(in_Geography="Custom",ISNUMBER(SEARCH(B1441,SUBSTITUTE(in_CustomStates," ",""))))),OR(AND(D1441="Endowment",Inputs!$B$14="Y"),AND(D1441="Foundation",Inputs!$B$15="Y"),AND(D1441="Healthcare",Inputs!$B$16="Y"),AND(D1441="Pension",Inputs!$B$17="Y"),AND(D1441="OCIO",Inputs!$B$18="Y"),AND(D1441="Other",Inputs!$B$19="Y")))),A1441&lt;&gt;in_ClientOrg,NOT(AND(in_ExclHarvard="Y",ISNUMBER(SEARCH("Harvard",A1441))))),$AD1441="Y",K1441&lt;&gt;"",S1441&gt;0),"Y","")</f>
        <v/>
      </c>
      <c r="V1441" s="30" t="n">
        <v>0.3313863427246998</v>
      </c>
      <c r="W1441" t="inlineStr"/>
      <c r="X1441" s="28">
        <f>IF(L1441+M1441=0,"",L1441+M1441)</f>
        <v/>
      </c>
      <c r="Y1441" s="38">
        <f>IF(L1441=0,"",M1441/L1441)</f>
        <v/>
      </c>
      <c r="Z1441" t="inlineStr">
        <is>
          <t>Managing Director</t>
        </is>
      </c>
      <c r="AA1441" t="inlineStr">
        <is>
          <t>Investments</t>
        </is>
      </c>
      <c r="AB1441" s="50" t="inlineStr"/>
      <c r="AC1441" s="43">
        <f>HYPERLINK("https://projects.propublica.org/nonprofits/organizations/364516257/202611329349304711/full","view filing")</f>
        <v/>
      </c>
      <c r="AD1441" s="50" t="inlineStr">
        <is>
          <t>Y</t>
        </is>
      </c>
    </row>
    <row r="1442">
      <c r="A1442" t="inlineStr">
        <is>
          <t>Unc Management Company Inc</t>
        </is>
      </c>
      <c r="B1442" s="50" t="inlineStr">
        <is>
          <t>NC</t>
        </is>
      </c>
      <c r="C1442" s="52" t="n">
        <v>6.22</v>
      </c>
      <c r="D1442" t="inlineStr">
        <is>
          <t>Endowment</t>
        </is>
      </c>
      <c r="E1442" s="50" t="n">
        <v>2025</v>
      </c>
      <c r="F1442" s="50" t="inlineStr">
        <is>
          <t>2026-05-12</t>
        </is>
      </c>
      <c r="G1442" s="50" t="inlineStr">
        <is>
          <t>2025-06-30</t>
        </is>
      </c>
      <c r="H1442" t="inlineStr">
        <is>
          <t>Chris Bartholomew</t>
        </is>
      </c>
      <c r="I1442" t="inlineStr">
        <is>
          <t>MANAGING DIRECTOR, INVESTMENTS</t>
        </is>
      </c>
      <c r="J1442" t="inlineStr">
        <is>
          <t>Managing Director</t>
        </is>
      </c>
      <c r="K1442" t="inlineStr">
        <is>
          <t>Sr Investment Professional</t>
        </is>
      </c>
      <c r="L1442" s="28" t="n">
        <v>427315</v>
      </c>
      <c r="M1442" s="28" t="n">
        <v>720246</v>
      </c>
      <c r="N1442" s="28" t="n">
        <v>780</v>
      </c>
      <c r="O1442" s="28" t="n">
        <v>512191</v>
      </c>
      <c r="P1442" s="28" t="n">
        <v>47073</v>
      </c>
      <c r="Q1442" s="28" t="n">
        <v>1707605</v>
      </c>
      <c r="R1442" s="28" t="n">
        <v>245606</v>
      </c>
      <c r="S1442" s="28">
        <f>Q1442-R1442</f>
        <v/>
      </c>
      <c r="T1442" s="28">
        <f>IF(S1442="","",S1442*(1+in_GrowthRate)^(YEARFRAC(DATE(2025,6,30),in_AgeToDate)*IF(in_AgeToDate&lt;DATE(2025,6,30),-1,1)+1))</f>
        <v/>
      </c>
      <c r="U1442" s="50">
        <f>IF(AND(AND(OR(in_Mode="All Funds",AND(C1442&gt;=in_BandFloor,C1442&lt;=in_BandCeiling,OR(in_Geography="National",COUNTIFS(lst_GeoPreset,in_Geography,lst_GeoState,B1442)&gt;0,AND(in_Geography="Custom",ISNUMBER(SEARCH(B1442,SUBSTITUTE(in_CustomStates," ",""))))),OR(AND(D1442="Endowment",Inputs!$B$14="Y"),AND(D1442="Foundation",Inputs!$B$15="Y"),AND(D1442="Healthcare",Inputs!$B$16="Y"),AND(D1442="Pension",Inputs!$B$17="Y"),AND(D1442="OCIO",Inputs!$B$18="Y"),AND(D1442="Other",Inputs!$B$19="Y")))),A1442&lt;&gt;in_ClientOrg,NOT(AND(in_ExclHarvard="Y",ISNUMBER(SEARCH("Harvard",A1442))))),$AD1442="Y",K1442&lt;&gt;"",S1442&gt;0),"Y","")</f>
        <v/>
      </c>
      <c r="V1442" s="30" t="n">
        <v>0.3405581243666942</v>
      </c>
      <c r="W1442" t="inlineStr"/>
      <c r="X1442" s="28">
        <f>IF(L1442+M1442=0,"",L1442+M1442)</f>
        <v/>
      </c>
      <c r="Y1442" s="38">
        <f>IF(L1442=0,"",M1442/L1442)</f>
        <v/>
      </c>
      <c r="Z1442" t="inlineStr">
        <is>
          <t>Managing Director</t>
        </is>
      </c>
      <c r="AA1442" t="inlineStr">
        <is>
          <t>Investments</t>
        </is>
      </c>
      <c r="AB1442" s="50" t="inlineStr"/>
      <c r="AC1442" s="43">
        <f>HYPERLINK("https://projects.propublica.org/nonprofits/organizations/364516257/202611329349304711/full","view filing")</f>
        <v/>
      </c>
      <c r="AD1442" s="50" t="inlineStr">
        <is>
          <t>Y</t>
        </is>
      </c>
    </row>
    <row r="1443">
      <c r="A1443" t="inlineStr">
        <is>
          <t>Unc Management Company Inc</t>
        </is>
      </c>
      <c r="B1443" s="50" t="inlineStr">
        <is>
          <t>NC</t>
        </is>
      </c>
      <c r="C1443" s="52" t="n">
        <v>6.22</v>
      </c>
      <c r="D1443" t="inlineStr">
        <is>
          <t>Endowment</t>
        </is>
      </c>
      <c r="E1443" s="50" t="n">
        <v>2025</v>
      </c>
      <c r="F1443" s="50" t="inlineStr">
        <is>
          <t>2026-05-12</t>
        </is>
      </c>
      <c r="G1443" s="50" t="inlineStr">
        <is>
          <t>2025-06-30</t>
        </is>
      </c>
      <c r="H1443" t="inlineStr">
        <is>
          <t>Chris Mattke</t>
        </is>
      </c>
      <c r="I1443" t="inlineStr">
        <is>
          <t>VP - INV OPS &amp; FINANCE</t>
        </is>
      </c>
      <c r="J1443" t="inlineStr">
        <is>
          <t>Investment Officer</t>
        </is>
      </c>
      <c r="K1443" t="inlineStr">
        <is>
          <t>COO (Investment Office)</t>
        </is>
      </c>
      <c r="L1443" s="28" t="n">
        <v>331774</v>
      </c>
      <c r="M1443" s="28" t="n">
        <v>377945</v>
      </c>
      <c r="N1443" s="28" t="n">
        <v>780</v>
      </c>
      <c r="O1443" s="28" t="n">
        <v>274801</v>
      </c>
      <c r="P1443" s="28" t="n">
        <v>46493</v>
      </c>
      <c r="Q1443" s="28" t="n">
        <v>1031793</v>
      </c>
      <c r="R1443" s="28" t="n">
        <v>146305</v>
      </c>
      <c r="S1443" s="28">
        <f>Q1443-R1443</f>
        <v/>
      </c>
      <c r="T1443" s="28">
        <f>IF(S1443="","",S1443*(1+in_GrowthRate)^(YEARFRAC(DATE(2025,6,30),in_AgeToDate)*IF(in_AgeToDate&lt;DATE(2025,6,30),-1,1)+1))</f>
        <v/>
      </c>
      <c r="U1443" s="50">
        <f>IF(AND(AND(OR(in_Mode="All Funds",AND(C1443&gt;=in_BandFloor,C1443&lt;=in_BandCeiling,OR(in_Geography="National",COUNTIFS(lst_GeoPreset,in_Geography,lst_GeoState,B1443)&gt;0,AND(in_Geography="Custom",ISNUMBER(SEARCH(B1443,SUBSTITUTE(in_CustomStates," ",""))))),OR(AND(D1443="Endowment",Inputs!$B$14="Y"),AND(D1443="Foundation",Inputs!$B$15="Y"),AND(D1443="Healthcare",Inputs!$B$16="Y"),AND(D1443="Pension",Inputs!$B$17="Y"),AND(D1443="OCIO",Inputs!$B$18="Y"),AND(D1443="Other",Inputs!$B$19="Y")))),A1443&lt;&gt;in_ClientOrg,NOT(AND(in_ExclHarvard="Y",ISNUMBER(SEARCH("Harvard",A1443))))),$AD1443="Y",K1443&lt;&gt;"",S1443&gt;0),"Y","")</f>
        <v/>
      </c>
      <c r="V1443" s="30" t="n">
        <v>0.2062656215422961</v>
      </c>
      <c r="W1443" t="inlineStr"/>
      <c r="X1443" s="28">
        <f>IF(L1443+M1443=0,"",L1443+M1443)</f>
        <v/>
      </c>
      <c r="Y1443" s="38">
        <f>IF(L1443=0,"",M1443/L1443)</f>
        <v/>
      </c>
      <c r="Z1443" t="inlineStr">
        <is>
          <t>COO (Investment Office)</t>
        </is>
      </c>
      <c r="AA1443" t="inlineStr">
        <is>
          <t>Operations &amp; Control</t>
        </is>
      </c>
      <c r="AB1443" s="50" t="inlineStr"/>
      <c r="AC1443" s="43">
        <f>HYPERLINK("https://projects.propublica.org/nonprofits/organizations/364516257/202611329349304711/full","view filing")</f>
        <v/>
      </c>
      <c r="AD1443" s="50" t="inlineStr">
        <is>
          <t>Y</t>
        </is>
      </c>
    </row>
    <row r="1444">
      <c r="A1444" t="inlineStr">
        <is>
          <t>Unc Management Company Inc</t>
        </is>
      </c>
      <c r="B1444" s="50" t="inlineStr">
        <is>
          <t>NC</t>
        </is>
      </c>
      <c r="C1444" s="52" t="n">
        <v>6.22</v>
      </c>
      <c r="D1444" t="inlineStr">
        <is>
          <t>Endowment</t>
        </is>
      </c>
      <c r="E1444" s="50" t="n">
        <v>2025</v>
      </c>
      <c r="F1444" s="50" t="inlineStr">
        <is>
          <t>2026-05-12</t>
        </is>
      </c>
      <c r="G1444" s="50" t="inlineStr">
        <is>
          <t>2025-06-30</t>
        </is>
      </c>
      <c r="H1444" t="inlineStr">
        <is>
          <t>Chris Rudolph</t>
        </is>
      </c>
      <c r="I1444" t="inlineStr">
        <is>
          <t>MANAGING DIRECTOR, INVESTMENTS</t>
        </is>
      </c>
      <c r="J1444" t="inlineStr">
        <is>
          <t>Managing Director</t>
        </is>
      </c>
      <c r="K1444" t="inlineStr">
        <is>
          <t>Sr Investment Professional</t>
        </is>
      </c>
      <c r="L1444" s="28" t="n">
        <v>424615</v>
      </c>
      <c r="M1444" s="28" t="n">
        <v>698060</v>
      </c>
      <c r="N1444" s="28" t="n">
        <v>2228</v>
      </c>
      <c r="O1444" s="28" t="n">
        <v>497552</v>
      </c>
      <c r="P1444" s="28" t="n">
        <v>48717</v>
      </c>
      <c r="Q1444" s="28" t="n">
        <v>1671172</v>
      </c>
      <c r="R1444" s="28" t="n">
        <v>241654</v>
      </c>
      <c r="S1444" s="28">
        <f>Q1444-R1444</f>
        <v/>
      </c>
      <c r="T1444" s="28">
        <f>IF(S1444="","",S1444*(1+in_GrowthRate)^(YEARFRAC(DATE(2025,6,30),in_AgeToDate)*IF(in_AgeToDate&lt;DATE(2025,6,30),-1,1)+1))</f>
        <v/>
      </c>
      <c r="U1444" s="50">
        <f>IF(AND(AND(OR(in_Mode="All Funds",AND(C1444&gt;=in_BandFloor,C1444&lt;=in_BandCeiling,OR(in_Geography="National",COUNTIFS(lst_GeoPreset,in_Geography,lst_GeoState,B1444)&gt;0,AND(in_Geography="Custom",ISNUMBER(SEARCH(B1444,SUBSTITUTE(in_CustomStates," ",""))))),OR(AND(D1444="Endowment",Inputs!$B$14="Y"),AND(D1444="Foundation",Inputs!$B$15="Y"),AND(D1444="Healthcare",Inputs!$B$16="Y"),AND(D1444="Pension",Inputs!$B$17="Y"),AND(D1444="OCIO",Inputs!$B$18="Y"),AND(D1444="Other",Inputs!$B$19="Y")))),A1444&lt;&gt;in_ClientOrg,NOT(AND(in_ExclHarvard="Y",ISNUMBER(SEARCH("Harvard",A1444))))),$AD1444="Y",K1444&lt;&gt;"",S1444&gt;0),"Y","")</f>
        <v/>
      </c>
      <c r="V1444" s="30" t="n">
        <v>0.3329919985091837</v>
      </c>
      <c r="W1444" t="inlineStr"/>
      <c r="X1444" s="28">
        <f>IF(L1444+M1444=0,"",L1444+M1444)</f>
        <v/>
      </c>
      <c r="Y1444" s="38">
        <f>IF(L1444=0,"",M1444/L1444)</f>
        <v/>
      </c>
      <c r="Z1444" t="inlineStr">
        <is>
          <t>Managing Director</t>
        </is>
      </c>
      <c r="AA1444" t="inlineStr">
        <is>
          <t>Investments</t>
        </is>
      </c>
      <c r="AB1444" s="50" t="inlineStr"/>
      <c r="AC1444" s="43">
        <f>HYPERLINK("https://projects.propublica.org/nonprofits/organizations/364516257/202611329349304711/full","view filing")</f>
        <v/>
      </c>
      <c r="AD1444" s="50" t="inlineStr">
        <is>
          <t>Y</t>
        </is>
      </c>
    </row>
    <row r="1445">
      <c r="A1445" t="inlineStr">
        <is>
          <t>Unc Management Company Inc</t>
        </is>
      </c>
      <c r="B1445" s="50" t="inlineStr">
        <is>
          <t>NC</t>
        </is>
      </c>
      <c r="C1445" s="52" t="n">
        <v>6.22</v>
      </c>
      <c r="D1445" t="inlineStr">
        <is>
          <t>Endowment</t>
        </is>
      </c>
      <c r="E1445" s="50" t="n">
        <v>2025</v>
      </c>
      <c r="F1445" s="50" t="inlineStr">
        <is>
          <t>2026-05-12</t>
        </is>
      </c>
      <c r="G1445" s="50" t="inlineStr">
        <is>
          <t>2025-06-30</t>
        </is>
      </c>
      <c r="H1445" t="inlineStr">
        <is>
          <t>Jonathon C King</t>
        </is>
      </c>
      <c r="I1445" t="inlineStr">
        <is>
          <t>PRESIDENT</t>
        </is>
      </c>
      <c r="J1445" t="inlineStr">
        <is>
          <t>CEO (Inv Entity)</t>
        </is>
      </c>
      <c r="K1445" t="inlineStr">
        <is>
          <t>CIO - Top Investment Executive</t>
        </is>
      </c>
      <c r="L1445" s="28" t="n">
        <v>934588</v>
      </c>
      <c r="M1445" s="28" t="n">
        <v>4180802</v>
      </c>
      <c r="N1445" s="28" t="n">
        <v>11241</v>
      </c>
      <c r="O1445" s="28" t="n">
        <v>55200</v>
      </c>
      <c r="P1445" s="28" t="n">
        <v>32942</v>
      </c>
      <c r="Q1445" s="28" t="n">
        <v>5214773</v>
      </c>
      <c r="R1445" s="28" t="n">
        <v>921823</v>
      </c>
      <c r="S1445" s="28">
        <f>Q1445-R1445</f>
        <v/>
      </c>
      <c r="T1445" s="28">
        <f>IF(S1445="","",S1445*(1+in_GrowthRate)^(YEARFRAC(DATE(2025,6,30),in_AgeToDate)*IF(in_AgeToDate&lt;DATE(2025,6,30),-1,1)+1))</f>
        <v/>
      </c>
      <c r="U1445" s="50">
        <f>IF(AND(AND(OR(in_Mode="All Funds",AND(C1445&gt;=in_BandFloor,C1445&lt;=in_BandCeiling,OR(in_Geography="National",COUNTIFS(lst_GeoPreset,in_Geography,lst_GeoState,B1445)&gt;0,AND(in_Geography="Custom",ISNUMBER(SEARCH(B1445,SUBSTITUTE(in_CustomStates," ",""))))),OR(AND(D1445="Endowment",Inputs!$B$14="Y"),AND(D1445="Foundation",Inputs!$B$15="Y"),AND(D1445="Healthcare",Inputs!$B$16="Y"),AND(D1445="Pension",Inputs!$B$17="Y"),AND(D1445="OCIO",Inputs!$B$18="Y"),AND(D1445="Other",Inputs!$B$19="Y")))),A1445&lt;&gt;in_ClientOrg,NOT(AND(in_ExclHarvard="Y",ISNUMBER(SEARCH("Harvard",A1445))))),$AD1445="Y",K1445&lt;&gt;"",S1445&gt;0),"Y","")</f>
        <v/>
      </c>
      <c r="V1445" s="30" t="n">
        <v>1</v>
      </c>
      <c r="W1445" t="inlineStr"/>
      <c r="X1445" s="28">
        <f>IF(L1445+M1445=0,"",L1445+M1445)</f>
        <v/>
      </c>
      <c r="Y1445" s="38">
        <f>IF(L1445=0,"",M1445/L1445)</f>
        <v/>
      </c>
      <c r="Z1445" t="inlineStr">
        <is>
          <t>CIO - Top Investment Executive</t>
        </is>
      </c>
      <c r="AA1445" t="inlineStr">
        <is>
          <t>Leadership</t>
        </is>
      </c>
      <c r="AB1445" s="50" t="inlineStr">
        <is>
          <t>Y</t>
        </is>
      </c>
      <c r="AC1445" s="43">
        <f>HYPERLINK("https://projects.propublica.org/nonprofits/organizations/364516257/202611329349304711/full","view filing")</f>
        <v/>
      </c>
      <c r="AD1445" s="50" t="inlineStr">
        <is>
          <t>Y</t>
        </is>
      </c>
    </row>
    <row r="1446">
      <c r="A1446" t="inlineStr">
        <is>
          <t>Unc Management Company Inc</t>
        </is>
      </c>
      <c r="B1446" s="50" t="inlineStr">
        <is>
          <t>NC</t>
        </is>
      </c>
      <c r="C1446" s="52" t="n">
        <v>6.22</v>
      </c>
      <c r="D1446" t="inlineStr">
        <is>
          <t>Endowment</t>
        </is>
      </c>
      <c r="E1446" s="50" t="n">
        <v>2025</v>
      </c>
      <c r="F1446" s="50" t="inlineStr">
        <is>
          <t>2026-05-12</t>
        </is>
      </c>
      <c r="G1446" s="50" t="inlineStr">
        <is>
          <t>2025-06-30</t>
        </is>
      </c>
      <c r="H1446" t="inlineStr">
        <is>
          <t>Joshua Shapiro</t>
        </is>
      </c>
      <c r="I1446" t="inlineStr">
        <is>
          <t>VP - INV STRATEGY &amp; RISK MANAGEMENT</t>
        </is>
      </c>
      <c r="J1446" t="inlineStr">
        <is>
          <t>Investment Officer</t>
        </is>
      </c>
      <c r="K1446" t="inlineStr">
        <is>
          <t>Sr Investment Professional</t>
        </is>
      </c>
      <c r="L1446" s="28" t="n">
        <v>489814</v>
      </c>
      <c r="M1446" s="28" t="n">
        <v>1555876</v>
      </c>
      <c r="N1446" s="28" t="n">
        <v>5659</v>
      </c>
      <c r="O1446" s="28" t="n">
        <v>55200</v>
      </c>
      <c r="P1446" s="28" t="n">
        <v>46534</v>
      </c>
      <c r="Q1446" s="28" t="n">
        <v>2153083</v>
      </c>
      <c r="R1446" s="28" t="n">
        <v>357063</v>
      </c>
      <c r="S1446" s="28">
        <f>Q1446-R1446</f>
        <v/>
      </c>
      <c r="T1446" s="28">
        <f>IF(S1446="","",S1446*(1+in_GrowthRate)^(YEARFRAC(DATE(2025,6,30),in_AgeToDate)*IF(in_AgeToDate&lt;DATE(2025,6,30),-1,1)+1))</f>
        <v/>
      </c>
      <c r="U1446" s="50">
        <f>IF(AND(AND(OR(in_Mode="All Funds",AND(C1446&gt;=in_BandFloor,C1446&lt;=in_BandCeiling,OR(in_Geography="National",COUNTIFS(lst_GeoPreset,in_Geography,lst_GeoState,B1446)&gt;0,AND(in_Geography="Custom",ISNUMBER(SEARCH(B1446,SUBSTITUTE(in_CustomStates," ",""))))),OR(AND(D1446="Endowment",Inputs!$B$14="Y"),AND(D1446="Foundation",Inputs!$B$15="Y"),AND(D1446="Healthcare",Inputs!$B$16="Y"),AND(D1446="Pension",Inputs!$B$17="Y"),AND(D1446="OCIO",Inputs!$B$18="Y"),AND(D1446="Other",Inputs!$B$19="Y")))),A1446&lt;&gt;in_ClientOrg,NOT(AND(in_ExclHarvard="Y",ISNUMBER(SEARCH("Harvard",A1446))))),$AD1446="Y",K1446&lt;&gt;"",S1446&gt;0),"Y","")</f>
        <v/>
      </c>
      <c r="V1446" s="30" t="n">
        <v>0.4183649937688536</v>
      </c>
      <c r="W1446" t="inlineStr"/>
      <c r="X1446" s="28">
        <f>IF(L1446+M1446=0,"",L1446+M1446)</f>
        <v/>
      </c>
      <c r="Y1446" s="38">
        <f>IF(L1446=0,"",M1446/L1446)</f>
        <v/>
      </c>
      <c r="Z1446" t="inlineStr">
        <is>
          <t>Director &amp; Investment Officer</t>
        </is>
      </c>
      <c r="AA1446" t="inlineStr">
        <is>
          <t>Investments</t>
        </is>
      </c>
      <c r="AB1446" s="50" t="inlineStr"/>
      <c r="AC1446" s="43">
        <f>HYPERLINK("https://projects.propublica.org/nonprofits/organizations/364516257/202611329349304711/full","view filing")</f>
        <v/>
      </c>
      <c r="AD1446" s="50" t="inlineStr">
        <is>
          <t>Y</t>
        </is>
      </c>
    </row>
    <row r="1447">
      <c r="A1447" t="inlineStr">
        <is>
          <t>Unc Management Company Inc</t>
        </is>
      </c>
      <c r="B1447" s="50" t="inlineStr">
        <is>
          <t>NC</t>
        </is>
      </c>
      <c r="C1447" s="52" t="n">
        <v>6.22</v>
      </c>
      <c r="D1447" t="inlineStr">
        <is>
          <t>Endowment</t>
        </is>
      </c>
      <c r="E1447" s="50" t="n">
        <v>2025</v>
      </c>
      <c r="F1447" s="50" t="inlineStr">
        <is>
          <t>2026-05-12</t>
        </is>
      </c>
      <c r="G1447" s="50" t="inlineStr">
        <is>
          <t>2025-06-30</t>
        </is>
      </c>
      <c r="H1447" t="inlineStr">
        <is>
          <t>Matthew Lesesky</t>
        </is>
      </c>
      <c r="I1447" t="inlineStr">
        <is>
          <t>MANAGING DIRECTOR, INVESTMENTS</t>
        </is>
      </c>
      <c r="J1447" t="inlineStr">
        <is>
          <t>Managing Director</t>
        </is>
      </c>
      <c r="K1447" t="inlineStr">
        <is>
          <t>Sr Investment Professional</t>
        </is>
      </c>
      <c r="L1447" s="28" t="n">
        <v>426815</v>
      </c>
      <c r="M1447" s="28" t="n">
        <v>704481</v>
      </c>
      <c r="N1447" s="28" t="n">
        <v>1170</v>
      </c>
      <c r="O1447" s="28" t="n">
        <v>497825</v>
      </c>
      <c r="P1447" s="28" t="n">
        <v>48017</v>
      </c>
      <c r="Q1447" s="28" t="n">
        <v>1678308</v>
      </c>
      <c r="R1447" s="28" t="n">
        <v>244207</v>
      </c>
      <c r="S1447" s="28">
        <f>Q1447-R1447</f>
        <v/>
      </c>
      <c r="T1447" s="28">
        <f>IF(S1447="","",S1447*(1+in_GrowthRate)^(YEARFRAC(DATE(2025,6,30),in_AgeToDate)*IF(in_AgeToDate&lt;DATE(2025,6,30),-1,1)+1))</f>
        <v/>
      </c>
      <c r="U1447" s="50">
        <f>IF(AND(AND(OR(in_Mode="All Funds",AND(C1447&gt;=in_BandFloor,C1447&lt;=in_BandCeiling,OR(in_Geography="National",COUNTIFS(lst_GeoPreset,in_Geography,lst_GeoState,B1447)&gt;0,AND(in_Geography="Custom",ISNUMBER(SEARCH(B1447,SUBSTITUTE(in_CustomStates," ",""))))),OR(AND(D1447="Endowment",Inputs!$B$14="Y"),AND(D1447="Foundation",Inputs!$B$15="Y"),AND(D1447="Healthcare",Inputs!$B$16="Y"),AND(D1447="Pension",Inputs!$B$17="Y"),AND(D1447="OCIO",Inputs!$B$18="Y"),AND(D1447="Other",Inputs!$B$19="Y")))),A1447&lt;&gt;in_ClientOrg,NOT(AND(in_ExclHarvard="Y",ISNUMBER(SEARCH("Harvard",A1447))))),$AD1447="Y",K1447&lt;&gt;"",S1447&gt;0),"Y","")</f>
        <v/>
      </c>
      <c r="V1447" s="30" t="n">
        <v>0.3340595627715208</v>
      </c>
      <c r="W1447" t="inlineStr"/>
      <c r="X1447" s="28">
        <f>IF(L1447+M1447=0,"",L1447+M1447)</f>
        <v/>
      </c>
      <c r="Y1447" s="38">
        <f>IF(L1447=0,"",M1447/L1447)</f>
        <v/>
      </c>
      <c r="Z1447" t="inlineStr">
        <is>
          <t>Managing Director</t>
        </is>
      </c>
      <c r="AA1447" t="inlineStr">
        <is>
          <t>Investments</t>
        </is>
      </c>
      <c r="AB1447" s="50" t="inlineStr"/>
      <c r="AC1447" s="43">
        <f>HYPERLINK("https://projects.propublica.org/nonprofits/organizations/364516257/202611329349304711/full","view filing")</f>
        <v/>
      </c>
      <c r="AD1447" s="50" t="inlineStr">
        <is>
          <t>Y</t>
        </is>
      </c>
    </row>
    <row r="1448">
      <c r="A1448" t="inlineStr">
        <is>
          <t>Unc Management Company Inc</t>
        </is>
      </c>
      <c r="B1448" s="50" t="inlineStr">
        <is>
          <t>NC</t>
        </is>
      </c>
      <c r="C1448" s="52" t="n">
        <v>6.22</v>
      </c>
      <c r="D1448" t="inlineStr">
        <is>
          <t>Endowment</t>
        </is>
      </c>
      <c r="E1448" s="50" t="n">
        <v>2025</v>
      </c>
      <c r="F1448" s="50" t="inlineStr">
        <is>
          <t>2026-05-12</t>
        </is>
      </c>
      <c r="G1448" s="50" t="inlineStr">
        <is>
          <t>2025-06-30</t>
        </is>
      </c>
      <c r="H1448" t="inlineStr">
        <is>
          <t>Rodgers Harshbarger</t>
        </is>
      </c>
      <c r="I1448" t="inlineStr">
        <is>
          <t>MANAGING DIRECTOR, INVESTMENTS</t>
        </is>
      </c>
      <c r="J1448" t="inlineStr">
        <is>
          <t>Managing Director</t>
        </is>
      </c>
      <c r="K1448" t="inlineStr">
        <is>
          <t>Sr Investment Professional</t>
        </is>
      </c>
      <c r="L1448" s="28" t="n">
        <v>426815</v>
      </c>
      <c r="M1448" s="28" t="n">
        <v>702207</v>
      </c>
      <c r="N1448" s="28" t="n">
        <v>1341</v>
      </c>
      <c r="O1448" s="28" t="n">
        <v>487357</v>
      </c>
      <c r="P1448" s="28" t="n">
        <v>46510</v>
      </c>
      <c r="Q1448" s="28" t="n">
        <v>1664230</v>
      </c>
      <c r="R1448" s="28" t="n">
        <v>251642</v>
      </c>
      <c r="S1448" s="28">
        <f>Q1448-R1448</f>
        <v/>
      </c>
      <c r="T1448" s="28">
        <f>IF(S1448="","",S1448*(1+in_GrowthRate)^(YEARFRAC(DATE(2025,6,30),in_AgeToDate)*IF(in_AgeToDate&lt;DATE(2025,6,30),-1,1)+1))</f>
        <v/>
      </c>
      <c r="U1448" s="50">
        <f>IF(AND(AND(OR(in_Mode="All Funds",AND(C1448&gt;=in_BandFloor,C1448&lt;=in_BandCeiling,OR(in_Geography="National",COUNTIFS(lst_GeoPreset,in_Geography,lst_GeoState,B1448)&gt;0,AND(in_Geography="Custom",ISNUMBER(SEARCH(B1448,SUBSTITUTE(in_CustomStates," ",""))))),OR(AND(D1448="Endowment",Inputs!$B$14="Y"),AND(D1448="Foundation",Inputs!$B$15="Y"),AND(D1448="Healthcare",Inputs!$B$16="Y"),AND(D1448="Pension",Inputs!$B$17="Y"),AND(D1448="OCIO",Inputs!$B$18="Y"),AND(D1448="Other",Inputs!$B$19="Y")))),A1448&lt;&gt;in_ClientOrg,NOT(AND(in_ExclHarvard="Y",ISNUMBER(SEARCH("Harvard",A1448))))),$AD1448="Y",K1448&lt;&gt;"",S1448&gt;0),"Y","")</f>
        <v/>
      </c>
      <c r="V1448" s="30" t="n">
        <v>0.3290483234139694</v>
      </c>
      <c r="W1448" t="inlineStr"/>
      <c r="X1448" s="28">
        <f>IF(L1448+M1448=0,"",L1448+M1448)</f>
        <v/>
      </c>
      <c r="Y1448" s="38">
        <f>IF(L1448=0,"",M1448/L1448)</f>
        <v/>
      </c>
      <c r="Z1448" t="inlineStr">
        <is>
          <t>Managing Director</t>
        </is>
      </c>
      <c r="AA1448" t="inlineStr">
        <is>
          <t>Investments</t>
        </is>
      </c>
      <c r="AB1448" s="50" t="inlineStr"/>
      <c r="AC1448" s="43">
        <f>HYPERLINK("https://projects.propublica.org/nonprofits/organizations/364516257/202611329349304711/full","view filing")</f>
        <v/>
      </c>
      <c r="AD1448" s="50" t="inlineStr">
        <is>
          <t>Y</t>
        </is>
      </c>
    </row>
    <row r="1449">
      <c r="A1449" t="inlineStr">
        <is>
          <t>Unc Management Company Inc</t>
        </is>
      </c>
      <c r="B1449" s="50" t="inlineStr">
        <is>
          <t>NC</t>
        </is>
      </c>
      <c r="C1449" s="52" t="n">
        <v>6.22</v>
      </c>
      <c r="D1449" t="inlineStr">
        <is>
          <t>Endowment</t>
        </is>
      </c>
      <c r="E1449" s="50" t="n">
        <v>2025</v>
      </c>
      <c r="F1449" s="50" t="inlineStr">
        <is>
          <t>2026-05-12</t>
        </is>
      </c>
      <c r="G1449" s="50" t="inlineStr">
        <is>
          <t>2025-06-30</t>
        </is>
      </c>
      <c r="H1449" t="inlineStr">
        <is>
          <t>Tim Burch</t>
        </is>
      </c>
      <c r="I1449" t="inlineStr">
        <is>
          <t>SENIOR VP &amp; GENERAL COUNSEL</t>
        </is>
      </c>
      <c r="J1449" t="inlineStr">
        <is>
          <t>General Counsel (Inv Entity)</t>
        </is>
      </c>
      <c r="K1449" t="inlineStr">
        <is>
          <t>Other disclosed professionals</t>
        </is>
      </c>
      <c r="L1449" s="28" t="n">
        <v>351584</v>
      </c>
      <c r="M1449" s="28" t="n">
        <v>405406</v>
      </c>
      <c r="N1449" s="28" t="n">
        <v>1759</v>
      </c>
      <c r="O1449" s="28" t="n">
        <v>290597</v>
      </c>
      <c r="P1449" s="28" t="n">
        <v>48482</v>
      </c>
      <c r="Q1449" s="28" t="n">
        <v>1097828</v>
      </c>
      <c r="R1449" s="28" t="n">
        <v>157205</v>
      </c>
      <c r="S1449" s="28">
        <f>Q1449-R1449</f>
        <v/>
      </c>
      <c r="T1449" s="28">
        <f>IF(S1449="","",S1449*(1+in_GrowthRate)^(YEARFRAC(DATE(2025,6,30),in_AgeToDate)*IF(in_AgeToDate&lt;DATE(2025,6,30),-1,1)+1))</f>
        <v/>
      </c>
      <c r="U1449" s="50">
        <f>IF(AND(AND(OR(in_Mode="All Funds",AND(C1449&gt;=in_BandFloor,C1449&lt;=in_BandCeiling,OR(in_Geography="National",COUNTIFS(lst_GeoPreset,in_Geography,lst_GeoState,B1449)&gt;0,AND(in_Geography="Custom",ISNUMBER(SEARCH(B1449,SUBSTITUTE(in_CustomStates," ",""))))),OR(AND(D1449="Endowment",Inputs!$B$14="Y"),AND(D1449="Foundation",Inputs!$B$15="Y"),AND(D1449="Healthcare",Inputs!$B$16="Y"),AND(D1449="Pension",Inputs!$B$17="Y"),AND(D1449="OCIO",Inputs!$B$18="Y"),AND(D1449="Other",Inputs!$B$19="Y")))),A1449&lt;&gt;in_ClientOrg,NOT(AND(in_ExclHarvard="Y",ISNUMBER(SEARCH("Harvard",A1449))))),$AD1449="Y",K1449&lt;&gt;"",S1449&gt;0),"Y","")</f>
        <v/>
      </c>
      <c r="V1449" s="30" t="n">
        <v>0.2191087713576911</v>
      </c>
      <c r="W1449" t="inlineStr">
        <is>
          <t>Other disclosed professionals</t>
        </is>
      </c>
      <c r="X1449" s="28">
        <f>IF(L1449+M1449=0,"",L1449+M1449)</f>
        <v/>
      </c>
      <c r="Y1449" s="38">
        <f>IF(L1449=0,"",M1449/L1449)</f>
        <v/>
      </c>
      <c r="Z1449" t="inlineStr">
        <is>
          <t>Other disclosed professionals</t>
        </is>
      </c>
      <c r="AA1449" t="inlineStr">
        <is>
          <t>Operations &amp; Control</t>
        </is>
      </c>
      <c r="AB1449" s="50" t="inlineStr"/>
      <c r="AC1449" s="43">
        <f>HYPERLINK("https://projects.propublica.org/nonprofits/organizations/364516257/202611329349304711/full","view filing")</f>
        <v/>
      </c>
      <c r="AD1449" s="50" t="inlineStr">
        <is>
          <t>Y</t>
        </is>
      </c>
    </row>
    <row r="1450">
      <c r="A1450" t="inlineStr">
        <is>
          <t>Unc Management Company Inc</t>
        </is>
      </c>
      <c r="B1450" s="50" t="inlineStr">
        <is>
          <t>NC</t>
        </is>
      </c>
      <c r="C1450" s="52" t="n">
        <v>6.22</v>
      </c>
      <c r="D1450" t="inlineStr">
        <is>
          <t>Endowment</t>
        </is>
      </c>
      <c r="E1450" s="50" t="n">
        <v>2024</v>
      </c>
      <c r="F1450" s="50" t="inlineStr">
        <is>
          <t>2025-04-29</t>
        </is>
      </c>
      <c r="G1450" s="50" t="inlineStr">
        <is>
          <t>2024-06-30</t>
        </is>
      </c>
      <c r="H1450" t="inlineStr">
        <is>
          <t>Angela Moss</t>
        </is>
      </c>
      <c r="I1450" t="inlineStr">
        <is>
          <t>MANAGING DIRECTOR, INVESTMENTS</t>
        </is>
      </c>
      <c r="J1450" t="inlineStr">
        <is>
          <t>Managing Director</t>
        </is>
      </c>
      <c r="K1450" t="inlineStr">
        <is>
          <t>Sr Investment Professional</t>
        </is>
      </c>
      <c r="L1450" s="28" t="n">
        <v>393621</v>
      </c>
      <c r="M1450" s="28" t="n">
        <v>476589</v>
      </c>
      <c r="N1450" s="28" t="n">
        <v>1170</v>
      </c>
      <c r="O1450" s="28" t="n">
        <v>200023</v>
      </c>
      <c r="P1450" s="28" t="n">
        <v>43455</v>
      </c>
      <c r="Q1450" s="28" t="n">
        <v>1114858</v>
      </c>
      <c r="R1450" s="28" t="n">
        <v>218053</v>
      </c>
      <c r="S1450" s="28">
        <f>Q1450-R1450</f>
        <v/>
      </c>
      <c r="T1450" s="28">
        <f>IF(S1450="","",S1450*(1+in_GrowthRate)^(YEARFRAC(DATE(2024,6,30),in_AgeToDate)*IF(in_AgeToDate&lt;DATE(2024,6,30),-1,1)+1))</f>
        <v/>
      </c>
      <c r="U1450" s="50">
        <f>IF(AND(AND(OR(in_Mode="All Funds",AND(C1450&gt;=in_BandFloor,C1450&lt;=in_BandCeiling,OR(in_Geography="National",COUNTIFS(lst_GeoPreset,in_Geography,lst_GeoState,B1450)&gt;0,AND(in_Geography="Custom",ISNUMBER(SEARCH(B1450,SUBSTITUTE(in_CustomStates," ",""))))),OR(AND(D1450="Endowment",Inputs!$B$14="Y"),AND(D1450="Foundation",Inputs!$B$15="Y"),AND(D1450="Healthcare",Inputs!$B$16="Y"),AND(D1450="Pension",Inputs!$B$17="Y"),AND(D1450="OCIO",Inputs!$B$18="Y"),AND(D1450="Other",Inputs!$B$19="Y")))),A1450&lt;&gt;in_ClientOrg,NOT(AND(in_ExclHarvard="Y",ISNUMBER(SEARCH("Harvard",A1450))))),$AD1450="Y",K1450&lt;&gt;"",S1450&gt;0),"Y","")</f>
        <v/>
      </c>
      <c r="V1450" s="30" t="n">
        <v>0.3155312051514897</v>
      </c>
      <c r="W1450" t="inlineStr"/>
      <c r="X1450" s="28">
        <f>IF(L1450+M1450=0,"",L1450+M1450)</f>
        <v/>
      </c>
      <c r="Y1450" s="38">
        <f>IF(L1450=0,"",M1450/L1450)</f>
        <v/>
      </c>
      <c r="Z1450" t="inlineStr">
        <is>
          <t>Managing Director</t>
        </is>
      </c>
      <c r="AA1450" t="inlineStr">
        <is>
          <t>Investments</t>
        </is>
      </c>
      <c r="AB1450" s="50" t="inlineStr"/>
      <c r="AC1450" s="43">
        <f>HYPERLINK("https://projects.propublica.org/nonprofits/organizations/364516257/202531199349301443/full","view filing")</f>
        <v/>
      </c>
      <c r="AD1450" s="50" t="inlineStr"/>
    </row>
    <row r="1451">
      <c r="A1451" t="inlineStr">
        <is>
          <t>Unc Management Company Inc</t>
        </is>
      </c>
      <c r="B1451" s="50" t="inlineStr">
        <is>
          <t>NC</t>
        </is>
      </c>
      <c r="C1451" s="52" t="n">
        <v>6.22</v>
      </c>
      <c r="D1451" t="inlineStr">
        <is>
          <t>Endowment</t>
        </is>
      </c>
      <c r="E1451" s="50" t="n">
        <v>2024</v>
      </c>
      <c r="F1451" s="50" t="inlineStr">
        <is>
          <t>2025-04-29</t>
        </is>
      </c>
      <c r="G1451" s="50" t="inlineStr">
        <is>
          <t>2024-06-30</t>
        </is>
      </c>
      <c r="H1451" t="inlineStr">
        <is>
          <t>Chris Bartholomew</t>
        </is>
      </c>
      <c r="I1451" t="inlineStr">
        <is>
          <t>MANAGING DIRECTOR, INVESTMENTS</t>
        </is>
      </c>
      <c r="J1451" t="inlineStr">
        <is>
          <t>Managing Director</t>
        </is>
      </c>
      <c r="K1451" t="inlineStr">
        <is>
          <t>Sr Investment Professional</t>
        </is>
      </c>
      <c r="L1451" s="28" t="n">
        <v>393321</v>
      </c>
      <c r="M1451" s="28" t="n">
        <v>486880</v>
      </c>
      <c r="N1451" s="28" t="n">
        <v>780</v>
      </c>
      <c r="O1451" s="28" t="n">
        <v>203359</v>
      </c>
      <c r="P1451" s="28" t="n">
        <v>44418</v>
      </c>
      <c r="Q1451" s="28" t="n">
        <v>1128758</v>
      </c>
      <c r="R1451" s="28" t="n">
        <v>222767</v>
      </c>
      <c r="S1451" s="28">
        <f>Q1451-R1451</f>
        <v/>
      </c>
      <c r="T1451" s="28">
        <f>IF(S1451="","",S1451*(1+in_GrowthRate)^(YEARFRAC(DATE(2024,6,30),in_AgeToDate)*IF(in_AgeToDate&lt;DATE(2024,6,30),-1,1)+1))</f>
        <v/>
      </c>
      <c r="U1451" s="50">
        <f>IF(AND(AND(OR(in_Mode="All Funds",AND(C1451&gt;=in_BandFloor,C1451&lt;=in_BandCeiling,OR(in_Geography="National",COUNTIFS(lst_GeoPreset,in_Geography,lst_GeoState,B1451)&gt;0,AND(in_Geography="Custom",ISNUMBER(SEARCH(B1451,SUBSTITUTE(in_CustomStates," ",""))))),OR(AND(D1451="Endowment",Inputs!$B$14="Y"),AND(D1451="Foundation",Inputs!$B$15="Y"),AND(D1451="Healthcare",Inputs!$B$16="Y"),AND(D1451="Pension",Inputs!$B$17="Y"),AND(D1451="OCIO",Inputs!$B$18="Y"),AND(D1451="Other",Inputs!$B$19="Y")))),A1451&lt;&gt;in_ClientOrg,NOT(AND(in_ExclHarvard="Y",ISNUMBER(SEARCH("Harvard",A1451))))),$AD1451="Y",K1451&lt;&gt;"",S1451&gt;0),"Y","")</f>
        <v/>
      </c>
      <c r="V1451" s="30" t="n">
        <v>0.3187632005691352</v>
      </c>
      <c r="W1451" t="inlineStr"/>
      <c r="X1451" s="28">
        <f>IF(L1451+M1451=0,"",L1451+M1451)</f>
        <v/>
      </c>
      <c r="Y1451" s="38">
        <f>IF(L1451=0,"",M1451/L1451)</f>
        <v/>
      </c>
      <c r="Z1451" t="inlineStr">
        <is>
          <t>Managing Director</t>
        </is>
      </c>
      <c r="AA1451" t="inlineStr">
        <is>
          <t>Investments</t>
        </is>
      </c>
      <c r="AB1451" s="50" t="inlineStr"/>
      <c r="AC1451" s="43">
        <f>HYPERLINK("https://projects.propublica.org/nonprofits/organizations/364516257/202531199349301443/full","view filing")</f>
        <v/>
      </c>
      <c r="AD1451" s="50" t="inlineStr"/>
    </row>
    <row r="1452">
      <c r="A1452" t="inlineStr">
        <is>
          <t>Unc Management Company Inc</t>
        </is>
      </c>
      <c r="B1452" s="50" t="inlineStr">
        <is>
          <t>NC</t>
        </is>
      </c>
      <c r="C1452" s="52" t="n">
        <v>6.22</v>
      </c>
      <c r="D1452" t="inlineStr">
        <is>
          <t>Endowment</t>
        </is>
      </c>
      <c r="E1452" s="50" t="n">
        <v>2024</v>
      </c>
      <c r="F1452" s="50" t="inlineStr">
        <is>
          <t>2025-04-29</t>
        </is>
      </c>
      <c r="G1452" s="50" t="inlineStr">
        <is>
          <t>2024-06-30</t>
        </is>
      </c>
      <c r="H1452" t="inlineStr">
        <is>
          <t>Chris Mattke</t>
        </is>
      </c>
      <c r="I1452" t="inlineStr">
        <is>
          <t>VP - INV OPS &amp; FINANCE</t>
        </is>
      </c>
      <c r="J1452" t="inlineStr">
        <is>
          <t>Investment Officer</t>
        </is>
      </c>
      <c r="K1452" t="inlineStr">
        <is>
          <t>COO (Investment Office)</t>
        </is>
      </c>
      <c r="L1452" s="28" t="n">
        <v>310581</v>
      </c>
      <c r="M1452" s="28" t="n">
        <v>265531</v>
      </c>
      <c r="N1452" s="28" t="n">
        <v>780</v>
      </c>
      <c r="O1452" s="28" t="n">
        <v>205002</v>
      </c>
      <c r="P1452" s="28" t="n">
        <v>45522</v>
      </c>
      <c r="Q1452" s="28" t="n">
        <v>827416</v>
      </c>
      <c r="R1452" s="28" t="n">
        <v>110183</v>
      </c>
      <c r="S1452" s="28">
        <f>Q1452-R1452</f>
        <v/>
      </c>
      <c r="T1452" s="28">
        <f>IF(S1452="","",S1452*(1+in_GrowthRate)^(YEARFRAC(DATE(2024,6,30),in_AgeToDate)*IF(in_AgeToDate&lt;DATE(2024,6,30),-1,1)+1))</f>
        <v/>
      </c>
      <c r="U1452" s="50">
        <f>IF(AND(AND(OR(in_Mode="All Funds",AND(C1452&gt;=in_BandFloor,C1452&lt;=in_BandCeiling,OR(in_Geography="National",COUNTIFS(lst_GeoPreset,in_Geography,lst_GeoState,B1452)&gt;0,AND(in_Geography="Custom",ISNUMBER(SEARCH(B1452,SUBSTITUTE(in_CustomStates," ",""))))),OR(AND(D1452="Endowment",Inputs!$B$14="Y"),AND(D1452="Foundation",Inputs!$B$15="Y"),AND(D1452="Healthcare",Inputs!$B$16="Y"),AND(D1452="Pension",Inputs!$B$17="Y"),AND(D1452="OCIO",Inputs!$B$18="Y"),AND(D1452="Other",Inputs!$B$19="Y")))),A1452&lt;&gt;in_ClientOrg,NOT(AND(in_ExclHarvard="Y",ISNUMBER(SEARCH("Harvard",A1452))))),$AD1452="Y",K1452&lt;&gt;"",S1452&gt;0),"Y","")</f>
        <v/>
      </c>
      <c r="V1452" s="30" t="n">
        <v>0.2523507260378994</v>
      </c>
      <c r="W1452" t="inlineStr"/>
      <c r="X1452" s="28">
        <f>IF(L1452+M1452=0,"",L1452+M1452)</f>
        <v/>
      </c>
      <c r="Y1452" s="38">
        <f>IF(L1452=0,"",M1452/L1452)</f>
        <v/>
      </c>
      <c r="Z1452" t="inlineStr">
        <is>
          <t>COO (Investment Office)</t>
        </is>
      </c>
      <c r="AA1452" t="inlineStr">
        <is>
          <t>Operations &amp; Control</t>
        </is>
      </c>
      <c r="AB1452" s="50" t="inlineStr"/>
      <c r="AC1452" s="43">
        <f>HYPERLINK("https://projects.propublica.org/nonprofits/organizations/364516257/202531199349301443/full","view filing")</f>
        <v/>
      </c>
      <c r="AD1452" s="50" t="inlineStr"/>
    </row>
    <row r="1453">
      <c r="A1453" t="inlineStr">
        <is>
          <t>Unc Management Company Inc</t>
        </is>
      </c>
      <c r="B1453" s="50" t="inlineStr">
        <is>
          <t>NC</t>
        </is>
      </c>
      <c r="C1453" s="52" t="n">
        <v>6.22</v>
      </c>
      <c r="D1453" t="inlineStr">
        <is>
          <t>Endowment</t>
        </is>
      </c>
      <c r="E1453" s="50" t="n">
        <v>2024</v>
      </c>
      <c r="F1453" s="50" t="inlineStr">
        <is>
          <t>2025-04-29</t>
        </is>
      </c>
      <c r="G1453" s="50" t="inlineStr">
        <is>
          <t>2024-06-30</t>
        </is>
      </c>
      <c r="H1453" t="inlineStr">
        <is>
          <t>Chris Rudolph</t>
        </is>
      </c>
      <c r="I1453" t="inlineStr">
        <is>
          <t>MANAGING DIRECTOR, INVESTMENTS</t>
        </is>
      </c>
      <c r="J1453" t="inlineStr">
        <is>
          <t>Managing Director</t>
        </is>
      </c>
      <c r="K1453" t="inlineStr">
        <is>
          <t>Sr Investment Professional</t>
        </is>
      </c>
      <c r="L1453" s="28" t="n">
        <v>390571</v>
      </c>
      <c r="M1453" s="28" t="n">
        <v>476589</v>
      </c>
      <c r="N1453" s="28" t="n">
        <v>1170</v>
      </c>
      <c r="O1453" s="28" t="n">
        <v>200023</v>
      </c>
      <c r="P1453" s="28" t="n">
        <v>46433</v>
      </c>
      <c r="Q1453" s="28" t="n">
        <v>1114786</v>
      </c>
      <c r="R1453" s="28" t="n">
        <v>218053</v>
      </c>
      <c r="S1453" s="28">
        <f>Q1453-R1453</f>
        <v/>
      </c>
      <c r="T1453" s="28">
        <f>IF(S1453="","",S1453*(1+in_GrowthRate)^(YEARFRAC(DATE(2024,6,30),in_AgeToDate)*IF(in_AgeToDate&lt;DATE(2024,6,30),-1,1)+1))</f>
        <v/>
      </c>
      <c r="U1453" s="50">
        <f>IF(AND(AND(OR(in_Mode="All Funds",AND(C1453&gt;=in_BandFloor,C1453&lt;=in_BandCeiling,OR(in_Geography="National",COUNTIFS(lst_GeoPreset,in_Geography,lst_GeoState,B1453)&gt;0,AND(in_Geography="Custom",ISNUMBER(SEARCH(B1453,SUBSTITUTE(in_CustomStates," ",""))))),OR(AND(D1453="Endowment",Inputs!$B$14="Y"),AND(D1453="Foundation",Inputs!$B$15="Y"),AND(D1453="Healthcare",Inputs!$B$16="Y"),AND(D1453="Pension",Inputs!$B$17="Y"),AND(D1453="OCIO",Inputs!$B$18="Y"),AND(D1453="Other",Inputs!$B$19="Y")))),A1453&lt;&gt;in_ClientOrg,NOT(AND(in_ExclHarvard="Y",ISNUMBER(SEARCH("Harvard",A1453))))),$AD1453="Y",K1453&lt;&gt;"",S1453&gt;0),"Y","")</f>
        <v/>
      </c>
      <c r="V1453" s="30" t="n">
        <v>0.3155058727249634</v>
      </c>
      <c r="W1453" t="inlineStr"/>
      <c r="X1453" s="28">
        <f>IF(L1453+M1453=0,"",L1453+M1453)</f>
        <v/>
      </c>
      <c r="Y1453" s="38">
        <f>IF(L1453=0,"",M1453/L1453)</f>
        <v/>
      </c>
      <c r="Z1453" t="inlineStr">
        <is>
          <t>Managing Director</t>
        </is>
      </c>
      <c r="AA1453" t="inlineStr">
        <is>
          <t>Investments</t>
        </is>
      </c>
      <c r="AB1453" s="50" t="inlineStr"/>
      <c r="AC1453" s="43">
        <f>HYPERLINK("https://projects.propublica.org/nonprofits/organizations/364516257/202531199349301443/full","view filing")</f>
        <v/>
      </c>
      <c r="AD1453" s="50" t="inlineStr"/>
    </row>
    <row r="1454">
      <c r="A1454" t="inlineStr">
        <is>
          <t>Unc Management Company Inc</t>
        </is>
      </c>
      <c r="B1454" s="50" t="inlineStr">
        <is>
          <t>NC</t>
        </is>
      </c>
      <c r="C1454" s="52" t="n">
        <v>6.22</v>
      </c>
      <c r="D1454" t="inlineStr">
        <is>
          <t>Endowment</t>
        </is>
      </c>
      <c r="E1454" s="50" t="n">
        <v>2024</v>
      </c>
      <c r="F1454" s="50" t="inlineStr">
        <is>
          <t>2025-04-29</t>
        </is>
      </c>
      <c r="G1454" s="50" t="inlineStr">
        <is>
          <t>2024-06-30</t>
        </is>
      </c>
      <c r="H1454" t="inlineStr">
        <is>
          <t>Jonathon C King</t>
        </is>
      </c>
      <c r="I1454" t="inlineStr">
        <is>
          <t>PRESIDENT</t>
        </is>
      </c>
      <c r="J1454" t="inlineStr">
        <is>
          <t>CEO (Inv Entity)</t>
        </is>
      </c>
      <c r="K1454" t="inlineStr">
        <is>
          <t>CIO - Top Investment Executive</t>
        </is>
      </c>
      <c r="L1454" s="28" t="n">
        <v>851732</v>
      </c>
      <c r="M1454" s="28" t="n">
        <v>1824710</v>
      </c>
      <c r="N1454" s="28" t="n">
        <v>9906</v>
      </c>
      <c r="O1454" s="28" t="n">
        <v>1001993</v>
      </c>
      <c r="P1454" s="28" t="n">
        <v>30971</v>
      </c>
      <c r="Q1454" s="28" t="n">
        <v>3719312</v>
      </c>
      <c r="R1454" s="28" t="n">
        <v>877105</v>
      </c>
      <c r="S1454" s="28">
        <f>Q1454-R1454</f>
        <v/>
      </c>
      <c r="T1454" s="28">
        <f>IF(S1454="","",S1454*(1+in_GrowthRate)^(YEARFRAC(DATE(2024,6,30),in_AgeToDate)*IF(in_AgeToDate&lt;DATE(2024,6,30),-1,1)+1))</f>
        <v/>
      </c>
      <c r="U1454" s="50">
        <f>IF(AND(AND(OR(in_Mode="All Funds",AND(C1454&gt;=in_BandFloor,C1454&lt;=in_BandCeiling,OR(in_Geography="National",COUNTIFS(lst_GeoPreset,in_Geography,lst_GeoState,B1454)&gt;0,AND(in_Geography="Custom",ISNUMBER(SEARCH(B1454,SUBSTITUTE(in_CustomStates," ",""))))),OR(AND(D1454="Endowment",Inputs!$B$14="Y"),AND(D1454="Foundation",Inputs!$B$15="Y"),AND(D1454="Healthcare",Inputs!$B$16="Y"),AND(D1454="Pension",Inputs!$B$17="Y"),AND(D1454="OCIO",Inputs!$B$18="Y"),AND(D1454="Other",Inputs!$B$19="Y")))),A1454&lt;&gt;in_ClientOrg,NOT(AND(in_ExclHarvard="Y",ISNUMBER(SEARCH("Harvard",A1454))))),$AD1454="Y",K1454&lt;&gt;"",S1454&gt;0),"Y","")</f>
        <v/>
      </c>
      <c r="V1454" s="30" t="n">
        <v>1</v>
      </c>
      <c r="W1454" t="inlineStr"/>
      <c r="X1454" s="28">
        <f>IF(L1454+M1454=0,"",L1454+M1454)</f>
        <v/>
      </c>
      <c r="Y1454" s="38">
        <f>IF(L1454=0,"",M1454/L1454)</f>
        <v/>
      </c>
      <c r="Z1454" t="inlineStr">
        <is>
          <t>CIO - Top Investment Executive</t>
        </is>
      </c>
      <c r="AA1454" t="inlineStr">
        <is>
          <t>Leadership</t>
        </is>
      </c>
      <c r="AB1454" s="50" t="inlineStr">
        <is>
          <t>Y</t>
        </is>
      </c>
      <c r="AC1454" s="43">
        <f>HYPERLINK("https://projects.propublica.org/nonprofits/organizations/364516257/202531199349301443/full","view filing")</f>
        <v/>
      </c>
      <c r="AD1454" s="50" t="inlineStr"/>
    </row>
    <row r="1455">
      <c r="A1455" t="inlineStr">
        <is>
          <t>Unc Management Company Inc</t>
        </is>
      </c>
      <c r="B1455" s="50" t="inlineStr">
        <is>
          <t>NC</t>
        </is>
      </c>
      <c r="C1455" s="52" t="n">
        <v>6.22</v>
      </c>
      <c r="D1455" t="inlineStr">
        <is>
          <t>Endowment</t>
        </is>
      </c>
      <c r="E1455" s="50" t="n">
        <v>2024</v>
      </c>
      <c r="F1455" s="50" t="inlineStr">
        <is>
          <t>2025-04-29</t>
        </is>
      </c>
      <c r="G1455" s="50" t="inlineStr">
        <is>
          <t>2024-06-30</t>
        </is>
      </c>
      <c r="H1455" t="inlineStr">
        <is>
          <t>Joshua Shapiro</t>
        </is>
      </c>
      <c r="I1455" t="inlineStr">
        <is>
          <t>VP - INV STRATEGY &amp; RISK M</t>
        </is>
      </c>
      <c r="J1455" t="inlineStr">
        <is>
          <t>Investment Officer</t>
        </is>
      </c>
      <c r="K1455" t="inlineStr">
        <is>
          <t>Sr Investment Professional</t>
        </is>
      </c>
      <c r="L1455" s="28" t="n">
        <v>465390</v>
      </c>
      <c r="M1455" s="28" t="n">
        <v>701033</v>
      </c>
      <c r="N1455" s="28" t="n">
        <v>3354</v>
      </c>
      <c r="O1455" s="28" t="n">
        <v>410658</v>
      </c>
      <c r="P1455" s="28" t="n">
        <v>43476</v>
      </c>
      <c r="Q1455" s="28" t="n">
        <v>1623911</v>
      </c>
      <c r="R1455" s="28" t="n">
        <v>340982</v>
      </c>
      <c r="S1455" s="28">
        <f>Q1455-R1455</f>
        <v/>
      </c>
      <c r="T1455" s="28">
        <f>IF(S1455="","",S1455*(1+in_GrowthRate)^(YEARFRAC(DATE(2024,6,30),in_AgeToDate)*IF(in_AgeToDate&lt;DATE(2024,6,30),-1,1)+1))</f>
        <v/>
      </c>
      <c r="U1455" s="50">
        <f>IF(AND(AND(OR(in_Mode="All Funds",AND(C1455&gt;=in_BandFloor,C1455&lt;=in_BandCeiling,OR(in_Geography="National",COUNTIFS(lst_GeoPreset,in_Geography,lst_GeoState,B1455)&gt;0,AND(in_Geography="Custom",ISNUMBER(SEARCH(B1455,SUBSTITUTE(in_CustomStates," ",""))))),OR(AND(D1455="Endowment",Inputs!$B$14="Y"),AND(D1455="Foundation",Inputs!$B$15="Y"),AND(D1455="Healthcare",Inputs!$B$16="Y"),AND(D1455="Pension",Inputs!$B$17="Y"),AND(D1455="OCIO",Inputs!$B$18="Y"),AND(D1455="Other",Inputs!$B$19="Y")))),A1455&lt;&gt;in_ClientOrg,NOT(AND(in_ExclHarvard="Y",ISNUMBER(SEARCH("Harvard",A1455))))),$AD1455="Y",K1455&lt;&gt;"",S1455&gt;0),"Y","")</f>
        <v/>
      </c>
      <c r="V1455" s="30" t="n">
        <v>0.4513847865408818</v>
      </c>
      <c r="W1455" t="inlineStr"/>
      <c r="X1455" s="28">
        <f>IF(L1455+M1455=0,"",L1455+M1455)</f>
        <v/>
      </c>
      <c r="Y1455" s="38">
        <f>IF(L1455=0,"",M1455/L1455)</f>
        <v/>
      </c>
      <c r="Z1455" t="inlineStr">
        <is>
          <t>Director &amp; Investment Officer</t>
        </is>
      </c>
      <c r="AA1455" t="inlineStr">
        <is>
          <t>Investments</t>
        </is>
      </c>
      <c r="AB1455" s="50" t="inlineStr"/>
      <c r="AC1455" s="43">
        <f>HYPERLINK("https://projects.propublica.org/nonprofits/organizations/364516257/202531199349301443/full","view filing")</f>
        <v/>
      </c>
      <c r="AD1455" s="50" t="inlineStr"/>
    </row>
    <row r="1456">
      <c r="A1456" t="inlineStr">
        <is>
          <t>Unc Management Company Inc</t>
        </is>
      </c>
      <c r="B1456" s="50" t="inlineStr">
        <is>
          <t>NC</t>
        </is>
      </c>
      <c r="C1456" s="52" t="n">
        <v>6.22</v>
      </c>
      <c r="D1456" t="inlineStr">
        <is>
          <t>Endowment</t>
        </is>
      </c>
      <c r="E1456" s="50" t="n">
        <v>2024</v>
      </c>
      <c r="F1456" s="50" t="inlineStr">
        <is>
          <t>2025-04-29</t>
        </is>
      </c>
      <c r="G1456" s="50" t="inlineStr">
        <is>
          <t>2024-06-30</t>
        </is>
      </c>
      <c r="H1456" t="inlineStr">
        <is>
          <t>Kevin Tunick</t>
        </is>
      </c>
      <c r="I1456" t="inlineStr">
        <is>
          <t>VP - PRIVATE INVESTMENTS</t>
        </is>
      </c>
      <c r="J1456" t="inlineStr">
        <is>
          <t>Investment Manager</t>
        </is>
      </c>
      <c r="K1456" t="inlineStr">
        <is>
          <t>Sr Investment Professional</t>
        </is>
      </c>
      <c r="L1456" s="28" t="n">
        <v>96070</v>
      </c>
      <c r="M1456" s="28" t="n">
        <v>978155</v>
      </c>
      <c r="N1456" s="28" t="n">
        <v>826</v>
      </c>
      <c r="O1456" s="28" t="n">
        <v>15445</v>
      </c>
      <c r="P1456" s="28" t="n">
        <v>2575</v>
      </c>
      <c r="Q1456" s="28" t="n">
        <v>1093071</v>
      </c>
      <c r="R1456" s="28" t="n">
        <v>370362</v>
      </c>
      <c r="S1456" s="28">
        <f>Q1456-R1456</f>
        <v/>
      </c>
      <c r="T1456" s="28">
        <f>IF(S1456="","",S1456*(1+in_GrowthRate)^(YEARFRAC(DATE(2024,6,30),in_AgeToDate)*IF(in_AgeToDate&lt;DATE(2024,6,30),-1,1)+1))</f>
        <v/>
      </c>
      <c r="U1456" s="50">
        <f>IF(AND(AND(OR(in_Mode="All Funds",AND(C1456&gt;=in_BandFloor,C1456&lt;=in_BandCeiling,OR(in_Geography="National",COUNTIFS(lst_GeoPreset,in_Geography,lst_GeoState,B1456)&gt;0,AND(in_Geography="Custom",ISNUMBER(SEARCH(B1456,SUBSTITUTE(in_CustomStates," ",""))))),OR(AND(D1456="Endowment",Inputs!$B$14="Y"),AND(D1456="Foundation",Inputs!$B$15="Y"),AND(D1456="Healthcare",Inputs!$B$16="Y"),AND(D1456="Pension",Inputs!$B$17="Y"),AND(D1456="OCIO",Inputs!$B$18="Y"),AND(D1456="Other",Inputs!$B$19="Y")))),A1456&lt;&gt;in_ClientOrg,NOT(AND(in_ExclHarvard="Y",ISNUMBER(SEARCH("Harvard",A1456))))),$AD1456="Y",K1456&lt;&gt;"",S1456&gt;0),"Y","")</f>
        <v/>
      </c>
      <c r="V1456" s="30" t="n">
        <v>0.2542773978109265</v>
      </c>
      <c r="W1456" t="inlineStr"/>
      <c r="X1456" s="28">
        <f>IF(L1456+M1456=0,"",L1456+M1456)</f>
        <v/>
      </c>
      <c r="Y1456" s="38">
        <f>IF(L1456=0,"",M1456/L1456)</f>
        <v/>
      </c>
      <c r="Z1456" t="inlineStr">
        <is>
          <t>Director &amp; Investment Officer</t>
        </is>
      </c>
      <c r="AA1456" t="inlineStr">
        <is>
          <t>Investments</t>
        </is>
      </c>
      <c r="AB1456" s="50" t="inlineStr"/>
      <c r="AC1456" s="43">
        <f>HYPERLINK("https://projects.propublica.org/nonprofits/organizations/364516257/202531199349301443/full","view filing")</f>
        <v/>
      </c>
      <c r="AD1456" s="50" t="inlineStr"/>
    </row>
    <row r="1457">
      <c r="A1457" t="inlineStr">
        <is>
          <t>Unc Management Company Inc</t>
        </is>
      </c>
      <c r="B1457" s="50" t="inlineStr">
        <is>
          <t>NC</t>
        </is>
      </c>
      <c r="C1457" s="52" t="n">
        <v>6.22</v>
      </c>
      <c r="D1457" t="inlineStr">
        <is>
          <t>Endowment</t>
        </is>
      </c>
      <c r="E1457" s="50" t="n">
        <v>2024</v>
      </c>
      <c r="F1457" s="50" t="inlineStr">
        <is>
          <t>2025-04-29</t>
        </is>
      </c>
      <c r="G1457" s="50" t="inlineStr">
        <is>
          <t>2024-06-30</t>
        </is>
      </c>
      <c r="H1457" t="inlineStr">
        <is>
          <t>Matthew Lesesky</t>
        </is>
      </c>
      <c r="I1457" t="inlineStr">
        <is>
          <t>MANAGING DIRECTOR, INVESTMENTS</t>
        </is>
      </c>
      <c r="J1457" t="inlineStr">
        <is>
          <t>Managing Director</t>
        </is>
      </c>
      <c r="K1457" t="inlineStr">
        <is>
          <t>Sr Investment Professional</t>
        </is>
      </c>
      <c r="L1457" s="28" t="n">
        <v>392621</v>
      </c>
      <c r="M1457" s="28" t="n">
        <v>482865</v>
      </c>
      <c r="N1457" s="28" t="n">
        <v>1170</v>
      </c>
      <c r="O1457" s="28" t="n">
        <v>201689</v>
      </c>
      <c r="P1457" s="28" t="n">
        <v>44383</v>
      </c>
      <c r="Q1457" s="28" t="n">
        <v>1122728</v>
      </c>
      <c r="R1457" s="28" t="n">
        <v>221545</v>
      </c>
      <c r="S1457" s="28">
        <f>Q1457-R1457</f>
        <v/>
      </c>
      <c r="T1457" s="28">
        <f>IF(S1457="","",S1457*(1+in_GrowthRate)^(YEARFRAC(DATE(2024,6,30),in_AgeToDate)*IF(in_AgeToDate&lt;DATE(2024,6,30),-1,1)+1))</f>
        <v/>
      </c>
      <c r="U1457" s="50">
        <f>IF(AND(AND(OR(in_Mode="All Funds",AND(C1457&gt;=in_BandFloor,C1457&lt;=in_BandCeiling,OR(in_Geography="National",COUNTIFS(lst_GeoPreset,in_Geography,lst_GeoState,B1457)&gt;0,AND(in_Geography="Custom",ISNUMBER(SEARCH(B1457,SUBSTITUTE(in_CustomStates," ",""))))),OR(AND(D1457="Endowment",Inputs!$B$14="Y"),AND(D1457="Foundation",Inputs!$B$15="Y"),AND(D1457="Healthcare",Inputs!$B$16="Y"),AND(D1457="Pension",Inputs!$B$17="Y"),AND(D1457="OCIO",Inputs!$B$18="Y"),AND(D1457="Other",Inputs!$B$19="Y")))),A1457&lt;&gt;in_ClientOrg,NOT(AND(in_ExclHarvard="Y",ISNUMBER(SEARCH("Harvard",A1457))))),$AD1457="Y",K1457&lt;&gt;"",S1457&gt;0),"Y","")</f>
        <v/>
      </c>
      <c r="V1457" s="30" t="n">
        <v>0.3170715574199909</v>
      </c>
      <c r="W1457" t="inlineStr"/>
      <c r="X1457" s="28">
        <f>IF(L1457+M1457=0,"",L1457+M1457)</f>
        <v/>
      </c>
      <c r="Y1457" s="38">
        <f>IF(L1457=0,"",M1457/L1457)</f>
        <v/>
      </c>
      <c r="Z1457" t="inlineStr">
        <is>
          <t>Managing Director</t>
        </is>
      </c>
      <c r="AA1457" t="inlineStr">
        <is>
          <t>Investments</t>
        </is>
      </c>
      <c r="AB1457" s="50" t="inlineStr"/>
      <c r="AC1457" s="43">
        <f>HYPERLINK("https://projects.propublica.org/nonprofits/organizations/364516257/202531199349301443/full","view filing")</f>
        <v/>
      </c>
      <c r="AD1457" s="50" t="inlineStr"/>
    </row>
    <row r="1458">
      <c r="A1458" t="inlineStr">
        <is>
          <t>Unc Management Company Inc</t>
        </is>
      </c>
      <c r="B1458" s="50" t="inlineStr">
        <is>
          <t>NC</t>
        </is>
      </c>
      <c r="C1458" s="52" t="n">
        <v>6.22</v>
      </c>
      <c r="D1458" t="inlineStr">
        <is>
          <t>Endowment</t>
        </is>
      </c>
      <c r="E1458" s="50" t="n">
        <v>2024</v>
      </c>
      <c r="F1458" s="50" t="inlineStr">
        <is>
          <t>2025-04-29</t>
        </is>
      </c>
      <c r="G1458" s="50" t="inlineStr">
        <is>
          <t>2024-06-30</t>
        </is>
      </c>
      <c r="H1458" t="inlineStr">
        <is>
          <t>Rodgers Harshbarger</t>
        </is>
      </c>
      <c r="I1458" t="inlineStr">
        <is>
          <t>MANAGING DIRECTOR, INVESTMENTS</t>
        </is>
      </c>
      <c r="J1458" t="inlineStr">
        <is>
          <t>Managing Director</t>
        </is>
      </c>
      <c r="K1458" t="inlineStr">
        <is>
          <t>Sr Investment Professional</t>
        </is>
      </c>
      <c r="L1458" s="28" t="n">
        <v>393967</v>
      </c>
      <c r="M1458" s="28" t="n">
        <v>494813</v>
      </c>
      <c r="N1458" s="28" t="n">
        <v>1170</v>
      </c>
      <c r="O1458" s="28" t="n">
        <v>204446</v>
      </c>
      <c r="P1458" s="28" t="n">
        <v>44376</v>
      </c>
      <c r="Q1458" s="28" t="n">
        <v>1138772</v>
      </c>
      <c r="R1458" s="28" t="n">
        <v>230747</v>
      </c>
      <c r="S1458" s="28">
        <f>Q1458-R1458</f>
        <v/>
      </c>
      <c r="T1458" s="28">
        <f>IF(S1458="","",S1458*(1+in_GrowthRate)^(YEARFRAC(DATE(2024,6,30),in_AgeToDate)*IF(in_AgeToDate&lt;DATE(2024,6,30),-1,1)+1))</f>
        <v/>
      </c>
      <c r="U1458" s="50">
        <f>IF(AND(AND(OR(in_Mode="All Funds",AND(C1458&gt;=in_BandFloor,C1458&lt;=in_BandCeiling,OR(in_Geography="National",COUNTIFS(lst_GeoPreset,in_Geography,lst_GeoState,B1458)&gt;0,AND(in_Geography="Custom",ISNUMBER(SEARCH(B1458,SUBSTITUTE(in_CustomStates," ",""))))),OR(AND(D1458="Endowment",Inputs!$B$14="Y"),AND(D1458="Foundation",Inputs!$B$15="Y"),AND(D1458="Healthcare",Inputs!$B$16="Y"),AND(D1458="Pension",Inputs!$B$17="Y"),AND(D1458="OCIO",Inputs!$B$18="Y"),AND(D1458="Other",Inputs!$B$19="Y")))),A1458&lt;&gt;in_ClientOrg,NOT(AND(in_ExclHarvard="Y",ISNUMBER(SEARCH("Harvard",A1458))))),$AD1458="Y",K1458&lt;&gt;"",S1458&gt;0),"Y","")</f>
        <v/>
      </c>
      <c r="V1458" s="30" t="n">
        <v>0.3194788416185028</v>
      </c>
      <c r="W1458" t="inlineStr"/>
      <c r="X1458" s="28">
        <f>IF(L1458+M1458=0,"",L1458+M1458)</f>
        <v/>
      </c>
      <c r="Y1458" s="38">
        <f>IF(L1458=0,"",M1458/L1458)</f>
        <v/>
      </c>
      <c r="Z1458" t="inlineStr">
        <is>
          <t>Managing Director</t>
        </is>
      </c>
      <c r="AA1458" t="inlineStr">
        <is>
          <t>Investments</t>
        </is>
      </c>
      <c r="AB1458" s="50" t="inlineStr"/>
      <c r="AC1458" s="43">
        <f>HYPERLINK("https://projects.propublica.org/nonprofits/organizations/364516257/202531199349301443/full","view filing")</f>
        <v/>
      </c>
      <c r="AD1458" s="50" t="inlineStr"/>
    </row>
    <row r="1459">
      <c r="A1459" t="inlineStr">
        <is>
          <t>Unc Management Company Inc</t>
        </is>
      </c>
      <c r="B1459" s="50" t="inlineStr">
        <is>
          <t>NC</t>
        </is>
      </c>
      <c r="C1459" s="52" t="n">
        <v>6.22</v>
      </c>
      <c r="D1459" t="inlineStr">
        <is>
          <t>Endowment</t>
        </is>
      </c>
      <c r="E1459" s="50" t="n">
        <v>2024</v>
      </c>
      <c r="F1459" s="50" t="inlineStr">
        <is>
          <t>2025-04-29</t>
        </is>
      </c>
      <c r="G1459" s="50" t="inlineStr">
        <is>
          <t>2024-06-30</t>
        </is>
      </c>
      <c r="H1459" t="inlineStr">
        <is>
          <t>Tim Burch</t>
        </is>
      </c>
      <c r="I1459" t="inlineStr">
        <is>
          <t>VP - LEGAL &amp; COMPLIANCE</t>
        </is>
      </c>
      <c r="J1459" t="inlineStr">
        <is>
          <t>Legal / Compliance Officer (Inv Entity)</t>
        </is>
      </c>
      <c r="K1459" t="inlineStr">
        <is>
          <t>Other disclosed professionals</t>
        </is>
      </c>
      <c r="L1459" s="28" t="n">
        <v>324890</v>
      </c>
      <c r="M1459" s="28" t="n">
        <v>308100</v>
      </c>
      <c r="N1459" s="28" t="n">
        <v>1170</v>
      </c>
      <c r="O1459" s="28" t="n">
        <v>214563</v>
      </c>
      <c r="P1459" s="28" t="n">
        <v>45890</v>
      </c>
      <c r="Q1459" s="28" t="n">
        <v>894613</v>
      </c>
      <c r="R1459" s="28" t="n">
        <v>143291</v>
      </c>
      <c r="S1459" s="28">
        <f>Q1459-R1459</f>
        <v/>
      </c>
      <c r="T1459" s="28">
        <f>IF(S1459="","",S1459*(1+in_GrowthRate)^(YEARFRAC(DATE(2024,6,30),in_AgeToDate)*IF(in_AgeToDate&lt;DATE(2024,6,30),-1,1)+1))</f>
        <v/>
      </c>
      <c r="U1459" s="50">
        <f>IF(AND(AND(OR(in_Mode="All Funds",AND(C1459&gt;=in_BandFloor,C1459&lt;=in_BandCeiling,OR(in_Geography="National",COUNTIFS(lst_GeoPreset,in_Geography,lst_GeoState,B1459)&gt;0,AND(in_Geography="Custom",ISNUMBER(SEARCH(B1459,SUBSTITUTE(in_CustomStates," ",""))))),OR(AND(D1459="Endowment",Inputs!$B$14="Y"),AND(D1459="Foundation",Inputs!$B$15="Y"),AND(D1459="Healthcare",Inputs!$B$16="Y"),AND(D1459="Pension",Inputs!$B$17="Y"),AND(D1459="OCIO",Inputs!$B$18="Y"),AND(D1459="Other",Inputs!$B$19="Y")))),A1459&lt;&gt;in_ClientOrg,NOT(AND(in_ExclHarvard="Y",ISNUMBER(SEARCH("Harvard",A1459))))),$AD1459="Y",K1459&lt;&gt;"",S1459&gt;0),"Y","")</f>
        <v/>
      </c>
      <c r="V1459" s="30" t="n">
        <v>0.2643445744803246</v>
      </c>
      <c r="W1459" t="inlineStr">
        <is>
          <t>Other disclosed professionals</t>
        </is>
      </c>
      <c r="X1459" s="28">
        <f>IF(L1459+M1459=0,"",L1459+M1459)</f>
        <v/>
      </c>
      <c r="Y1459" s="38">
        <f>IF(L1459=0,"",M1459/L1459)</f>
        <v/>
      </c>
      <c r="Z1459" t="inlineStr">
        <is>
          <t>Other disclosed professionals</t>
        </is>
      </c>
      <c r="AA1459" t="inlineStr">
        <is>
          <t>Operations &amp; Control</t>
        </is>
      </c>
      <c r="AB1459" s="50" t="inlineStr"/>
      <c r="AC1459" s="43">
        <f>HYPERLINK("https://projects.propublica.org/nonprofits/organizations/364516257/202531199349301443/full","view filing")</f>
        <v/>
      </c>
      <c r="AD1459" s="50" t="inlineStr"/>
    </row>
    <row r="1460">
      <c r="A1460" t="inlineStr">
        <is>
          <t>Unc Management Company Inc</t>
        </is>
      </c>
      <c r="B1460" s="50" t="inlineStr">
        <is>
          <t>NC</t>
        </is>
      </c>
      <c r="C1460" s="52" t="n">
        <v>6.22</v>
      </c>
      <c r="D1460" t="inlineStr">
        <is>
          <t>Endowment</t>
        </is>
      </c>
      <c r="E1460" s="50" t="n">
        <v>2023</v>
      </c>
      <c r="F1460" s="50" t="inlineStr">
        <is>
          <t>2024-05-10</t>
        </is>
      </c>
      <c r="G1460" s="50" t="inlineStr">
        <is>
          <t>2023-06-30</t>
        </is>
      </c>
      <c r="H1460" t="inlineStr">
        <is>
          <t>Angela Moss</t>
        </is>
      </c>
      <c r="I1460" t="inlineStr">
        <is>
          <t>MANAGING DIRECTOR, INVESTMENTS</t>
        </is>
      </c>
      <c r="J1460" t="inlineStr">
        <is>
          <t>Managing Director</t>
        </is>
      </c>
      <c r="K1460" t="inlineStr">
        <is>
          <t>Sr Investment Professional</t>
        </is>
      </c>
      <c r="L1460" s="28" t="n">
        <v>310044</v>
      </c>
      <c r="M1460" s="28" t="n">
        <v>448565</v>
      </c>
      <c r="N1460" s="28" t="n">
        <v>1170</v>
      </c>
      <c r="O1460" s="28" t="n">
        <v>274971</v>
      </c>
      <c r="P1460" s="28" t="n">
        <v>41483</v>
      </c>
      <c r="Q1460" s="28" t="n">
        <v>1076233</v>
      </c>
      <c r="R1460" s="28" t="n">
        <v>214398</v>
      </c>
      <c r="S1460" s="28">
        <f>Q1460-R1460</f>
        <v/>
      </c>
      <c r="T1460" s="28">
        <f>IF(S1460="","",S1460*(1+in_GrowthRate)^(YEARFRAC(DATE(2023,6,30),in_AgeToDate)*IF(in_AgeToDate&lt;DATE(2023,6,30),-1,1)+1))</f>
        <v/>
      </c>
      <c r="U1460" s="50">
        <f>IF(AND(AND(OR(in_Mode="All Funds",AND(C1460&gt;=in_BandFloor,C1460&lt;=in_BandCeiling,OR(in_Geography="National",COUNTIFS(lst_GeoPreset,in_Geography,lst_GeoState,B1460)&gt;0,AND(in_Geography="Custom",ISNUMBER(SEARCH(B1460,SUBSTITUTE(in_CustomStates," ",""))))),OR(AND(D1460="Endowment",Inputs!$B$14="Y"),AND(D1460="Foundation",Inputs!$B$15="Y"),AND(D1460="Healthcare",Inputs!$B$16="Y"),AND(D1460="Pension",Inputs!$B$17="Y"),AND(D1460="OCIO",Inputs!$B$18="Y"),AND(D1460="Other",Inputs!$B$19="Y")))),A1460&lt;&gt;in_ClientOrg,NOT(AND(in_ExclHarvard="Y",ISNUMBER(SEARCH("Harvard",A1460))))),$AD1460="Y",K1460&lt;&gt;"",S1460&gt;0),"Y","")</f>
        <v/>
      </c>
      <c r="V1460" s="30" t="n">
        <v>0.3164529771735706</v>
      </c>
      <c r="W1460" t="inlineStr"/>
      <c r="X1460" s="28">
        <f>IF(L1460+M1460=0,"",L1460+M1460)</f>
        <v/>
      </c>
      <c r="Y1460" s="38">
        <f>IF(L1460=0,"",M1460/L1460)</f>
        <v/>
      </c>
      <c r="Z1460" t="inlineStr">
        <is>
          <t>Managing Director</t>
        </is>
      </c>
      <c r="AA1460" t="inlineStr">
        <is>
          <t>Investments</t>
        </is>
      </c>
      <c r="AB1460" s="50" t="inlineStr"/>
      <c r="AC1460" s="43">
        <f>HYPERLINK("https://projects.propublica.org/nonprofits/organizations/364516257/202431319349304158/full","view filing")</f>
        <v/>
      </c>
      <c r="AD1460" s="50" t="inlineStr"/>
    </row>
    <row r="1461">
      <c r="A1461" t="inlineStr">
        <is>
          <t>Unc Management Company Inc</t>
        </is>
      </c>
      <c r="B1461" s="50" t="inlineStr">
        <is>
          <t>NC</t>
        </is>
      </c>
      <c r="C1461" s="52" t="n">
        <v>6.22</v>
      </c>
      <c r="D1461" t="inlineStr">
        <is>
          <t>Endowment</t>
        </is>
      </c>
      <c r="E1461" s="50" t="n">
        <v>2023</v>
      </c>
      <c r="F1461" s="50" t="inlineStr">
        <is>
          <t>2024-05-10</t>
        </is>
      </c>
      <c r="G1461" s="50" t="inlineStr">
        <is>
          <t>2023-06-30</t>
        </is>
      </c>
      <c r="H1461" t="inlineStr">
        <is>
          <t>Chris Bartholomew</t>
        </is>
      </c>
      <c r="I1461" t="inlineStr">
        <is>
          <t>MANAGING DIRECTOR, INVESTMENTS</t>
        </is>
      </c>
      <c r="J1461" t="inlineStr">
        <is>
          <t>Managing Director</t>
        </is>
      </c>
      <c r="K1461" t="inlineStr">
        <is>
          <t>Sr Investment Professional</t>
        </is>
      </c>
      <c r="L1461" s="28" t="n">
        <v>309844</v>
      </c>
      <c r="M1461" s="28" t="n">
        <v>448397</v>
      </c>
      <c r="N1461" s="28" t="n">
        <v>780</v>
      </c>
      <c r="O1461" s="28" t="n">
        <v>277438</v>
      </c>
      <c r="P1461" s="28" t="n">
        <v>42418</v>
      </c>
      <c r="Q1461" s="28" t="n">
        <v>1078877</v>
      </c>
      <c r="R1461" s="28" t="n">
        <v>212016</v>
      </c>
      <c r="S1461" s="28">
        <f>Q1461-R1461</f>
        <v/>
      </c>
      <c r="T1461" s="28">
        <f>IF(S1461="","",S1461*(1+in_GrowthRate)^(YEARFRAC(DATE(2023,6,30),in_AgeToDate)*IF(in_AgeToDate&lt;DATE(2023,6,30),-1,1)+1))</f>
        <v/>
      </c>
      <c r="U1461" s="50">
        <f>IF(AND(AND(OR(in_Mode="All Funds",AND(C1461&gt;=in_BandFloor,C1461&lt;=in_BandCeiling,OR(in_Geography="National",COUNTIFS(lst_GeoPreset,in_Geography,lst_GeoState,B1461)&gt;0,AND(in_Geography="Custom",ISNUMBER(SEARCH(B1461,SUBSTITUTE(in_CustomStates," ",""))))),OR(AND(D1461="Endowment",Inputs!$B$14="Y"),AND(D1461="Foundation",Inputs!$B$15="Y"),AND(D1461="Healthcare",Inputs!$B$16="Y"),AND(D1461="Pension",Inputs!$B$17="Y"),AND(D1461="OCIO",Inputs!$B$18="Y"),AND(D1461="Other",Inputs!$B$19="Y")))),A1461&lt;&gt;in_ClientOrg,NOT(AND(in_ExclHarvard="Y",ISNUMBER(SEARCH("Harvard",A1461))))),$AD1461="Y",K1461&lt;&gt;"",S1461&gt;0),"Y","")</f>
        <v/>
      </c>
      <c r="V1461" s="30" t="n">
        <v>0.3182984495241648</v>
      </c>
      <c r="W1461" t="inlineStr"/>
      <c r="X1461" s="28">
        <f>IF(L1461+M1461=0,"",L1461+M1461)</f>
        <v/>
      </c>
      <c r="Y1461" s="38">
        <f>IF(L1461=0,"",M1461/L1461)</f>
        <v/>
      </c>
      <c r="Z1461" t="inlineStr">
        <is>
          <t>Managing Director</t>
        </is>
      </c>
      <c r="AA1461" t="inlineStr">
        <is>
          <t>Investments</t>
        </is>
      </c>
      <c r="AB1461" s="50" t="inlineStr"/>
      <c r="AC1461" s="43">
        <f>HYPERLINK("https://projects.propublica.org/nonprofits/organizations/364516257/202431319349304158/full","view filing")</f>
        <v/>
      </c>
      <c r="AD1461" s="50" t="inlineStr"/>
    </row>
    <row r="1462">
      <c r="A1462" t="inlineStr">
        <is>
          <t>Unc Management Company Inc</t>
        </is>
      </c>
      <c r="B1462" s="50" t="inlineStr">
        <is>
          <t>NC</t>
        </is>
      </c>
      <c r="C1462" s="52" t="n">
        <v>6.22</v>
      </c>
      <c r="D1462" t="inlineStr">
        <is>
          <t>Endowment</t>
        </is>
      </c>
      <c r="E1462" s="50" t="n">
        <v>2023</v>
      </c>
      <c r="F1462" s="50" t="inlineStr">
        <is>
          <t>2024-05-10</t>
        </is>
      </c>
      <c r="G1462" s="50" t="inlineStr">
        <is>
          <t>2023-06-30</t>
        </is>
      </c>
      <c r="H1462" t="inlineStr">
        <is>
          <t>Chris Mattke</t>
        </is>
      </c>
      <c r="I1462" t="inlineStr">
        <is>
          <t>VP - INV OPS &amp; FINANCE</t>
        </is>
      </c>
      <c r="J1462" t="inlineStr">
        <is>
          <t>Investment Officer</t>
        </is>
      </c>
      <c r="K1462" t="inlineStr">
        <is>
          <t>COO (Investment Office)</t>
        </is>
      </c>
      <c r="L1462" s="28" t="n">
        <v>291767</v>
      </c>
      <c r="M1462" s="28" t="n">
        <v>225181</v>
      </c>
      <c r="N1462" s="28" t="n">
        <v>780</v>
      </c>
      <c r="O1462" s="28" t="n">
        <v>184851</v>
      </c>
      <c r="P1462" s="28" t="n">
        <v>41754</v>
      </c>
      <c r="Q1462" s="28" t="n">
        <v>744333</v>
      </c>
      <c r="R1462" s="28" t="n">
        <v>84140</v>
      </c>
      <c r="S1462" s="28">
        <f>Q1462-R1462</f>
        <v/>
      </c>
      <c r="T1462" s="28">
        <f>IF(S1462="","",S1462*(1+in_GrowthRate)^(YEARFRAC(DATE(2023,6,30),in_AgeToDate)*IF(in_AgeToDate&lt;DATE(2023,6,30),-1,1)+1))</f>
        <v/>
      </c>
      <c r="U1462" s="50">
        <f>IF(AND(AND(OR(in_Mode="All Funds",AND(C1462&gt;=in_BandFloor,C1462&lt;=in_BandCeiling,OR(in_Geography="National",COUNTIFS(lst_GeoPreset,in_Geography,lst_GeoState,B1462)&gt;0,AND(in_Geography="Custom",ISNUMBER(SEARCH(B1462,SUBSTITUTE(in_CustomStates," ",""))))),OR(AND(D1462="Endowment",Inputs!$B$14="Y"),AND(D1462="Foundation",Inputs!$B$15="Y"),AND(D1462="Healthcare",Inputs!$B$16="Y"),AND(D1462="Pension",Inputs!$B$17="Y"),AND(D1462="OCIO",Inputs!$B$18="Y"),AND(D1462="Other",Inputs!$B$19="Y")))),A1462&lt;&gt;in_ClientOrg,NOT(AND(in_ExclHarvard="Y",ISNUMBER(SEARCH("Harvard",A1462))))),$AD1462="Y",K1462&lt;&gt;"",S1462&gt;0),"Y","")</f>
        <v/>
      </c>
      <c r="V1462" s="30" t="n">
        <v>0.2424130377150511</v>
      </c>
      <c r="W1462" t="inlineStr"/>
      <c r="X1462" s="28">
        <f>IF(L1462+M1462=0,"",L1462+M1462)</f>
        <v/>
      </c>
      <c r="Y1462" s="38">
        <f>IF(L1462=0,"",M1462/L1462)</f>
        <v/>
      </c>
      <c r="Z1462" t="inlineStr">
        <is>
          <t>COO (Investment Office)</t>
        </is>
      </c>
      <c r="AA1462" t="inlineStr">
        <is>
          <t>Operations &amp; Control</t>
        </is>
      </c>
      <c r="AB1462" s="50" t="inlineStr"/>
      <c r="AC1462" s="43">
        <f>HYPERLINK("https://projects.propublica.org/nonprofits/organizations/364516257/202431319349304158/full","view filing")</f>
        <v/>
      </c>
      <c r="AD1462" s="50" t="inlineStr"/>
    </row>
    <row r="1463">
      <c r="A1463" t="inlineStr">
        <is>
          <t>Unc Management Company Inc</t>
        </is>
      </c>
      <c r="B1463" s="50" t="inlineStr">
        <is>
          <t>NC</t>
        </is>
      </c>
      <c r="C1463" s="52" t="n">
        <v>6.22</v>
      </c>
      <c r="D1463" t="inlineStr">
        <is>
          <t>Endowment</t>
        </is>
      </c>
      <c r="E1463" s="50" t="n">
        <v>2023</v>
      </c>
      <c r="F1463" s="50" t="inlineStr">
        <is>
          <t>2024-05-10</t>
        </is>
      </c>
      <c r="G1463" s="50" t="inlineStr">
        <is>
          <t>2023-06-30</t>
        </is>
      </c>
      <c r="H1463" t="inlineStr">
        <is>
          <t>Chris Rudolph</t>
        </is>
      </c>
      <c r="I1463" t="inlineStr">
        <is>
          <t>MANAGING DIRECTOR, INVESTMENTS</t>
        </is>
      </c>
      <c r="J1463" t="inlineStr">
        <is>
          <t>Managing Director</t>
        </is>
      </c>
      <c r="K1463" t="inlineStr">
        <is>
          <t>Sr Investment Professional</t>
        </is>
      </c>
      <c r="L1463" s="28" t="n">
        <v>307194</v>
      </c>
      <c r="M1463" s="28" t="n">
        <v>446939</v>
      </c>
      <c r="N1463" s="28" t="n">
        <v>1170</v>
      </c>
      <c r="O1463" s="28" t="n">
        <v>274971</v>
      </c>
      <c r="P1463" s="28" t="n">
        <v>44333</v>
      </c>
      <c r="Q1463" s="28" t="n">
        <v>1074607</v>
      </c>
      <c r="R1463" s="28" t="n">
        <v>212841</v>
      </c>
      <c r="S1463" s="28">
        <f>Q1463-R1463</f>
        <v/>
      </c>
      <c r="T1463" s="28">
        <f>IF(S1463="","",S1463*(1+in_GrowthRate)^(YEARFRAC(DATE(2023,6,30),in_AgeToDate)*IF(in_AgeToDate&lt;DATE(2023,6,30),-1,1)+1))</f>
        <v/>
      </c>
      <c r="U1463" s="50">
        <f>IF(AND(AND(OR(in_Mode="All Funds",AND(C1463&gt;=in_BandFloor,C1463&lt;=in_BandCeiling,OR(in_Geography="National",COUNTIFS(lst_GeoPreset,in_Geography,lst_GeoState,B1463)&gt;0,AND(in_Geography="Custom",ISNUMBER(SEARCH(B1463,SUBSTITUTE(in_CustomStates," ",""))))),OR(AND(D1463="Endowment",Inputs!$B$14="Y"),AND(D1463="Foundation",Inputs!$B$15="Y"),AND(D1463="Healthcare",Inputs!$B$16="Y"),AND(D1463="Pension",Inputs!$B$17="Y"),AND(D1463="OCIO",Inputs!$B$18="Y"),AND(D1463="Other",Inputs!$B$19="Y")))),A1463&lt;&gt;in_ClientOrg,NOT(AND(in_ExclHarvard="Y",ISNUMBER(SEARCH("Harvard",A1463))))),$AD1463="Y",K1463&lt;&gt;"",S1463&gt;0),"Y","")</f>
        <v/>
      </c>
      <c r="V1463" s="30" t="n">
        <v>0.316427641401149</v>
      </c>
      <c r="W1463" t="inlineStr"/>
      <c r="X1463" s="28">
        <f>IF(L1463+M1463=0,"",L1463+M1463)</f>
        <v/>
      </c>
      <c r="Y1463" s="38">
        <f>IF(L1463=0,"",M1463/L1463)</f>
        <v/>
      </c>
      <c r="Z1463" t="inlineStr">
        <is>
          <t>Managing Director</t>
        </is>
      </c>
      <c r="AA1463" t="inlineStr">
        <is>
          <t>Investments</t>
        </is>
      </c>
      <c r="AB1463" s="50" t="inlineStr"/>
      <c r="AC1463" s="43">
        <f>HYPERLINK("https://projects.propublica.org/nonprofits/organizations/364516257/202431319349304158/full","view filing")</f>
        <v/>
      </c>
      <c r="AD1463" s="50" t="inlineStr"/>
    </row>
    <row r="1464">
      <c r="A1464" t="inlineStr">
        <is>
          <t>Unc Management Company Inc</t>
        </is>
      </c>
      <c r="B1464" s="50" t="inlineStr">
        <is>
          <t>NC</t>
        </is>
      </c>
      <c r="C1464" s="52" t="n">
        <v>6.22</v>
      </c>
      <c r="D1464" t="inlineStr">
        <is>
          <t>Endowment</t>
        </is>
      </c>
      <c r="E1464" s="50" t="n">
        <v>2023</v>
      </c>
      <c r="F1464" s="50" t="inlineStr">
        <is>
          <t>2024-05-10</t>
        </is>
      </c>
      <c r="G1464" s="50" t="inlineStr">
        <is>
          <t>2023-06-30</t>
        </is>
      </c>
      <c r="H1464" t="inlineStr">
        <is>
          <t>Edward Hetherington</t>
        </is>
      </c>
      <c r="I1464" t="inlineStr">
        <is>
          <t>VP - PUBLIC INVESTMENTS</t>
        </is>
      </c>
      <c r="J1464" t="inlineStr">
        <is>
          <t>Investment Officer</t>
        </is>
      </c>
      <c r="K1464" t="inlineStr">
        <is>
          <t>Sr Investment Professional</t>
        </is>
      </c>
      <c r="L1464" s="28" t="n">
        <v>440352</v>
      </c>
      <c r="M1464" s="28" t="n">
        <v>693001</v>
      </c>
      <c r="N1464" s="28" t="n">
        <v>780</v>
      </c>
      <c r="O1464" s="28" t="n">
        <v>406650</v>
      </c>
      <c r="P1464" s="28" t="n">
        <v>42483</v>
      </c>
      <c r="Q1464" s="28" t="n">
        <v>1583266</v>
      </c>
      <c r="R1464" s="28" t="n">
        <v>324689</v>
      </c>
      <c r="S1464" s="28">
        <f>Q1464-R1464</f>
        <v/>
      </c>
      <c r="T1464" s="28">
        <f>IF(S1464="","",S1464*(1+in_GrowthRate)^(YEARFRAC(DATE(2023,6,30),in_AgeToDate)*IF(in_AgeToDate&lt;DATE(2023,6,30),-1,1)+1))</f>
        <v/>
      </c>
      <c r="U1464" s="50">
        <f>IF(AND(AND(OR(in_Mode="All Funds",AND(C1464&gt;=in_BandFloor,C1464&lt;=in_BandCeiling,OR(in_Geography="National",COUNTIFS(lst_GeoPreset,in_Geography,lst_GeoState,B1464)&gt;0,AND(in_Geography="Custom",ISNUMBER(SEARCH(B1464,SUBSTITUTE(in_CustomStates," ",""))))),OR(AND(D1464="Endowment",Inputs!$B$14="Y"),AND(D1464="Foundation",Inputs!$B$15="Y"),AND(D1464="Healthcare",Inputs!$B$16="Y"),AND(D1464="Pension",Inputs!$B$17="Y"),AND(D1464="OCIO",Inputs!$B$18="Y"),AND(D1464="Other",Inputs!$B$19="Y")))),A1464&lt;&gt;in_ClientOrg,NOT(AND(in_ExclHarvard="Y",ISNUMBER(SEARCH("Harvard",A1464))))),$AD1464="Y",K1464&lt;&gt;"",S1464&gt;0),"Y","")</f>
        <v/>
      </c>
      <c r="V1464" s="30" t="n">
        <v>0.4621307311169551</v>
      </c>
      <c r="W1464" t="inlineStr"/>
      <c r="X1464" s="28">
        <f>IF(L1464+M1464=0,"",L1464+M1464)</f>
        <v/>
      </c>
      <c r="Y1464" s="38">
        <f>IF(L1464=0,"",M1464/L1464)</f>
        <v/>
      </c>
      <c r="Z1464" t="inlineStr">
        <is>
          <t>Director &amp; Investment Officer</t>
        </is>
      </c>
      <c r="AA1464" t="inlineStr">
        <is>
          <t>Investments</t>
        </is>
      </c>
      <c r="AB1464" s="50" t="inlineStr"/>
      <c r="AC1464" s="43">
        <f>HYPERLINK("https://projects.propublica.org/nonprofits/organizations/364516257/202431319349304158/full","view filing")</f>
        <v/>
      </c>
      <c r="AD1464" s="50" t="inlineStr"/>
    </row>
    <row r="1465">
      <c r="A1465" t="inlineStr">
        <is>
          <t>Unc Management Company Inc</t>
        </is>
      </c>
      <c r="B1465" s="50" t="inlineStr">
        <is>
          <t>NC</t>
        </is>
      </c>
      <c r="C1465" s="52" t="n">
        <v>6.22</v>
      </c>
      <c r="D1465" t="inlineStr">
        <is>
          <t>Endowment</t>
        </is>
      </c>
      <c r="E1465" s="50" t="n">
        <v>2023</v>
      </c>
      <c r="F1465" s="50" t="inlineStr">
        <is>
          <t>2024-05-10</t>
        </is>
      </c>
      <c r="G1465" s="50" t="inlineStr">
        <is>
          <t>2023-06-30</t>
        </is>
      </c>
      <c r="H1465" t="inlineStr">
        <is>
          <t>Jonathon C King</t>
        </is>
      </c>
      <c r="I1465" t="inlineStr">
        <is>
          <t>PRESIDENT</t>
        </is>
      </c>
      <c r="J1465" t="inlineStr">
        <is>
          <t>CEO (Inv Entity)</t>
        </is>
      </c>
      <c r="K1465" t="inlineStr">
        <is>
          <t>CIO - Top Investment Executive</t>
        </is>
      </c>
      <c r="L1465" s="28" t="n">
        <v>787696</v>
      </c>
      <c r="M1465" s="28" t="n">
        <v>1784309</v>
      </c>
      <c r="N1465" s="28" t="n">
        <v>9906</v>
      </c>
      <c r="O1465" s="28" t="n">
        <v>962876</v>
      </c>
      <c r="P1465" s="28" t="n">
        <v>29643</v>
      </c>
      <c r="Q1465" s="28" t="n">
        <v>3574430</v>
      </c>
      <c r="R1465" s="28" t="n">
        <v>851008</v>
      </c>
      <c r="S1465" s="28">
        <f>Q1465-R1465</f>
        <v/>
      </c>
      <c r="T1465" s="28">
        <f>IF(S1465="","",S1465*(1+in_GrowthRate)^(YEARFRAC(DATE(2023,6,30),in_AgeToDate)*IF(in_AgeToDate&lt;DATE(2023,6,30),-1,1)+1))</f>
        <v/>
      </c>
      <c r="U1465" s="50">
        <f>IF(AND(AND(OR(in_Mode="All Funds",AND(C1465&gt;=in_BandFloor,C1465&lt;=in_BandCeiling,OR(in_Geography="National",COUNTIFS(lst_GeoPreset,in_Geography,lst_GeoState,B1465)&gt;0,AND(in_Geography="Custom",ISNUMBER(SEARCH(B1465,SUBSTITUTE(in_CustomStates," ",""))))),OR(AND(D1465="Endowment",Inputs!$B$14="Y"),AND(D1465="Foundation",Inputs!$B$15="Y"),AND(D1465="Healthcare",Inputs!$B$16="Y"),AND(D1465="Pension",Inputs!$B$17="Y"),AND(D1465="OCIO",Inputs!$B$18="Y"),AND(D1465="Other",Inputs!$B$19="Y")))),A1465&lt;&gt;in_ClientOrg,NOT(AND(in_ExclHarvard="Y",ISNUMBER(SEARCH("Harvard",A1465))))),$AD1465="Y",K1465&lt;&gt;"",S1465&gt;0),"Y","")</f>
        <v/>
      </c>
      <c r="V1465" s="30" t="n">
        <v>1</v>
      </c>
      <c r="W1465" t="inlineStr"/>
      <c r="X1465" s="28">
        <f>IF(L1465+M1465=0,"",L1465+M1465)</f>
        <v/>
      </c>
      <c r="Y1465" s="38">
        <f>IF(L1465=0,"",M1465/L1465)</f>
        <v/>
      </c>
      <c r="Z1465" t="inlineStr">
        <is>
          <t>CIO - Top Investment Executive</t>
        </is>
      </c>
      <c r="AA1465" t="inlineStr">
        <is>
          <t>Leadership</t>
        </is>
      </c>
      <c r="AB1465" s="50" t="inlineStr">
        <is>
          <t>Y</t>
        </is>
      </c>
      <c r="AC1465" s="43">
        <f>HYPERLINK("https://projects.propublica.org/nonprofits/organizations/364516257/202431319349304158/full","view filing")</f>
        <v/>
      </c>
      <c r="AD1465" s="50" t="inlineStr"/>
    </row>
    <row r="1466">
      <c r="A1466" t="inlineStr">
        <is>
          <t>Unc Management Company Inc</t>
        </is>
      </c>
      <c r="B1466" s="50" t="inlineStr">
        <is>
          <t>NC</t>
        </is>
      </c>
      <c r="C1466" s="52" t="n">
        <v>6.22</v>
      </c>
      <c r="D1466" t="inlineStr">
        <is>
          <t>Endowment</t>
        </is>
      </c>
      <c r="E1466" s="50" t="n">
        <v>2023</v>
      </c>
      <c r="F1466" s="50" t="inlineStr">
        <is>
          <t>2024-05-10</t>
        </is>
      </c>
      <c r="G1466" s="50" t="inlineStr">
        <is>
          <t>2023-06-30</t>
        </is>
      </c>
      <c r="H1466" t="inlineStr">
        <is>
          <t>Joshua Shapiro</t>
        </is>
      </c>
      <c r="I1466" t="inlineStr">
        <is>
          <t>VP - INV STRATEGY &amp; RISK M</t>
        </is>
      </c>
      <c r="J1466" t="inlineStr">
        <is>
          <t>Investment Officer</t>
        </is>
      </c>
      <c r="K1466" t="inlineStr">
        <is>
          <t>Sr Investment Professional</t>
        </is>
      </c>
      <c r="L1466" s="28" t="n">
        <v>439044</v>
      </c>
      <c r="M1466" s="28" t="n">
        <v>704542</v>
      </c>
      <c r="N1466" s="28" t="n">
        <v>3354</v>
      </c>
      <c r="O1466" s="28" t="n">
        <v>409786</v>
      </c>
      <c r="P1466" s="28" t="n">
        <v>41577</v>
      </c>
      <c r="Q1466" s="28" t="n">
        <v>1598303</v>
      </c>
      <c r="R1466" s="28" t="n">
        <v>335747</v>
      </c>
      <c r="S1466" s="28">
        <f>Q1466-R1466</f>
        <v/>
      </c>
      <c r="T1466" s="28">
        <f>IF(S1466="","",S1466*(1+in_GrowthRate)^(YEARFRAC(DATE(2023,6,30),in_AgeToDate)*IF(in_AgeToDate&lt;DATE(2023,6,30),-1,1)+1))</f>
        <v/>
      </c>
      <c r="U1466" s="50">
        <f>IF(AND(AND(OR(in_Mode="All Funds",AND(C1466&gt;=in_BandFloor,C1466&lt;=in_BandCeiling,OR(in_Geography="National",COUNTIFS(lst_GeoPreset,in_Geography,lst_GeoState,B1466)&gt;0,AND(in_Geography="Custom",ISNUMBER(SEARCH(B1466,SUBSTITUTE(in_CustomStates," ",""))))),OR(AND(D1466="Endowment",Inputs!$B$14="Y"),AND(D1466="Foundation",Inputs!$B$15="Y"),AND(D1466="Healthcare",Inputs!$B$16="Y"),AND(D1466="Pension",Inputs!$B$17="Y"),AND(D1466="OCIO",Inputs!$B$18="Y"),AND(D1466="Other",Inputs!$B$19="Y")))),A1466&lt;&gt;in_ClientOrg,NOT(AND(in_ExclHarvard="Y",ISNUMBER(SEARCH("Harvard",A1466))))),$AD1466="Y",K1466&lt;&gt;"",S1466&gt;0),"Y","")</f>
        <v/>
      </c>
      <c r="V1466" s="30" t="n">
        <v>0.4635917606599345</v>
      </c>
      <c r="W1466" t="inlineStr"/>
      <c r="X1466" s="28">
        <f>IF(L1466+M1466=0,"",L1466+M1466)</f>
        <v/>
      </c>
      <c r="Y1466" s="38">
        <f>IF(L1466=0,"",M1466/L1466)</f>
        <v/>
      </c>
      <c r="Z1466" t="inlineStr">
        <is>
          <t>Director &amp; Investment Officer</t>
        </is>
      </c>
      <c r="AA1466" t="inlineStr">
        <is>
          <t>Investments</t>
        </is>
      </c>
      <c r="AB1466" s="50" t="inlineStr"/>
      <c r="AC1466" s="43">
        <f>HYPERLINK("https://projects.propublica.org/nonprofits/organizations/364516257/202431319349304158/full","view filing")</f>
        <v/>
      </c>
      <c r="AD1466" s="50" t="inlineStr"/>
    </row>
    <row r="1467">
      <c r="A1467" t="inlineStr">
        <is>
          <t>Unc Management Company Inc</t>
        </is>
      </c>
      <c r="B1467" s="50" t="inlineStr">
        <is>
          <t>NC</t>
        </is>
      </c>
      <c r="C1467" s="52" t="n">
        <v>6.22</v>
      </c>
      <c r="D1467" t="inlineStr">
        <is>
          <t>Endowment</t>
        </is>
      </c>
      <c r="E1467" s="50" t="n">
        <v>2023</v>
      </c>
      <c r="F1467" s="50" t="inlineStr">
        <is>
          <t>2024-05-10</t>
        </is>
      </c>
      <c r="G1467" s="50" t="inlineStr">
        <is>
          <t>2023-06-30</t>
        </is>
      </c>
      <c r="H1467" t="inlineStr">
        <is>
          <t>Kevin Tunick</t>
        </is>
      </c>
      <c r="I1467" t="inlineStr">
        <is>
          <t>VP - PRIVATE INVESTMENTS</t>
        </is>
      </c>
      <c r="J1467" t="inlineStr">
        <is>
          <t>Investment Manager</t>
        </is>
      </c>
      <c r="K1467" t="inlineStr">
        <is>
          <t>Sr Investment Professional</t>
        </is>
      </c>
      <c r="L1467" s="28" t="n">
        <v>468850</v>
      </c>
      <c r="M1467" s="28" t="n">
        <v>753308</v>
      </c>
      <c r="N1467" s="28" t="n">
        <v>9906</v>
      </c>
      <c r="O1467" s="28" t="n">
        <v>438285</v>
      </c>
      <c r="P1467" s="28" t="n">
        <v>29643</v>
      </c>
      <c r="Q1467" s="28" t="n">
        <v>1699992</v>
      </c>
      <c r="R1467" s="28" t="n">
        <v>355785</v>
      </c>
      <c r="S1467" s="28">
        <f>Q1467-R1467</f>
        <v/>
      </c>
      <c r="T1467" s="28">
        <f>IF(S1467="","",S1467*(1+in_GrowthRate)^(YEARFRAC(DATE(2023,6,30),in_AgeToDate)*IF(in_AgeToDate&lt;DATE(2023,6,30),-1,1)+1))</f>
        <v/>
      </c>
      <c r="U1467" s="50">
        <f>IF(AND(AND(OR(in_Mode="All Funds",AND(C1467&gt;=in_BandFloor,C1467&lt;=in_BandCeiling,OR(in_Geography="National",COUNTIFS(lst_GeoPreset,in_Geography,lst_GeoState,B1467)&gt;0,AND(in_Geography="Custom",ISNUMBER(SEARCH(B1467,SUBSTITUTE(in_CustomStates," ",""))))),OR(AND(D1467="Endowment",Inputs!$B$14="Y"),AND(D1467="Foundation",Inputs!$B$15="Y"),AND(D1467="Healthcare",Inputs!$B$16="Y"),AND(D1467="Pension",Inputs!$B$17="Y"),AND(D1467="OCIO",Inputs!$B$18="Y"),AND(D1467="Other",Inputs!$B$19="Y")))),A1467&lt;&gt;in_ClientOrg,NOT(AND(in_ExclHarvard="Y",ISNUMBER(SEARCH("Harvard",A1467))))),$AD1467="Y",K1467&lt;&gt;"",S1467&gt;0),"Y","")</f>
        <v/>
      </c>
      <c r="V1467" s="30" t="n">
        <v>0.4935727918772779</v>
      </c>
      <c r="W1467" t="inlineStr"/>
      <c r="X1467" s="28">
        <f>IF(L1467+M1467=0,"",L1467+M1467)</f>
        <v/>
      </c>
      <c r="Y1467" s="38">
        <f>IF(L1467=0,"",M1467/L1467)</f>
        <v/>
      </c>
      <c r="Z1467" t="inlineStr">
        <is>
          <t>Director &amp; Investment Officer</t>
        </is>
      </c>
      <c r="AA1467" t="inlineStr">
        <is>
          <t>Investments</t>
        </is>
      </c>
      <c r="AB1467" s="50" t="inlineStr"/>
      <c r="AC1467" s="43">
        <f>HYPERLINK("https://projects.propublica.org/nonprofits/organizations/364516257/202431319349304158/full","view filing")</f>
        <v/>
      </c>
      <c r="AD1467" s="50" t="inlineStr"/>
    </row>
    <row r="1468">
      <c r="A1468" t="inlineStr">
        <is>
          <t>Unc Management Company Inc</t>
        </is>
      </c>
      <c r="B1468" s="50" t="inlineStr">
        <is>
          <t>NC</t>
        </is>
      </c>
      <c r="C1468" s="52" t="n">
        <v>6.22</v>
      </c>
      <c r="D1468" t="inlineStr">
        <is>
          <t>Endowment</t>
        </is>
      </c>
      <c r="E1468" s="50" t="n">
        <v>2023</v>
      </c>
      <c r="F1468" s="50" t="inlineStr">
        <is>
          <t>2024-05-10</t>
        </is>
      </c>
      <c r="G1468" s="50" t="inlineStr">
        <is>
          <t>2023-06-30</t>
        </is>
      </c>
      <c r="H1468" t="inlineStr">
        <is>
          <t>Matthew Lesesky</t>
        </is>
      </c>
      <c r="I1468" t="inlineStr">
        <is>
          <t>MANAGING DIRECTOR, INVESTMENTS</t>
        </is>
      </c>
      <c r="J1468" t="inlineStr">
        <is>
          <t>Managing Director</t>
        </is>
      </c>
      <c r="K1468" t="inlineStr">
        <is>
          <t>Sr Investment Professional</t>
        </is>
      </c>
      <c r="L1468" s="28" t="n">
        <v>309294</v>
      </c>
      <c r="M1468" s="28" t="n">
        <v>448338</v>
      </c>
      <c r="N1468" s="28" t="n">
        <v>1170</v>
      </c>
      <c r="O1468" s="28" t="n">
        <v>277386</v>
      </c>
      <c r="P1468" s="28" t="n">
        <v>42860</v>
      </c>
      <c r="Q1468" s="28" t="n">
        <v>1079048</v>
      </c>
      <c r="R1468" s="28" t="n">
        <v>211960</v>
      </c>
      <c r="S1468" s="28">
        <f>Q1468-R1468</f>
        <v/>
      </c>
      <c r="T1468" s="28">
        <f>IF(S1468="","",S1468*(1+in_GrowthRate)^(YEARFRAC(DATE(2023,6,30),in_AgeToDate)*IF(in_AgeToDate&lt;DATE(2023,6,30),-1,1)+1))</f>
        <v/>
      </c>
      <c r="U1468" s="50">
        <f>IF(AND(AND(OR(in_Mode="All Funds",AND(C1468&gt;=in_BandFloor,C1468&lt;=in_BandCeiling,OR(in_Geography="National",COUNTIFS(lst_GeoPreset,in_Geography,lst_GeoState,B1468)&gt;0,AND(in_Geography="Custom",ISNUMBER(SEARCH(B1468,SUBSTITUTE(in_CustomStates," ",""))))),OR(AND(D1468="Endowment",Inputs!$B$14="Y"),AND(D1468="Foundation",Inputs!$B$15="Y"),AND(D1468="Healthcare",Inputs!$B$16="Y"),AND(D1468="Pension",Inputs!$B$17="Y"),AND(D1468="OCIO",Inputs!$B$18="Y"),AND(D1468="Other",Inputs!$B$19="Y")))),A1468&lt;&gt;in_ClientOrg,NOT(AND(in_ExclHarvard="Y",ISNUMBER(SEARCH("Harvard",A1468))))),$AD1468="Y",K1468&lt;&gt;"",S1468&gt;0),"Y","")</f>
        <v/>
      </c>
      <c r="V1468" s="30" t="n">
        <v>0.3183818005435808</v>
      </c>
      <c r="W1468" t="inlineStr"/>
      <c r="X1468" s="28">
        <f>IF(L1468+M1468=0,"",L1468+M1468)</f>
        <v/>
      </c>
      <c r="Y1468" s="38">
        <f>IF(L1468=0,"",M1468/L1468)</f>
        <v/>
      </c>
      <c r="Z1468" t="inlineStr">
        <is>
          <t>Managing Director</t>
        </is>
      </c>
      <c r="AA1468" t="inlineStr">
        <is>
          <t>Investments</t>
        </is>
      </c>
      <c r="AB1468" s="50" t="inlineStr"/>
      <c r="AC1468" s="43">
        <f>HYPERLINK("https://projects.propublica.org/nonprofits/organizations/364516257/202431319349304158/full","view filing")</f>
        <v/>
      </c>
      <c r="AD1468" s="50" t="inlineStr"/>
    </row>
    <row r="1469">
      <c r="A1469" t="inlineStr">
        <is>
          <t>Unc Management Company Inc</t>
        </is>
      </c>
      <c r="B1469" s="50" t="inlineStr">
        <is>
          <t>NC</t>
        </is>
      </c>
      <c r="C1469" s="52" t="n">
        <v>6.22</v>
      </c>
      <c r="D1469" t="inlineStr">
        <is>
          <t>Endowment</t>
        </is>
      </c>
      <c r="E1469" s="50" t="n">
        <v>2023</v>
      </c>
      <c r="F1469" s="50" t="inlineStr">
        <is>
          <t>2024-05-10</t>
        </is>
      </c>
      <c r="G1469" s="50" t="inlineStr">
        <is>
          <t>2023-06-30</t>
        </is>
      </c>
      <c r="H1469" t="inlineStr">
        <is>
          <t>Rodgers Harshbarger</t>
        </is>
      </c>
      <c r="I1469" t="inlineStr">
        <is>
          <t>MANAGING DIRECTOR, INVESTMENTS</t>
        </is>
      </c>
      <c r="J1469" t="inlineStr">
        <is>
          <t>Managing Director</t>
        </is>
      </c>
      <c r="K1469" t="inlineStr">
        <is>
          <t>Sr Investment Professional</t>
        </is>
      </c>
      <c r="L1469" s="28" t="n">
        <v>318160</v>
      </c>
      <c r="M1469" s="28" t="n">
        <v>468649</v>
      </c>
      <c r="N1469" s="28" t="n">
        <v>1170</v>
      </c>
      <c r="O1469" s="28" t="n">
        <v>289653</v>
      </c>
      <c r="P1469" s="28" t="n">
        <v>41976</v>
      </c>
      <c r="Q1469" s="28" t="n">
        <v>1119608</v>
      </c>
      <c r="R1469" s="28" t="n">
        <v>219794</v>
      </c>
      <c r="S1469" s="28">
        <f>Q1469-R1469</f>
        <v/>
      </c>
      <c r="T1469" s="28">
        <f>IF(S1469="","",S1469*(1+in_GrowthRate)^(YEARFRAC(DATE(2023,6,30),in_AgeToDate)*IF(in_AgeToDate&lt;DATE(2023,6,30),-1,1)+1))</f>
        <v/>
      </c>
      <c r="U1469" s="50">
        <f>IF(AND(AND(OR(in_Mode="All Funds",AND(C1469&gt;=in_BandFloor,C1469&lt;=in_BandCeiling,OR(in_Geography="National",COUNTIFS(lst_GeoPreset,in_Geography,lst_GeoState,B1469)&gt;0,AND(in_Geography="Custom",ISNUMBER(SEARCH(B1469,SUBSTITUTE(in_CustomStates," ",""))))),OR(AND(D1469="Endowment",Inputs!$B$14="Y"),AND(D1469="Foundation",Inputs!$B$15="Y"),AND(D1469="Healthcare",Inputs!$B$16="Y"),AND(D1469="Pension",Inputs!$B$17="Y"),AND(D1469="OCIO",Inputs!$B$18="Y"),AND(D1469="Other",Inputs!$B$19="Y")))),A1469&lt;&gt;in_ClientOrg,NOT(AND(in_ExclHarvard="Y",ISNUMBER(SEARCH("Harvard",A1469))))),$AD1469="Y",K1469&lt;&gt;"",S1469&gt;0),"Y","")</f>
        <v/>
      </c>
      <c r="V1469" s="30" t="n">
        <v>0.3303983003735741</v>
      </c>
      <c r="W1469" t="inlineStr"/>
      <c r="X1469" s="28">
        <f>IF(L1469+M1469=0,"",L1469+M1469)</f>
        <v/>
      </c>
      <c r="Y1469" s="38">
        <f>IF(L1469=0,"",M1469/L1469)</f>
        <v/>
      </c>
      <c r="Z1469" t="inlineStr">
        <is>
          <t>Managing Director</t>
        </is>
      </c>
      <c r="AA1469" t="inlineStr">
        <is>
          <t>Investments</t>
        </is>
      </c>
      <c r="AB1469" s="50" t="inlineStr"/>
      <c r="AC1469" s="43">
        <f>HYPERLINK("https://projects.propublica.org/nonprofits/organizations/364516257/202431319349304158/full","view filing")</f>
        <v/>
      </c>
      <c r="AD1469" s="50" t="inlineStr"/>
    </row>
    <row r="1470">
      <c r="A1470" t="inlineStr">
        <is>
          <t>Unc Management Company Inc</t>
        </is>
      </c>
      <c r="B1470" s="50" t="inlineStr">
        <is>
          <t>NC</t>
        </is>
      </c>
      <c r="C1470" s="52" t="n">
        <v>6.22</v>
      </c>
      <c r="D1470" t="inlineStr">
        <is>
          <t>Endowment</t>
        </is>
      </c>
      <c r="E1470" s="50" t="n">
        <v>2023</v>
      </c>
      <c r="F1470" s="50" t="inlineStr">
        <is>
          <t>2024-05-10</t>
        </is>
      </c>
      <c r="G1470" s="50" t="inlineStr">
        <is>
          <t>2023-06-30</t>
        </is>
      </c>
      <c r="H1470" t="inlineStr">
        <is>
          <t>Tim Burch</t>
        </is>
      </c>
      <c r="I1470" t="inlineStr">
        <is>
          <t>VP - LEGAL &amp; COMPLIANCE</t>
        </is>
      </c>
      <c r="J1470" t="inlineStr">
        <is>
          <t>Legal / Compliance Officer (Inv Entity)</t>
        </is>
      </c>
      <c r="K1470" t="inlineStr">
        <is>
          <t>Other disclosed professionals</t>
        </is>
      </c>
      <c r="L1470" s="28" t="n">
        <v>290967</v>
      </c>
      <c r="M1470" s="28" t="n">
        <v>293343</v>
      </c>
      <c r="N1470" s="28" t="n">
        <v>1170</v>
      </c>
      <c r="O1470" s="28" t="n">
        <v>198242</v>
      </c>
      <c r="P1470" s="28" t="n">
        <v>44127</v>
      </c>
      <c r="Q1470" s="28" t="n">
        <v>827849</v>
      </c>
      <c r="R1470" s="28" t="n">
        <v>137701</v>
      </c>
      <c r="S1470" s="28">
        <f>Q1470-R1470</f>
        <v/>
      </c>
      <c r="T1470" s="28">
        <f>IF(S1470="","",S1470*(1+in_GrowthRate)^(YEARFRAC(DATE(2023,6,30),in_AgeToDate)*IF(in_AgeToDate&lt;DATE(2023,6,30),-1,1)+1))</f>
        <v/>
      </c>
      <c r="U1470" s="50">
        <f>IF(AND(AND(OR(in_Mode="All Funds",AND(C1470&gt;=in_BandFloor,C1470&lt;=in_BandCeiling,OR(in_Geography="National",COUNTIFS(lst_GeoPreset,in_Geography,lst_GeoState,B1470)&gt;0,AND(in_Geography="Custom",ISNUMBER(SEARCH(B1470,SUBSTITUTE(in_CustomStates," ",""))))),OR(AND(D1470="Endowment",Inputs!$B$14="Y"),AND(D1470="Foundation",Inputs!$B$15="Y"),AND(D1470="Healthcare",Inputs!$B$16="Y"),AND(D1470="Pension",Inputs!$B$17="Y"),AND(D1470="OCIO",Inputs!$B$18="Y"),AND(D1470="Other",Inputs!$B$19="Y")))),A1470&lt;&gt;in_ClientOrg,NOT(AND(in_ExclHarvard="Y",ISNUMBER(SEARCH("Harvard",A1470))))),$AD1470="Y",K1470&lt;&gt;"",S1470&gt;0),"Y","")</f>
        <v/>
      </c>
      <c r="V1470" s="30" t="n">
        <v>0.253412067611997</v>
      </c>
      <c r="W1470" t="inlineStr">
        <is>
          <t>Other disclosed professionals</t>
        </is>
      </c>
      <c r="X1470" s="28">
        <f>IF(L1470+M1470=0,"",L1470+M1470)</f>
        <v/>
      </c>
      <c r="Y1470" s="38">
        <f>IF(L1470=0,"",M1470/L1470)</f>
        <v/>
      </c>
      <c r="Z1470" t="inlineStr">
        <is>
          <t>Other disclosed professionals</t>
        </is>
      </c>
      <c r="AA1470" t="inlineStr">
        <is>
          <t>Operations &amp; Control</t>
        </is>
      </c>
      <c r="AB1470" s="50" t="inlineStr"/>
      <c r="AC1470" s="43">
        <f>HYPERLINK("https://projects.propublica.org/nonprofits/organizations/364516257/202431319349304158/full","view filing")</f>
        <v/>
      </c>
      <c r="AD1470" s="50" t="inlineStr"/>
    </row>
    <row r="1471">
      <c r="A1471" t="inlineStr">
        <is>
          <t>Unc Management Company Inc</t>
        </is>
      </c>
      <c r="B1471" s="50" t="inlineStr">
        <is>
          <t>NC</t>
        </is>
      </c>
      <c r="C1471" s="52" t="n">
        <v>6.22</v>
      </c>
      <c r="D1471" t="inlineStr">
        <is>
          <t>Endowment</t>
        </is>
      </c>
      <c r="E1471" s="50" t="n">
        <v>2022</v>
      </c>
      <c r="F1471" s="50" t="inlineStr">
        <is>
          <t>2023-03-07</t>
        </is>
      </c>
      <c r="G1471" s="50" t="inlineStr">
        <is>
          <t>2022-06-30</t>
        </is>
      </c>
      <c r="H1471" t="inlineStr">
        <is>
          <t>Angela Moss</t>
        </is>
      </c>
      <c r="I1471" t="inlineStr">
        <is>
          <t>SENIOR DIRECTOR - INVESTMENTS</t>
        </is>
      </c>
      <c r="J1471" t="inlineStr">
        <is>
          <t>Director of Investments</t>
        </is>
      </c>
      <c r="K1471" t="inlineStr">
        <is>
          <t>Sr Investment Professional</t>
        </is>
      </c>
      <c r="L1471" s="28" t="n">
        <v>293115</v>
      </c>
      <c r="M1471" s="28" t="n">
        <v>443811</v>
      </c>
      <c r="N1471" s="28" t="n">
        <v>1170</v>
      </c>
      <c r="O1471" s="28" t="n">
        <v>279573</v>
      </c>
      <c r="P1471" s="28" t="n">
        <v>39947</v>
      </c>
      <c r="Q1471" s="28" t="n">
        <v>1057616</v>
      </c>
      <c r="R1471" s="28" t="n">
        <v>169666</v>
      </c>
      <c r="S1471" s="28">
        <f>Q1471-R1471</f>
        <v/>
      </c>
      <c r="T1471" s="28">
        <f>IF(S1471="","",S1471*(1+in_GrowthRate)^(YEARFRAC(DATE(2022,6,30),in_AgeToDate)*IF(in_AgeToDate&lt;DATE(2022,6,30),-1,1)+1))</f>
        <v/>
      </c>
      <c r="U1471" s="50">
        <f>IF(AND(AND(OR(in_Mode="All Funds",AND(C1471&gt;=in_BandFloor,C1471&lt;=in_BandCeiling,OR(in_Geography="National",COUNTIFS(lst_GeoPreset,in_Geography,lst_GeoState,B1471)&gt;0,AND(in_Geography="Custom",ISNUMBER(SEARCH(B1471,SUBSTITUTE(in_CustomStates," ",""))))),OR(AND(D1471="Endowment",Inputs!$B$14="Y"),AND(D1471="Foundation",Inputs!$B$15="Y"),AND(D1471="Healthcare",Inputs!$B$16="Y"),AND(D1471="Pension",Inputs!$B$17="Y"),AND(D1471="OCIO",Inputs!$B$18="Y"),AND(D1471="Other",Inputs!$B$19="Y")))),A1471&lt;&gt;in_ClientOrg,NOT(AND(in_ExclHarvard="Y",ISNUMBER(SEARCH("Harvard",A1471))))),$AD1471="Y",K1471&lt;&gt;"",S1471&gt;0),"Y","")</f>
        <v/>
      </c>
      <c r="V1471" s="30" t="n">
        <v>0.3062697077374017</v>
      </c>
      <c r="W1471" t="inlineStr"/>
      <c r="X1471" s="28">
        <f>IF(L1471+M1471=0,"",L1471+M1471)</f>
        <v/>
      </c>
      <c r="Y1471" s="38">
        <f>IF(L1471=0,"",M1471/L1471)</f>
        <v/>
      </c>
      <c r="Z1471" t="inlineStr">
        <is>
          <t>Director &amp; Investment Officer</t>
        </is>
      </c>
      <c r="AA1471" t="inlineStr">
        <is>
          <t>Investments</t>
        </is>
      </c>
      <c r="AB1471" s="50" t="inlineStr"/>
      <c r="AC1471" s="43">
        <f>HYPERLINK("https://projects.propublica.org/nonprofits/organizations/364516257/202320669349301047/full","view filing")</f>
        <v/>
      </c>
      <c r="AD1471" s="50" t="inlineStr"/>
    </row>
    <row r="1472">
      <c r="A1472" t="inlineStr">
        <is>
          <t>Unc Management Company Inc</t>
        </is>
      </c>
      <c r="B1472" s="50" t="inlineStr">
        <is>
          <t>NC</t>
        </is>
      </c>
      <c r="C1472" s="52" t="n">
        <v>6.22</v>
      </c>
      <c r="D1472" t="inlineStr">
        <is>
          <t>Endowment</t>
        </is>
      </c>
      <c r="E1472" s="50" t="n">
        <v>2022</v>
      </c>
      <c r="F1472" s="50" t="inlineStr">
        <is>
          <t>2023-03-07</t>
        </is>
      </c>
      <c r="G1472" s="50" t="inlineStr">
        <is>
          <t>2022-06-30</t>
        </is>
      </c>
      <c r="H1472" t="inlineStr">
        <is>
          <t>Chris Bartholomew</t>
        </is>
      </c>
      <c r="I1472" t="inlineStr">
        <is>
          <t>SENIOR DIRECTOR - INVESTMENTS</t>
        </is>
      </c>
      <c r="J1472" t="inlineStr">
        <is>
          <t>Director of Investments</t>
        </is>
      </c>
      <c r="K1472" t="inlineStr">
        <is>
          <t>Sr Investment Professional</t>
        </is>
      </c>
      <c r="L1472" s="28" t="n">
        <v>291233</v>
      </c>
      <c r="M1472" s="28" t="n">
        <v>445833</v>
      </c>
      <c r="N1472" s="28" t="n">
        <v>702</v>
      </c>
      <c r="O1472" s="28" t="n">
        <v>284666</v>
      </c>
      <c r="P1472" s="28" t="n">
        <v>40983</v>
      </c>
      <c r="Q1472" s="28" t="n">
        <v>1063417</v>
      </c>
      <c r="R1472" s="28" t="n">
        <v>166299</v>
      </c>
      <c r="S1472" s="28">
        <f>Q1472-R1472</f>
        <v/>
      </c>
      <c r="T1472" s="28">
        <f>IF(S1472="","",S1472*(1+in_GrowthRate)^(YEARFRAC(DATE(2022,6,30),in_AgeToDate)*IF(in_AgeToDate&lt;DATE(2022,6,30),-1,1)+1))</f>
        <v/>
      </c>
      <c r="U1472" s="50">
        <f>IF(AND(AND(OR(in_Mode="All Funds",AND(C1472&gt;=in_BandFloor,C1472&lt;=in_BandCeiling,OR(in_Geography="National",COUNTIFS(lst_GeoPreset,in_Geography,lst_GeoState,B1472)&gt;0,AND(in_Geography="Custom",ISNUMBER(SEARCH(B1472,SUBSTITUTE(in_CustomStates," ",""))))),OR(AND(D1472="Endowment",Inputs!$B$14="Y"),AND(D1472="Foundation",Inputs!$B$15="Y"),AND(D1472="Healthcare",Inputs!$B$16="Y"),AND(D1472="Pension",Inputs!$B$17="Y"),AND(D1472="OCIO",Inputs!$B$18="Y"),AND(D1472="Other",Inputs!$B$19="Y")))),A1472&lt;&gt;in_ClientOrg,NOT(AND(in_ExclHarvard="Y",ISNUMBER(SEARCH("Harvard",A1472))))),$AD1472="Y",K1472&lt;&gt;"",S1472&gt;0),"Y","")</f>
        <v/>
      </c>
      <c r="V1472" s="30" t="n">
        <v>0.3094319135829296</v>
      </c>
      <c r="W1472" t="inlineStr"/>
      <c r="X1472" s="28">
        <f>IF(L1472+M1472=0,"",L1472+M1472)</f>
        <v/>
      </c>
      <c r="Y1472" s="38">
        <f>IF(L1472=0,"",M1472/L1472)</f>
        <v/>
      </c>
      <c r="Z1472" t="inlineStr">
        <is>
          <t>Director &amp; Investment Officer</t>
        </is>
      </c>
      <c r="AA1472" t="inlineStr">
        <is>
          <t>Investments</t>
        </is>
      </c>
      <c r="AB1472" s="50" t="inlineStr"/>
      <c r="AC1472" s="43">
        <f>HYPERLINK("https://projects.propublica.org/nonprofits/organizations/364516257/202320669349301047/full","view filing")</f>
        <v/>
      </c>
      <c r="AD1472" s="50" t="inlineStr"/>
    </row>
    <row r="1473">
      <c r="A1473" t="inlineStr">
        <is>
          <t>Unc Management Company Inc</t>
        </is>
      </c>
      <c r="B1473" s="50" t="inlineStr">
        <is>
          <t>NC</t>
        </is>
      </c>
      <c r="C1473" s="52" t="n">
        <v>6.22</v>
      </c>
      <c r="D1473" t="inlineStr">
        <is>
          <t>Endowment</t>
        </is>
      </c>
      <c r="E1473" s="50" t="n">
        <v>2022</v>
      </c>
      <c r="F1473" s="50" t="inlineStr">
        <is>
          <t>2023-03-07</t>
        </is>
      </c>
      <c r="G1473" s="50" t="inlineStr">
        <is>
          <t>2022-06-30</t>
        </is>
      </c>
      <c r="H1473" t="inlineStr">
        <is>
          <t>Chris Mattke</t>
        </is>
      </c>
      <c r="I1473" t="inlineStr">
        <is>
          <t>VP - INV OPS &amp; FINANCE</t>
        </is>
      </c>
      <c r="J1473" t="inlineStr">
        <is>
          <t>Investment Officer</t>
        </is>
      </c>
      <c r="K1473" t="inlineStr">
        <is>
          <t>COO (Investment Office)</t>
        </is>
      </c>
      <c r="L1473" s="28" t="n">
        <v>223623</v>
      </c>
      <c r="M1473" s="28" t="n">
        <v>169784</v>
      </c>
      <c r="N1473" s="28" t="n">
        <v>702</v>
      </c>
      <c r="O1473" s="28" t="n">
        <v>136207</v>
      </c>
      <c r="P1473" s="28" t="n">
        <v>40558</v>
      </c>
      <c r="Q1473" s="28" t="n">
        <v>570874</v>
      </c>
      <c r="R1473" s="28" t="n">
        <v>0</v>
      </c>
      <c r="S1473" s="28">
        <f>Q1473-R1473</f>
        <v/>
      </c>
      <c r="T1473" s="28">
        <f>IF(S1473="","",S1473*(1+in_GrowthRate)^(YEARFRAC(DATE(2022,6,30),in_AgeToDate)*IF(in_AgeToDate&lt;DATE(2022,6,30),-1,1)+1))</f>
        <v/>
      </c>
      <c r="U1473" s="50">
        <f>IF(AND(AND(OR(in_Mode="All Funds",AND(C1473&gt;=in_BandFloor,C1473&lt;=in_BandCeiling,OR(in_Geography="National",COUNTIFS(lst_GeoPreset,in_Geography,lst_GeoState,B1473)&gt;0,AND(in_Geography="Custom",ISNUMBER(SEARCH(B1473,SUBSTITUTE(in_CustomStates," ",""))))),OR(AND(D1473="Endowment",Inputs!$B$14="Y"),AND(D1473="Foundation",Inputs!$B$15="Y"),AND(D1473="Healthcare",Inputs!$B$16="Y"),AND(D1473="Pension",Inputs!$B$17="Y"),AND(D1473="OCIO",Inputs!$B$18="Y"),AND(D1473="Other",Inputs!$B$19="Y")))),A1473&lt;&gt;in_ClientOrg,NOT(AND(in_ExclHarvard="Y",ISNUMBER(SEARCH("Harvard",A1473))))),$AD1473="Y",K1473&lt;&gt;"",S1473&gt;0),"Y","")</f>
        <v/>
      </c>
      <c r="V1473" s="30" t="n">
        <v>0.1969045702290461</v>
      </c>
      <c r="W1473" t="inlineStr"/>
      <c r="X1473" s="28">
        <f>IF(L1473+M1473=0,"",L1473+M1473)</f>
        <v/>
      </c>
      <c r="Y1473" s="38">
        <f>IF(L1473=0,"",M1473/L1473)</f>
        <v/>
      </c>
      <c r="Z1473" t="inlineStr">
        <is>
          <t>COO (Investment Office)</t>
        </is>
      </c>
      <c r="AA1473" t="inlineStr">
        <is>
          <t>Operations &amp; Control</t>
        </is>
      </c>
      <c r="AB1473" s="50" t="inlineStr"/>
      <c r="AC1473" s="43">
        <f>HYPERLINK("https://projects.propublica.org/nonprofits/organizations/364516257/202320669349301047/full","view filing")</f>
        <v/>
      </c>
      <c r="AD1473" s="50" t="inlineStr"/>
    </row>
    <row r="1474">
      <c r="A1474" t="inlineStr">
        <is>
          <t>Unc Management Company Inc</t>
        </is>
      </c>
      <c r="B1474" s="50" t="inlineStr">
        <is>
          <t>NC</t>
        </is>
      </c>
      <c r="C1474" s="52" t="n">
        <v>6.22</v>
      </c>
      <c r="D1474" t="inlineStr">
        <is>
          <t>Endowment</t>
        </is>
      </c>
      <c r="E1474" s="50" t="n">
        <v>2022</v>
      </c>
      <c r="F1474" s="50" t="inlineStr">
        <is>
          <t>2023-03-07</t>
        </is>
      </c>
      <c r="G1474" s="50" t="inlineStr">
        <is>
          <t>2022-06-30</t>
        </is>
      </c>
      <c r="H1474" t="inlineStr">
        <is>
          <t>Chris Rudolph</t>
        </is>
      </c>
      <c r="I1474" t="inlineStr">
        <is>
          <t>SENIOR DIRECTOR - INVESTMENTS</t>
        </is>
      </c>
      <c r="J1474" t="inlineStr">
        <is>
          <t>Director of Investments</t>
        </is>
      </c>
      <c r="K1474" t="inlineStr">
        <is>
          <t>Sr Investment Professional</t>
        </is>
      </c>
      <c r="L1474" s="28" t="n">
        <v>293115</v>
      </c>
      <c r="M1474" s="28" t="n">
        <v>440782</v>
      </c>
      <c r="N1474" s="28" t="n">
        <v>1170</v>
      </c>
      <c r="O1474" s="28" t="n">
        <v>279111</v>
      </c>
      <c r="P1474" s="28" t="n">
        <v>39947</v>
      </c>
      <c r="Q1474" s="28" t="n">
        <v>1054125</v>
      </c>
      <c r="R1474" s="28" t="n">
        <v>167537</v>
      </c>
      <c r="S1474" s="28">
        <f>Q1474-R1474</f>
        <v/>
      </c>
      <c r="T1474" s="28">
        <f>IF(S1474="","",S1474*(1+in_GrowthRate)^(YEARFRAC(DATE(2022,6,30),in_AgeToDate)*IF(in_AgeToDate&lt;DATE(2022,6,30),-1,1)+1))</f>
        <v/>
      </c>
      <c r="U1474" s="50">
        <f>IF(AND(AND(OR(in_Mode="All Funds",AND(C1474&gt;=in_BandFloor,C1474&lt;=in_BandCeiling,OR(in_Geography="National",COUNTIFS(lst_GeoPreset,in_Geography,lst_GeoState,B1474)&gt;0,AND(in_Geography="Custom",ISNUMBER(SEARCH(B1474,SUBSTITUTE(in_CustomStates," ",""))))),OR(AND(D1474="Endowment",Inputs!$B$14="Y"),AND(D1474="Foundation",Inputs!$B$15="Y"),AND(D1474="Healthcare",Inputs!$B$16="Y"),AND(D1474="Pension",Inputs!$B$17="Y"),AND(D1474="OCIO",Inputs!$B$18="Y"),AND(D1474="Other",Inputs!$B$19="Y")))),A1474&lt;&gt;in_ClientOrg,NOT(AND(in_ExclHarvard="Y",ISNUMBER(SEARCH("Harvard",A1474))))),$AD1474="Y",K1474&lt;&gt;"",S1474&gt;0),"Y","")</f>
        <v/>
      </c>
      <c r="V1474" s="30" t="n">
        <v>0.305799929774748</v>
      </c>
      <c r="W1474" t="inlineStr"/>
      <c r="X1474" s="28">
        <f>IF(L1474+M1474=0,"",L1474+M1474)</f>
        <v/>
      </c>
      <c r="Y1474" s="38">
        <f>IF(L1474=0,"",M1474/L1474)</f>
        <v/>
      </c>
      <c r="Z1474" t="inlineStr">
        <is>
          <t>Director &amp; Investment Officer</t>
        </is>
      </c>
      <c r="AA1474" t="inlineStr">
        <is>
          <t>Investments</t>
        </is>
      </c>
      <c r="AB1474" s="50" t="inlineStr"/>
      <c r="AC1474" s="43">
        <f>HYPERLINK("https://projects.propublica.org/nonprofits/organizations/364516257/202320669349301047/full","view filing")</f>
        <v/>
      </c>
      <c r="AD1474" s="50" t="inlineStr"/>
    </row>
    <row r="1475">
      <c r="A1475" t="inlineStr">
        <is>
          <t>Unc Management Company Inc</t>
        </is>
      </c>
      <c r="B1475" s="50" t="inlineStr">
        <is>
          <t>NC</t>
        </is>
      </c>
      <c r="C1475" s="52" t="n">
        <v>6.22</v>
      </c>
      <c r="D1475" t="inlineStr">
        <is>
          <t>Endowment</t>
        </is>
      </c>
      <c r="E1475" s="50" t="n">
        <v>2022</v>
      </c>
      <c r="F1475" s="50" t="inlineStr">
        <is>
          <t>2023-03-07</t>
        </is>
      </c>
      <c r="G1475" s="50" t="inlineStr">
        <is>
          <t>2022-06-30</t>
        </is>
      </c>
      <c r="H1475" t="inlineStr">
        <is>
          <t>Edward Hetherington</t>
        </is>
      </c>
      <c r="I1475" t="inlineStr">
        <is>
          <t>VP - PUBLIC INVESTMENTS</t>
        </is>
      </c>
      <c r="J1475" t="inlineStr">
        <is>
          <t>Investment Officer</t>
        </is>
      </c>
      <c r="K1475" t="inlineStr">
        <is>
          <t>Sr Investment Professional</t>
        </is>
      </c>
      <c r="L1475" s="28" t="n">
        <v>414285</v>
      </c>
      <c r="M1475" s="28" t="n">
        <v>686509</v>
      </c>
      <c r="N1475" s="28" t="n">
        <v>780</v>
      </c>
      <c r="O1475" s="28" t="n">
        <v>404024</v>
      </c>
      <c r="P1475" s="28" t="n">
        <v>41445</v>
      </c>
      <c r="Q1475" s="28" t="n">
        <v>1547043</v>
      </c>
      <c r="R1475" s="28" t="n">
        <v>264579</v>
      </c>
      <c r="S1475" s="28">
        <f>Q1475-R1475</f>
        <v/>
      </c>
      <c r="T1475" s="28">
        <f>IF(S1475="","",S1475*(1+in_GrowthRate)^(YEARFRAC(DATE(2022,6,30),in_AgeToDate)*IF(in_AgeToDate&lt;DATE(2022,6,30),-1,1)+1))</f>
        <v/>
      </c>
      <c r="U1475" s="50">
        <f>IF(AND(AND(OR(in_Mode="All Funds",AND(C1475&gt;=in_BandFloor,C1475&lt;=in_BandCeiling,OR(in_Geography="National",COUNTIFS(lst_GeoPreset,in_Geography,lst_GeoState,B1475)&gt;0,AND(in_Geography="Custom",ISNUMBER(SEARCH(B1475,SUBSTITUTE(in_CustomStates," ",""))))),OR(AND(D1475="Endowment",Inputs!$B$14="Y"),AND(D1475="Foundation",Inputs!$B$15="Y"),AND(D1475="Healthcare",Inputs!$B$16="Y"),AND(D1475="Pension",Inputs!$B$17="Y"),AND(D1475="OCIO",Inputs!$B$18="Y"),AND(D1475="Other",Inputs!$B$19="Y")))),A1475&lt;&gt;in_ClientOrg,NOT(AND(in_ExclHarvard="Y",ISNUMBER(SEARCH("Harvard",A1475))))),$AD1475="Y",K1475&lt;&gt;"",S1475&gt;0),"Y","")</f>
        <v/>
      </c>
      <c r="V1475" s="30" t="n">
        <v>0.4423445852398661</v>
      </c>
      <c r="W1475" t="inlineStr"/>
      <c r="X1475" s="28">
        <f>IF(L1475+M1475=0,"",L1475+M1475)</f>
        <v/>
      </c>
      <c r="Y1475" s="38">
        <f>IF(L1475=0,"",M1475/L1475)</f>
        <v/>
      </c>
      <c r="Z1475" t="inlineStr">
        <is>
          <t>Director &amp; Investment Officer</t>
        </is>
      </c>
      <c r="AA1475" t="inlineStr">
        <is>
          <t>Investments</t>
        </is>
      </c>
      <c r="AB1475" s="50" t="inlineStr"/>
      <c r="AC1475" s="43">
        <f>HYPERLINK("https://projects.propublica.org/nonprofits/organizations/364516257/202320669349301047/full","view filing")</f>
        <v/>
      </c>
      <c r="AD1475" s="50" t="inlineStr"/>
    </row>
    <row r="1476">
      <c r="A1476" t="inlineStr">
        <is>
          <t>Unc Management Company Inc</t>
        </is>
      </c>
      <c r="B1476" s="50" t="inlineStr">
        <is>
          <t>NC</t>
        </is>
      </c>
      <c r="C1476" s="52" t="n">
        <v>6.22</v>
      </c>
      <c r="D1476" t="inlineStr">
        <is>
          <t>Endowment</t>
        </is>
      </c>
      <c r="E1476" s="50" t="n">
        <v>2022</v>
      </c>
      <c r="F1476" s="50" t="inlineStr">
        <is>
          <t>2023-03-07</t>
        </is>
      </c>
      <c r="G1476" s="50" t="inlineStr">
        <is>
          <t>2022-06-30</t>
        </is>
      </c>
      <c r="H1476" t="inlineStr">
        <is>
          <t>Jonathon C King</t>
        </is>
      </c>
      <c r="I1476" t="inlineStr">
        <is>
          <t>PRESIDENT</t>
        </is>
      </c>
      <c r="J1476" t="inlineStr">
        <is>
          <t>CEO (Inv Entity)</t>
        </is>
      </c>
      <c r="K1476" t="inlineStr">
        <is>
          <t>CIO - Top Investment Executive</t>
        </is>
      </c>
      <c r="L1476" s="28" t="n">
        <v>744917</v>
      </c>
      <c r="M1476" s="28" t="n">
        <v>1813484</v>
      </c>
      <c r="N1476" s="28" t="n">
        <v>9906</v>
      </c>
      <c r="O1476" s="28" t="n">
        <v>999232</v>
      </c>
      <c r="P1476" s="28" t="n">
        <v>28585</v>
      </c>
      <c r="Q1476" s="28" t="n">
        <v>3596124</v>
      </c>
      <c r="R1476" s="28" t="n">
        <v>696882</v>
      </c>
      <c r="S1476" s="28">
        <f>Q1476-R1476</f>
        <v/>
      </c>
      <c r="T1476" s="28">
        <f>IF(S1476="","",S1476*(1+in_GrowthRate)^(YEARFRAC(DATE(2022,6,30),in_AgeToDate)*IF(in_AgeToDate&lt;DATE(2022,6,30),-1,1)+1))</f>
        <v/>
      </c>
      <c r="U1476" s="50">
        <f>IF(AND(AND(OR(in_Mode="All Funds",AND(C1476&gt;=in_BandFloor,C1476&lt;=in_BandCeiling,OR(in_Geography="National",COUNTIFS(lst_GeoPreset,in_Geography,lst_GeoState,B1476)&gt;0,AND(in_Geography="Custom",ISNUMBER(SEARCH(B1476,SUBSTITUTE(in_CustomStates," ",""))))),OR(AND(D1476="Endowment",Inputs!$B$14="Y"),AND(D1476="Foundation",Inputs!$B$15="Y"),AND(D1476="Healthcare",Inputs!$B$16="Y"),AND(D1476="Pension",Inputs!$B$17="Y"),AND(D1476="OCIO",Inputs!$B$18="Y"),AND(D1476="Other",Inputs!$B$19="Y")))),A1476&lt;&gt;in_ClientOrg,NOT(AND(in_ExclHarvard="Y",ISNUMBER(SEARCH("Harvard",A1476))))),$AD1476="Y",K1476&lt;&gt;"",S1476&gt;0),"Y","")</f>
        <v/>
      </c>
      <c r="V1476" s="30" t="n">
        <v>1</v>
      </c>
      <c r="W1476" t="inlineStr"/>
      <c r="X1476" s="28">
        <f>IF(L1476+M1476=0,"",L1476+M1476)</f>
        <v/>
      </c>
      <c r="Y1476" s="38">
        <f>IF(L1476=0,"",M1476/L1476)</f>
        <v/>
      </c>
      <c r="Z1476" t="inlineStr">
        <is>
          <t>CIO - Top Investment Executive</t>
        </is>
      </c>
      <c r="AA1476" t="inlineStr">
        <is>
          <t>Leadership</t>
        </is>
      </c>
      <c r="AB1476" s="50" t="inlineStr">
        <is>
          <t>Y</t>
        </is>
      </c>
      <c r="AC1476" s="43">
        <f>HYPERLINK("https://projects.propublica.org/nonprofits/organizations/364516257/202320669349301047/full","view filing")</f>
        <v/>
      </c>
      <c r="AD1476" s="50" t="inlineStr"/>
    </row>
    <row r="1477">
      <c r="A1477" t="inlineStr">
        <is>
          <t>Unc Management Company Inc</t>
        </is>
      </c>
      <c r="B1477" s="50" t="inlineStr">
        <is>
          <t>NC</t>
        </is>
      </c>
      <c r="C1477" s="52" t="n">
        <v>6.22</v>
      </c>
      <c r="D1477" t="inlineStr">
        <is>
          <t>Endowment</t>
        </is>
      </c>
      <c r="E1477" s="50" t="n">
        <v>2022</v>
      </c>
      <c r="F1477" s="50" t="inlineStr">
        <is>
          <t>2023-03-07</t>
        </is>
      </c>
      <c r="G1477" s="50" t="inlineStr">
        <is>
          <t>2022-06-30</t>
        </is>
      </c>
      <c r="H1477" t="inlineStr">
        <is>
          <t>Joshua Shapiro</t>
        </is>
      </c>
      <c r="I1477" t="inlineStr">
        <is>
          <t>VP - INV STRATEGY &amp; RISK MGMT</t>
        </is>
      </c>
      <c r="J1477" t="inlineStr">
        <is>
          <t>Investment Officer</t>
        </is>
      </c>
      <c r="K1477" t="inlineStr">
        <is>
          <t>Sr Investment Professional</t>
        </is>
      </c>
      <c r="L1477" s="28" t="n">
        <v>421060</v>
      </c>
      <c r="M1477" s="28" t="n">
        <v>706787</v>
      </c>
      <c r="N1477" s="28" t="n">
        <v>3354</v>
      </c>
      <c r="O1477" s="28" t="n">
        <v>413587</v>
      </c>
      <c r="P1477" s="28" t="n">
        <v>41541</v>
      </c>
      <c r="Q1477" s="28" t="n">
        <v>1586329</v>
      </c>
      <c r="R1477" s="28" t="n">
        <v>276045</v>
      </c>
      <c r="S1477" s="28">
        <f>Q1477-R1477</f>
        <v/>
      </c>
      <c r="T1477" s="28">
        <f>IF(S1477="","",S1477*(1+in_GrowthRate)^(YEARFRAC(DATE(2022,6,30),in_AgeToDate)*IF(in_AgeToDate&lt;DATE(2022,6,30),-1,1)+1))</f>
        <v/>
      </c>
      <c r="U1477" s="50">
        <f>IF(AND(AND(OR(in_Mode="All Funds",AND(C1477&gt;=in_BandFloor,C1477&lt;=in_BandCeiling,OR(in_Geography="National",COUNTIFS(lst_GeoPreset,in_Geography,lst_GeoState,B1477)&gt;0,AND(in_Geography="Custom",ISNUMBER(SEARCH(B1477,SUBSTITUTE(in_CustomStates," ",""))))),OR(AND(D1477="Endowment",Inputs!$B$14="Y"),AND(D1477="Foundation",Inputs!$B$15="Y"),AND(D1477="Healthcare",Inputs!$B$16="Y"),AND(D1477="Pension",Inputs!$B$17="Y"),AND(D1477="OCIO",Inputs!$B$18="Y"),AND(D1477="Other",Inputs!$B$19="Y")))),A1477&lt;&gt;in_ClientOrg,NOT(AND(in_ExclHarvard="Y",ISNUMBER(SEARCH("Harvard",A1477))))),$AD1477="Y",K1477&lt;&gt;"",S1477&gt;0),"Y","")</f>
        <v/>
      </c>
      <c r="V1477" s="30" t="n">
        <v>0.4519401967824693</v>
      </c>
      <c r="W1477" t="inlineStr"/>
      <c r="X1477" s="28">
        <f>IF(L1477+M1477=0,"",L1477+M1477)</f>
        <v/>
      </c>
      <c r="Y1477" s="38">
        <f>IF(L1477=0,"",M1477/L1477)</f>
        <v/>
      </c>
      <c r="Z1477" t="inlineStr">
        <is>
          <t>Director &amp; Investment Officer</t>
        </is>
      </c>
      <c r="AA1477" t="inlineStr">
        <is>
          <t>Investments</t>
        </is>
      </c>
      <c r="AB1477" s="50" t="inlineStr"/>
      <c r="AC1477" s="43">
        <f>HYPERLINK("https://projects.propublica.org/nonprofits/organizations/364516257/202320669349301047/full","view filing")</f>
        <v/>
      </c>
      <c r="AD1477" s="50" t="inlineStr"/>
    </row>
    <row r="1478">
      <c r="A1478" t="inlineStr">
        <is>
          <t>Unc Management Company Inc</t>
        </is>
      </c>
      <c r="B1478" s="50" t="inlineStr">
        <is>
          <t>NC</t>
        </is>
      </c>
      <c r="C1478" s="52" t="n">
        <v>6.22</v>
      </c>
      <c r="D1478" t="inlineStr">
        <is>
          <t>Endowment</t>
        </is>
      </c>
      <c r="E1478" s="50" t="n">
        <v>2022</v>
      </c>
      <c r="F1478" s="50" t="inlineStr">
        <is>
          <t>2023-03-07</t>
        </is>
      </c>
      <c r="G1478" s="50" t="inlineStr">
        <is>
          <t>2022-06-30</t>
        </is>
      </c>
      <c r="H1478" t="inlineStr">
        <is>
          <t>Kevin Tunick</t>
        </is>
      </c>
      <c r="I1478" t="inlineStr">
        <is>
          <t>VP - PRIVATE INVESTMENTS</t>
        </is>
      </c>
      <c r="J1478" t="inlineStr">
        <is>
          <t>Investment Manager</t>
        </is>
      </c>
      <c r="K1478" t="inlineStr">
        <is>
          <t>Sr Investment Professional</t>
        </is>
      </c>
      <c r="L1478" s="28" t="n">
        <v>450664</v>
      </c>
      <c r="M1478" s="28" t="n">
        <v>758766</v>
      </c>
      <c r="N1478" s="28" t="n">
        <v>9906</v>
      </c>
      <c r="O1478" s="28" t="n">
        <v>444755</v>
      </c>
      <c r="P1478" s="28" t="n">
        <v>28585</v>
      </c>
      <c r="Q1478" s="28" t="n">
        <v>1692676</v>
      </c>
      <c r="R1478" s="28" t="n">
        <v>291767</v>
      </c>
      <c r="S1478" s="28">
        <f>Q1478-R1478</f>
        <v/>
      </c>
      <c r="T1478" s="28">
        <f>IF(S1478="","",S1478*(1+in_GrowthRate)^(YEARFRAC(DATE(2022,6,30),in_AgeToDate)*IF(in_AgeToDate&lt;DATE(2022,6,30),-1,1)+1))</f>
        <v/>
      </c>
      <c r="U1478" s="50">
        <f>IF(AND(AND(OR(in_Mode="All Funds",AND(C1478&gt;=in_BandFloor,C1478&lt;=in_BandCeiling,OR(in_Geography="National",COUNTIFS(lst_GeoPreset,in_Geography,lst_GeoState,B1478)&gt;0,AND(in_Geography="Custom",ISNUMBER(SEARCH(B1478,SUBSTITUTE(in_CustomStates," ",""))))),OR(AND(D1478="Endowment",Inputs!$B$14="Y"),AND(D1478="Foundation",Inputs!$B$15="Y"),AND(D1478="Healthcare",Inputs!$B$16="Y"),AND(D1478="Pension",Inputs!$B$17="Y"),AND(D1478="OCIO",Inputs!$B$18="Y"),AND(D1478="Other",Inputs!$B$19="Y")))),A1478&lt;&gt;in_ClientOrg,NOT(AND(in_ExclHarvard="Y",ISNUMBER(SEARCH("Harvard",A1478))))),$AD1478="Y",K1478&lt;&gt;"",S1478&gt;0),"Y","")</f>
        <v/>
      </c>
      <c r="V1478" s="30" t="n">
        <v>0.4831983670214491</v>
      </c>
      <c r="W1478" t="inlineStr"/>
      <c r="X1478" s="28">
        <f>IF(L1478+M1478=0,"",L1478+M1478)</f>
        <v/>
      </c>
      <c r="Y1478" s="38">
        <f>IF(L1478=0,"",M1478/L1478)</f>
        <v/>
      </c>
      <c r="Z1478" t="inlineStr">
        <is>
          <t>Director &amp; Investment Officer</t>
        </is>
      </c>
      <c r="AA1478" t="inlineStr">
        <is>
          <t>Investments</t>
        </is>
      </c>
      <c r="AB1478" s="50" t="inlineStr"/>
      <c r="AC1478" s="43">
        <f>HYPERLINK("https://projects.propublica.org/nonprofits/organizations/364516257/202320669349301047/full","view filing")</f>
        <v/>
      </c>
      <c r="AD1478" s="50" t="inlineStr"/>
    </row>
    <row r="1479">
      <c r="A1479" t="inlineStr">
        <is>
          <t>Unc Management Company Inc</t>
        </is>
      </c>
      <c r="B1479" s="50" t="inlineStr">
        <is>
          <t>NC</t>
        </is>
      </c>
      <c r="C1479" s="52" t="n">
        <v>6.22</v>
      </c>
      <c r="D1479" t="inlineStr">
        <is>
          <t>Endowment</t>
        </is>
      </c>
      <c r="E1479" s="50" t="n">
        <v>2022</v>
      </c>
      <c r="F1479" s="50" t="inlineStr">
        <is>
          <t>2023-03-07</t>
        </is>
      </c>
      <c r="G1479" s="50" t="inlineStr">
        <is>
          <t>2022-06-30</t>
        </is>
      </c>
      <c r="H1479" t="inlineStr">
        <is>
          <t>Matthew Lesesky</t>
        </is>
      </c>
      <c r="I1479" t="inlineStr">
        <is>
          <t>SENIOR DIRECTOR - INVESTMENTS</t>
        </is>
      </c>
      <c r="J1479" t="inlineStr">
        <is>
          <t>Director of Investments</t>
        </is>
      </c>
      <c r="K1479" t="inlineStr">
        <is>
          <t>Sr Investment Professional</t>
        </is>
      </c>
      <c r="L1479" s="28" t="n">
        <v>292365</v>
      </c>
      <c r="M1479" s="28" t="n">
        <v>442137</v>
      </c>
      <c r="N1479" s="28" t="n">
        <v>1170</v>
      </c>
      <c r="O1479" s="28" t="n">
        <v>282655</v>
      </c>
      <c r="P1479" s="28" t="n">
        <v>40686</v>
      </c>
      <c r="Q1479" s="28" t="n">
        <v>1059013</v>
      </c>
      <c r="R1479" s="28" t="n">
        <v>165347</v>
      </c>
      <c r="S1479" s="28">
        <f>Q1479-R1479</f>
        <v/>
      </c>
      <c r="T1479" s="28">
        <f>IF(S1479="","",S1479*(1+in_GrowthRate)^(YEARFRAC(DATE(2022,6,30),in_AgeToDate)*IF(in_AgeToDate&lt;DATE(2022,6,30),-1,1)+1))</f>
        <v/>
      </c>
      <c r="U1479" s="50">
        <f>IF(AND(AND(OR(in_Mode="All Funds",AND(C1479&gt;=in_BandFloor,C1479&lt;=in_BandCeiling,OR(in_Geography="National",COUNTIFS(lst_GeoPreset,in_Geography,lst_GeoState,B1479)&gt;0,AND(in_Geography="Custom",ISNUMBER(SEARCH(B1479,SUBSTITUTE(in_CustomStates," ",""))))),OR(AND(D1479="Endowment",Inputs!$B$14="Y"),AND(D1479="Foundation",Inputs!$B$15="Y"),AND(D1479="Healthcare",Inputs!$B$16="Y"),AND(D1479="Pension",Inputs!$B$17="Y"),AND(D1479="OCIO",Inputs!$B$18="Y"),AND(D1479="Other",Inputs!$B$19="Y")))),A1479&lt;&gt;in_ClientOrg,NOT(AND(in_ExclHarvard="Y",ISNUMBER(SEARCH("Harvard",A1479))))),$AD1479="Y",K1479&lt;&gt;"",S1479&gt;0),"Y","")</f>
        <v/>
      </c>
      <c r="V1479" s="30" t="n">
        <v>0.3082412575424887</v>
      </c>
      <c r="W1479" t="inlineStr"/>
      <c r="X1479" s="28">
        <f>IF(L1479+M1479=0,"",L1479+M1479)</f>
        <v/>
      </c>
      <c r="Y1479" s="38">
        <f>IF(L1479=0,"",M1479/L1479)</f>
        <v/>
      </c>
      <c r="Z1479" t="inlineStr">
        <is>
          <t>Director &amp; Investment Officer</t>
        </is>
      </c>
      <c r="AA1479" t="inlineStr">
        <is>
          <t>Investments</t>
        </is>
      </c>
      <c r="AB1479" s="50" t="inlineStr"/>
      <c r="AC1479" s="43">
        <f>HYPERLINK("https://projects.propublica.org/nonprofits/organizations/364516257/202320669349301047/full","view filing")</f>
        <v/>
      </c>
      <c r="AD1479" s="50" t="inlineStr"/>
    </row>
    <row r="1480">
      <c r="A1480" t="inlineStr">
        <is>
          <t>Unc Management Company Inc</t>
        </is>
      </c>
      <c r="B1480" s="50" t="inlineStr">
        <is>
          <t>NC</t>
        </is>
      </c>
      <c r="C1480" s="52" t="n">
        <v>6.22</v>
      </c>
      <c r="D1480" t="inlineStr">
        <is>
          <t>Endowment</t>
        </is>
      </c>
      <c r="E1480" s="50" t="n">
        <v>2022</v>
      </c>
      <c r="F1480" s="50" t="inlineStr">
        <is>
          <t>2023-03-07</t>
        </is>
      </c>
      <c r="G1480" s="50" t="inlineStr">
        <is>
          <t>2022-06-30</t>
        </is>
      </c>
      <c r="H1480" t="inlineStr">
        <is>
          <t>Rodgers Harshbarger</t>
        </is>
      </c>
      <c r="I1480" t="inlineStr">
        <is>
          <t>SENIOR DIRECTOR - INVESTMENTS</t>
        </is>
      </c>
      <c r="J1480" t="inlineStr">
        <is>
          <t>Director of Investments</t>
        </is>
      </c>
      <c r="K1480" t="inlineStr">
        <is>
          <t>Sr Investment Professional</t>
        </is>
      </c>
      <c r="L1480" s="28" t="n">
        <v>302970</v>
      </c>
      <c r="M1480" s="28" t="n">
        <v>460626</v>
      </c>
      <c r="N1480" s="28" t="n">
        <v>780</v>
      </c>
      <c r="O1480" s="28" t="n">
        <v>290098</v>
      </c>
      <c r="P1480" s="28" t="n">
        <v>41140</v>
      </c>
      <c r="Q1480" s="28" t="n">
        <v>1095614</v>
      </c>
      <c r="R1480" s="28" t="n">
        <v>174121</v>
      </c>
      <c r="S1480" s="28">
        <f>Q1480-R1480</f>
        <v/>
      </c>
      <c r="T1480" s="28">
        <f>IF(S1480="","",S1480*(1+in_GrowthRate)^(YEARFRAC(DATE(2022,6,30),in_AgeToDate)*IF(in_AgeToDate&lt;DATE(2022,6,30),-1,1)+1))</f>
        <v/>
      </c>
      <c r="U1480" s="50">
        <f>IF(AND(AND(OR(in_Mode="All Funds",AND(C1480&gt;=in_BandFloor,C1480&lt;=in_BandCeiling,OR(in_Geography="National",COUNTIFS(lst_GeoPreset,in_Geography,lst_GeoState,B1480)&gt;0,AND(in_Geography="Custom",ISNUMBER(SEARCH(B1480,SUBSTITUTE(in_CustomStates," ",""))))),OR(AND(D1480="Endowment",Inputs!$B$14="Y"),AND(D1480="Foundation",Inputs!$B$15="Y"),AND(D1480="Healthcare",Inputs!$B$16="Y"),AND(D1480="Pension",Inputs!$B$17="Y"),AND(D1480="OCIO",Inputs!$B$18="Y"),AND(D1480="Other",Inputs!$B$19="Y")))),A1480&lt;&gt;in_ClientOrg,NOT(AND(in_ExclHarvard="Y",ISNUMBER(SEARCH("Harvard",A1480))))),$AD1480="Y",K1480&lt;&gt;"",S1480&gt;0),"Y","")</f>
        <v/>
      </c>
      <c r="V1480" s="30" t="n">
        <v>0.3178392835092759</v>
      </c>
      <c r="W1480" t="inlineStr"/>
      <c r="X1480" s="28">
        <f>IF(L1480+M1480=0,"",L1480+M1480)</f>
        <v/>
      </c>
      <c r="Y1480" s="38">
        <f>IF(L1480=0,"",M1480/L1480)</f>
        <v/>
      </c>
      <c r="Z1480" t="inlineStr">
        <is>
          <t>Director &amp; Investment Officer</t>
        </is>
      </c>
      <c r="AA1480" t="inlineStr">
        <is>
          <t>Investments</t>
        </is>
      </c>
      <c r="AB1480" s="50" t="inlineStr"/>
      <c r="AC1480" s="43">
        <f>HYPERLINK("https://projects.propublica.org/nonprofits/organizations/364516257/202320669349301047/full","view filing")</f>
        <v/>
      </c>
      <c r="AD1480" s="50" t="inlineStr"/>
    </row>
    <row r="1481">
      <c r="A1481" t="inlineStr">
        <is>
          <t>Unc Management Company Inc</t>
        </is>
      </c>
      <c r="B1481" s="50" t="inlineStr">
        <is>
          <t>NC</t>
        </is>
      </c>
      <c r="C1481" s="52" t="n">
        <v>6.22</v>
      </c>
      <c r="D1481" t="inlineStr">
        <is>
          <t>Endowment</t>
        </is>
      </c>
      <c r="E1481" s="50" t="n">
        <v>2022</v>
      </c>
      <c r="F1481" s="50" t="inlineStr">
        <is>
          <t>2023-03-07</t>
        </is>
      </c>
      <c r="G1481" s="50" t="inlineStr">
        <is>
          <t>2022-06-30</t>
        </is>
      </c>
      <c r="H1481" t="inlineStr">
        <is>
          <t>Tim Burch</t>
        </is>
      </c>
      <c r="I1481" t="inlineStr">
        <is>
          <t>VP - LEGAL &amp; COMPLIANCE</t>
        </is>
      </c>
      <c r="J1481" t="inlineStr">
        <is>
          <t>Legal / Compliance Officer (Inv Entity)</t>
        </is>
      </c>
      <c r="K1481" t="inlineStr">
        <is>
          <t>Other disclosed professionals</t>
        </is>
      </c>
      <c r="L1481" s="28" t="n">
        <v>259730</v>
      </c>
      <c r="M1481" s="28" t="n">
        <v>280114</v>
      </c>
      <c r="N1481" s="28" t="n">
        <v>1170</v>
      </c>
      <c r="O1481" s="28" t="n">
        <v>196134</v>
      </c>
      <c r="P1481" s="28" t="n">
        <v>41842</v>
      </c>
      <c r="Q1481" s="28" t="n">
        <v>778990</v>
      </c>
      <c r="R1481" s="28" t="n">
        <v>0</v>
      </c>
      <c r="S1481" s="28">
        <f>Q1481-R1481</f>
        <v/>
      </c>
      <c r="T1481" s="28">
        <f>IF(S1481="","",S1481*(1+in_GrowthRate)^(YEARFRAC(DATE(2022,6,30),in_AgeToDate)*IF(in_AgeToDate&lt;DATE(2022,6,30),-1,1)+1))</f>
        <v/>
      </c>
      <c r="U1481" s="50">
        <f>IF(AND(AND(OR(in_Mode="All Funds",AND(C1481&gt;=in_BandFloor,C1481&lt;=in_BandCeiling,OR(in_Geography="National",COUNTIFS(lst_GeoPreset,in_Geography,lst_GeoState,B1481)&gt;0,AND(in_Geography="Custom",ISNUMBER(SEARCH(B1481,SUBSTITUTE(in_CustomStates," ",""))))),OR(AND(D1481="Endowment",Inputs!$B$14="Y"),AND(D1481="Foundation",Inputs!$B$15="Y"),AND(D1481="Healthcare",Inputs!$B$16="Y"),AND(D1481="Pension",Inputs!$B$17="Y"),AND(D1481="OCIO",Inputs!$B$18="Y"),AND(D1481="Other",Inputs!$B$19="Y")))),A1481&lt;&gt;in_ClientOrg,NOT(AND(in_ExclHarvard="Y",ISNUMBER(SEARCH("Harvard",A1481))))),$AD1481="Y",K1481&lt;&gt;"",S1481&gt;0),"Y","")</f>
        <v/>
      </c>
      <c r="V1481" s="30" t="n">
        <v>0.2686874707251068</v>
      </c>
      <c r="W1481" t="inlineStr">
        <is>
          <t>Other disclosed professionals</t>
        </is>
      </c>
      <c r="X1481" s="28">
        <f>IF(L1481+M1481=0,"",L1481+M1481)</f>
        <v/>
      </c>
      <c r="Y1481" s="38">
        <f>IF(L1481=0,"",M1481/L1481)</f>
        <v/>
      </c>
      <c r="Z1481" t="inlineStr">
        <is>
          <t>Other disclosed professionals</t>
        </is>
      </c>
      <c r="AA1481" t="inlineStr">
        <is>
          <t>Operations &amp; Control</t>
        </is>
      </c>
      <c r="AB1481" s="50" t="inlineStr"/>
      <c r="AC1481" s="43">
        <f>HYPERLINK("https://projects.propublica.org/nonprofits/organizations/364516257/202320669349301047/full","view filing")</f>
        <v/>
      </c>
      <c r="AD1481" s="50" t="inlineStr"/>
    </row>
    <row r="1482">
      <c r="A1482" t="inlineStr">
        <is>
          <t>United Jewish Appeal Federation Of Jewish Philanthropies Of Ny Inc</t>
        </is>
      </c>
      <c r="B1482" s="50" t="inlineStr">
        <is>
          <t>NY</t>
        </is>
      </c>
      <c r="C1482" s="52" t="n">
        <v>1.54</v>
      </c>
      <c r="D1482" t="inlineStr">
        <is>
          <t>Foundation</t>
        </is>
      </c>
      <c r="E1482" s="50" t="n">
        <v>2025</v>
      </c>
      <c r="F1482" s="50" t="inlineStr">
        <is>
          <t>2026-05-14</t>
        </is>
      </c>
      <c r="G1482" s="50" t="inlineStr">
        <is>
          <t>2025-06-30</t>
        </is>
      </c>
      <c r="H1482" t="inlineStr">
        <is>
          <t>Devana Cohen</t>
        </is>
      </c>
      <c r="I1482" t="inlineStr">
        <is>
          <t>CHIEF INVESTMENT OFFICER</t>
        </is>
      </c>
      <c r="J1482" t="inlineStr">
        <is>
          <t>CIO</t>
        </is>
      </c>
      <c r="K1482" t="inlineStr">
        <is>
          <t>CIO - Top Investment Executive</t>
        </is>
      </c>
      <c r="L1482" s="28" t="n">
        <v>670583</v>
      </c>
      <c r="M1482" s="28" t="n">
        <v>320185</v>
      </c>
      <c r="N1482" s="28" t="n">
        <v>2150</v>
      </c>
      <c r="O1482" s="28" t="n">
        <v>10350</v>
      </c>
      <c r="P1482" s="28" t="n">
        <v>28124</v>
      </c>
      <c r="Q1482" s="28" t="n">
        <v>1031392</v>
      </c>
      <c r="R1482" s="28" t="n">
        <v>0</v>
      </c>
      <c r="S1482" s="28">
        <f>Q1482-R1482</f>
        <v/>
      </c>
      <c r="T1482" s="28">
        <f>IF(S1482="","",S1482*(1+in_GrowthRate)^(YEARFRAC(DATE(2025,6,30),in_AgeToDate)*IF(in_AgeToDate&lt;DATE(2025,6,30),-1,1)+1))</f>
        <v/>
      </c>
      <c r="U1482" s="50">
        <f>IF(AND(AND(OR(in_Mode="All Funds",AND(C1482&gt;=in_BandFloor,C1482&lt;=in_BandCeiling,OR(in_Geography="National",COUNTIFS(lst_GeoPreset,in_Geography,lst_GeoState,B1482)&gt;0,AND(in_Geography="Custom",ISNUMBER(SEARCH(B1482,SUBSTITUTE(in_CustomStates," ",""))))),OR(AND(D1482="Endowment",Inputs!$B$14="Y"),AND(D1482="Foundation",Inputs!$B$15="Y"),AND(D1482="Healthcare",Inputs!$B$16="Y"),AND(D1482="Pension",Inputs!$B$17="Y"),AND(D1482="OCIO",Inputs!$B$18="Y"),AND(D1482="Other",Inputs!$B$19="Y")))),A1482&lt;&gt;in_ClientOrg,NOT(AND(in_ExclHarvard="Y",ISNUMBER(SEARCH("Harvard",A1482))))),$AD1482="Y",K1482&lt;&gt;"",S1482&gt;0),"Y","")</f>
        <v/>
      </c>
      <c r="V1482" s="30" t="n">
        <v>1</v>
      </c>
      <c r="W1482" t="inlineStr"/>
      <c r="X1482" s="28">
        <f>IF(L1482+M1482=0,"",L1482+M1482)</f>
        <v/>
      </c>
      <c r="Y1482" s="38">
        <f>IF(L1482=0,"",M1482/L1482)</f>
        <v/>
      </c>
      <c r="Z1482" t="inlineStr">
        <is>
          <t>CIO - Top Investment Executive</t>
        </is>
      </c>
      <c r="AA1482" t="inlineStr">
        <is>
          <t>Leadership</t>
        </is>
      </c>
      <c r="AB1482" s="50" t="inlineStr">
        <is>
          <t>Y</t>
        </is>
      </c>
      <c r="AC1482" s="43">
        <f>HYPERLINK("https://projects.propublica.org/nonprofits/organizations/510172429/202611349349307791/full","view filing")</f>
        <v/>
      </c>
      <c r="AD1482" s="50" t="inlineStr">
        <is>
          <t>Y</t>
        </is>
      </c>
    </row>
    <row r="1483">
      <c r="A1483" t="inlineStr">
        <is>
          <t>United Jewish Appeal Federation Of Jewish Philanthropies Of Ny Inc</t>
        </is>
      </c>
      <c r="B1483" s="50" t="inlineStr">
        <is>
          <t>NY</t>
        </is>
      </c>
      <c r="C1483" s="52" t="n">
        <v>1.54</v>
      </c>
      <c r="D1483" t="inlineStr">
        <is>
          <t>Foundation</t>
        </is>
      </c>
      <c r="E1483" s="50" t="n">
        <v>2025</v>
      </c>
      <c r="F1483" s="50" t="inlineStr">
        <is>
          <t>2026-05-14</t>
        </is>
      </c>
      <c r="G1483" s="50" t="inlineStr">
        <is>
          <t>2025-06-30</t>
        </is>
      </c>
      <c r="H1483" t="inlineStr">
        <is>
          <t>Elliot Hasdan</t>
        </is>
      </c>
      <c r="I1483" t="inlineStr">
        <is>
          <t>DIRECTOR, INVESTMENTS</t>
        </is>
      </c>
      <c r="J1483" t="inlineStr">
        <is>
          <t>Director of Investments</t>
        </is>
      </c>
      <c r="K1483" t="inlineStr">
        <is>
          <t>Sr Investment Professional</t>
        </is>
      </c>
      <c r="L1483" s="28" t="n">
        <v>330664</v>
      </c>
      <c r="M1483" s="28" t="n">
        <v>128074</v>
      </c>
      <c r="N1483" s="28" t="n">
        <v>168</v>
      </c>
      <c r="O1483" s="28" t="n">
        <v>10350</v>
      </c>
      <c r="P1483" s="28" t="n">
        <v>58205</v>
      </c>
      <c r="Q1483" s="28" t="n">
        <v>527461</v>
      </c>
      <c r="R1483" s="28" t="n">
        <v>0</v>
      </c>
      <c r="S1483" s="28">
        <f>Q1483-R1483</f>
        <v/>
      </c>
      <c r="T1483" s="28">
        <f>IF(S1483="","",S1483*(1+in_GrowthRate)^(YEARFRAC(DATE(2025,6,30),in_AgeToDate)*IF(in_AgeToDate&lt;DATE(2025,6,30),-1,1)+1))</f>
        <v/>
      </c>
      <c r="U1483" s="50">
        <f>IF(AND(AND(OR(in_Mode="All Funds",AND(C1483&gt;=in_BandFloor,C1483&lt;=in_BandCeiling,OR(in_Geography="National",COUNTIFS(lst_GeoPreset,in_Geography,lst_GeoState,B1483)&gt;0,AND(in_Geography="Custom",ISNUMBER(SEARCH(B1483,SUBSTITUTE(in_CustomStates," ",""))))),OR(AND(D1483="Endowment",Inputs!$B$14="Y"),AND(D1483="Foundation",Inputs!$B$15="Y"),AND(D1483="Healthcare",Inputs!$B$16="Y"),AND(D1483="Pension",Inputs!$B$17="Y"),AND(D1483="OCIO",Inputs!$B$18="Y"),AND(D1483="Other",Inputs!$B$19="Y")))),A1483&lt;&gt;in_ClientOrg,NOT(AND(in_ExclHarvard="Y",ISNUMBER(SEARCH("Harvard",A1483))))),$AD1483="Y",K1483&lt;&gt;"",S1483&gt;0),"Y","")</f>
        <v/>
      </c>
      <c r="V1483" s="30" t="n">
        <v>0.5114069141509726</v>
      </c>
      <c r="W1483" t="inlineStr"/>
      <c r="X1483" s="28">
        <f>IF(L1483+M1483=0,"",L1483+M1483)</f>
        <v/>
      </c>
      <c r="Y1483" s="38">
        <f>IF(L1483=0,"",M1483/L1483)</f>
        <v/>
      </c>
      <c r="Z1483" t="inlineStr">
        <is>
          <t>Director &amp; Investment Officer</t>
        </is>
      </c>
      <c r="AA1483" t="inlineStr">
        <is>
          <t>Investments</t>
        </is>
      </c>
      <c r="AB1483" s="50" t="inlineStr"/>
      <c r="AC1483" s="43">
        <f>HYPERLINK("https://projects.propublica.org/nonprofits/organizations/510172429/202611349349307791/full","view filing")</f>
        <v/>
      </c>
      <c r="AD1483" s="50" t="inlineStr">
        <is>
          <t>Y</t>
        </is>
      </c>
    </row>
    <row r="1484">
      <c r="A1484" t="inlineStr">
        <is>
          <t>United Jewish Appeal Federation Of Jewish Philanthropies Of Ny Inc</t>
        </is>
      </c>
      <c r="B1484" s="50" t="inlineStr">
        <is>
          <t>NY</t>
        </is>
      </c>
      <c r="C1484" s="52" t="n">
        <v>1.54</v>
      </c>
      <c r="D1484" t="inlineStr">
        <is>
          <t>Foundation</t>
        </is>
      </c>
      <c r="E1484" s="50" t="n">
        <v>2025</v>
      </c>
      <c r="F1484" s="50" t="inlineStr">
        <is>
          <t>2026-05-14</t>
        </is>
      </c>
      <c r="G1484" s="50" t="inlineStr">
        <is>
          <t>2025-06-30</t>
        </is>
      </c>
      <c r="H1484" t="inlineStr">
        <is>
          <t>Rica Silverman</t>
        </is>
      </c>
      <c r="I1484" t="inlineStr">
        <is>
          <t>DIRECTOR, INVESTMENTS</t>
        </is>
      </c>
      <c r="J1484" t="inlineStr">
        <is>
          <t>Director of Investments</t>
        </is>
      </c>
      <c r="K1484" t="inlineStr">
        <is>
          <t>Sr Investment Professional</t>
        </is>
      </c>
      <c r="L1484" s="28" t="n">
        <v>308057</v>
      </c>
      <c r="M1484" s="28" t="n">
        <v>101769</v>
      </c>
      <c r="N1484" s="28" t="n">
        <v>138</v>
      </c>
      <c r="O1484" s="28" t="n">
        <v>9541</v>
      </c>
      <c r="P1484" s="28" t="n">
        <v>66613</v>
      </c>
      <c r="Q1484" s="28" t="n">
        <v>486118</v>
      </c>
      <c r="R1484" s="28" t="n">
        <v>0</v>
      </c>
      <c r="S1484" s="28">
        <f>Q1484-R1484</f>
        <v/>
      </c>
      <c r="T1484" s="28">
        <f>IF(S1484="","",S1484*(1+in_GrowthRate)^(YEARFRAC(DATE(2025,6,30),in_AgeToDate)*IF(in_AgeToDate&lt;DATE(2025,6,30),-1,1)+1))</f>
        <v/>
      </c>
      <c r="U1484" s="50">
        <f>IF(AND(AND(OR(in_Mode="All Funds",AND(C1484&gt;=in_BandFloor,C1484&lt;=in_BandCeiling,OR(in_Geography="National",COUNTIFS(lst_GeoPreset,in_Geography,lst_GeoState,B1484)&gt;0,AND(in_Geography="Custom",ISNUMBER(SEARCH(B1484,SUBSTITUTE(in_CustomStates," ",""))))),OR(AND(D1484="Endowment",Inputs!$B$14="Y"),AND(D1484="Foundation",Inputs!$B$15="Y"),AND(D1484="Healthcare",Inputs!$B$16="Y"),AND(D1484="Pension",Inputs!$B$17="Y"),AND(D1484="OCIO",Inputs!$B$18="Y"),AND(D1484="Other",Inputs!$B$19="Y")))),A1484&lt;&gt;in_ClientOrg,NOT(AND(in_ExclHarvard="Y",ISNUMBER(SEARCH("Harvard",A1484))))),$AD1484="Y",K1484&lt;&gt;"",S1484&gt;0),"Y","")</f>
        <v/>
      </c>
      <c r="V1484" s="30" t="n">
        <v>0.4713222518693184</v>
      </c>
      <c r="W1484" t="inlineStr"/>
      <c r="X1484" s="28">
        <f>IF(L1484+M1484=0,"",L1484+M1484)</f>
        <v/>
      </c>
      <c r="Y1484" s="38">
        <f>IF(L1484=0,"",M1484/L1484)</f>
        <v/>
      </c>
      <c r="Z1484" t="inlineStr">
        <is>
          <t>Director &amp; Investment Officer</t>
        </is>
      </c>
      <c r="AA1484" t="inlineStr">
        <is>
          <t>Investments</t>
        </is>
      </c>
      <c r="AB1484" s="50" t="inlineStr"/>
      <c r="AC1484" s="43">
        <f>HYPERLINK("https://projects.propublica.org/nonprofits/organizations/510172429/202611349349307791/full","view filing")</f>
        <v/>
      </c>
      <c r="AD1484" s="50" t="inlineStr">
        <is>
          <t>Y</t>
        </is>
      </c>
    </row>
    <row r="1485">
      <c r="A1485" t="inlineStr">
        <is>
          <t>United Jewish Appeal Federation Of Jewish Philanthropies Of Ny Inc</t>
        </is>
      </c>
      <c r="B1485" s="50" t="inlineStr">
        <is>
          <t>NY</t>
        </is>
      </c>
      <c r="C1485" s="52" t="n">
        <v>1.54</v>
      </c>
      <c r="D1485" t="inlineStr">
        <is>
          <t>Foundation</t>
        </is>
      </c>
      <c r="E1485" s="50" t="n">
        <v>2024</v>
      </c>
      <c r="F1485" s="50" t="inlineStr">
        <is>
          <t>2025-05-14</t>
        </is>
      </c>
      <c r="G1485" s="50" t="inlineStr">
        <is>
          <t>2024-06-30</t>
        </is>
      </c>
      <c r="H1485" t="inlineStr">
        <is>
          <t>Devana Cohen</t>
        </is>
      </c>
      <c r="I1485" t="inlineStr">
        <is>
          <t>CHIEF INVESTMENT OFFICER</t>
        </is>
      </c>
      <c r="J1485" t="inlineStr">
        <is>
          <t>CIO</t>
        </is>
      </c>
      <c r="K1485" t="inlineStr">
        <is>
          <t>CIO - Top Investment Executive</t>
        </is>
      </c>
      <c r="L1485" s="28" t="n">
        <v>620579</v>
      </c>
      <c r="M1485" s="28" t="n">
        <v>456313</v>
      </c>
      <c r="N1485" s="28" t="n">
        <v>2070</v>
      </c>
      <c r="O1485" s="28" t="n">
        <v>9900</v>
      </c>
      <c r="P1485" s="28" t="n">
        <v>24880</v>
      </c>
      <c r="Q1485" s="28" t="n">
        <v>1113742</v>
      </c>
      <c r="R1485" s="28" t="n">
        <v>0</v>
      </c>
      <c r="S1485" s="28">
        <f>Q1485-R1485</f>
        <v/>
      </c>
      <c r="T1485" s="28">
        <f>IF(S1485="","",S1485*(1+in_GrowthRate)^(YEARFRAC(DATE(2024,6,30),in_AgeToDate)*IF(in_AgeToDate&lt;DATE(2024,6,30),-1,1)+1))</f>
        <v/>
      </c>
      <c r="U1485" s="50">
        <f>IF(AND(AND(OR(in_Mode="All Funds",AND(C1485&gt;=in_BandFloor,C1485&lt;=in_BandCeiling,OR(in_Geography="National",COUNTIFS(lst_GeoPreset,in_Geography,lst_GeoState,B1485)&gt;0,AND(in_Geography="Custom",ISNUMBER(SEARCH(B1485,SUBSTITUTE(in_CustomStates," ",""))))),OR(AND(D1485="Endowment",Inputs!$B$14="Y"),AND(D1485="Foundation",Inputs!$B$15="Y"),AND(D1485="Healthcare",Inputs!$B$16="Y"),AND(D1485="Pension",Inputs!$B$17="Y"),AND(D1485="OCIO",Inputs!$B$18="Y"),AND(D1485="Other",Inputs!$B$19="Y")))),A1485&lt;&gt;in_ClientOrg,NOT(AND(in_ExclHarvard="Y",ISNUMBER(SEARCH("Harvard",A1485))))),$AD1485="Y",K1485&lt;&gt;"",S1485&gt;0),"Y","")</f>
        <v/>
      </c>
      <c r="V1485" s="30" t="n">
        <v>1</v>
      </c>
      <c r="W1485" t="inlineStr"/>
      <c r="X1485" s="28">
        <f>IF(L1485+M1485=0,"",L1485+M1485)</f>
        <v/>
      </c>
      <c r="Y1485" s="38">
        <f>IF(L1485=0,"",M1485/L1485)</f>
        <v/>
      </c>
      <c r="Z1485" t="inlineStr">
        <is>
          <t>CIO - Top Investment Executive</t>
        </is>
      </c>
      <c r="AA1485" t="inlineStr">
        <is>
          <t>Leadership</t>
        </is>
      </c>
      <c r="AB1485" s="50" t="inlineStr">
        <is>
          <t>Y</t>
        </is>
      </c>
      <c r="AC1485" s="43">
        <f>HYPERLINK("https://projects.propublica.org/nonprofits/organizations/510172429/202511349349303781/full","view filing")</f>
        <v/>
      </c>
      <c r="AD1485" s="50" t="inlineStr"/>
    </row>
    <row r="1486">
      <c r="A1486" t="inlineStr">
        <is>
          <t>United Jewish Appeal Federation Of Jewish Philanthropies Of Ny Inc</t>
        </is>
      </c>
      <c r="B1486" s="50" t="inlineStr">
        <is>
          <t>NY</t>
        </is>
      </c>
      <c r="C1486" s="52" t="n">
        <v>1.54</v>
      </c>
      <c r="D1486" t="inlineStr">
        <is>
          <t>Foundation</t>
        </is>
      </c>
      <c r="E1486" s="50" t="n">
        <v>2024</v>
      </c>
      <c r="F1486" s="50" t="inlineStr">
        <is>
          <t>2025-05-14</t>
        </is>
      </c>
      <c r="G1486" s="50" t="inlineStr">
        <is>
          <t>2024-06-30</t>
        </is>
      </c>
      <c r="H1486" t="inlineStr">
        <is>
          <t>Elliot Hasdan</t>
        </is>
      </c>
      <c r="I1486" t="inlineStr">
        <is>
          <t>DIRECTOR, INVESTMENTS</t>
        </is>
      </c>
      <c r="J1486" t="inlineStr">
        <is>
          <t>Director of Investments</t>
        </is>
      </c>
      <c r="K1486" t="inlineStr">
        <is>
          <t>Sr Investment Professional</t>
        </is>
      </c>
      <c r="L1486" s="28" t="n">
        <v>305515</v>
      </c>
      <c r="M1486" s="28" t="n">
        <v>152513</v>
      </c>
      <c r="N1486" s="28" t="n">
        <v>162</v>
      </c>
      <c r="O1486" s="28" t="n">
        <v>9900</v>
      </c>
      <c r="P1486" s="28" t="n">
        <v>51512</v>
      </c>
      <c r="Q1486" s="28" t="n">
        <v>519602</v>
      </c>
      <c r="R1486" s="28" t="n">
        <v>0</v>
      </c>
      <c r="S1486" s="28">
        <f>Q1486-R1486</f>
        <v/>
      </c>
      <c r="T1486" s="28">
        <f>IF(S1486="","",S1486*(1+in_GrowthRate)^(YEARFRAC(DATE(2024,6,30),in_AgeToDate)*IF(in_AgeToDate&lt;DATE(2024,6,30),-1,1)+1))</f>
        <v/>
      </c>
      <c r="U1486" s="50">
        <f>IF(AND(AND(OR(in_Mode="All Funds",AND(C1486&gt;=in_BandFloor,C1486&lt;=in_BandCeiling,OR(in_Geography="National",COUNTIFS(lst_GeoPreset,in_Geography,lst_GeoState,B1486)&gt;0,AND(in_Geography="Custom",ISNUMBER(SEARCH(B1486,SUBSTITUTE(in_CustomStates," ",""))))),OR(AND(D1486="Endowment",Inputs!$B$14="Y"),AND(D1486="Foundation",Inputs!$B$15="Y"),AND(D1486="Healthcare",Inputs!$B$16="Y"),AND(D1486="Pension",Inputs!$B$17="Y"),AND(D1486="OCIO",Inputs!$B$18="Y"),AND(D1486="Other",Inputs!$B$19="Y")))),A1486&lt;&gt;in_ClientOrg,NOT(AND(in_ExclHarvard="Y",ISNUMBER(SEARCH("Harvard",A1486))))),$AD1486="Y",K1486&lt;&gt;"",S1486&gt;0),"Y","")</f>
        <v/>
      </c>
      <c r="V1486" s="30" t="n">
        <v>0.4665371333755933</v>
      </c>
      <c r="W1486" t="inlineStr"/>
      <c r="X1486" s="28">
        <f>IF(L1486+M1486=0,"",L1486+M1486)</f>
        <v/>
      </c>
      <c r="Y1486" s="38">
        <f>IF(L1486=0,"",M1486/L1486)</f>
        <v/>
      </c>
      <c r="Z1486" t="inlineStr">
        <is>
          <t>Director &amp; Investment Officer</t>
        </is>
      </c>
      <c r="AA1486" t="inlineStr">
        <is>
          <t>Investments</t>
        </is>
      </c>
      <c r="AB1486" s="50" t="inlineStr"/>
      <c r="AC1486" s="43">
        <f>HYPERLINK("https://projects.propublica.org/nonprofits/organizations/510172429/202511349349303781/full","view filing")</f>
        <v/>
      </c>
      <c r="AD1486" s="50" t="inlineStr"/>
    </row>
    <row r="1487">
      <c r="A1487" t="inlineStr">
        <is>
          <t>United Jewish Appeal Federation Of Jewish Philanthropies Of Ny Inc</t>
        </is>
      </c>
      <c r="B1487" s="50" t="inlineStr">
        <is>
          <t>NY</t>
        </is>
      </c>
      <c r="C1487" s="52" t="n">
        <v>1.54</v>
      </c>
      <c r="D1487" t="inlineStr">
        <is>
          <t>Foundation</t>
        </is>
      </c>
      <c r="E1487" s="50" t="n">
        <v>2023</v>
      </c>
      <c r="F1487" s="50" t="inlineStr">
        <is>
          <t>2024-05-14</t>
        </is>
      </c>
      <c r="G1487" s="50" t="inlineStr">
        <is>
          <t>2023-06-30</t>
        </is>
      </c>
      <c r="H1487" t="inlineStr">
        <is>
          <t>Brittany Laroche</t>
        </is>
      </c>
      <c r="I1487" t="inlineStr">
        <is>
          <t>DIRECTOR, INVESTMENTS</t>
        </is>
      </c>
      <c r="J1487" t="inlineStr">
        <is>
          <t>Director of Investments</t>
        </is>
      </c>
      <c r="K1487" t="inlineStr">
        <is>
          <t>Sr Investment Professional</t>
        </is>
      </c>
      <c r="L1487" s="28" t="n">
        <v>273696</v>
      </c>
      <c r="M1487" s="28" t="n">
        <v>80885</v>
      </c>
      <c r="N1487" s="28" t="n">
        <v>144</v>
      </c>
      <c r="O1487" s="28" t="n">
        <v>7743</v>
      </c>
      <c r="P1487" s="28" t="n">
        <v>1273</v>
      </c>
      <c r="Q1487" s="28" t="n">
        <v>363741</v>
      </c>
      <c r="R1487" s="28" t="n">
        <v>0</v>
      </c>
      <c r="S1487" s="28">
        <f>Q1487-R1487</f>
        <v/>
      </c>
      <c r="T1487" s="28">
        <f>IF(S1487="","",S1487*(1+in_GrowthRate)^(YEARFRAC(DATE(2023,6,30),in_AgeToDate)*IF(in_AgeToDate&lt;DATE(2023,6,30),-1,1)+1))</f>
        <v/>
      </c>
      <c r="U1487" s="50">
        <f>IF(AND(AND(OR(in_Mode="All Funds",AND(C1487&gt;=in_BandFloor,C1487&lt;=in_BandCeiling,OR(in_Geography="National",COUNTIFS(lst_GeoPreset,in_Geography,lst_GeoState,B1487)&gt;0,AND(in_Geography="Custom",ISNUMBER(SEARCH(B1487,SUBSTITUTE(in_CustomStates," ",""))))),OR(AND(D1487="Endowment",Inputs!$B$14="Y"),AND(D1487="Foundation",Inputs!$B$15="Y"),AND(D1487="Healthcare",Inputs!$B$16="Y"),AND(D1487="Pension",Inputs!$B$17="Y"),AND(D1487="OCIO",Inputs!$B$18="Y"),AND(D1487="Other",Inputs!$B$19="Y")))),A1487&lt;&gt;in_ClientOrg,NOT(AND(in_ExclHarvard="Y",ISNUMBER(SEARCH("Harvard",A1487))))),$AD1487="Y",K1487&lt;&gt;"",S1487&gt;0),"Y","")</f>
        <v/>
      </c>
      <c r="V1487" s="30" t="n">
        <v>0.4067667533338925</v>
      </c>
      <c r="W1487" t="inlineStr"/>
      <c r="X1487" s="28">
        <f>IF(L1487+M1487=0,"",L1487+M1487)</f>
        <v/>
      </c>
      <c r="Y1487" s="38">
        <f>IF(L1487=0,"",M1487/L1487)</f>
        <v/>
      </c>
      <c r="Z1487" t="inlineStr">
        <is>
          <t>Director &amp; Investment Officer</t>
        </is>
      </c>
      <c r="AA1487" t="inlineStr">
        <is>
          <t>Investments</t>
        </is>
      </c>
      <c r="AB1487" s="50" t="inlineStr"/>
      <c r="AC1487" s="43">
        <f>HYPERLINK("https://projects.propublica.org/nonprofits/organizations/510172429/202411359349312096/full","view filing")</f>
        <v/>
      </c>
      <c r="AD1487" s="50" t="inlineStr"/>
    </row>
    <row r="1488">
      <c r="A1488" t="inlineStr">
        <is>
          <t>United Jewish Appeal Federation Of Jewish Philanthropies Of Ny Inc</t>
        </is>
      </c>
      <c r="B1488" s="50" t="inlineStr">
        <is>
          <t>NY</t>
        </is>
      </c>
      <c r="C1488" s="52" t="n">
        <v>1.54</v>
      </c>
      <c r="D1488" t="inlineStr">
        <is>
          <t>Foundation</t>
        </is>
      </c>
      <c r="E1488" s="50" t="n">
        <v>2023</v>
      </c>
      <c r="F1488" s="50" t="inlineStr">
        <is>
          <t>2024-05-14</t>
        </is>
      </c>
      <c r="G1488" s="50" t="inlineStr">
        <is>
          <t>2023-06-30</t>
        </is>
      </c>
      <c r="H1488" t="inlineStr">
        <is>
          <t>Devana Cohen</t>
        </is>
      </c>
      <c r="I1488" t="inlineStr">
        <is>
          <t>CHIEF INVESTMENT OFFICER</t>
        </is>
      </c>
      <c r="J1488" t="inlineStr">
        <is>
          <t>CIO</t>
        </is>
      </c>
      <c r="K1488" t="inlineStr">
        <is>
          <t>CIO - Top Investment Executive</t>
        </is>
      </c>
      <c r="L1488" s="28" t="n">
        <v>583634</v>
      </c>
      <c r="M1488" s="28" t="n">
        <v>274844</v>
      </c>
      <c r="N1488" s="28" t="n">
        <v>2034</v>
      </c>
      <c r="O1488" s="28" t="n">
        <v>9150</v>
      </c>
      <c r="P1488" s="28" t="n">
        <v>24563</v>
      </c>
      <c r="Q1488" s="28" t="n">
        <v>894225</v>
      </c>
      <c r="R1488" s="28" t="n">
        <v>0</v>
      </c>
      <c r="S1488" s="28">
        <f>Q1488-R1488</f>
        <v/>
      </c>
      <c r="T1488" s="28">
        <f>IF(S1488="","",S1488*(1+in_GrowthRate)^(YEARFRAC(DATE(2023,6,30),in_AgeToDate)*IF(in_AgeToDate&lt;DATE(2023,6,30),-1,1)+1))</f>
        <v/>
      </c>
      <c r="U1488" s="50">
        <f>IF(AND(AND(OR(in_Mode="All Funds",AND(C1488&gt;=in_BandFloor,C1488&lt;=in_BandCeiling,OR(in_Geography="National",COUNTIFS(lst_GeoPreset,in_Geography,lst_GeoState,B1488)&gt;0,AND(in_Geography="Custom",ISNUMBER(SEARCH(B1488,SUBSTITUTE(in_CustomStates," ",""))))),OR(AND(D1488="Endowment",Inputs!$B$14="Y"),AND(D1488="Foundation",Inputs!$B$15="Y"),AND(D1488="Healthcare",Inputs!$B$16="Y"),AND(D1488="Pension",Inputs!$B$17="Y"),AND(D1488="OCIO",Inputs!$B$18="Y"),AND(D1488="Other",Inputs!$B$19="Y")))),A1488&lt;&gt;in_ClientOrg,NOT(AND(in_ExclHarvard="Y",ISNUMBER(SEARCH("Harvard",A1488))))),$AD1488="Y",K1488&lt;&gt;"",S1488&gt;0),"Y","")</f>
        <v/>
      </c>
      <c r="V1488" s="30" t="n">
        <v>1</v>
      </c>
      <c r="W1488" t="inlineStr"/>
      <c r="X1488" s="28">
        <f>IF(L1488+M1488=0,"",L1488+M1488)</f>
        <v/>
      </c>
      <c r="Y1488" s="38">
        <f>IF(L1488=0,"",M1488/L1488)</f>
        <v/>
      </c>
      <c r="Z1488" t="inlineStr">
        <is>
          <t>CIO - Top Investment Executive</t>
        </is>
      </c>
      <c r="AA1488" t="inlineStr">
        <is>
          <t>Leadership</t>
        </is>
      </c>
      <c r="AB1488" s="50" t="inlineStr">
        <is>
          <t>Y</t>
        </is>
      </c>
      <c r="AC1488" s="43">
        <f>HYPERLINK("https://projects.propublica.org/nonprofits/organizations/510172429/202411359349312096/full","view filing")</f>
        <v/>
      </c>
      <c r="AD1488" s="50" t="inlineStr"/>
    </row>
    <row r="1489">
      <c r="A1489" t="inlineStr">
        <is>
          <t>United Jewish Appeal Federation Of Jewish Philanthropies Of Ny Inc</t>
        </is>
      </c>
      <c r="B1489" s="50" t="inlineStr">
        <is>
          <t>NY</t>
        </is>
      </c>
      <c r="C1489" s="52" t="n">
        <v>1.54</v>
      </c>
      <c r="D1489" t="inlineStr">
        <is>
          <t>Foundation</t>
        </is>
      </c>
      <c r="E1489" s="50" t="n">
        <v>2023</v>
      </c>
      <c r="F1489" s="50" t="inlineStr">
        <is>
          <t>2024-05-14</t>
        </is>
      </c>
      <c r="G1489" s="50" t="inlineStr">
        <is>
          <t>2023-06-30</t>
        </is>
      </c>
      <c r="H1489" t="inlineStr">
        <is>
          <t>Elliot Hasdan</t>
        </is>
      </c>
      <c r="I1489" t="inlineStr">
        <is>
          <t>DIRECTOR, INVESTMENTS</t>
        </is>
      </c>
      <c r="J1489" t="inlineStr">
        <is>
          <t>Director of Investments</t>
        </is>
      </c>
      <c r="K1489" t="inlineStr">
        <is>
          <t>Sr Investment Professional</t>
        </is>
      </c>
      <c r="L1489" s="28" t="n">
        <v>286980</v>
      </c>
      <c r="M1489" s="28" t="n">
        <v>106394</v>
      </c>
      <c r="N1489" s="28" t="n">
        <v>162</v>
      </c>
      <c r="O1489" s="28" t="n">
        <v>9150</v>
      </c>
      <c r="P1489" s="28" t="n">
        <v>45676</v>
      </c>
      <c r="Q1489" s="28" t="n">
        <v>448362</v>
      </c>
      <c r="R1489" s="28" t="n">
        <v>0</v>
      </c>
      <c r="S1489" s="28">
        <f>Q1489-R1489</f>
        <v/>
      </c>
      <c r="T1489" s="28">
        <f>IF(S1489="","",S1489*(1+in_GrowthRate)^(YEARFRAC(DATE(2023,6,30),in_AgeToDate)*IF(in_AgeToDate&lt;DATE(2023,6,30),-1,1)+1))</f>
        <v/>
      </c>
      <c r="U1489" s="50">
        <f>IF(AND(AND(OR(in_Mode="All Funds",AND(C1489&gt;=in_BandFloor,C1489&lt;=in_BandCeiling,OR(in_Geography="National",COUNTIFS(lst_GeoPreset,in_Geography,lst_GeoState,B1489)&gt;0,AND(in_Geography="Custom",ISNUMBER(SEARCH(B1489,SUBSTITUTE(in_CustomStates," ",""))))),OR(AND(D1489="Endowment",Inputs!$B$14="Y"),AND(D1489="Foundation",Inputs!$B$15="Y"),AND(D1489="Healthcare",Inputs!$B$16="Y"),AND(D1489="Pension",Inputs!$B$17="Y"),AND(D1489="OCIO",Inputs!$B$18="Y"),AND(D1489="Other",Inputs!$B$19="Y")))),A1489&lt;&gt;in_ClientOrg,NOT(AND(in_ExclHarvard="Y",ISNUMBER(SEARCH("Harvard",A1489))))),$AD1489="Y",K1489&lt;&gt;"",S1489&gt;0),"Y","")</f>
        <v/>
      </c>
      <c r="V1489" s="30" t="n">
        <v>0.5013972993374151</v>
      </c>
      <c r="W1489" t="inlineStr"/>
      <c r="X1489" s="28">
        <f>IF(L1489+M1489=0,"",L1489+M1489)</f>
        <v/>
      </c>
      <c r="Y1489" s="38">
        <f>IF(L1489=0,"",M1489/L1489)</f>
        <v/>
      </c>
      <c r="Z1489" t="inlineStr">
        <is>
          <t>Director &amp; Investment Officer</t>
        </is>
      </c>
      <c r="AA1489" t="inlineStr">
        <is>
          <t>Investments</t>
        </is>
      </c>
      <c r="AB1489" s="50" t="inlineStr"/>
      <c r="AC1489" s="43">
        <f>HYPERLINK("https://projects.propublica.org/nonprofits/organizations/510172429/202411359349312096/full","view filing")</f>
        <v/>
      </c>
      <c r="AD1489" s="50" t="inlineStr"/>
    </row>
    <row r="1490">
      <c r="A1490" t="inlineStr">
        <is>
          <t>United Jewish Appeal Federation Of Jewish Philanthropies Of Ny Inc</t>
        </is>
      </c>
      <c r="B1490" s="50" t="inlineStr">
        <is>
          <t>NY</t>
        </is>
      </c>
      <c r="C1490" s="52" t="n">
        <v>1.54</v>
      </c>
      <c r="D1490" t="inlineStr">
        <is>
          <t>Foundation</t>
        </is>
      </c>
      <c r="E1490" s="50" t="n">
        <v>2022</v>
      </c>
      <c r="F1490" s="50" t="inlineStr">
        <is>
          <t>2023-05-15</t>
        </is>
      </c>
      <c r="G1490" s="50" t="inlineStr">
        <is>
          <t>2022-06-30</t>
        </is>
      </c>
      <c r="H1490" t="inlineStr">
        <is>
          <t>Brittany Laroche</t>
        </is>
      </c>
      <c r="I1490" t="inlineStr">
        <is>
          <t>DIRECTOR, INVESTMENTS</t>
        </is>
      </c>
      <c r="J1490" t="inlineStr">
        <is>
          <t>Director of Investments</t>
        </is>
      </c>
      <c r="K1490" t="inlineStr">
        <is>
          <t>Sr Investment Professional</t>
        </is>
      </c>
      <c r="L1490" s="28" t="n">
        <v>215055</v>
      </c>
      <c r="M1490" s="28" t="n">
        <v>70533</v>
      </c>
      <c r="N1490" s="28" t="n">
        <v>144</v>
      </c>
      <c r="O1490" s="28" t="n">
        <v>9272</v>
      </c>
      <c r="P1490" s="28" t="n">
        <v>1730</v>
      </c>
      <c r="Q1490" s="28" t="n">
        <v>296734</v>
      </c>
      <c r="R1490" s="28" t="n">
        <v>0</v>
      </c>
      <c r="S1490" s="28">
        <f>Q1490-R1490</f>
        <v/>
      </c>
      <c r="T1490" s="28">
        <f>IF(S1490="","",S1490*(1+in_GrowthRate)^(YEARFRAC(DATE(2022,6,30),in_AgeToDate)*IF(in_AgeToDate&lt;DATE(2022,6,30),-1,1)+1))</f>
        <v/>
      </c>
      <c r="U1490" s="50">
        <f>IF(AND(AND(OR(in_Mode="All Funds",AND(C1490&gt;=in_BandFloor,C1490&lt;=in_BandCeiling,OR(in_Geography="National",COUNTIFS(lst_GeoPreset,in_Geography,lst_GeoState,B1490)&gt;0,AND(in_Geography="Custom",ISNUMBER(SEARCH(B1490,SUBSTITUTE(in_CustomStates," ",""))))),OR(AND(D1490="Endowment",Inputs!$B$14="Y"),AND(D1490="Foundation",Inputs!$B$15="Y"),AND(D1490="Healthcare",Inputs!$B$16="Y"),AND(D1490="Pension",Inputs!$B$17="Y"),AND(D1490="OCIO",Inputs!$B$18="Y"),AND(D1490="Other",Inputs!$B$19="Y")))),A1490&lt;&gt;in_ClientOrg,NOT(AND(in_ExclHarvard="Y",ISNUMBER(SEARCH("Harvard",A1490))))),$AD1490="Y",K1490&lt;&gt;"",S1490&gt;0),"Y","")</f>
        <v/>
      </c>
      <c r="V1490" s="30" t="n">
        <v>0.3361297513808399</v>
      </c>
      <c r="W1490" t="inlineStr"/>
      <c r="X1490" s="28">
        <f>IF(L1490+M1490=0,"",L1490+M1490)</f>
        <v/>
      </c>
      <c r="Y1490" s="38">
        <f>IF(L1490=0,"",M1490/L1490)</f>
        <v/>
      </c>
      <c r="Z1490" t="inlineStr">
        <is>
          <t>Director &amp; Investment Officer</t>
        </is>
      </c>
      <c r="AA1490" t="inlineStr">
        <is>
          <t>Investments</t>
        </is>
      </c>
      <c r="AB1490" s="50" t="inlineStr"/>
      <c r="AC1490" s="43">
        <f>HYPERLINK("https://projects.propublica.org/nonprofits/organizations/510172429/202321359349306162/full","view filing")</f>
        <v/>
      </c>
      <c r="AD1490" s="50" t="inlineStr"/>
    </row>
    <row r="1491">
      <c r="A1491" t="inlineStr">
        <is>
          <t>United Jewish Appeal Federation Of Jewish Philanthropies Of Ny Inc</t>
        </is>
      </c>
      <c r="B1491" s="50" t="inlineStr">
        <is>
          <t>NY</t>
        </is>
      </c>
      <c r="C1491" s="52" t="n">
        <v>1.54</v>
      </c>
      <c r="D1491" t="inlineStr">
        <is>
          <t>Foundation</t>
        </is>
      </c>
      <c r="E1491" s="50" t="n">
        <v>2022</v>
      </c>
      <c r="F1491" s="50" t="inlineStr">
        <is>
          <t>2023-05-15</t>
        </is>
      </c>
      <c r="G1491" s="50" t="inlineStr">
        <is>
          <t>2022-06-30</t>
        </is>
      </c>
      <c r="H1491" t="inlineStr">
        <is>
          <t>Devana Cohen</t>
        </is>
      </c>
      <c r="I1491" t="inlineStr">
        <is>
          <t>CHIEF INVESTMENT OFFICER</t>
        </is>
      </c>
      <c r="J1491" t="inlineStr">
        <is>
          <t>CIO</t>
        </is>
      </c>
      <c r="K1491" t="inlineStr">
        <is>
          <t>CIO - Top Investment Executive</t>
        </is>
      </c>
      <c r="L1491" s="28" t="n">
        <v>492067</v>
      </c>
      <c r="M1491" s="28" t="n">
        <v>357930</v>
      </c>
      <c r="N1491" s="28" t="n">
        <v>1700</v>
      </c>
      <c r="O1491" s="28" t="n">
        <v>8700</v>
      </c>
      <c r="P1491" s="28" t="n">
        <v>22399</v>
      </c>
      <c r="Q1491" s="28" t="n">
        <v>882796</v>
      </c>
      <c r="R1491" s="28" t="n">
        <v>0</v>
      </c>
      <c r="S1491" s="28">
        <f>Q1491-R1491</f>
        <v/>
      </c>
      <c r="T1491" s="28">
        <f>IF(S1491="","",S1491*(1+in_GrowthRate)^(YEARFRAC(DATE(2022,6,30),in_AgeToDate)*IF(in_AgeToDate&lt;DATE(2022,6,30),-1,1)+1))</f>
        <v/>
      </c>
      <c r="U1491" s="50">
        <f>IF(AND(AND(OR(in_Mode="All Funds",AND(C1491&gt;=in_BandFloor,C1491&lt;=in_BandCeiling,OR(in_Geography="National",COUNTIFS(lst_GeoPreset,in_Geography,lst_GeoState,B1491)&gt;0,AND(in_Geography="Custom",ISNUMBER(SEARCH(B1491,SUBSTITUTE(in_CustomStates," ",""))))),OR(AND(D1491="Endowment",Inputs!$B$14="Y"),AND(D1491="Foundation",Inputs!$B$15="Y"),AND(D1491="Healthcare",Inputs!$B$16="Y"),AND(D1491="Pension",Inputs!$B$17="Y"),AND(D1491="OCIO",Inputs!$B$18="Y"),AND(D1491="Other",Inputs!$B$19="Y")))),A1491&lt;&gt;in_ClientOrg,NOT(AND(in_ExclHarvard="Y",ISNUMBER(SEARCH("Harvard",A1491))))),$AD1491="Y",K1491&lt;&gt;"",S1491&gt;0),"Y","")</f>
        <v/>
      </c>
      <c r="V1491" s="30" t="n">
        <v>1</v>
      </c>
      <c r="W1491" t="inlineStr"/>
      <c r="X1491" s="28">
        <f>IF(L1491+M1491=0,"",L1491+M1491)</f>
        <v/>
      </c>
      <c r="Y1491" s="38">
        <f>IF(L1491=0,"",M1491/L1491)</f>
        <v/>
      </c>
      <c r="Z1491" t="inlineStr">
        <is>
          <t>CIO - Top Investment Executive</t>
        </is>
      </c>
      <c r="AA1491" t="inlineStr">
        <is>
          <t>Leadership</t>
        </is>
      </c>
      <c r="AB1491" s="50" t="inlineStr">
        <is>
          <t>Y</t>
        </is>
      </c>
      <c r="AC1491" s="43">
        <f>HYPERLINK("https://projects.propublica.org/nonprofits/organizations/510172429/202321359349306162/full","view filing")</f>
        <v/>
      </c>
      <c r="AD1491" s="50" t="inlineStr"/>
    </row>
    <row r="1492">
      <c r="A1492" t="inlineStr">
        <is>
          <t>United Jewish Appeal Federation Of Jewish Philanthropies Of Ny Inc</t>
        </is>
      </c>
      <c r="B1492" s="50" t="inlineStr">
        <is>
          <t>NY</t>
        </is>
      </c>
      <c r="C1492" s="52" t="n">
        <v>1.54</v>
      </c>
      <c r="D1492" t="inlineStr">
        <is>
          <t>Foundation</t>
        </is>
      </c>
      <c r="E1492" s="50" t="n">
        <v>2022</v>
      </c>
      <c r="F1492" s="50" t="inlineStr">
        <is>
          <t>2023-05-15</t>
        </is>
      </c>
      <c r="G1492" s="50" t="inlineStr">
        <is>
          <t>2022-06-30</t>
        </is>
      </c>
      <c r="H1492" t="inlineStr">
        <is>
          <t>Elliot Hasdan</t>
        </is>
      </c>
      <c r="I1492" t="inlineStr">
        <is>
          <t>DIRECTOR, INVESTMENTS</t>
        </is>
      </c>
      <c r="J1492" t="inlineStr">
        <is>
          <t>Director of Investments</t>
        </is>
      </c>
      <c r="K1492" t="inlineStr">
        <is>
          <t>Sr Investment Professional</t>
        </is>
      </c>
      <c r="L1492" s="28" t="n">
        <v>232747</v>
      </c>
      <c r="M1492" s="28" t="n">
        <v>118395</v>
      </c>
      <c r="N1492" s="28" t="n">
        <v>144</v>
      </c>
      <c r="O1492" s="28" t="n">
        <v>8700</v>
      </c>
      <c r="P1492" s="28" t="n">
        <v>42837</v>
      </c>
      <c r="Q1492" s="28" t="n">
        <v>402823</v>
      </c>
      <c r="R1492" s="28" t="n">
        <v>0</v>
      </c>
      <c r="S1492" s="28">
        <f>Q1492-R1492</f>
        <v/>
      </c>
      <c r="T1492" s="28">
        <f>IF(S1492="","",S1492*(1+in_GrowthRate)^(YEARFRAC(DATE(2022,6,30),in_AgeToDate)*IF(in_AgeToDate&lt;DATE(2022,6,30),-1,1)+1))</f>
        <v/>
      </c>
      <c r="U1492" s="50">
        <f>IF(AND(AND(OR(in_Mode="All Funds",AND(C1492&gt;=in_BandFloor,C1492&lt;=in_BandCeiling,OR(in_Geography="National",COUNTIFS(lst_GeoPreset,in_Geography,lst_GeoState,B1492)&gt;0,AND(in_Geography="Custom",ISNUMBER(SEARCH(B1492,SUBSTITUTE(in_CustomStates," ",""))))),OR(AND(D1492="Endowment",Inputs!$B$14="Y"),AND(D1492="Foundation",Inputs!$B$15="Y"),AND(D1492="Healthcare",Inputs!$B$16="Y"),AND(D1492="Pension",Inputs!$B$17="Y"),AND(D1492="OCIO",Inputs!$B$18="Y"),AND(D1492="Other",Inputs!$B$19="Y")))),A1492&lt;&gt;in_ClientOrg,NOT(AND(in_ExclHarvard="Y",ISNUMBER(SEARCH("Harvard",A1492))))),$AD1492="Y",K1492&lt;&gt;"",S1492&gt;0),"Y","")</f>
        <v/>
      </c>
      <c r="V1492" s="30" t="n">
        <v>0.4563036080815953</v>
      </c>
      <c r="W1492" t="inlineStr"/>
      <c r="X1492" s="28">
        <f>IF(L1492+M1492=0,"",L1492+M1492)</f>
        <v/>
      </c>
      <c r="Y1492" s="38">
        <f>IF(L1492=0,"",M1492/L1492)</f>
        <v/>
      </c>
      <c r="Z1492" t="inlineStr">
        <is>
          <t>Director &amp; Investment Officer</t>
        </is>
      </c>
      <c r="AA1492" t="inlineStr">
        <is>
          <t>Investments</t>
        </is>
      </c>
      <c r="AB1492" s="50" t="inlineStr"/>
      <c r="AC1492" s="43">
        <f>HYPERLINK("https://projects.propublica.org/nonprofits/organizations/510172429/202321359349306162/full","view filing")</f>
        <v/>
      </c>
      <c r="AD1492" s="50" t="inlineStr"/>
    </row>
    <row r="1493">
      <c r="A1493" t="inlineStr">
        <is>
          <t>University Of Arkansas Foundation Inc</t>
        </is>
      </c>
      <c r="B1493" s="50" t="inlineStr">
        <is>
          <t>AR</t>
        </is>
      </c>
      <c r="C1493" s="52" t="n">
        <v>2.56</v>
      </c>
      <c r="D1493" t="inlineStr">
        <is>
          <t>Endowment</t>
        </is>
      </c>
      <c r="E1493" s="50" t="n">
        <v>2025</v>
      </c>
      <c r="F1493" s="50" t="inlineStr">
        <is>
          <t>2026-05-07</t>
        </is>
      </c>
      <c r="G1493" s="50" t="inlineStr">
        <is>
          <t>2025-06-30</t>
        </is>
      </c>
      <c r="H1493" t="inlineStr">
        <is>
          <t>Ms Vickie Ferguson</t>
        </is>
      </c>
      <c r="I1493" t="inlineStr">
        <is>
          <t>VICE PRESIDENT/DIR. OF INVESTMENTS</t>
        </is>
      </c>
      <c r="J1493" t="inlineStr">
        <is>
          <t>Director of Investments</t>
        </is>
      </c>
      <c r="K1493" t="inlineStr">
        <is>
          <t>Sr Investment Professional</t>
        </is>
      </c>
      <c r="L1493" s="28" t="n">
        <v>226202</v>
      </c>
      <c r="M1493" s="28" t="n">
        <v>0</v>
      </c>
      <c r="N1493" s="28" t="n">
        <v>0</v>
      </c>
      <c r="O1493" s="28" t="n">
        <v>22645</v>
      </c>
      <c r="P1493" s="28" t="n">
        <v>192</v>
      </c>
      <c r="Q1493" s="28" t="n">
        <v>249039</v>
      </c>
      <c r="R1493" s="28" t="n">
        <v>0</v>
      </c>
      <c r="S1493" s="28">
        <f>Q1493-R1493</f>
        <v/>
      </c>
      <c r="T1493" s="28">
        <f>IF(S1493="","",S1493*(1+in_GrowthRate)^(YEARFRAC(DATE(2025,6,30),in_AgeToDate)*IF(in_AgeToDate&lt;DATE(2025,6,30),-1,1)+1))</f>
        <v/>
      </c>
      <c r="U1493" s="50">
        <f>IF(AND(AND(OR(in_Mode="All Funds",AND(C1493&gt;=in_BandFloor,C1493&lt;=in_BandCeiling,OR(in_Geography="National",COUNTIFS(lst_GeoPreset,in_Geography,lst_GeoState,B1493)&gt;0,AND(in_Geography="Custom",ISNUMBER(SEARCH(B1493,SUBSTITUTE(in_CustomStates," ",""))))),OR(AND(D1493="Endowment",Inputs!$B$14="Y"),AND(D1493="Foundation",Inputs!$B$15="Y"),AND(D1493="Healthcare",Inputs!$B$16="Y"),AND(D1493="Pension",Inputs!$B$17="Y"),AND(D1493="OCIO",Inputs!$B$18="Y"),AND(D1493="Other",Inputs!$B$19="Y")))),A1493&lt;&gt;in_ClientOrg,NOT(AND(in_ExclHarvard="Y",ISNUMBER(SEARCH("Harvard",A1493))))),$AD1493="Y",K1493&lt;&gt;"",S1493&gt;0),"Y","")</f>
        <v/>
      </c>
      <c r="V1493" s="30" t="n"/>
      <c r="W1493" t="inlineStr"/>
      <c r="X1493" s="28">
        <f>IF(L1493+M1493=0,"",L1493+M1493)</f>
        <v/>
      </c>
      <c r="Y1493" s="38">
        <f>IF(L1493=0,"",M1493/L1493)</f>
        <v/>
      </c>
      <c r="Z1493" t="inlineStr">
        <is>
          <t>Director &amp; Investment Officer</t>
        </is>
      </c>
      <c r="AA1493" t="inlineStr">
        <is>
          <t>Investments</t>
        </is>
      </c>
      <c r="AB1493" s="50" t="inlineStr"/>
      <c r="AC1493" s="43">
        <f>HYPERLINK("https://projects.propublica.org/nonprofits/organizations/716056774/202601279349303980/full","view filing")</f>
        <v/>
      </c>
      <c r="AD1493" s="50" t="inlineStr">
        <is>
          <t>Y</t>
        </is>
      </c>
    </row>
    <row r="1494">
      <c r="A1494" t="inlineStr">
        <is>
          <t>University Of Arkansas Foundation Inc</t>
        </is>
      </c>
      <c r="B1494" s="50" t="inlineStr">
        <is>
          <t>AR</t>
        </is>
      </c>
      <c r="C1494" s="52" t="n">
        <v>2.56</v>
      </c>
      <c r="D1494" t="inlineStr">
        <is>
          <t>Endowment</t>
        </is>
      </c>
      <c r="E1494" s="50" t="n">
        <v>2024</v>
      </c>
      <c r="F1494" s="50" t="inlineStr">
        <is>
          <t>2025-05-08</t>
        </is>
      </c>
      <c r="G1494" s="50" t="inlineStr">
        <is>
          <t>2024-06-30</t>
        </is>
      </c>
      <c r="H1494" t="inlineStr">
        <is>
          <t>Ms Vickie Ferguson</t>
        </is>
      </c>
      <c r="I1494" t="inlineStr">
        <is>
          <t>VICE PRESIDENT/DIR. OF INVESTMENTS</t>
        </is>
      </c>
      <c r="J1494" t="inlineStr">
        <is>
          <t>Director of Investments</t>
        </is>
      </c>
      <c r="K1494" t="inlineStr">
        <is>
          <t>Sr Investment Professional</t>
        </is>
      </c>
      <c r="L1494" s="28" t="n">
        <v>214469</v>
      </c>
      <c r="M1494" s="28" t="n">
        <v>0</v>
      </c>
      <c r="N1494" s="28" t="n">
        <v>0</v>
      </c>
      <c r="O1494" s="28" t="n">
        <v>21592</v>
      </c>
      <c r="P1494" s="28" t="n">
        <v>1392</v>
      </c>
      <c r="Q1494" s="28" t="n">
        <v>237453</v>
      </c>
      <c r="R1494" s="28" t="n">
        <v>0</v>
      </c>
      <c r="S1494" s="28">
        <f>Q1494-R1494</f>
        <v/>
      </c>
      <c r="T1494" s="28">
        <f>IF(S1494="","",S1494*(1+in_GrowthRate)^(YEARFRAC(DATE(2024,6,30),in_AgeToDate)*IF(in_AgeToDate&lt;DATE(2024,6,30),-1,1)+1))</f>
        <v/>
      </c>
      <c r="U1494" s="50">
        <f>IF(AND(AND(OR(in_Mode="All Funds",AND(C1494&gt;=in_BandFloor,C1494&lt;=in_BandCeiling,OR(in_Geography="National",COUNTIFS(lst_GeoPreset,in_Geography,lst_GeoState,B1494)&gt;0,AND(in_Geography="Custom",ISNUMBER(SEARCH(B1494,SUBSTITUTE(in_CustomStates," ",""))))),OR(AND(D1494="Endowment",Inputs!$B$14="Y"),AND(D1494="Foundation",Inputs!$B$15="Y"),AND(D1494="Healthcare",Inputs!$B$16="Y"),AND(D1494="Pension",Inputs!$B$17="Y"),AND(D1494="OCIO",Inputs!$B$18="Y"),AND(D1494="Other",Inputs!$B$19="Y")))),A1494&lt;&gt;in_ClientOrg,NOT(AND(in_ExclHarvard="Y",ISNUMBER(SEARCH("Harvard",A1494))))),$AD1494="Y",K1494&lt;&gt;"",S1494&gt;0),"Y","")</f>
        <v/>
      </c>
      <c r="V1494" s="30" t="n"/>
      <c r="W1494" t="inlineStr"/>
      <c r="X1494" s="28">
        <f>IF(L1494+M1494=0,"",L1494+M1494)</f>
        <v/>
      </c>
      <c r="Y1494" s="38">
        <f>IF(L1494=0,"",M1494/L1494)</f>
        <v/>
      </c>
      <c r="Z1494" t="inlineStr">
        <is>
          <t>Director &amp; Investment Officer</t>
        </is>
      </c>
      <c r="AA1494" t="inlineStr">
        <is>
          <t>Investments</t>
        </is>
      </c>
      <c r="AB1494" s="50" t="inlineStr"/>
      <c r="AC1494" s="43">
        <f>HYPERLINK("https://projects.propublica.org/nonprofits/organizations/716056774/202541289349300534/full","view filing")</f>
        <v/>
      </c>
      <c r="AD1494" s="50" t="inlineStr"/>
    </row>
    <row r="1495">
      <c r="A1495" t="inlineStr">
        <is>
          <t>University Of Arkansas Foundation Inc</t>
        </is>
      </c>
      <c r="B1495" s="50" t="inlineStr">
        <is>
          <t>AR</t>
        </is>
      </c>
      <c r="C1495" s="52" t="n">
        <v>2.56</v>
      </c>
      <c r="D1495" t="inlineStr">
        <is>
          <t>Endowment</t>
        </is>
      </c>
      <c r="E1495" s="50" t="n">
        <v>2023</v>
      </c>
      <c r="F1495" s="50" t="inlineStr">
        <is>
          <t>2024-05-09</t>
        </is>
      </c>
      <c r="G1495" s="50" t="inlineStr">
        <is>
          <t>2023-06-30</t>
        </is>
      </c>
      <c r="H1495" t="inlineStr">
        <is>
          <t>Ms Vickie Ferguson</t>
        </is>
      </c>
      <c r="I1495" t="inlineStr">
        <is>
          <t>VICE PRESIDENT/DIR. OF INVESTMENTS</t>
        </is>
      </c>
      <c r="J1495" t="inlineStr">
        <is>
          <t>Director of Investments</t>
        </is>
      </c>
      <c r="K1495" t="inlineStr">
        <is>
          <t>Sr Investment Professional</t>
        </is>
      </c>
      <c r="L1495" s="28" t="n">
        <v>201813</v>
      </c>
      <c r="M1495" s="28" t="n">
        <v>0</v>
      </c>
      <c r="N1495" s="28" t="n">
        <v>0</v>
      </c>
      <c r="O1495" s="28" t="n">
        <v>20326</v>
      </c>
      <c r="P1495" s="28" t="n">
        <v>1392</v>
      </c>
      <c r="Q1495" s="28" t="n">
        <v>223531</v>
      </c>
      <c r="R1495" s="28" t="n">
        <v>0</v>
      </c>
      <c r="S1495" s="28">
        <f>Q1495-R1495</f>
        <v/>
      </c>
      <c r="T1495" s="28">
        <f>IF(S1495="","",S1495*(1+in_GrowthRate)^(YEARFRAC(DATE(2023,6,30),in_AgeToDate)*IF(in_AgeToDate&lt;DATE(2023,6,30),-1,1)+1))</f>
        <v/>
      </c>
      <c r="U1495" s="50">
        <f>IF(AND(AND(OR(in_Mode="All Funds",AND(C1495&gt;=in_BandFloor,C1495&lt;=in_BandCeiling,OR(in_Geography="National",COUNTIFS(lst_GeoPreset,in_Geography,lst_GeoState,B1495)&gt;0,AND(in_Geography="Custom",ISNUMBER(SEARCH(B1495,SUBSTITUTE(in_CustomStates," ",""))))),OR(AND(D1495="Endowment",Inputs!$B$14="Y"),AND(D1495="Foundation",Inputs!$B$15="Y"),AND(D1495="Healthcare",Inputs!$B$16="Y"),AND(D1495="Pension",Inputs!$B$17="Y"),AND(D1495="OCIO",Inputs!$B$18="Y"),AND(D1495="Other",Inputs!$B$19="Y")))),A1495&lt;&gt;in_ClientOrg,NOT(AND(in_ExclHarvard="Y",ISNUMBER(SEARCH("Harvard",A1495))))),$AD1495="Y",K1495&lt;&gt;"",S1495&gt;0),"Y","")</f>
        <v/>
      </c>
      <c r="V1495" s="30" t="n"/>
      <c r="W1495" t="inlineStr"/>
      <c r="X1495" s="28">
        <f>IF(L1495+M1495=0,"",L1495+M1495)</f>
        <v/>
      </c>
      <c r="Y1495" s="38">
        <f>IF(L1495=0,"",M1495/L1495)</f>
        <v/>
      </c>
      <c r="Z1495" t="inlineStr">
        <is>
          <t>Director &amp; Investment Officer</t>
        </is>
      </c>
      <c r="AA1495" t="inlineStr">
        <is>
          <t>Investments</t>
        </is>
      </c>
      <c r="AB1495" s="50" t="inlineStr"/>
      <c r="AC1495" s="43">
        <f>HYPERLINK("https://projects.propublica.org/nonprofits/organizations/716056774/202401309349304325/full","view filing")</f>
        <v/>
      </c>
      <c r="AD1495" s="50" t="inlineStr"/>
    </row>
    <row r="1496">
      <c r="A1496" t="inlineStr">
        <is>
          <t>University Of Arkansas Foundation Inc</t>
        </is>
      </c>
      <c r="B1496" s="50" t="inlineStr">
        <is>
          <t>AR</t>
        </is>
      </c>
      <c r="C1496" s="52" t="n">
        <v>2.56</v>
      </c>
      <c r="D1496" t="inlineStr">
        <is>
          <t>Endowment</t>
        </is>
      </c>
      <c r="E1496" s="50" t="n">
        <v>2022</v>
      </c>
      <c r="F1496" s="50" t="inlineStr">
        <is>
          <t>2023-05-04</t>
        </is>
      </c>
      <c r="G1496" s="50" t="inlineStr">
        <is>
          <t>2022-06-30</t>
        </is>
      </c>
      <c r="H1496" t="inlineStr">
        <is>
          <t>Ms Vickie Ferguson</t>
        </is>
      </c>
      <c r="I1496" t="inlineStr">
        <is>
          <t>VICE PRESIDENT/DIR. OF INVESTMENTS</t>
        </is>
      </c>
      <c r="J1496" t="inlineStr">
        <is>
          <t>Director of Investments</t>
        </is>
      </c>
      <c r="K1496" t="inlineStr">
        <is>
          <t>Sr Investment Professional</t>
        </is>
      </c>
      <c r="L1496" s="28" t="n">
        <v>203418</v>
      </c>
      <c r="M1496" s="28" t="n">
        <v>0</v>
      </c>
      <c r="N1496" s="28" t="n">
        <v>0</v>
      </c>
      <c r="O1496" s="28" t="n">
        <v>20368</v>
      </c>
      <c r="P1496" s="28" t="n">
        <v>192</v>
      </c>
      <c r="Q1496" s="28" t="n">
        <v>223978</v>
      </c>
      <c r="R1496" s="28" t="n">
        <v>0</v>
      </c>
      <c r="S1496" s="28">
        <f>Q1496-R1496</f>
        <v/>
      </c>
      <c r="T1496" s="28">
        <f>IF(S1496="","",S1496*(1+in_GrowthRate)^(YEARFRAC(DATE(2022,6,30),in_AgeToDate)*IF(in_AgeToDate&lt;DATE(2022,6,30),-1,1)+1))</f>
        <v/>
      </c>
      <c r="U1496" s="50">
        <f>IF(AND(AND(OR(in_Mode="All Funds",AND(C1496&gt;=in_BandFloor,C1496&lt;=in_BandCeiling,OR(in_Geography="National",COUNTIFS(lst_GeoPreset,in_Geography,lst_GeoState,B1496)&gt;0,AND(in_Geography="Custom",ISNUMBER(SEARCH(B1496,SUBSTITUTE(in_CustomStates," ",""))))),OR(AND(D1496="Endowment",Inputs!$B$14="Y"),AND(D1496="Foundation",Inputs!$B$15="Y"),AND(D1496="Healthcare",Inputs!$B$16="Y"),AND(D1496="Pension",Inputs!$B$17="Y"),AND(D1496="OCIO",Inputs!$B$18="Y"),AND(D1496="Other",Inputs!$B$19="Y")))),A1496&lt;&gt;in_ClientOrg,NOT(AND(in_ExclHarvard="Y",ISNUMBER(SEARCH("Harvard",A1496))))),$AD1496="Y",K1496&lt;&gt;"",S1496&gt;0),"Y","")</f>
        <v/>
      </c>
      <c r="V1496" s="30" t="n"/>
      <c r="W1496" t="inlineStr"/>
      <c r="X1496" s="28">
        <f>IF(L1496+M1496=0,"",L1496+M1496)</f>
        <v/>
      </c>
      <c r="Y1496" s="38">
        <f>IF(L1496=0,"",M1496/L1496)</f>
        <v/>
      </c>
      <c r="Z1496" t="inlineStr">
        <is>
          <t>Director &amp; Investment Officer</t>
        </is>
      </c>
      <c r="AA1496" t="inlineStr">
        <is>
          <t>Investments</t>
        </is>
      </c>
      <c r="AB1496" s="50" t="inlineStr"/>
      <c r="AC1496" s="43">
        <f>HYPERLINK("https://projects.propublica.org/nonprofits/organizations/716056774/202331249349301633/full","view filing")</f>
        <v/>
      </c>
      <c r="AD1496" s="50" t="inlineStr"/>
    </row>
    <row r="1497">
      <c r="A1497" t="inlineStr">
        <is>
          <t>University Of Chicago</t>
        </is>
      </c>
      <c r="B1497" s="50" t="inlineStr">
        <is>
          <t>IL</t>
        </is>
      </c>
      <c r="C1497" s="52" t="n">
        <v>10.62</v>
      </c>
      <c r="D1497" t="inlineStr">
        <is>
          <t>Endowment</t>
        </is>
      </c>
      <c r="E1497" s="50" t="n">
        <v>2025</v>
      </c>
      <c r="F1497" s="50" t="inlineStr">
        <is>
          <t>2026-05-14</t>
        </is>
      </c>
      <c r="G1497" s="50" t="inlineStr">
        <is>
          <t>2025-06-30</t>
        </is>
      </c>
      <c r="H1497" t="inlineStr">
        <is>
          <t>Andrew Ward</t>
        </is>
      </c>
      <c r="I1497" t="inlineStr">
        <is>
          <t>VP AND CHIEF INVEST. OFFICER</t>
        </is>
      </c>
      <c r="J1497" t="inlineStr">
        <is>
          <t>CIO</t>
        </is>
      </c>
      <c r="K1497" t="inlineStr">
        <is>
          <t>CIO - Top Investment Executive</t>
        </is>
      </c>
      <c r="L1497" s="28" t="n">
        <v>704000</v>
      </c>
      <c r="M1497" s="28" t="n">
        <v>1929021</v>
      </c>
      <c r="N1497" s="28" t="n">
        <v>57368</v>
      </c>
      <c r="O1497" s="28" t="n">
        <v>27600</v>
      </c>
      <c r="P1497" s="28" t="n">
        <v>41407</v>
      </c>
      <c r="Q1497" s="28" t="n">
        <v>2759396</v>
      </c>
      <c r="R1497" s="28" t="n">
        <v>0</v>
      </c>
      <c r="S1497" s="28">
        <f>Q1497-R1497</f>
        <v/>
      </c>
      <c r="T1497" s="28">
        <f>IF(S1497="","",S1497*(1+in_GrowthRate)^(YEARFRAC(DATE(2025,6,30),in_AgeToDate)*IF(in_AgeToDate&lt;DATE(2025,6,30),-1,1)+1))</f>
        <v/>
      </c>
      <c r="U1497" s="50">
        <f>IF(AND(AND(OR(in_Mode="All Funds",AND(C1497&gt;=in_BandFloor,C1497&lt;=in_BandCeiling,OR(in_Geography="National",COUNTIFS(lst_GeoPreset,in_Geography,lst_GeoState,B1497)&gt;0,AND(in_Geography="Custom",ISNUMBER(SEARCH(B1497,SUBSTITUTE(in_CustomStates," ",""))))),OR(AND(D1497="Endowment",Inputs!$B$14="Y"),AND(D1497="Foundation",Inputs!$B$15="Y"),AND(D1497="Healthcare",Inputs!$B$16="Y"),AND(D1497="Pension",Inputs!$B$17="Y"),AND(D1497="OCIO",Inputs!$B$18="Y"),AND(D1497="Other",Inputs!$B$19="Y")))),A1497&lt;&gt;in_ClientOrg,NOT(AND(in_ExclHarvard="Y",ISNUMBER(SEARCH("Harvard",A1497))))),$AD1497="Y",K1497&lt;&gt;"",S1497&gt;0),"Y","")</f>
        <v/>
      </c>
      <c r="V1497" s="30" t="n">
        <v>1</v>
      </c>
      <c r="W1497" t="inlineStr"/>
      <c r="X1497" s="28">
        <f>IF(L1497+M1497=0,"",L1497+M1497)</f>
        <v/>
      </c>
      <c r="Y1497" s="38">
        <f>IF(L1497=0,"",M1497/L1497)</f>
        <v/>
      </c>
      <c r="Z1497" t="inlineStr">
        <is>
          <t>CIO - Top Investment Executive</t>
        </is>
      </c>
      <c r="AA1497" t="inlineStr">
        <is>
          <t>Leadership</t>
        </is>
      </c>
      <c r="AB1497" s="50" t="inlineStr">
        <is>
          <t>Y</t>
        </is>
      </c>
      <c r="AC1497" s="43">
        <f>HYPERLINK("https://projects.propublica.org/nonprofits/organizations/362177139/202601349349303110/full","view filing")</f>
        <v/>
      </c>
      <c r="AD1497" s="50" t="inlineStr">
        <is>
          <t>Y</t>
        </is>
      </c>
    </row>
    <row r="1498">
      <c r="A1498" t="inlineStr">
        <is>
          <t>University Of Chicago</t>
        </is>
      </c>
      <c r="B1498" s="50" t="inlineStr">
        <is>
          <t>IL</t>
        </is>
      </c>
      <c r="C1498" s="52" t="n">
        <v>10.62</v>
      </c>
      <c r="D1498" t="inlineStr">
        <is>
          <t>Endowment</t>
        </is>
      </c>
      <c r="E1498" s="50" t="n">
        <v>2024</v>
      </c>
      <c r="F1498" s="50" t="inlineStr">
        <is>
          <t>2025-05-15</t>
        </is>
      </c>
      <c r="G1498" s="50" t="inlineStr">
        <is>
          <t>2024-06-30</t>
        </is>
      </c>
      <c r="H1498" t="inlineStr">
        <is>
          <t>Andrew Ward</t>
        </is>
      </c>
      <c r="I1498" t="inlineStr">
        <is>
          <t>VICE PRESIDENT AND CIO</t>
        </is>
      </c>
      <c r="J1498" t="inlineStr">
        <is>
          <t>CIO</t>
        </is>
      </c>
      <c r="K1498" t="inlineStr">
        <is>
          <t>CIO - Top Investment Executive</t>
        </is>
      </c>
      <c r="L1498" s="28" t="n">
        <v>692230</v>
      </c>
      <c r="M1498" s="28" t="n">
        <v>1212000</v>
      </c>
      <c r="N1498" s="28" t="n">
        <v>54037</v>
      </c>
      <c r="O1498" s="28" t="n">
        <v>26400</v>
      </c>
      <c r="P1498" s="28" t="n">
        <v>38354</v>
      </c>
      <c r="Q1498" s="28" t="n">
        <v>2023021</v>
      </c>
      <c r="R1498" s="28" t="n">
        <v>0</v>
      </c>
      <c r="S1498" s="28">
        <f>Q1498-R1498</f>
        <v/>
      </c>
      <c r="T1498" s="28">
        <f>IF(S1498="","",S1498*(1+in_GrowthRate)^(YEARFRAC(DATE(2024,6,30),in_AgeToDate)*IF(in_AgeToDate&lt;DATE(2024,6,30),-1,1)+1))</f>
        <v/>
      </c>
      <c r="U1498" s="50">
        <f>IF(AND(AND(OR(in_Mode="All Funds",AND(C1498&gt;=in_BandFloor,C1498&lt;=in_BandCeiling,OR(in_Geography="National",COUNTIFS(lst_GeoPreset,in_Geography,lst_GeoState,B1498)&gt;0,AND(in_Geography="Custom",ISNUMBER(SEARCH(B1498,SUBSTITUTE(in_CustomStates," ",""))))),OR(AND(D1498="Endowment",Inputs!$B$14="Y"),AND(D1498="Foundation",Inputs!$B$15="Y"),AND(D1498="Healthcare",Inputs!$B$16="Y"),AND(D1498="Pension",Inputs!$B$17="Y"),AND(D1498="OCIO",Inputs!$B$18="Y"),AND(D1498="Other",Inputs!$B$19="Y")))),A1498&lt;&gt;in_ClientOrg,NOT(AND(in_ExclHarvard="Y",ISNUMBER(SEARCH("Harvard",A1498))))),$AD1498="Y",K1498&lt;&gt;"",S1498&gt;0),"Y","")</f>
        <v/>
      </c>
      <c r="V1498" s="30" t="n">
        <v>1</v>
      </c>
      <c r="W1498" t="inlineStr"/>
      <c r="X1498" s="28">
        <f>IF(L1498+M1498=0,"",L1498+M1498)</f>
        <v/>
      </c>
      <c r="Y1498" s="38">
        <f>IF(L1498=0,"",M1498/L1498)</f>
        <v/>
      </c>
      <c r="Z1498" t="inlineStr">
        <is>
          <t>CIO - Top Investment Executive</t>
        </is>
      </c>
      <c r="AA1498" t="inlineStr">
        <is>
          <t>Leadership</t>
        </is>
      </c>
      <c r="AB1498" s="50" t="inlineStr">
        <is>
          <t>Y</t>
        </is>
      </c>
      <c r="AC1498" s="43">
        <f>HYPERLINK("https://projects.propublica.org/nonprofits/organizations/362177139/202541359349309109/full","view filing")</f>
        <v/>
      </c>
      <c r="AD1498" s="50" t="inlineStr"/>
    </row>
    <row r="1499">
      <c r="A1499" t="inlineStr">
        <is>
          <t>University Of Chicago</t>
        </is>
      </c>
      <c r="B1499" s="50" t="inlineStr">
        <is>
          <t>IL</t>
        </is>
      </c>
      <c r="C1499" s="52" t="n">
        <v>10.62</v>
      </c>
      <c r="D1499" t="inlineStr">
        <is>
          <t>Endowment</t>
        </is>
      </c>
      <c r="E1499" s="50" t="n">
        <v>2024</v>
      </c>
      <c r="F1499" s="50" t="inlineStr">
        <is>
          <t>2025-05-15</t>
        </is>
      </c>
      <c r="G1499" s="50" t="inlineStr">
        <is>
          <t>2024-06-30</t>
        </is>
      </c>
      <c r="H1499" t="inlineStr">
        <is>
          <t>Joanna Rupp</t>
        </is>
      </c>
      <c r="I1499" t="inlineStr">
        <is>
          <t>ASST VP/MNG DIR PE</t>
        </is>
      </c>
      <c r="J1499" t="inlineStr">
        <is>
          <t>Managing Director</t>
        </is>
      </c>
      <c r="K1499" t="inlineStr">
        <is>
          <t>Sr Investment Professional</t>
        </is>
      </c>
      <c r="L1499" s="28" t="n">
        <v>562072</v>
      </c>
      <c r="M1499" s="28" t="n">
        <v>890476</v>
      </c>
      <c r="N1499" s="28" t="n">
        <v>0</v>
      </c>
      <c r="O1499" s="28" t="n">
        <v>26400</v>
      </c>
      <c r="P1499" s="28" t="n">
        <v>25371</v>
      </c>
      <c r="Q1499" s="28" t="n">
        <v>1504319</v>
      </c>
      <c r="R1499" s="28" t="n">
        <v>0</v>
      </c>
      <c r="S1499" s="28">
        <f>Q1499-R1499</f>
        <v/>
      </c>
      <c r="T1499" s="28">
        <f>IF(S1499="","",S1499*(1+in_GrowthRate)^(YEARFRAC(DATE(2024,6,30),in_AgeToDate)*IF(in_AgeToDate&lt;DATE(2024,6,30),-1,1)+1))</f>
        <v/>
      </c>
      <c r="U1499" s="50">
        <f>IF(AND(AND(OR(in_Mode="All Funds",AND(C1499&gt;=in_BandFloor,C1499&lt;=in_BandCeiling,OR(in_Geography="National",COUNTIFS(lst_GeoPreset,in_Geography,lst_GeoState,B1499)&gt;0,AND(in_Geography="Custom",ISNUMBER(SEARCH(B1499,SUBSTITUTE(in_CustomStates," ",""))))),OR(AND(D1499="Endowment",Inputs!$B$14="Y"),AND(D1499="Foundation",Inputs!$B$15="Y"),AND(D1499="Healthcare",Inputs!$B$16="Y"),AND(D1499="Pension",Inputs!$B$17="Y"),AND(D1499="OCIO",Inputs!$B$18="Y"),AND(D1499="Other",Inputs!$B$19="Y")))),A1499&lt;&gt;in_ClientOrg,NOT(AND(in_ExclHarvard="Y",ISNUMBER(SEARCH("Harvard",A1499))))),$AD1499="Y",K1499&lt;&gt;"",S1499&gt;0),"Y","")</f>
        <v/>
      </c>
      <c r="V1499" s="30" t="n">
        <v>0.7436002888749054</v>
      </c>
      <c r="W1499" t="inlineStr"/>
      <c r="X1499" s="28">
        <f>IF(L1499+M1499=0,"",L1499+M1499)</f>
        <v/>
      </c>
      <c r="Y1499" s="38">
        <f>IF(L1499=0,"",M1499/L1499)</f>
        <v/>
      </c>
      <c r="Z1499" t="inlineStr">
        <is>
          <t>Managing Director</t>
        </is>
      </c>
      <c r="AA1499" t="inlineStr">
        <is>
          <t>Investments</t>
        </is>
      </c>
      <c r="AB1499" s="50" t="inlineStr"/>
      <c r="AC1499" s="43">
        <f>HYPERLINK("https://projects.propublica.org/nonprofits/organizations/362177139/202541359349309109/full","view filing")</f>
        <v/>
      </c>
      <c r="AD1499" s="50" t="inlineStr"/>
    </row>
    <row r="1500">
      <c r="A1500" t="inlineStr">
        <is>
          <t>University Of Chicago</t>
        </is>
      </c>
      <c r="B1500" s="50" t="inlineStr">
        <is>
          <t>IL</t>
        </is>
      </c>
      <c r="C1500" s="52" t="n">
        <v>10.62</v>
      </c>
      <c r="D1500" t="inlineStr">
        <is>
          <t>Endowment</t>
        </is>
      </c>
      <c r="E1500" s="50" t="n">
        <v>2024</v>
      </c>
      <c r="F1500" s="50" t="inlineStr">
        <is>
          <t>2025-05-15</t>
        </is>
      </c>
      <c r="G1500" s="50" t="inlineStr">
        <is>
          <t>2024-06-30</t>
        </is>
      </c>
      <c r="H1500" t="inlineStr">
        <is>
          <t>Patrick O'Hara</t>
        </is>
      </c>
      <c r="I1500" t="inlineStr">
        <is>
          <t>ASSI VP, COO AND MG DIR</t>
        </is>
      </c>
      <c r="J1500" t="inlineStr">
        <is>
          <t>Managing Director</t>
        </is>
      </c>
      <c r="K1500" t="inlineStr">
        <is>
          <t>Sr Investment Professional</t>
        </is>
      </c>
      <c r="L1500" s="28" t="n">
        <v>99102</v>
      </c>
      <c r="M1500" s="28" t="n">
        <v>436169</v>
      </c>
      <c r="N1500" s="28" t="n">
        <v>0</v>
      </c>
      <c r="O1500" s="28" t="n">
        <v>1597</v>
      </c>
      <c r="P1500" s="28" t="n">
        <v>2350</v>
      </c>
      <c r="Q1500" s="28" t="n">
        <v>539218</v>
      </c>
      <c r="R1500" s="28" t="n">
        <v>0</v>
      </c>
      <c r="S1500" s="28">
        <f>Q1500-R1500</f>
        <v/>
      </c>
      <c r="T1500" s="28">
        <f>IF(S1500="","",S1500*(1+in_GrowthRate)^(YEARFRAC(DATE(2024,6,30),in_AgeToDate)*IF(in_AgeToDate&lt;DATE(2024,6,30),-1,1)+1))</f>
        <v/>
      </c>
      <c r="U1500" s="50">
        <f>IF(AND(AND(OR(in_Mode="All Funds",AND(C1500&gt;=in_BandFloor,C1500&lt;=in_BandCeiling,OR(in_Geography="National",COUNTIFS(lst_GeoPreset,in_Geography,lst_GeoState,B1500)&gt;0,AND(in_Geography="Custom",ISNUMBER(SEARCH(B1500,SUBSTITUTE(in_CustomStates," ",""))))),OR(AND(D1500="Endowment",Inputs!$B$14="Y"),AND(D1500="Foundation",Inputs!$B$15="Y"),AND(D1500="Healthcare",Inputs!$B$16="Y"),AND(D1500="Pension",Inputs!$B$17="Y"),AND(D1500="OCIO",Inputs!$B$18="Y"),AND(D1500="Other",Inputs!$B$19="Y")))),A1500&lt;&gt;in_ClientOrg,NOT(AND(in_ExclHarvard="Y",ISNUMBER(SEARCH("Harvard",A1500))))),$AD1500="Y",K1500&lt;&gt;"",S1500&gt;0),"Y","")</f>
        <v/>
      </c>
      <c r="V1500" s="30" t="n">
        <v>0.2665409800491443</v>
      </c>
      <c r="W1500" t="inlineStr"/>
      <c r="X1500" s="28">
        <f>IF(L1500+M1500=0,"",L1500+M1500)</f>
        <v/>
      </c>
      <c r="Y1500" s="38">
        <f>IF(L1500=0,"",M1500/L1500)</f>
        <v/>
      </c>
      <c r="Z1500" t="inlineStr">
        <is>
          <t>Managing Director</t>
        </is>
      </c>
      <c r="AA1500" t="inlineStr">
        <is>
          <t>Investments</t>
        </is>
      </c>
      <c r="AB1500" s="50" t="inlineStr"/>
      <c r="AC1500" s="43">
        <f>HYPERLINK("https://projects.propublica.org/nonprofits/organizations/362177139/202541359349309109/full","view filing")</f>
        <v/>
      </c>
      <c r="AD1500" s="50" t="inlineStr"/>
    </row>
    <row r="1501">
      <c r="A1501" t="inlineStr">
        <is>
          <t>University Of Chicago</t>
        </is>
      </c>
      <c r="B1501" s="50" t="inlineStr">
        <is>
          <t>IL</t>
        </is>
      </c>
      <c r="C1501" s="52" t="n">
        <v>10.62</v>
      </c>
      <c r="D1501" t="inlineStr">
        <is>
          <t>Endowment</t>
        </is>
      </c>
      <c r="E1501" s="50" t="n">
        <v>2023</v>
      </c>
      <c r="F1501" s="50" t="inlineStr">
        <is>
          <t>2024-05-15</t>
        </is>
      </c>
      <c r="G1501" s="50" t="inlineStr">
        <is>
          <t>2023-06-30</t>
        </is>
      </c>
      <c r="H1501" t="inlineStr">
        <is>
          <t>Andrew Ward</t>
        </is>
      </c>
      <c r="I1501" t="inlineStr">
        <is>
          <t>VP AND CHIEF INVEST. OFFICER</t>
        </is>
      </c>
      <c r="J1501" t="inlineStr">
        <is>
          <t>CIO</t>
        </is>
      </c>
      <c r="K1501" t="inlineStr">
        <is>
          <t>CIO - Top Investment Executive</t>
        </is>
      </c>
      <c r="L1501" s="28" t="n">
        <v>671390</v>
      </c>
      <c r="M1501" s="28" t="n">
        <v>1582000</v>
      </c>
      <c r="N1501" s="28" t="n">
        <v>75147</v>
      </c>
      <c r="O1501" s="28" t="n">
        <v>24400</v>
      </c>
      <c r="P1501" s="28" t="n">
        <v>36639</v>
      </c>
      <c r="Q1501" s="28" t="n">
        <v>2389576</v>
      </c>
      <c r="R1501" s="28" t="n">
        <v>0</v>
      </c>
      <c r="S1501" s="28">
        <f>Q1501-R1501</f>
        <v/>
      </c>
      <c r="T1501" s="28">
        <f>IF(S1501="","",S1501*(1+in_GrowthRate)^(YEARFRAC(DATE(2023,6,30),in_AgeToDate)*IF(in_AgeToDate&lt;DATE(2023,6,30),-1,1)+1))</f>
        <v/>
      </c>
      <c r="U1501" s="50">
        <f>IF(AND(AND(OR(in_Mode="All Funds",AND(C1501&gt;=in_BandFloor,C1501&lt;=in_BandCeiling,OR(in_Geography="National",COUNTIFS(lst_GeoPreset,in_Geography,lst_GeoState,B1501)&gt;0,AND(in_Geography="Custom",ISNUMBER(SEARCH(B1501,SUBSTITUTE(in_CustomStates," ",""))))),OR(AND(D1501="Endowment",Inputs!$B$14="Y"),AND(D1501="Foundation",Inputs!$B$15="Y"),AND(D1501="Healthcare",Inputs!$B$16="Y"),AND(D1501="Pension",Inputs!$B$17="Y"),AND(D1501="OCIO",Inputs!$B$18="Y"),AND(D1501="Other",Inputs!$B$19="Y")))),A1501&lt;&gt;in_ClientOrg,NOT(AND(in_ExclHarvard="Y",ISNUMBER(SEARCH("Harvard",A1501))))),$AD1501="Y",K1501&lt;&gt;"",S1501&gt;0),"Y","")</f>
        <v/>
      </c>
      <c r="V1501" s="30" t="n">
        <v>1</v>
      </c>
      <c r="W1501" t="inlineStr"/>
      <c r="X1501" s="28">
        <f>IF(L1501+M1501=0,"",L1501+M1501)</f>
        <v/>
      </c>
      <c r="Y1501" s="38">
        <f>IF(L1501=0,"",M1501/L1501)</f>
        <v/>
      </c>
      <c r="Z1501" t="inlineStr">
        <is>
          <t>CIO - Top Investment Executive</t>
        </is>
      </c>
      <c r="AA1501" t="inlineStr">
        <is>
          <t>Leadership</t>
        </is>
      </c>
      <c r="AB1501" s="50" t="inlineStr">
        <is>
          <t>Y</t>
        </is>
      </c>
      <c r="AC1501" s="43">
        <f>HYPERLINK("https://projects.propublica.org/nonprofits/organizations/362177139/202421349349306107/full","view filing")</f>
        <v/>
      </c>
      <c r="AD1501" s="50" t="inlineStr"/>
    </row>
    <row r="1502">
      <c r="A1502" t="inlineStr">
        <is>
          <t>University Of Chicago</t>
        </is>
      </c>
      <c r="B1502" s="50" t="inlineStr">
        <is>
          <t>IL</t>
        </is>
      </c>
      <c r="C1502" s="52" t="n">
        <v>10.62</v>
      </c>
      <c r="D1502" t="inlineStr">
        <is>
          <t>Endowment</t>
        </is>
      </c>
      <c r="E1502" s="50" t="n">
        <v>2023</v>
      </c>
      <c r="F1502" s="50" t="inlineStr">
        <is>
          <t>2024-05-15</t>
        </is>
      </c>
      <c r="G1502" s="50" t="inlineStr">
        <is>
          <t>2023-06-30</t>
        </is>
      </c>
      <c r="H1502" t="inlineStr">
        <is>
          <t>Matthew Stone</t>
        </is>
      </c>
      <c r="I1502" t="inlineStr">
        <is>
          <t>Managing Director of Public Markets</t>
        </is>
      </c>
      <c r="J1502" t="inlineStr">
        <is>
          <t>Managing Director</t>
        </is>
      </c>
      <c r="K1502" t="inlineStr">
        <is>
          <t>Sr Investment Professional</t>
        </is>
      </c>
      <c r="L1502" s="28" t="n">
        <v>410730</v>
      </c>
      <c r="M1502" s="28" t="n">
        <v>1334135</v>
      </c>
      <c r="N1502" s="28" t="n">
        <v>81456</v>
      </c>
      <c r="O1502" s="28" t="n">
        <v>24400</v>
      </c>
      <c r="P1502" s="28" t="n">
        <v>23560</v>
      </c>
      <c r="Q1502" s="28" t="n">
        <v>1874281</v>
      </c>
      <c r="R1502" s="28" t="n">
        <v>0</v>
      </c>
      <c r="S1502" s="28">
        <f>Q1502-R1502</f>
        <v/>
      </c>
      <c r="T1502" s="28">
        <f>IF(S1502="","",S1502*(1+in_GrowthRate)^(YEARFRAC(DATE(2023,6,30),in_AgeToDate)*IF(in_AgeToDate&lt;DATE(2023,6,30),-1,1)+1))</f>
        <v/>
      </c>
      <c r="U1502" s="50">
        <f>IF(AND(AND(OR(in_Mode="All Funds",AND(C1502&gt;=in_BandFloor,C1502&lt;=in_BandCeiling,OR(in_Geography="National",COUNTIFS(lst_GeoPreset,in_Geography,lst_GeoState,B1502)&gt;0,AND(in_Geography="Custom",ISNUMBER(SEARCH(B1502,SUBSTITUTE(in_CustomStates," ",""))))),OR(AND(D1502="Endowment",Inputs!$B$14="Y"),AND(D1502="Foundation",Inputs!$B$15="Y"),AND(D1502="Healthcare",Inputs!$B$16="Y"),AND(D1502="Pension",Inputs!$B$17="Y"),AND(D1502="OCIO",Inputs!$B$18="Y"),AND(D1502="Other",Inputs!$B$19="Y")))),A1502&lt;&gt;in_ClientOrg,NOT(AND(in_ExclHarvard="Y",ISNUMBER(SEARCH("Harvard",A1502))))),$AD1502="Y",K1502&lt;&gt;"",S1502&gt;0),"Y","")</f>
        <v/>
      </c>
      <c r="V1502" s="30" t="n">
        <v>0.7843571411832058</v>
      </c>
      <c r="W1502" t="inlineStr"/>
      <c r="X1502" s="28">
        <f>IF(L1502+M1502=0,"",L1502+M1502)</f>
        <v/>
      </c>
      <c r="Y1502" s="38">
        <f>IF(L1502=0,"",M1502/L1502)</f>
        <v/>
      </c>
      <c r="Z1502" t="inlineStr">
        <is>
          <t>Managing Director</t>
        </is>
      </c>
      <c r="AA1502" t="inlineStr">
        <is>
          <t>Investments</t>
        </is>
      </c>
      <c r="AB1502" s="50" t="inlineStr"/>
      <c r="AC1502" s="43">
        <f>HYPERLINK("https://projects.propublica.org/nonprofits/organizations/362177139/202421349349306107/full","view filing")</f>
        <v/>
      </c>
      <c r="AD1502" s="50" t="inlineStr"/>
    </row>
    <row r="1503">
      <c r="A1503" t="inlineStr">
        <is>
          <t>University Of Chicago</t>
        </is>
      </c>
      <c r="B1503" s="50" t="inlineStr">
        <is>
          <t>IL</t>
        </is>
      </c>
      <c r="C1503" s="52" t="n">
        <v>10.62</v>
      </c>
      <c r="D1503" t="inlineStr">
        <is>
          <t>Endowment</t>
        </is>
      </c>
      <c r="E1503" s="50" t="n">
        <v>2022</v>
      </c>
      <c r="F1503" s="50" t="inlineStr">
        <is>
          <t>2023-05-12</t>
        </is>
      </c>
      <c r="G1503" s="50" t="inlineStr">
        <is>
          <t>2022-06-30</t>
        </is>
      </c>
      <c r="H1503" t="inlineStr">
        <is>
          <t>Andy Ward</t>
        </is>
      </c>
      <c r="I1503" t="inlineStr">
        <is>
          <t>VP AND CHIEF INVEST. OFFICER</t>
        </is>
      </c>
      <c r="J1503" t="inlineStr">
        <is>
          <t>CIO</t>
        </is>
      </c>
      <c r="K1503" t="inlineStr">
        <is>
          <t>Sr Investment Professional</t>
        </is>
      </c>
      <c r="L1503" s="28" t="n">
        <v>0</v>
      </c>
      <c r="M1503" s="28" t="n">
        <v>0</v>
      </c>
      <c r="N1503" s="28" t="n">
        <v>0</v>
      </c>
      <c r="O1503" s="28" t="n">
        <v>0</v>
      </c>
      <c r="P1503" s="28" t="n">
        <v>0</v>
      </c>
      <c r="Q1503" s="28" t="n">
        <v>148687</v>
      </c>
      <c r="R1503" s="28" t="n">
        <v>0</v>
      </c>
      <c r="S1503" s="28">
        <f>Q1503-R1503</f>
        <v/>
      </c>
      <c r="T1503" s="28">
        <f>IF(S1503="","",S1503*(1+in_GrowthRate)^(YEARFRAC(DATE(2022,6,30),in_AgeToDate)*IF(in_AgeToDate&lt;DATE(2022,6,30),-1,1)+1))</f>
        <v/>
      </c>
      <c r="U1503" s="50">
        <f>IF(AND(AND(OR(in_Mode="All Funds",AND(C1503&gt;=in_BandFloor,C1503&lt;=in_BandCeiling,OR(in_Geography="National",COUNTIFS(lst_GeoPreset,in_Geography,lst_GeoState,B1503)&gt;0,AND(in_Geography="Custom",ISNUMBER(SEARCH(B1503,SUBSTITUTE(in_CustomStates," ",""))))),OR(AND(D1503="Endowment",Inputs!$B$14="Y"),AND(D1503="Foundation",Inputs!$B$15="Y"),AND(D1503="Healthcare",Inputs!$B$16="Y"),AND(D1503="Pension",Inputs!$B$17="Y"),AND(D1503="OCIO",Inputs!$B$18="Y"),AND(D1503="Other",Inputs!$B$19="Y")))),A1503&lt;&gt;in_ClientOrg,NOT(AND(in_ExclHarvard="Y",ISNUMBER(SEARCH("Harvard",A1503))))),$AD1503="Y",K1503&lt;&gt;"",S1503&gt;0),"Y","")</f>
        <v/>
      </c>
      <c r="V1503" s="30" t="n">
        <v>0.03331297486902174</v>
      </c>
      <c r="W1503" t="inlineStr"/>
      <c r="X1503" s="28">
        <f>IF(L1503+M1503=0,"",L1503+M1503)</f>
        <v/>
      </c>
      <c r="Y1503" s="38">
        <f>IF(L1503=0,"",M1503/L1503)</f>
        <v/>
      </c>
      <c r="Z1503" t="inlineStr">
        <is>
          <t>Deputy CIO</t>
        </is>
      </c>
      <c r="AA1503" t="inlineStr">
        <is>
          <t>Leadership</t>
        </is>
      </c>
      <c r="AB1503" s="50" t="inlineStr"/>
      <c r="AC1503" s="43">
        <f>HYPERLINK("https://projects.propublica.org/nonprofits/organizations/362177139/202321329349307887/full","view filing")</f>
        <v/>
      </c>
      <c r="AD1503" s="50" t="inlineStr"/>
    </row>
    <row r="1504">
      <c r="A1504" t="inlineStr">
        <is>
          <t>University Of Chicago</t>
        </is>
      </c>
      <c r="B1504" s="50" t="inlineStr">
        <is>
          <t>IL</t>
        </is>
      </c>
      <c r="C1504" s="52" t="n">
        <v>10.62</v>
      </c>
      <c r="D1504" t="inlineStr">
        <is>
          <t>Endowment</t>
        </is>
      </c>
      <c r="E1504" s="50" t="n">
        <v>2022</v>
      </c>
      <c r="F1504" s="50" t="inlineStr">
        <is>
          <t>2023-05-12</t>
        </is>
      </c>
      <c r="G1504" s="50" t="inlineStr">
        <is>
          <t>2022-06-30</t>
        </is>
      </c>
      <c r="H1504" t="inlineStr">
        <is>
          <t>Joanna Rupp</t>
        </is>
      </c>
      <c r="I1504" t="inlineStr">
        <is>
          <t>Managing Director Private Equity</t>
        </is>
      </c>
      <c r="J1504" t="inlineStr">
        <is>
          <t>Managing Director</t>
        </is>
      </c>
      <c r="K1504" t="inlineStr">
        <is>
          <t>Sr Investment Professional</t>
        </is>
      </c>
      <c r="L1504" s="28" t="n">
        <v>521406</v>
      </c>
      <c r="M1504" s="28" t="n">
        <v>986319</v>
      </c>
      <c r="N1504" s="28" t="n">
        <v>0</v>
      </c>
      <c r="O1504" s="28" t="n">
        <v>23200</v>
      </c>
      <c r="P1504" s="28" t="n">
        <v>44774</v>
      </c>
      <c r="Q1504" s="28" t="n">
        <v>1575699</v>
      </c>
      <c r="R1504" s="28" t="n">
        <v>0</v>
      </c>
      <c r="S1504" s="28">
        <f>Q1504-R1504</f>
        <v/>
      </c>
      <c r="T1504" s="28">
        <f>IF(S1504="","",S1504*(1+in_GrowthRate)^(YEARFRAC(DATE(2022,6,30),in_AgeToDate)*IF(in_AgeToDate&lt;DATE(2022,6,30),-1,1)+1))</f>
        <v/>
      </c>
      <c r="U1504" s="50">
        <f>IF(AND(AND(OR(in_Mode="All Funds",AND(C1504&gt;=in_BandFloor,C1504&lt;=in_BandCeiling,OR(in_Geography="National",COUNTIFS(lst_GeoPreset,in_Geography,lst_GeoState,B1504)&gt;0,AND(in_Geography="Custom",ISNUMBER(SEARCH(B1504,SUBSTITUTE(in_CustomStates," ",""))))),OR(AND(D1504="Endowment",Inputs!$B$14="Y"),AND(D1504="Foundation",Inputs!$B$15="Y"),AND(D1504="Healthcare",Inputs!$B$16="Y"),AND(D1504="Pension",Inputs!$B$17="Y"),AND(D1504="OCIO",Inputs!$B$18="Y"),AND(D1504="Other",Inputs!$B$19="Y")))),A1504&lt;&gt;in_ClientOrg,NOT(AND(in_ExclHarvard="Y",ISNUMBER(SEARCH("Harvard",A1504))))),$AD1504="Y",K1504&lt;&gt;"",S1504&gt;0),"Y","")</f>
        <v/>
      </c>
      <c r="V1504" s="30" t="n">
        <v>0.3530316785471674</v>
      </c>
      <c r="W1504" t="inlineStr"/>
      <c r="X1504" s="28">
        <f>IF(L1504+M1504=0,"",L1504+M1504)</f>
        <v/>
      </c>
      <c r="Y1504" s="38">
        <f>IF(L1504=0,"",M1504/L1504)</f>
        <v/>
      </c>
      <c r="Z1504" t="inlineStr">
        <is>
          <t>Managing Director</t>
        </is>
      </c>
      <c r="AA1504" t="inlineStr">
        <is>
          <t>Investments</t>
        </is>
      </c>
      <c r="AB1504" s="50" t="inlineStr"/>
      <c r="AC1504" s="43">
        <f>HYPERLINK("https://projects.propublica.org/nonprofits/organizations/362177139/202321329349307887/full","view filing")</f>
        <v/>
      </c>
      <c r="AD1504" s="50" t="inlineStr"/>
    </row>
    <row r="1505">
      <c r="A1505" t="inlineStr">
        <is>
          <t>University Of Chicago</t>
        </is>
      </c>
      <c r="B1505" s="50" t="inlineStr">
        <is>
          <t>IL</t>
        </is>
      </c>
      <c r="C1505" s="52" t="n">
        <v>10.62</v>
      </c>
      <c r="D1505" t="inlineStr">
        <is>
          <t>Endowment</t>
        </is>
      </c>
      <c r="E1505" s="50" t="n">
        <v>2022</v>
      </c>
      <c r="F1505" s="50" t="inlineStr">
        <is>
          <t>2023-05-12</t>
        </is>
      </c>
      <c r="G1505" s="50" t="inlineStr">
        <is>
          <t>2022-06-30</t>
        </is>
      </c>
      <c r="H1505" t="inlineStr">
        <is>
          <t>Mark A Schmid</t>
        </is>
      </c>
      <c r="I1505" t="inlineStr">
        <is>
          <t>VP AND CHIEF INVEST. OFFICER</t>
        </is>
      </c>
      <c r="J1505" t="inlineStr">
        <is>
          <t>CIO</t>
        </is>
      </c>
      <c r="K1505" t="inlineStr">
        <is>
          <t>CIO - Top Investment Executive</t>
        </is>
      </c>
      <c r="L1505" s="28" t="n">
        <v>815974</v>
      </c>
      <c r="M1505" s="28" t="n">
        <v>4083210</v>
      </c>
      <c r="N1505" s="28" t="n">
        <v>296250</v>
      </c>
      <c r="O1505" s="28" t="n">
        <v>23200</v>
      </c>
      <c r="P1505" s="28" t="n">
        <v>16702</v>
      </c>
      <c r="Q1505" s="28" t="n">
        <v>5235336</v>
      </c>
      <c r="R1505" s="28" t="n">
        <v>772000</v>
      </c>
      <c r="S1505" s="28">
        <f>Q1505-R1505</f>
        <v/>
      </c>
      <c r="T1505" s="28">
        <f>IF(S1505="","",S1505*(1+in_GrowthRate)^(YEARFRAC(DATE(2022,6,30),in_AgeToDate)*IF(in_AgeToDate&lt;DATE(2022,6,30),-1,1)+1))</f>
        <v/>
      </c>
      <c r="U1505" s="50">
        <f>IF(AND(AND(OR(in_Mode="All Funds",AND(C1505&gt;=in_BandFloor,C1505&lt;=in_BandCeiling,OR(in_Geography="National",COUNTIFS(lst_GeoPreset,in_Geography,lst_GeoState,B1505)&gt;0,AND(in_Geography="Custom",ISNUMBER(SEARCH(B1505,SUBSTITUTE(in_CustomStates," ",""))))),OR(AND(D1505="Endowment",Inputs!$B$14="Y"),AND(D1505="Foundation",Inputs!$B$15="Y"),AND(D1505="Healthcare",Inputs!$B$16="Y"),AND(D1505="Pension",Inputs!$B$17="Y"),AND(D1505="OCIO",Inputs!$B$18="Y"),AND(D1505="Other",Inputs!$B$19="Y")))),A1505&lt;&gt;in_ClientOrg,NOT(AND(in_ExclHarvard="Y",ISNUMBER(SEARCH("Harvard",A1505))))),$AD1505="Y",K1505&lt;&gt;"",S1505&gt;0),"Y","")</f>
        <v/>
      </c>
      <c r="V1505" s="30" t="n">
        <v>1</v>
      </c>
      <c r="W1505" t="inlineStr"/>
      <c r="X1505" s="28">
        <f>IF(L1505+M1505=0,"",L1505+M1505)</f>
        <v/>
      </c>
      <c r="Y1505" s="38">
        <f>IF(L1505=0,"",M1505/L1505)</f>
        <v/>
      </c>
      <c r="Z1505" t="inlineStr">
        <is>
          <t>CIO - Top Investment Executive</t>
        </is>
      </c>
      <c r="AA1505" t="inlineStr">
        <is>
          <t>Leadership</t>
        </is>
      </c>
      <c r="AB1505" s="50" t="inlineStr">
        <is>
          <t>Y</t>
        </is>
      </c>
      <c r="AC1505" s="43">
        <f>HYPERLINK("https://projects.propublica.org/nonprofits/organizations/362177139/202321329349307887/full","view filing")</f>
        <v/>
      </c>
      <c r="AD1505" s="50" t="inlineStr"/>
    </row>
    <row r="1506">
      <c r="A1506" t="inlineStr">
        <is>
          <t>University Of Dayton</t>
        </is>
      </c>
      <c r="B1506" s="50" t="inlineStr">
        <is>
          <t>OH</t>
        </is>
      </c>
      <c r="C1506" s="52" t="n">
        <v>0.9399999999999999</v>
      </c>
      <c r="D1506" t="inlineStr">
        <is>
          <t>Endowment</t>
        </is>
      </c>
      <c r="E1506" s="50" t="n">
        <v>2025</v>
      </c>
      <c r="F1506" s="50" t="inlineStr">
        <is>
          <t>2026-05-14</t>
        </is>
      </c>
      <c r="G1506" s="50" t="inlineStr">
        <is>
          <t>2025-06-30</t>
        </is>
      </c>
      <c r="H1506" t="inlineStr">
        <is>
          <t>Gurvinder S Rekhi</t>
        </is>
      </c>
      <c r="I1506" t="inlineStr">
        <is>
          <t>VP &amp; CIO</t>
        </is>
      </c>
      <c r="J1506" t="inlineStr">
        <is>
          <t>CIO</t>
        </is>
      </c>
      <c r="K1506" t="inlineStr">
        <is>
          <t>CIO - Top Investment Executive</t>
        </is>
      </c>
      <c r="L1506" s="28" t="n">
        <v>281439</v>
      </c>
      <c r="M1506" s="28" t="n">
        <v>0</v>
      </c>
      <c r="N1506" s="28" t="n">
        <v>42657</v>
      </c>
      <c r="O1506" s="28" t="n">
        <v>15250</v>
      </c>
      <c r="P1506" s="28" t="n">
        <v>3519</v>
      </c>
      <c r="Q1506" s="28" t="n">
        <v>342865</v>
      </c>
      <c r="R1506" s="28" t="n">
        <v>0</v>
      </c>
      <c r="S1506" s="28">
        <f>Q1506-R1506</f>
        <v/>
      </c>
      <c r="T1506" s="28">
        <f>IF(S1506="","",S1506*(1+in_GrowthRate)^(YEARFRAC(DATE(2025,6,30),in_AgeToDate)*IF(in_AgeToDate&lt;DATE(2025,6,30),-1,1)+1))</f>
        <v/>
      </c>
      <c r="U1506" s="50">
        <f>IF(AND(AND(OR(in_Mode="All Funds",AND(C1506&gt;=in_BandFloor,C1506&lt;=in_BandCeiling,OR(in_Geography="National",COUNTIFS(lst_GeoPreset,in_Geography,lst_GeoState,B1506)&gt;0,AND(in_Geography="Custom",ISNUMBER(SEARCH(B1506,SUBSTITUTE(in_CustomStates," ",""))))),OR(AND(D1506="Endowment",Inputs!$B$14="Y"),AND(D1506="Foundation",Inputs!$B$15="Y"),AND(D1506="Healthcare",Inputs!$B$16="Y"),AND(D1506="Pension",Inputs!$B$17="Y"),AND(D1506="OCIO",Inputs!$B$18="Y"),AND(D1506="Other",Inputs!$B$19="Y")))),A1506&lt;&gt;in_ClientOrg,NOT(AND(in_ExclHarvard="Y",ISNUMBER(SEARCH("Harvard",A1506))))),$AD1506="Y",K1506&lt;&gt;"",S1506&gt;0),"Y","")</f>
        <v/>
      </c>
      <c r="V1506" s="30" t="n">
        <v>1</v>
      </c>
      <c r="W1506" t="inlineStr"/>
      <c r="X1506" s="28">
        <f>IF(L1506+M1506=0,"",L1506+M1506)</f>
        <v/>
      </c>
      <c r="Y1506" s="38">
        <f>IF(L1506=0,"",M1506/L1506)</f>
        <v/>
      </c>
      <c r="Z1506" t="inlineStr">
        <is>
          <t>CIO - Top Investment Executive</t>
        </is>
      </c>
      <c r="AA1506" t="inlineStr">
        <is>
          <t>Leadership</t>
        </is>
      </c>
      <c r="AB1506" s="50" t="inlineStr">
        <is>
          <t>Y</t>
        </is>
      </c>
      <c r="AC1506" s="43">
        <f>HYPERLINK("https://projects.propublica.org/nonprofits/organizations/310536715/202621349349308762/full","view filing")</f>
        <v/>
      </c>
      <c r="AD1506" s="50" t="inlineStr">
        <is>
          <t>Y</t>
        </is>
      </c>
    </row>
    <row r="1507">
      <c r="A1507" t="inlineStr">
        <is>
          <t>University Of Dayton</t>
        </is>
      </c>
      <c r="B1507" s="50" t="inlineStr">
        <is>
          <t>OH</t>
        </is>
      </c>
      <c r="C1507" s="52" t="n">
        <v>0.9399999999999999</v>
      </c>
      <c r="D1507" t="inlineStr">
        <is>
          <t>Endowment</t>
        </is>
      </c>
      <c r="E1507" s="50" t="n">
        <v>2024</v>
      </c>
      <c r="F1507" s="50" t="inlineStr">
        <is>
          <t>2025-05-13</t>
        </is>
      </c>
      <c r="G1507" s="50" t="inlineStr">
        <is>
          <t>2024-06-30</t>
        </is>
      </c>
      <c r="H1507" t="inlineStr">
        <is>
          <t>Gurvinder S Rekhi</t>
        </is>
      </c>
      <c r="I1507" t="inlineStr">
        <is>
          <t>VP &amp; CIO</t>
        </is>
      </c>
      <c r="J1507" t="inlineStr">
        <is>
          <t>CIO</t>
        </is>
      </c>
      <c r="K1507" t="inlineStr">
        <is>
          <t>CIO - Top Investment Executive</t>
        </is>
      </c>
      <c r="L1507" s="28" t="n">
        <v>110286</v>
      </c>
      <c r="M1507" s="28" t="n">
        <v>30000</v>
      </c>
      <c r="N1507" s="28" t="n">
        <v>25834</v>
      </c>
      <c r="O1507" s="28" t="n">
        <v>5719</v>
      </c>
      <c r="P1507" s="28" t="n">
        <v>1678</v>
      </c>
      <c r="Q1507" s="28" t="n">
        <v>173517</v>
      </c>
      <c r="R1507" s="28" t="n">
        <v>0</v>
      </c>
      <c r="S1507" s="28">
        <f>Q1507-R1507</f>
        <v/>
      </c>
      <c r="T1507" s="28">
        <f>IF(S1507="","",S1507*(1+in_GrowthRate)^(YEARFRAC(DATE(2024,6,30),in_AgeToDate)*IF(in_AgeToDate&lt;DATE(2024,6,30),-1,1)+1))</f>
        <v/>
      </c>
      <c r="U1507" s="50">
        <f>IF(AND(AND(OR(in_Mode="All Funds",AND(C1507&gt;=in_BandFloor,C1507&lt;=in_BandCeiling,OR(in_Geography="National",COUNTIFS(lst_GeoPreset,in_Geography,lst_GeoState,B1507)&gt;0,AND(in_Geography="Custom",ISNUMBER(SEARCH(B1507,SUBSTITUTE(in_CustomStates," ",""))))),OR(AND(D1507="Endowment",Inputs!$B$14="Y"),AND(D1507="Foundation",Inputs!$B$15="Y"),AND(D1507="Healthcare",Inputs!$B$16="Y"),AND(D1507="Pension",Inputs!$B$17="Y"),AND(D1507="OCIO",Inputs!$B$18="Y"),AND(D1507="Other",Inputs!$B$19="Y")))),A1507&lt;&gt;in_ClientOrg,NOT(AND(in_ExclHarvard="Y",ISNUMBER(SEARCH("Harvard",A1507))))),$AD1507="Y",K1507&lt;&gt;"",S1507&gt;0),"Y","")</f>
        <v/>
      </c>
      <c r="V1507" s="30" t="n">
        <v>1</v>
      </c>
      <c r="W1507" t="inlineStr"/>
      <c r="X1507" s="28">
        <f>IF(L1507+M1507=0,"",L1507+M1507)</f>
        <v/>
      </c>
      <c r="Y1507" s="38">
        <f>IF(L1507=0,"",M1507/L1507)</f>
        <v/>
      </c>
      <c r="Z1507" t="inlineStr">
        <is>
          <t>CIO - Top Investment Executive</t>
        </is>
      </c>
      <c r="AA1507" t="inlineStr">
        <is>
          <t>Leadership</t>
        </is>
      </c>
      <c r="AB1507" s="50" t="inlineStr">
        <is>
          <t>Y</t>
        </is>
      </c>
      <c r="AC1507" s="43">
        <f>HYPERLINK("https://projects.propublica.org/nonprofits/organizations/310536715/202511339349308731/full","view filing")</f>
        <v/>
      </c>
      <c r="AD1507" s="50" t="inlineStr"/>
    </row>
    <row r="1508">
      <c r="A1508" t="inlineStr">
        <is>
          <t>University Of Delaware</t>
        </is>
      </c>
      <c r="B1508" s="50" t="inlineStr">
        <is>
          <t>DE</t>
        </is>
      </c>
      <c r="C1508" s="52" t="n">
        <v>2.06</v>
      </c>
      <c r="D1508" t="inlineStr">
        <is>
          <t>Endowment</t>
        </is>
      </c>
      <c r="E1508" s="50" t="n">
        <v>2025</v>
      </c>
      <c r="F1508" s="50" t="inlineStr">
        <is>
          <t>2026-05-12</t>
        </is>
      </c>
      <c r="G1508" s="50" t="inlineStr">
        <is>
          <t>2025-06-30</t>
        </is>
      </c>
      <c r="H1508" t="inlineStr">
        <is>
          <t>Keith Walter</t>
        </is>
      </c>
      <c r="I1508" t="inlineStr">
        <is>
          <t>CHIEF INVESTMENT OFFICER</t>
        </is>
      </c>
      <c r="J1508" t="inlineStr">
        <is>
          <t>CIO</t>
        </is>
      </c>
      <c r="K1508" t="inlineStr">
        <is>
          <t>CIO - Top Investment Executive</t>
        </is>
      </c>
      <c r="L1508" s="28" t="n">
        <v>593234</v>
      </c>
      <c r="M1508" s="28" t="n">
        <v>520000</v>
      </c>
      <c r="N1508" s="28" t="n">
        <v>0</v>
      </c>
      <c r="O1508" s="28" t="n">
        <v>37949</v>
      </c>
      <c r="P1508" s="28" t="n">
        <v>116449</v>
      </c>
      <c r="Q1508" s="28" t="n">
        <v>1267632</v>
      </c>
      <c r="R1508" s="28" t="n">
        <v>0</v>
      </c>
      <c r="S1508" s="28">
        <f>Q1508-R1508</f>
        <v/>
      </c>
      <c r="T1508" s="28">
        <f>IF(S1508="","",S1508*(1+in_GrowthRate)^(YEARFRAC(DATE(2025,6,30),in_AgeToDate)*IF(in_AgeToDate&lt;DATE(2025,6,30),-1,1)+1))</f>
        <v/>
      </c>
      <c r="U1508" s="50">
        <f>IF(AND(AND(OR(in_Mode="All Funds",AND(C1508&gt;=in_BandFloor,C1508&lt;=in_BandCeiling,OR(in_Geography="National",COUNTIFS(lst_GeoPreset,in_Geography,lst_GeoState,B1508)&gt;0,AND(in_Geography="Custom",ISNUMBER(SEARCH(B1508,SUBSTITUTE(in_CustomStates," ",""))))),OR(AND(D1508="Endowment",Inputs!$B$14="Y"),AND(D1508="Foundation",Inputs!$B$15="Y"),AND(D1508="Healthcare",Inputs!$B$16="Y"),AND(D1508="Pension",Inputs!$B$17="Y"),AND(D1508="OCIO",Inputs!$B$18="Y"),AND(D1508="Other",Inputs!$B$19="Y")))),A1508&lt;&gt;in_ClientOrg,NOT(AND(in_ExclHarvard="Y",ISNUMBER(SEARCH("Harvard",A1508))))),$AD1508="Y",K1508&lt;&gt;"",S1508&gt;0),"Y","")</f>
        <v/>
      </c>
      <c r="V1508" s="30" t="n">
        <v>1</v>
      </c>
      <c r="W1508" t="inlineStr"/>
      <c r="X1508" s="28">
        <f>IF(L1508+M1508=0,"",L1508+M1508)</f>
        <v/>
      </c>
      <c r="Y1508" s="38">
        <f>IF(L1508=0,"",M1508/L1508)</f>
        <v/>
      </c>
      <c r="Z1508" t="inlineStr">
        <is>
          <t>CIO - Top Investment Executive</t>
        </is>
      </c>
      <c r="AA1508" t="inlineStr">
        <is>
          <t>Leadership</t>
        </is>
      </c>
      <c r="AB1508" s="50" t="inlineStr">
        <is>
          <t>Y</t>
        </is>
      </c>
      <c r="AC1508" s="43">
        <f>HYPERLINK("https://projects.propublica.org/nonprofits/organizations/516000297/202601329349305235/full","view filing")</f>
        <v/>
      </c>
      <c r="AD1508" s="50" t="inlineStr">
        <is>
          <t>Y</t>
        </is>
      </c>
    </row>
    <row r="1509">
      <c r="A1509" t="inlineStr">
        <is>
          <t>University Of Delaware</t>
        </is>
      </c>
      <c r="B1509" s="50" t="inlineStr">
        <is>
          <t>DE</t>
        </is>
      </c>
      <c r="C1509" s="52" t="n">
        <v>2.06</v>
      </c>
      <c r="D1509" t="inlineStr">
        <is>
          <t>Endowment</t>
        </is>
      </c>
      <c r="E1509" s="50" t="n">
        <v>2024</v>
      </c>
      <c r="F1509" s="50" t="inlineStr">
        <is>
          <t>2025-05-14</t>
        </is>
      </c>
      <c r="G1509" s="50" t="inlineStr">
        <is>
          <t>2024-06-30</t>
        </is>
      </c>
      <c r="H1509" t="inlineStr">
        <is>
          <t>Keith Walter</t>
        </is>
      </c>
      <c r="I1509" t="inlineStr">
        <is>
          <t>CHIEF INVESTMENT OFFICER</t>
        </is>
      </c>
      <c r="J1509" t="inlineStr">
        <is>
          <t>CIO</t>
        </is>
      </c>
      <c r="K1509" t="inlineStr">
        <is>
          <t>CIO - Top Investment Executive</t>
        </is>
      </c>
      <c r="L1509" s="28" t="n">
        <v>526290</v>
      </c>
      <c r="M1509" s="28" t="n">
        <v>600000</v>
      </c>
      <c r="N1509" s="28" t="n">
        <v>0</v>
      </c>
      <c r="O1509" s="28" t="n">
        <v>36301</v>
      </c>
      <c r="P1509" s="28" t="n">
        <v>87833</v>
      </c>
      <c r="Q1509" s="28" t="n">
        <v>1250424</v>
      </c>
      <c r="R1509" s="28" t="n">
        <v>0</v>
      </c>
      <c r="S1509" s="28">
        <f>Q1509-R1509</f>
        <v/>
      </c>
      <c r="T1509" s="28">
        <f>IF(S1509="","",S1509*(1+in_GrowthRate)^(YEARFRAC(DATE(2024,6,30),in_AgeToDate)*IF(in_AgeToDate&lt;DATE(2024,6,30),-1,1)+1))</f>
        <v/>
      </c>
      <c r="U1509" s="50">
        <f>IF(AND(AND(OR(in_Mode="All Funds",AND(C1509&gt;=in_BandFloor,C1509&lt;=in_BandCeiling,OR(in_Geography="National",COUNTIFS(lst_GeoPreset,in_Geography,lst_GeoState,B1509)&gt;0,AND(in_Geography="Custom",ISNUMBER(SEARCH(B1509,SUBSTITUTE(in_CustomStates," ",""))))),OR(AND(D1509="Endowment",Inputs!$B$14="Y"),AND(D1509="Foundation",Inputs!$B$15="Y"),AND(D1509="Healthcare",Inputs!$B$16="Y"),AND(D1509="Pension",Inputs!$B$17="Y"),AND(D1509="OCIO",Inputs!$B$18="Y"),AND(D1509="Other",Inputs!$B$19="Y")))),A1509&lt;&gt;in_ClientOrg,NOT(AND(in_ExclHarvard="Y",ISNUMBER(SEARCH("Harvard",A1509))))),$AD1509="Y",K1509&lt;&gt;"",S1509&gt;0),"Y","")</f>
        <v/>
      </c>
      <c r="V1509" s="30" t="n">
        <v>1</v>
      </c>
      <c r="W1509" t="inlineStr"/>
      <c r="X1509" s="28">
        <f>IF(L1509+M1509=0,"",L1509+M1509)</f>
        <v/>
      </c>
      <c r="Y1509" s="38">
        <f>IF(L1509=0,"",M1509/L1509)</f>
        <v/>
      </c>
      <c r="Z1509" t="inlineStr">
        <is>
          <t>CIO - Top Investment Executive</t>
        </is>
      </c>
      <c r="AA1509" t="inlineStr">
        <is>
          <t>Leadership</t>
        </is>
      </c>
      <c r="AB1509" s="50" t="inlineStr">
        <is>
          <t>Y</t>
        </is>
      </c>
      <c r="AC1509" s="43">
        <f>HYPERLINK("https://projects.propublica.org/nonprofits/organizations/516000297/202511349349309311/full","view filing")</f>
        <v/>
      </c>
      <c r="AD1509" s="50" t="inlineStr"/>
    </row>
    <row r="1510">
      <c r="A1510" t="inlineStr">
        <is>
          <t>University Of Delaware</t>
        </is>
      </c>
      <c r="B1510" s="50" t="inlineStr">
        <is>
          <t>DE</t>
        </is>
      </c>
      <c r="C1510" s="52" t="n">
        <v>2.06</v>
      </c>
      <c r="D1510" t="inlineStr">
        <is>
          <t>Endowment</t>
        </is>
      </c>
      <c r="E1510" s="50" t="n">
        <v>2023</v>
      </c>
      <c r="F1510" s="50" t="inlineStr">
        <is>
          <t>2024-05-14</t>
        </is>
      </c>
      <c r="G1510" s="50" t="inlineStr">
        <is>
          <t>2023-06-30</t>
        </is>
      </c>
      <c r="H1510" t="inlineStr">
        <is>
          <t>Keith Walter</t>
        </is>
      </c>
      <c r="I1510" t="inlineStr">
        <is>
          <t>CHIEF INVESTMENT OFFICER</t>
        </is>
      </c>
      <c r="J1510" t="inlineStr">
        <is>
          <t>CIO</t>
        </is>
      </c>
      <c r="K1510" t="inlineStr">
        <is>
          <t>CIO - Top Investment Executive</t>
        </is>
      </c>
      <c r="L1510" s="28" t="n">
        <v>506328</v>
      </c>
      <c r="M1510" s="28" t="n">
        <v>580000</v>
      </c>
      <c r="N1510" s="28" t="n">
        <v>0</v>
      </c>
      <c r="O1510" s="28" t="n">
        <v>28966</v>
      </c>
      <c r="P1510" s="28" t="n">
        <v>60883</v>
      </c>
      <c r="Q1510" s="28" t="n">
        <v>1176177</v>
      </c>
      <c r="R1510" s="28" t="n">
        <v>0</v>
      </c>
      <c r="S1510" s="28">
        <f>Q1510-R1510</f>
        <v/>
      </c>
      <c r="T1510" s="28">
        <f>IF(S1510="","",S1510*(1+in_GrowthRate)^(YEARFRAC(DATE(2023,6,30),in_AgeToDate)*IF(in_AgeToDate&lt;DATE(2023,6,30),-1,1)+1))</f>
        <v/>
      </c>
      <c r="U1510" s="50">
        <f>IF(AND(AND(OR(in_Mode="All Funds",AND(C1510&gt;=in_BandFloor,C1510&lt;=in_BandCeiling,OR(in_Geography="National",COUNTIFS(lst_GeoPreset,in_Geography,lst_GeoState,B1510)&gt;0,AND(in_Geography="Custom",ISNUMBER(SEARCH(B1510,SUBSTITUTE(in_CustomStates," ",""))))),OR(AND(D1510="Endowment",Inputs!$B$14="Y"),AND(D1510="Foundation",Inputs!$B$15="Y"),AND(D1510="Healthcare",Inputs!$B$16="Y"),AND(D1510="Pension",Inputs!$B$17="Y"),AND(D1510="OCIO",Inputs!$B$18="Y"),AND(D1510="Other",Inputs!$B$19="Y")))),A1510&lt;&gt;in_ClientOrg,NOT(AND(in_ExclHarvard="Y",ISNUMBER(SEARCH("Harvard",A1510))))),$AD1510="Y",K1510&lt;&gt;"",S1510&gt;0),"Y","")</f>
        <v/>
      </c>
      <c r="V1510" s="30" t="n">
        <v>1</v>
      </c>
      <c r="W1510" t="inlineStr"/>
      <c r="X1510" s="28">
        <f>IF(L1510+M1510=0,"",L1510+M1510)</f>
        <v/>
      </c>
      <c r="Y1510" s="38">
        <f>IF(L1510=0,"",M1510/L1510)</f>
        <v/>
      </c>
      <c r="Z1510" t="inlineStr">
        <is>
          <t>CIO - Top Investment Executive</t>
        </is>
      </c>
      <c r="AA1510" t="inlineStr">
        <is>
          <t>Leadership</t>
        </is>
      </c>
      <c r="AB1510" s="50" t="inlineStr">
        <is>
          <t>Y</t>
        </is>
      </c>
      <c r="AC1510" s="43">
        <f>HYPERLINK("https://projects.propublica.org/nonprofits/organizations/516000297/202431359349313418/full","view filing")</f>
        <v/>
      </c>
      <c r="AD1510" s="50" t="inlineStr"/>
    </row>
    <row r="1511">
      <c r="A1511" t="inlineStr">
        <is>
          <t>University Of Delaware</t>
        </is>
      </c>
      <c r="B1511" s="50" t="inlineStr">
        <is>
          <t>DE</t>
        </is>
      </c>
      <c r="C1511" s="52" t="n">
        <v>2.06</v>
      </c>
      <c r="D1511" t="inlineStr">
        <is>
          <t>Endowment</t>
        </is>
      </c>
      <c r="E1511" s="50" t="n">
        <v>2022</v>
      </c>
      <c r="F1511" s="50" t="inlineStr">
        <is>
          <t>2023-05-12</t>
        </is>
      </c>
      <c r="G1511" s="50" t="inlineStr">
        <is>
          <t>2022-06-30</t>
        </is>
      </c>
      <c r="H1511" t="inlineStr">
        <is>
          <t>Keith Walter</t>
        </is>
      </c>
      <c r="I1511" t="inlineStr">
        <is>
          <t>CHIEF INVESTMENT OFFICER</t>
        </is>
      </c>
      <c r="J1511" t="inlineStr">
        <is>
          <t>CIO</t>
        </is>
      </c>
      <c r="K1511" t="inlineStr">
        <is>
          <t>CIO - Top Investment Executive</t>
        </is>
      </c>
      <c r="L1511" s="28" t="n">
        <v>473660</v>
      </c>
      <c r="M1511" s="28" t="n">
        <v>580000</v>
      </c>
      <c r="N1511" s="28" t="n">
        <v>0</v>
      </c>
      <c r="O1511" s="28" t="n">
        <v>31901</v>
      </c>
      <c r="P1511" s="28" t="n">
        <v>42228</v>
      </c>
      <c r="Q1511" s="28" t="n">
        <v>1127789</v>
      </c>
      <c r="R1511" s="28" t="n">
        <v>0</v>
      </c>
      <c r="S1511" s="28">
        <f>Q1511-R1511</f>
        <v/>
      </c>
      <c r="T1511" s="28">
        <f>IF(S1511="","",S1511*(1+in_GrowthRate)^(YEARFRAC(DATE(2022,6,30),in_AgeToDate)*IF(in_AgeToDate&lt;DATE(2022,6,30),-1,1)+1))</f>
        <v/>
      </c>
      <c r="U1511" s="50">
        <f>IF(AND(AND(OR(in_Mode="All Funds",AND(C1511&gt;=in_BandFloor,C1511&lt;=in_BandCeiling,OR(in_Geography="National",COUNTIFS(lst_GeoPreset,in_Geography,lst_GeoState,B1511)&gt;0,AND(in_Geography="Custom",ISNUMBER(SEARCH(B1511,SUBSTITUTE(in_CustomStates," ",""))))),OR(AND(D1511="Endowment",Inputs!$B$14="Y"),AND(D1511="Foundation",Inputs!$B$15="Y"),AND(D1511="Healthcare",Inputs!$B$16="Y"),AND(D1511="Pension",Inputs!$B$17="Y"),AND(D1511="OCIO",Inputs!$B$18="Y"),AND(D1511="Other",Inputs!$B$19="Y")))),A1511&lt;&gt;in_ClientOrg,NOT(AND(in_ExclHarvard="Y",ISNUMBER(SEARCH("Harvard",A1511))))),$AD1511="Y",K1511&lt;&gt;"",S1511&gt;0),"Y","")</f>
        <v/>
      </c>
      <c r="V1511" s="30" t="n">
        <v>1</v>
      </c>
      <c r="W1511" t="inlineStr"/>
      <c r="X1511" s="28">
        <f>IF(L1511+M1511=0,"",L1511+M1511)</f>
        <v/>
      </c>
      <c r="Y1511" s="38">
        <f>IF(L1511=0,"",M1511/L1511)</f>
        <v/>
      </c>
      <c r="Z1511" t="inlineStr">
        <is>
          <t>CIO - Top Investment Executive</t>
        </is>
      </c>
      <c r="AA1511" t="inlineStr">
        <is>
          <t>Leadership</t>
        </is>
      </c>
      <c r="AB1511" s="50" t="inlineStr">
        <is>
          <t>Y</t>
        </is>
      </c>
      <c r="AC1511" s="43">
        <f>HYPERLINK("https://projects.propublica.org/nonprofits/organizations/516000297/202331329349309483/full","view filing")</f>
        <v/>
      </c>
      <c r="AD1511" s="50" t="inlineStr"/>
    </row>
    <row r="1512">
      <c r="A1512" t="inlineStr">
        <is>
          <t>University Of Florida Investment Corporation</t>
        </is>
      </c>
      <c r="B1512" s="50" t="inlineStr">
        <is>
          <t>FL</t>
        </is>
      </c>
      <c r="C1512" s="52" t="n">
        <v>2.45</v>
      </c>
      <c r="D1512" t="inlineStr">
        <is>
          <t>Endowment</t>
        </is>
      </c>
      <c r="E1512" s="50" t="n">
        <v>2025</v>
      </c>
      <c r="F1512" s="50" t="inlineStr">
        <is>
          <t>2026-04-07</t>
        </is>
      </c>
      <c r="G1512" s="50" t="inlineStr">
        <is>
          <t>2025-06-30</t>
        </is>
      </c>
      <c r="H1512" t="inlineStr">
        <is>
          <t>Brennan Bubp</t>
        </is>
      </c>
      <c r="I1512" t="inlineStr">
        <is>
          <t>SENIOR INVESTMENT ANALYST</t>
        </is>
      </c>
      <c r="J1512" t="inlineStr">
        <is>
          <t>Senior Analyst</t>
        </is>
      </c>
      <c r="K1512" t="inlineStr">
        <is>
          <t>Sr Investment Professional</t>
        </is>
      </c>
      <c r="L1512" s="28" t="n">
        <v>161762</v>
      </c>
      <c r="M1512" s="28" t="n">
        <v>61802</v>
      </c>
      <c r="N1512" s="28" t="n">
        <v>3838</v>
      </c>
      <c r="O1512" s="28" t="n">
        <v>34219</v>
      </c>
      <c r="P1512" s="28" t="n">
        <v>21963</v>
      </c>
      <c r="Q1512" s="28" t="n">
        <v>283584</v>
      </c>
      <c r="R1512" s="28" t="n">
        <v>0</v>
      </c>
      <c r="S1512" s="28">
        <f>Q1512-R1512</f>
        <v/>
      </c>
      <c r="T1512" s="28">
        <f>IF(S1512="","",S1512*(1+in_GrowthRate)^(YEARFRAC(DATE(2025,6,30),in_AgeToDate)*IF(in_AgeToDate&lt;DATE(2025,6,30),-1,1)+1))</f>
        <v/>
      </c>
      <c r="U1512" s="50">
        <f>IF(AND(AND(OR(in_Mode="All Funds",AND(C1512&gt;=in_BandFloor,C1512&lt;=in_BandCeiling,OR(in_Geography="National",COUNTIFS(lst_GeoPreset,in_Geography,lst_GeoState,B1512)&gt;0,AND(in_Geography="Custom",ISNUMBER(SEARCH(B1512,SUBSTITUTE(in_CustomStates," ",""))))),OR(AND(D1512="Endowment",Inputs!$B$14="Y"),AND(D1512="Foundation",Inputs!$B$15="Y"),AND(D1512="Healthcare",Inputs!$B$16="Y"),AND(D1512="Pension",Inputs!$B$17="Y"),AND(D1512="OCIO",Inputs!$B$18="Y"),AND(D1512="Other",Inputs!$B$19="Y")))),A1512&lt;&gt;in_ClientOrg,NOT(AND(in_ExclHarvard="Y",ISNUMBER(SEARCH("Harvard",A1512))))),$AD1512="Y",K1512&lt;&gt;"",S1512&gt;0),"Y","")</f>
        <v/>
      </c>
      <c r="V1512" s="30" t="n"/>
      <c r="W1512" t="inlineStr"/>
      <c r="X1512" s="28">
        <f>IF(L1512+M1512=0,"",L1512+M1512)</f>
        <v/>
      </c>
      <c r="Y1512" s="38">
        <f>IF(L1512=0,"",M1512/L1512)</f>
        <v/>
      </c>
      <c r="Z1512" t="inlineStr">
        <is>
          <t>Other investment staff</t>
        </is>
      </c>
      <c r="AA1512" t="inlineStr">
        <is>
          <t>Investments</t>
        </is>
      </c>
      <c r="AB1512" s="50" t="inlineStr"/>
      <c r="AC1512" s="43">
        <f>HYPERLINK("https://projects.propublica.org/nonprofits/organizations/201226494/202610979349301311/full","view filing")</f>
        <v/>
      </c>
      <c r="AD1512" s="50" t="inlineStr">
        <is>
          <t>Y</t>
        </is>
      </c>
    </row>
    <row r="1513">
      <c r="A1513" t="inlineStr">
        <is>
          <t>University Of Florida Investment Corporation</t>
        </is>
      </c>
      <c r="B1513" s="50" t="inlineStr">
        <is>
          <t>FL</t>
        </is>
      </c>
      <c r="C1513" s="52" t="n">
        <v>2.45</v>
      </c>
      <c r="D1513" t="inlineStr">
        <is>
          <t>Endowment</t>
        </is>
      </c>
      <c r="E1513" s="50" t="n">
        <v>2025</v>
      </c>
      <c r="F1513" s="50" t="inlineStr">
        <is>
          <t>2026-04-07</t>
        </is>
      </c>
      <c r="G1513" s="50" t="inlineStr">
        <is>
          <t>2025-06-30</t>
        </is>
      </c>
      <c r="H1513" t="inlineStr">
        <is>
          <t>Brian C Mawdsley</t>
        </is>
      </c>
      <c r="I1513" t="inlineStr">
        <is>
          <t>DEPUTY CIO</t>
        </is>
      </c>
      <c r="J1513" t="inlineStr">
        <is>
          <t>Deputy CIO</t>
        </is>
      </c>
      <c r="K1513" t="inlineStr">
        <is>
          <t>Sr Investment Professional</t>
        </is>
      </c>
      <c r="L1513" s="28" t="n">
        <v>442928</v>
      </c>
      <c r="M1513" s="28" t="n">
        <v>360066</v>
      </c>
      <c r="N1513" s="28" t="n">
        <v>1458</v>
      </c>
      <c r="O1513" s="28" t="n">
        <v>122231</v>
      </c>
      <c r="P1513" s="28" t="n">
        <v>22268</v>
      </c>
      <c r="Q1513" s="28" t="n">
        <v>948951</v>
      </c>
      <c r="R1513" s="28" t="n">
        <v>0</v>
      </c>
      <c r="S1513" s="28">
        <f>Q1513-R1513</f>
        <v/>
      </c>
      <c r="T1513" s="28">
        <f>IF(S1513="","",S1513*(1+in_GrowthRate)^(YEARFRAC(DATE(2025,6,30),in_AgeToDate)*IF(in_AgeToDate&lt;DATE(2025,6,30),-1,1)+1))</f>
        <v/>
      </c>
      <c r="U1513" s="50">
        <f>IF(AND(AND(OR(in_Mode="All Funds",AND(C1513&gt;=in_BandFloor,C1513&lt;=in_BandCeiling,OR(in_Geography="National",COUNTIFS(lst_GeoPreset,in_Geography,lst_GeoState,B1513)&gt;0,AND(in_Geography="Custom",ISNUMBER(SEARCH(B1513,SUBSTITUTE(in_CustomStates," ",""))))),OR(AND(D1513="Endowment",Inputs!$B$14="Y"),AND(D1513="Foundation",Inputs!$B$15="Y"),AND(D1513="Healthcare",Inputs!$B$16="Y"),AND(D1513="Pension",Inputs!$B$17="Y"),AND(D1513="OCIO",Inputs!$B$18="Y"),AND(D1513="Other",Inputs!$B$19="Y")))),A1513&lt;&gt;in_ClientOrg,NOT(AND(in_ExclHarvard="Y",ISNUMBER(SEARCH("Harvard",A1513))))),$AD1513="Y",K1513&lt;&gt;"",S1513&gt;0),"Y","")</f>
        <v/>
      </c>
      <c r="V1513" s="30" t="n"/>
      <c r="W1513" t="inlineStr"/>
      <c r="X1513" s="28">
        <f>IF(L1513+M1513=0,"",L1513+M1513)</f>
        <v/>
      </c>
      <c r="Y1513" s="38">
        <f>IF(L1513=0,"",M1513/L1513)</f>
        <v/>
      </c>
      <c r="Z1513" t="inlineStr">
        <is>
          <t>Deputy CIO</t>
        </is>
      </c>
      <c r="AA1513" t="inlineStr">
        <is>
          <t>Leadership</t>
        </is>
      </c>
      <c r="AB1513" s="50" t="inlineStr"/>
      <c r="AC1513" s="43">
        <f>HYPERLINK("https://projects.propublica.org/nonprofits/organizations/201226494/202610979349301311/full","view filing")</f>
        <v/>
      </c>
      <c r="AD1513" s="50" t="inlineStr">
        <is>
          <t>Y</t>
        </is>
      </c>
    </row>
    <row r="1514">
      <c r="A1514" t="inlineStr">
        <is>
          <t>University Of Florida Investment Corporation</t>
        </is>
      </c>
      <c r="B1514" s="50" t="inlineStr">
        <is>
          <t>FL</t>
        </is>
      </c>
      <c r="C1514" s="52" t="n">
        <v>2.45</v>
      </c>
      <c r="D1514" t="inlineStr">
        <is>
          <t>Endowment</t>
        </is>
      </c>
      <c r="E1514" s="50" t="n">
        <v>2025</v>
      </c>
      <c r="F1514" s="50" t="inlineStr">
        <is>
          <t>2026-04-07</t>
        </is>
      </c>
      <c r="G1514" s="50" t="inlineStr">
        <is>
          <t>2025-06-30</t>
        </is>
      </c>
      <c r="H1514" t="inlineStr">
        <is>
          <t>Daniel Lee</t>
        </is>
      </c>
      <c r="I1514" t="inlineStr">
        <is>
          <t>SENIOR INVESTMENT ANALYST</t>
        </is>
      </c>
      <c r="J1514" t="inlineStr">
        <is>
          <t>Senior Analyst</t>
        </is>
      </c>
      <c r="K1514" t="inlineStr">
        <is>
          <t>Sr Investment Professional</t>
        </is>
      </c>
      <c r="L1514" s="28" t="n">
        <v>163196</v>
      </c>
      <c r="M1514" s="28" t="n">
        <v>31571</v>
      </c>
      <c r="N1514" s="28" t="n">
        <v>7028</v>
      </c>
      <c r="O1514" s="28" t="n">
        <v>31551</v>
      </c>
      <c r="P1514" s="28" t="n">
        <v>9356</v>
      </c>
      <c r="Q1514" s="28" t="n">
        <v>242702</v>
      </c>
      <c r="R1514" s="28" t="n">
        <v>0</v>
      </c>
      <c r="S1514" s="28">
        <f>Q1514-R1514</f>
        <v/>
      </c>
      <c r="T1514" s="28">
        <f>IF(S1514="","",S1514*(1+in_GrowthRate)^(YEARFRAC(DATE(2025,6,30),in_AgeToDate)*IF(in_AgeToDate&lt;DATE(2025,6,30),-1,1)+1))</f>
        <v/>
      </c>
      <c r="U1514" s="50">
        <f>IF(AND(AND(OR(in_Mode="All Funds",AND(C1514&gt;=in_BandFloor,C1514&lt;=in_BandCeiling,OR(in_Geography="National",COUNTIFS(lst_GeoPreset,in_Geography,lst_GeoState,B1514)&gt;0,AND(in_Geography="Custom",ISNUMBER(SEARCH(B1514,SUBSTITUTE(in_CustomStates," ",""))))),OR(AND(D1514="Endowment",Inputs!$B$14="Y"),AND(D1514="Foundation",Inputs!$B$15="Y"),AND(D1514="Healthcare",Inputs!$B$16="Y"),AND(D1514="Pension",Inputs!$B$17="Y"),AND(D1514="OCIO",Inputs!$B$18="Y"),AND(D1514="Other",Inputs!$B$19="Y")))),A1514&lt;&gt;in_ClientOrg,NOT(AND(in_ExclHarvard="Y",ISNUMBER(SEARCH("Harvard",A1514))))),$AD1514="Y",K1514&lt;&gt;"",S1514&gt;0),"Y","")</f>
        <v/>
      </c>
      <c r="V1514" s="30" t="n"/>
      <c r="W1514" t="inlineStr"/>
      <c r="X1514" s="28">
        <f>IF(L1514+M1514=0,"",L1514+M1514)</f>
        <v/>
      </c>
      <c r="Y1514" s="38">
        <f>IF(L1514=0,"",M1514/L1514)</f>
        <v/>
      </c>
      <c r="Z1514" t="inlineStr">
        <is>
          <t>Other investment staff</t>
        </is>
      </c>
      <c r="AA1514" t="inlineStr">
        <is>
          <t>Investments</t>
        </is>
      </c>
      <c r="AB1514" s="50" t="inlineStr"/>
      <c r="AC1514" s="43">
        <f>HYPERLINK("https://projects.propublica.org/nonprofits/organizations/201226494/202610979349301311/full","view filing")</f>
        <v/>
      </c>
      <c r="AD1514" s="50" t="inlineStr">
        <is>
          <t>Y</t>
        </is>
      </c>
    </row>
    <row r="1515">
      <c r="A1515" t="inlineStr">
        <is>
          <t>University Of Florida Investment Corporation</t>
        </is>
      </c>
      <c r="B1515" s="50" t="inlineStr">
        <is>
          <t>FL</t>
        </is>
      </c>
      <c r="C1515" s="52" t="n">
        <v>2.45</v>
      </c>
      <c r="D1515" t="inlineStr">
        <is>
          <t>Endowment</t>
        </is>
      </c>
      <c r="E1515" s="50" t="n">
        <v>2025</v>
      </c>
      <c r="F1515" s="50" t="inlineStr">
        <is>
          <t>2026-04-07</t>
        </is>
      </c>
      <c r="G1515" s="50" t="inlineStr">
        <is>
          <t>2025-06-30</t>
        </is>
      </c>
      <c r="H1515" t="inlineStr">
        <is>
          <t>Edward A Kelly</t>
        </is>
      </c>
      <c r="I1515" t="inlineStr">
        <is>
          <t>COO/VICE PRESIDENT</t>
        </is>
      </c>
      <c r="J1515" t="inlineStr">
        <is>
          <t>COO (Inv Entity)</t>
        </is>
      </c>
      <c r="K1515" t="inlineStr">
        <is>
          <t>COO (Investment Office)</t>
        </is>
      </c>
      <c r="L1515" s="28" t="n">
        <v>342166</v>
      </c>
      <c r="M1515" s="28" t="n">
        <v>146759</v>
      </c>
      <c r="N1515" s="28" t="n">
        <v>5220</v>
      </c>
      <c r="O1515" s="28" t="n">
        <v>66707</v>
      </c>
      <c r="P1515" s="28" t="n">
        <v>23350</v>
      </c>
      <c r="Q1515" s="28" t="n">
        <v>584202</v>
      </c>
      <c r="R1515" s="28" t="n">
        <v>0</v>
      </c>
      <c r="S1515" s="28">
        <f>Q1515-R1515</f>
        <v/>
      </c>
      <c r="T1515" s="28">
        <f>IF(S1515="","",S1515*(1+in_GrowthRate)^(YEARFRAC(DATE(2025,6,30),in_AgeToDate)*IF(in_AgeToDate&lt;DATE(2025,6,30),-1,1)+1))</f>
        <v/>
      </c>
      <c r="U1515" s="50">
        <f>IF(AND(AND(OR(in_Mode="All Funds",AND(C1515&gt;=in_BandFloor,C1515&lt;=in_BandCeiling,OR(in_Geography="National",COUNTIFS(lst_GeoPreset,in_Geography,lst_GeoState,B1515)&gt;0,AND(in_Geography="Custom",ISNUMBER(SEARCH(B1515,SUBSTITUTE(in_CustomStates," ",""))))),OR(AND(D1515="Endowment",Inputs!$B$14="Y"),AND(D1515="Foundation",Inputs!$B$15="Y"),AND(D1515="Healthcare",Inputs!$B$16="Y"),AND(D1515="Pension",Inputs!$B$17="Y"),AND(D1515="OCIO",Inputs!$B$18="Y"),AND(D1515="Other",Inputs!$B$19="Y")))),A1515&lt;&gt;in_ClientOrg,NOT(AND(in_ExclHarvard="Y",ISNUMBER(SEARCH("Harvard",A1515))))),$AD1515="Y",K1515&lt;&gt;"",S1515&gt;0),"Y","")</f>
        <v/>
      </c>
      <c r="V1515" s="30" t="n"/>
      <c r="W1515" t="inlineStr"/>
      <c r="X1515" s="28">
        <f>IF(L1515+M1515=0,"",L1515+M1515)</f>
        <v/>
      </c>
      <c r="Y1515" s="38">
        <f>IF(L1515=0,"",M1515/L1515)</f>
        <v/>
      </c>
      <c r="Z1515" t="inlineStr">
        <is>
          <t>COO (Investment Office)</t>
        </is>
      </c>
      <c r="AA1515" t="inlineStr">
        <is>
          <t>Operations &amp; Control</t>
        </is>
      </c>
      <c r="AB1515" s="50" t="inlineStr"/>
      <c r="AC1515" s="43">
        <f>HYPERLINK("https://projects.propublica.org/nonprofits/organizations/201226494/202610979349301311/full","view filing")</f>
        <v/>
      </c>
      <c r="AD1515" s="50" t="inlineStr">
        <is>
          <t>Y</t>
        </is>
      </c>
    </row>
    <row r="1516">
      <c r="A1516" t="inlineStr">
        <is>
          <t>University Of Florida Investment Corporation</t>
        </is>
      </c>
      <c r="B1516" s="50" t="inlineStr">
        <is>
          <t>FL</t>
        </is>
      </c>
      <c r="C1516" s="52" t="n">
        <v>2.45</v>
      </c>
      <c r="D1516" t="inlineStr">
        <is>
          <t>Endowment</t>
        </is>
      </c>
      <c r="E1516" s="50" t="n">
        <v>2025</v>
      </c>
      <c r="F1516" s="50" t="inlineStr">
        <is>
          <t>2026-04-07</t>
        </is>
      </c>
      <c r="G1516" s="50" t="inlineStr">
        <is>
          <t>2025-06-30</t>
        </is>
      </c>
      <c r="H1516" t="inlineStr">
        <is>
          <t>Jeffrey Furst</t>
        </is>
      </c>
      <c r="I1516" t="inlineStr">
        <is>
          <t>INVESTMENT DIRECTOR</t>
        </is>
      </c>
      <c r="J1516" t="inlineStr">
        <is>
          <t>Director of Investments</t>
        </is>
      </c>
      <c r="K1516" t="inlineStr">
        <is>
          <t>Sr Investment Professional</t>
        </is>
      </c>
      <c r="L1516" s="28" t="n">
        <v>264562</v>
      </c>
      <c r="M1516" s="28" t="n">
        <v>170870</v>
      </c>
      <c r="N1516" s="28" t="n">
        <v>768</v>
      </c>
      <c r="O1516" s="28" t="n">
        <v>70593</v>
      </c>
      <c r="P1516" s="28" t="n">
        <v>21963</v>
      </c>
      <c r="Q1516" s="28" t="n">
        <v>528756</v>
      </c>
      <c r="R1516" s="28" t="n">
        <v>0</v>
      </c>
      <c r="S1516" s="28">
        <f>Q1516-R1516</f>
        <v/>
      </c>
      <c r="T1516" s="28">
        <f>IF(S1516="","",S1516*(1+in_GrowthRate)^(YEARFRAC(DATE(2025,6,30),in_AgeToDate)*IF(in_AgeToDate&lt;DATE(2025,6,30),-1,1)+1))</f>
        <v/>
      </c>
      <c r="U1516" s="50">
        <f>IF(AND(AND(OR(in_Mode="All Funds",AND(C1516&gt;=in_BandFloor,C1516&lt;=in_BandCeiling,OR(in_Geography="National",COUNTIFS(lst_GeoPreset,in_Geography,lst_GeoState,B1516)&gt;0,AND(in_Geography="Custom",ISNUMBER(SEARCH(B1516,SUBSTITUTE(in_CustomStates," ",""))))),OR(AND(D1516="Endowment",Inputs!$B$14="Y"),AND(D1516="Foundation",Inputs!$B$15="Y"),AND(D1516="Healthcare",Inputs!$B$16="Y"),AND(D1516="Pension",Inputs!$B$17="Y"),AND(D1516="OCIO",Inputs!$B$18="Y"),AND(D1516="Other",Inputs!$B$19="Y")))),A1516&lt;&gt;in_ClientOrg,NOT(AND(in_ExclHarvard="Y",ISNUMBER(SEARCH("Harvard",A1516))))),$AD1516="Y",K1516&lt;&gt;"",S1516&gt;0),"Y","")</f>
        <v/>
      </c>
      <c r="V1516" s="30" t="n"/>
      <c r="W1516" t="inlineStr"/>
      <c r="X1516" s="28">
        <f>IF(L1516+M1516=0,"",L1516+M1516)</f>
        <v/>
      </c>
      <c r="Y1516" s="38">
        <f>IF(L1516=0,"",M1516/L1516)</f>
        <v/>
      </c>
      <c r="Z1516" t="inlineStr">
        <is>
          <t>Director &amp; Investment Officer</t>
        </is>
      </c>
      <c r="AA1516" t="inlineStr">
        <is>
          <t>Investments</t>
        </is>
      </c>
      <c r="AB1516" s="50" t="inlineStr"/>
      <c r="AC1516" s="43">
        <f>HYPERLINK("https://projects.propublica.org/nonprofits/organizations/201226494/202610979349301311/full","view filing")</f>
        <v/>
      </c>
      <c r="AD1516" s="50" t="inlineStr">
        <is>
          <t>Y</t>
        </is>
      </c>
    </row>
    <row r="1517">
      <c r="A1517" t="inlineStr">
        <is>
          <t>University Of Florida Investment Corporation</t>
        </is>
      </c>
      <c r="B1517" s="50" t="inlineStr">
        <is>
          <t>FL</t>
        </is>
      </c>
      <c r="C1517" s="52" t="n">
        <v>2.45</v>
      </c>
      <c r="D1517" t="inlineStr">
        <is>
          <t>Endowment</t>
        </is>
      </c>
      <c r="E1517" s="50" t="n">
        <v>2025</v>
      </c>
      <c r="F1517" s="50" t="inlineStr">
        <is>
          <t>2026-04-07</t>
        </is>
      </c>
      <c r="G1517" s="50" t="inlineStr">
        <is>
          <t>2025-06-30</t>
        </is>
      </c>
      <c r="H1517" t="inlineStr">
        <is>
          <t>William C Twible</t>
        </is>
      </c>
      <c r="I1517" t="inlineStr">
        <is>
          <t>INVESTMENT DIRECTOR</t>
        </is>
      </c>
      <c r="J1517" t="inlineStr">
        <is>
          <t>Director of Investments</t>
        </is>
      </c>
      <c r="K1517" t="inlineStr">
        <is>
          <t>Sr Investment Professional</t>
        </is>
      </c>
      <c r="L1517" s="28" t="n">
        <v>267906</v>
      </c>
      <c r="M1517" s="28" t="n">
        <v>170870</v>
      </c>
      <c r="N1517" s="28" t="n">
        <v>618</v>
      </c>
      <c r="O1517" s="28" t="n">
        <v>70593</v>
      </c>
      <c r="P1517" s="28" t="n">
        <v>21963</v>
      </c>
      <c r="Q1517" s="28" t="n">
        <v>531950</v>
      </c>
      <c r="R1517" s="28" t="n">
        <v>0</v>
      </c>
      <c r="S1517" s="28">
        <f>Q1517-R1517</f>
        <v/>
      </c>
      <c r="T1517" s="28">
        <f>IF(S1517="","",S1517*(1+in_GrowthRate)^(YEARFRAC(DATE(2025,6,30),in_AgeToDate)*IF(in_AgeToDate&lt;DATE(2025,6,30),-1,1)+1))</f>
        <v/>
      </c>
      <c r="U1517" s="50">
        <f>IF(AND(AND(OR(in_Mode="All Funds",AND(C1517&gt;=in_BandFloor,C1517&lt;=in_BandCeiling,OR(in_Geography="National",COUNTIFS(lst_GeoPreset,in_Geography,lst_GeoState,B1517)&gt;0,AND(in_Geography="Custom",ISNUMBER(SEARCH(B1517,SUBSTITUTE(in_CustomStates," ",""))))),OR(AND(D1517="Endowment",Inputs!$B$14="Y"),AND(D1517="Foundation",Inputs!$B$15="Y"),AND(D1517="Healthcare",Inputs!$B$16="Y"),AND(D1517="Pension",Inputs!$B$17="Y"),AND(D1517="OCIO",Inputs!$B$18="Y"),AND(D1517="Other",Inputs!$B$19="Y")))),A1517&lt;&gt;in_ClientOrg,NOT(AND(in_ExclHarvard="Y",ISNUMBER(SEARCH("Harvard",A1517))))),$AD1517="Y",K1517&lt;&gt;"",S1517&gt;0),"Y","")</f>
        <v/>
      </c>
      <c r="V1517" s="30" t="n"/>
      <c r="W1517" t="inlineStr"/>
      <c r="X1517" s="28">
        <f>IF(L1517+M1517=0,"",L1517+M1517)</f>
        <v/>
      </c>
      <c r="Y1517" s="38">
        <f>IF(L1517=0,"",M1517/L1517)</f>
        <v/>
      </c>
      <c r="Z1517" t="inlineStr">
        <is>
          <t>Director &amp; Investment Officer</t>
        </is>
      </c>
      <c r="AA1517" t="inlineStr">
        <is>
          <t>Investments</t>
        </is>
      </c>
      <c r="AB1517" s="50" t="inlineStr"/>
      <c r="AC1517" s="43">
        <f>HYPERLINK("https://projects.propublica.org/nonprofits/organizations/201226494/202610979349301311/full","view filing")</f>
        <v/>
      </c>
      <c r="AD1517" s="50" t="inlineStr">
        <is>
          <t>Y</t>
        </is>
      </c>
    </row>
    <row r="1518">
      <c r="A1518" t="inlineStr">
        <is>
          <t>University Of Florida Investment Corporation</t>
        </is>
      </c>
      <c r="B1518" s="50" t="inlineStr">
        <is>
          <t>FL</t>
        </is>
      </c>
      <c r="C1518" s="52" t="n">
        <v>2.45</v>
      </c>
      <c r="D1518" t="inlineStr">
        <is>
          <t>Endowment</t>
        </is>
      </c>
      <c r="E1518" s="50" t="n">
        <v>2024</v>
      </c>
      <c r="F1518" s="50" t="inlineStr">
        <is>
          <t>2025-05-06</t>
        </is>
      </c>
      <c r="G1518" s="50" t="inlineStr">
        <is>
          <t>2024-06-30</t>
        </is>
      </c>
      <c r="H1518" t="inlineStr">
        <is>
          <t>Brennan Bubp</t>
        </is>
      </c>
      <c r="I1518" t="inlineStr">
        <is>
          <t>SENIOR INVESTMENT ANALYST</t>
        </is>
      </c>
      <c r="J1518" t="inlineStr">
        <is>
          <t>Senior Analyst</t>
        </is>
      </c>
      <c r="K1518" t="inlineStr">
        <is>
          <t>Sr Investment Professional</t>
        </is>
      </c>
      <c r="L1518" s="28" t="n">
        <v>155596</v>
      </c>
      <c r="M1518" s="28" t="n">
        <v>68030</v>
      </c>
      <c r="N1518" s="28" t="n">
        <v>6810</v>
      </c>
      <c r="O1518" s="28" t="n">
        <v>39505</v>
      </c>
      <c r="P1518" s="28" t="n">
        <v>21271</v>
      </c>
      <c r="Q1518" s="28" t="n">
        <v>291212</v>
      </c>
      <c r="R1518" s="28" t="n">
        <v>0</v>
      </c>
      <c r="S1518" s="28">
        <f>Q1518-R1518</f>
        <v/>
      </c>
      <c r="T1518" s="28">
        <f>IF(S1518="","",S1518*(1+in_GrowthRate)^(YEARFRAC(DATE(2024,6,30),in_AgeToDate)*IF(in_AgeToDate&lt;DATE(2024,6,30),-1,1)+1))</f>
        <v/>
      </c>
      <c r="U1518" s="50">
        <f>IF(AND(AND(OR(in_Mode="All Funds",AND(C1518&gt;=in_BandFloor,C1518&lt;=in_BandCeiling,OR(in_Geography="National",COUNTIFS(lst_GeoPreset,in_Geography,lst_GeoState,B1518)&gt;0,AND(in_Geography="Custom",ISNUMBER(SEARCH(B1518,SUBSTITUTE(in_CustomStates," ",""))))),OR(AND(D1518="Endowment",Inputs!$B$14="Y"),AND(D1518="Foundation",Inputs!$B$15="Y"),AND(D1518="Healthcare",Inputs!$B$16="Y"),AND(D1518="Pension",Inputs!$B$17="Y"),AND(D1518="OCIO",Inputs!$B$18="Y"),AND(D1518="Other",Inputs!$B$19="Y")))),A1518&lt;&gt;in_ClientOrg,NOT(AND(in_ExclHarvard="Y",ISNUMBER(SEARCH("Harvard",A1518))))),$AD1518="Y",K1518&lt;&gt;"",S1518&gt;0),"Y","")</f>
        <v/>
      </c>
      <c r="V1518" s="30" t="n">
        <v>0.1568083070516137</v>
      </c>
      <c r="W1518" t="inlineStr"/>
      <c r="X1518" s="28">
        <f>IF(L1518+M1518=0,"",L1518+M1518)</f>
        <v/>
      </c>
      <c r="Y1518" s="38">
        <f>IF(L1518=0,"",M1518/L1518)</f>
        <v/>
      </c>
      <c r="Z1518" t="inlineStr">
        <is>
          <t>Other investment staff</t>
        </is>
      </c>
      <c r="AA1518" t="inlineStr">
        <is>
          <t>Investments</t>
        </is>
      </c>
      <c r="AB1518" s="50" t="inlineStr"/>
      <c r="AC1518" s="43">
        <f>HYPERLINK("https://projects.propublica.org/nonprofits/organizations/201226494/202531269349300703/full","view filing")</f>
        <v/>
      </c>
      <c r="AD1518" s="50" t="inlineStr"/>
    </row>
    <row r="1519">
      <c r="A1519" t="inlineStr">
        <is>
          <t>University Of Florida Investment Corporation</t>
        </is>
      </c>
      <c r="B1519" s="50" t="inlineStr">
        <is>
          <t>FL</t>
        </is>
      </c>
      <c r="C1519" s="52" t="n">
        <v>2.45</v>
      </c>
      <c r="D1519" t="inlineStr">
        <is>
          <t>Endowment</t>
        </is>
      </c>
      <c r="E1519" s="50" t="n">
        <v>2024</v>
      </c>
      <c r="F1519" s="50" t="inlineStr">
        <is>
          <t>2025-05-06</t>
        </is>
      </c>
      <c r="G1519" s="50" t="inlineStr">
        <is>
          <t>2024-06-30</t>
        </is>
      </c>
      <c r="H1519" t="inlineStr">
        <is>
          <t>Brian C Mawdsley</t>
        </is>
      </c>
      <c r="I1519" t="inlineStr">
        <is>
          <t>DEPUTY CIO</t>
        </is>
      </c>
      <c r="J1519" t="inlineStr">
        <is>
          <t>Deputy CIO</t>
        </is>
      </c>
      <c r="K1519" t="inlineStr">
        <is>
          <t>Sr Investment Professional</t>
        </is>
      </c>
      <c r="L1519" s="28" t="n">
        <v>426354</v>
      </c>
      <c r="M1519" s="28" t="n">
        <v>453585</v>
      </c>
      <c r="N1519" s="28" t="n">
        <v>1458</v>
      </c>
      <c r="O1519" s="28" t="n">
        <v>161533</v>
      </c>
      <c r="P1519" s="28" t="n">
        <v>21576</v>
      </c>
      <c r="Q1519" s="28" t="n">
        <v>1064506</v>
      </c>
      <c r="R1519" s="28" t="n">
        <v>0</v>
      </c>
      <c r="S1519" s="28">
        <f>Q1519-R1519</f>
        <v/>
      </c>
      <c r="T1519" s="28">
        <f>IF(S1519="","",S1519*(1+in_GrowthRate)^(YEARFRAC(DATE(2024,6,30),in_AgeToDate)*IF(in_AgeToDate&lt;DATE(2024,6,30),-1,1)+1))</f>
        <v/>
      </c>
      <c r="U1519" s="50">
        <f>IF(AND(AND(OR(in_Mode="All Funds",AND(C1519&gt;=in_BandFloor,C1519&lt;=in_BandCeiling,OR(in_Geography="National",COUNTIFS(lst_GeoPreset,in_Geography,lst_GeoState,B1519)&gt;0,AND(in_Geography="Custom",ISNUMBER(SEARCH(B1519,SUBSTITUTE(in_CustomStates," ",""))))),OR(AND(D1519="Endowment",Inputs!$B$14="Y"),AND(D1519="Foundation",Inputs!$B$15="Y"),AND(D1519="Healthcare",Inputs!$B$16="Y"),AND(D1519="Pension",Inputs!$B$17="Y"),AND(D1519="OCIO",Inputs!$B$18="Y"),AND(D1519="Other",Inputs!$B$19="Y")))),A1519&lt;&gt;in_ClientOrg,NOT(AND(in_ExclHarvard="Y",ISNUMBER(SEARCH("Harvard",A1519))))),$AD1519="Y",K1519&lt;&gt;"",S1519&gt;0),"Y","")</f>
        <v/>
      </c>
      <c r="V1519" s="30" t="n">
        <v>0.5732022846115035</v>
      </c>
      <c r="W1519" t="inlineStr"/>
      <c r="X1519" s="28">
        <f>IF(L1519+M1519=0,"",L1519+M1519)</f>
        <v/>
      </c>
      <c r="Y1519" s="38">
        <f>IF(L1519=0,"",M1519/L1519)</f>
        <v/>
      </c>
      <c r="Z1519" t="inlineStr">
        <is>
          <t>Deputy CIO</t>
        </is>
      </c>
      <c r="AA1519" t="inlineStr">
        <is>
          <t>Leadership</t>
        </is>
      </c>
      <c r="AB1519" s="50" t="inlineStr"/>
      <c r="AC1519" s="43">
        <f>HYPERLINK("https://projects.propublica.org/nonprofits/organizations/201226494/202531269349300703/full","view filing")</f>
        <v/>
      </c>
      <c r="AD1519" s="50" t="inlineStr"/>
    </row>
    <row r="1520">
      <c r="A1520" t="inlineStr">
        <is>
          <t>University Of Florida Investment Corporation</t>
        </is>
      </c>
      <c r="B1520" s="50" t="inlineStr">
        <is>
          <t>FL</t>
        </is>
      </c>
      <c r="C1520" s="52" t="n">
        <v>2.45</v>
      </c>
      <c r="D1520" t="inlineStr">
        <is>
          <t>Endowment</t>
        </is>
      </c>
      <c r="E1520" s="50" t="n">
        <v>2024</v>
      </c>
      <c r="F1520" s="50" t="inlineStr">
        <is>
          <t>2025-05-06</t>
        </is>
      </c>
      <c r="G1520" s="50" t="inlineStr">
        <is>
          <t>2024-06-30</t>
        </is>
      </c>
      <c r="H1520" t="inlineStr">
        <is>
          <t>Edward A Kelly</t>
        </is>
      </c>
      <c r="I1520" t="inlineStr">
        <is>
          <t>COO/VICE PRESIDENT</t>
        </is>
      </c>
      <c r="J1520" t="inlineStr">
        <is>
          <t>COO (Inv Entity)</t>
        </is>
      </c>
      <c r="K1520" t="inlineStr">
        <is>
          <t>COO (Investment Office)</t>
        </is>
      </c>
      <c r="L1520" s="28" t="n">
        <v>328962</v>
      </c>
      <c r="M1520" s="28" t="n">
        <v>175843</v>
      </c>
      <c r="N1520" s="28" t="n">
        <v>5220</v>
      </c>
      <c r="O1520" s="28" t="n">
        <v>79886</v>
      </c>
      <c r="P1520" s="28" t="n">
        <v>22658</v>
      </c>
      <c r="Q1520" s="28" t="n">
        <v>612569</v>
      </c>
      <c r="R1520" s="28" t="n">
        <v>0</v>
      </c>
      <c r="S1520" s="28">
        <f>Q1520-R1520</f>
        <v/>
      </c>
      <c r="T1520" s="28">
        <f>IF(S1520="","",S1520*(1+in_GrowthRate)^(YEARFRAC(DATE(2024,6,30),in_AgeToDate)*IF(in_AgeToDate&lt;DATE(2024,6,30),-1,1)+1))</f>
        <v/>
      </c>
      <c r="U1520" s="50">
        <f>IF(AND(AND(OR(in_Mode="All Funds",AND(C1520&gt;=in_BandFloor,C1520&lt;=in_BandCeiling,OR(in_Geography="National",COUNTIFS(lst_GeoPreset,in_Geography,lst_GeoState,B1520)&gt;0,AND(in_Geography="Custom",ISNUMBER(SEARCH(B1520,SUBSTITUTE(in_CustomStates," ",""))))),OR(AND(D1520="Endowment",Inputs!$B$14="Y"),AND(D1520="Foundation",Inputs!$B$15="Y"),AND(D1520="Healthcare",Inputs!$B$16="Y"),AND(D1520="Pension",Inputs!$B$17="Y"),AND(D1520="OCIO",Inputs!$B$18="Y"),AND(D1520="Other",Inputs!$B$19="Y")))),A1520&lt;&gt;in_ClientOrg,NOT(AND(in_ExclHarvard="Y",ISNUMBER(SEARCH("Harvard",A1520))))),$AD1520="Y",K1520&lt;&gt;"",S1520&gt;0),"Y","")</f>
        <v/>
      </c>
      <c r="V1520" s="30" t="n">
        <v>0.3298487282196475</v>
      </c>
      <c r="W1520" t="inlineStr"/>
      <c r="X1520" s="28">
        <f>IF(L1520+M1520=0,"",L1520+M1520)</f>
        <v/>
      </c>
      <c r="Y1520" s="38">
        <f>IF(L1520=0,"",M1520/L1520)</f>
        <v/>
      </c>
      <c r="Z1520" t="inlineStr">
        <is>
          <t>COO (Investment Office)</t>
        </is>
      </c>
      <c r="AA1520" t="inlineStr">
        <is>
          <t>Operations &amp; Control</t>
        </is>
      </c>
      <c r="AB1520" s="50" t="inlineStr"/>
      <c r="AC1520" s="43">
        <f>HYPERLINK("https://projects.propublica.org/nonprofits/organizations/201226494/202531269349300703/full","view filing")</f>
        <v/>
      </c>
      <c r="AD1520" s="50" t="inlineStr"/>
    </row>
    <row r="1521">
      <c r="A1521" t="inlineStr">
        <is>
          <t>University Of Florida Investment Corporation</t>
        </is>
      </c>
      <c r="B1521" s="50" t="inlineStr">
        <is>
          <t>FL</t>
        </is>
      </c>
      <c r="C1521" s="52" t="n">
        <v>2.45</v>
      </c>
      <c r="D1521" t="inlineStr">
        <is>
          <t>Endowment</t>
        </is>
      </c>
      <c r="E1521" s="50" t="n">
        <v>2024</v>
      </c>
      <c r="F1521" s="50" t="inlineStr">
        <is>
          <t>2025-05-06</t>
        </is>
      </c>
      <c r="G1521" s="50" t="inlineStr">
        <is>
          <t>2024-06-30</t>
        </is>
      </c>
      <c r="H1521" t="inlineStr">
        <is>
          <t>James D Humphries</t>
        </is>
      </c>
      <c r="I1521" t="inlineStr">
        <is>
          <t>INVESTMENT OPERATIONS DIRE</t>
        </is>
      </c>
      <c r="J1521" t="inlineStr">
        <is>
          <t>Investment Operations (Inv Entity)</t>
        </is>
      </c>
      <c r="K1521" t="inlineStr">
        <is>
          <t>Other disclosed professionals</t>
        </is>
      </c>
      <c r="L1521" s="28" t="n">
        <v>162664</v>
      </c>
      <c r="M1521" s="28" t="n">
        <v>0</v>
      </c>
      <c r="N1521" s="28" t="n">
        <v>4076</v>
      </c>
      <c r="O1521" s="28" t="n">
        <v>17374</v>
      </c>
      <c r="P1521" s="28" t="n">
        <v>21271</v>
      </c>
      <c r="Q1521" s="28" t="n">
        <v>205385</v>
      </c>
      <c r="R1521" s="28" t="n">
        <v>0</v>
      </c>
      <c r="S1521" s="28">
        <f>Q1521-R1521</f>
        <v/>
      </c>
      <c r="T1521" s="28">
        <f>IF(S1521="","",S1521*(1+in_GrowthRate)^(YEARFRAC(DATE(2024,6,30),in_AgeToDate)*IF(in_AgeToDate&lt;DATE(2024,6,30),-1,1)+1))</f>
        <v/>
      </c>
      <c r="U1521" s="50">
        <f>IF(AND(AND(OR(in_Mode="All Funds",AND(C1521&gt;=in_BandFloor,C1521&lt;=in_BandCeiling,OR(in_Geography="National",COUNTIFS(lst_GeoPreset,in_Geography,lst_GeoState,B1521)&gt;0,AND(in_Geography="Custom",ISNUMBER(SEARCH(B1521,SUBSTITUTE(in_CustomStates," ",""))))),OR(AND(D1521="Endowment",Inputs!$B$14="Y"),AND(D1521="Foundation",Inputs!$B$15="Y"),AND(D1521="Healthcare",Inputs!$B$16="Y"),AND(D1521="Pension",Inputs!$B$17="Y"),AND(D1521="OCIO",Inputs!$B$18="Y"),AND(D1521="Other",Inputs!$B$19="Y")))),A1521&lt;&gt;in_ClientOrg,NOT(AND(in_ExclHarvard="Y",ISNUMBER(SEARCH("Harvard",A1521))))),$AD1521="Y",K1521&lt;&gt;"",S1521&gt;0),"Y","")</f>
        <v/>
      </c>
      <c r="V1521" s="30" t="n">
        <v>0.1105932246741058</v>
      </c>
      <c r="W1521" t="inlineStr">
        <is>
          <t>Other disclosed professionals</t>
        </is>
      </c>
      <c r="X1521" s="28">
        <f>IF(L1521+M1521=0,"",L1521+M1521)</f>
        <v/>
      </c>
      <c r="Y1521" s="38">
        <f>IF(L1521=0,"",M1521/L1521)</f>
        <v/>
      </c>
      <c r="Z1521" t="inlineStr">
        <is>
          <t>Other disclosed professionals</t>
        </is>
      </c>
      <c r="AA1521" t="inlineStr">
        <is>
          <t>Operations &amp; Control</t>
        </is>
      </c>
      <c r="AB1521" s="50" t="inlineStr"/>
      <c r="AC1521" s="43">
        <f>HYPERLINK("https://projects.propublica.org/nonprofits/organizations/201226494/202531269349300703/full","view filing")</f>
        <v/>
      </c>
      <c r="AD1521" s="50" t="inlineStr"/>
    </row>
    <row r="1522">
      <c r="A1522" t="inlineStr">
        <is>
          <t>University Of Florida Investment Corporation</t>
        </is>
      </c>
      <c r="B1522" s="50" t="inlineStr">
        <is>
          <t>FL</t>
        </is>
      </c>
      <c r="C1522" s="52" t="n">
        <v>2.45</v>
      </c>
      <c r="D1522" t="inlineStr">
        <is>
          <t>Endowment</t>
        </is>
      </c>
      <c r="E1522" s="50" t="n">
        <v>2024</v>
      </c>
      <c r="F1522" s="50" t="inlineStr">
        <is>
          <t>2025-05-06</t>
        </is>
      </c>
      <c r="G1522" s="50" t="inlineStr">
        <is>
          <t>2024-06-30</t>
        </is>
      </c>
      <c r="H1522" t="inlineStr">
        <is>
          <t>Jeffrey Furst</t>
        </is>
      </c>
      <c r="I1522" t="inlineStr">
        <is>
          <t>INVESTMENT DIRECTOR</t>
        </is>
      </c>
      <c r="J1522" t="inlineStr">
        <is>
          <t>Director of Investments</t>
        </is>
      </c>
      <c r="K1522" t="inlineStr">
        <is>
          <t>Sr Investment Professional</t>
        </is>
      </c>
      <c r="L1522" s="28" t="n">
        <v>254270</v>
      </c>
      <c r="M1522" s="28" t="n">
        <v>200418</v>
      </c>
      <c r="N1522" s="28" t="n">
        <v>618</v>
      </c>
      <c r="O1522" s="28" t="n">
        <v>85288</v>
      </c>
      <c r="P1522" s="28" t="n">
        <v>21271</v>
      </c>
      <c r="Q1522" s="28" t="n">
        <v>561865</v>
      </c>
      <c r="R1522" s="28" t="n">
        <v>0</v>
      </c>
      <c r="S1522" s="28">
        <f>Q1522-R1522</f>
        <v/>
      </c>
      <c r="T1522" s="28">
        <f>IF(S1522="","",S1522*(1+in_GrowthRate)^(YEARFRAC(DATE(2024,6,30),in_AgeToDate)*IF(in_AgeToDate&lt;DATE(2024,6,30),-1,1)+1))</f>
        <v/>
      </c>
      <c r="U1522" s="50">
        <f>IF(AND(AND(OR(in_Mode="All Funds",AND(C1522&gt;=in_BandFloor,C1522&lt;=in_BandCeiling,OR(in_Geography="National",COUNTIFS(lst_GeoPreset,in_Geography,lst_GeoState,B1522)&gt;0,AND(in_Geography="Custom",ISNUMBER(SEARCH(B1522,SUBSTITUTE(in_CustomStates," ",""))))),OR(AND(D1522="Endowment",Inputs!$B$14="Y"),AND(D1522="Foundation",Inputs!$B$15="Y"),AND(D1522="Healthcare",Inputs!$B$16="Y"),AND(D1522="Pension",Inputs!$B$17="Y"),AND(D1522="OCIO",Inputs!$B$18="Y"),AND(D1522="Other",Inputs!$B$19="Y")))),A1522&lt;&gt;in_ClientOrg,NOT(AND(in_ExclHarvard="Y",ISNUMBER(SEARCH("Harvard",A1522))))),$AD1522="Y",K1522&lt;&gt;"",S1522&gt;0),"Y","")</f>
        <v/>
      </c>
      <c r="V1522" s="30" t="n">
        <v>0.3025462530443628</v>
      </c>
      <c r="W1522" t="inlineStr"/>
      <c r="X1522" s="28">
        <f>IF(L1522+M1522=0,"",L1522+M1522)</f>
        <v/>
      </c>
      <c r="Y1522" s="38">
        <f>IF(L1522=0,"",M1522/L1522)</f>
        <v/>
      </c>
      <c r="Z1522" t="inlineStr">
        <is>
          <t>Director &amp; Investment Officer</t>
        </is>
      </c>
      <c r="AA1522" t="inlineStr">
        <is>
          <t>Investments</t>
        </is>
      </c>
      <c r="AB1522" s="50" t="inlineStr"/>
      <c r="AC1522" s="43">
        <f>HYPERLINK("https://projects.propublica.org/nonprofits/organizations/201226494/202531269349300703/full","view filing")</f>
        <v/>
      </c>
      <c r="AD1522" s="50" t="inlineStr"/>
    </row>
    <row r="1523">
      <c r="A1523" t="inlineStr">
        <is>
          <t>University Of Florida Investment Corporation</t>
        </is>
      </c>
      <c r="B1523" s="50" t="inlineStr">
        <is>
          <t>FL</t>
        </is>
      </c>
      <c r="C1523" s="52" t="n">
        <v>2.45</v>
      </c>
      <c r="D1523" t="inlineStr">
        <is>
          <t>Endowment</t>
        </is>
      </c>
      <c r="E1523" s="50" t="n">
        <v>2024</v>
      </c>
      <c r="F1523" s="50" t="inlineStr">
        <is>
          <t>2025-05-06</t>
        </is>
      </c>
      <c r="G1523" s="50" t="inlineStr">
        <is>
          <t>2024-06-30</t>
        </is>
      </c>
      <c r="H1523" t="inlineStr">
        <is>
          <t>William C Twible</t>
        </is>
      </c>
      <c r="I1523" t="inlineStr">
        <is>
          <t>INVESTMENT DIRECTOR</t>
        </is>
      </c>
      <c r="J1523" t="inlineStr">
        <is>
          <t>Director of Investments</t>
        </is>
      </c>
      <c r="K1523" t="inlineStr">
        <is>
          <t>Sr Investment Professional</t>
        </is>
      </c>
      <c r="L1523" s="28" t="n">
        <v>259284</v>
      </c>
      <c r="M1523" s="28" t="n">
        <v>196740</v>
      </c>
      <c r="N1523" s="28" t="n">
        <v>618</v>
      </c>
      <c r="O1523" s="28" t="n">
        <v>85288</v>
      </c>
      <c r="P1523" s="28" t="n">
        <v>7413</v>
      </c>
      <c r="Q1523" s="28" t="n">
        <v>549343</v>
      </c>
      <c r="R1523" s="28" t="n">
        <v>0</v>
      </c>
      <c r="S1523" s="28">
        <f>Q1523-R1523</f>
        <v/>
      </c>
      <c r="T1523" s="28">
        <f>IF(S1523="","",S1523*(1+in_GrowthRate)^(YEARFRAC(DATE(2024,6,30),in_AgeToDate)*IF(in_AgeToDate&lt;DATE(2024,6,30),-1,1)+1))</f>
        <v/>
      </c>
      <c r="U1523" s="50">
        <f>IF(AND(AND(OR(in_Mode="All Funds",AND(C1523&gt;=in_BandFloor,C1523&lt;=in_BandCeiling,OR(in_Geography="National",COUNTIFS(lst_GeoPreset,in_Geography,lst_GeoState,B1523)&gt;0,AND(in_Geography="Custom",ISNUMBER(SEARCH(B1523,SUBSTITUTE(in_CustomStates," ",""))))),OR(AND(D1523="Endowment",Inputs!$B$14="Y"),AND(D1523="Foundation",Inputs!$B$15="Y"),AND(D1523="Healthcare",Inputs!$B$16="Y"),AND(D1523="Pension",Inputs!$B$17="Y"),AND(D1523="OCIO",Inputs!$B$18="Y"),AND(D1523="Other",Inputs!$B$19="Y")))),A1523&lt;&gt;in_ClientOrg,NOT(AND(in_ExclHarvard="Y",ISNUMBER(SEARCH("Harvard",A1523))))),$AD1523="Y",K1523&lt;&gt;"",S1523&gt;0),"Y","")</f>
        <v/>
      </c>
      <c r="V1523" s="30" t="n">
        <v>0.295803558303417</v>
      </c>
      <c r="W1523" t="inlineStr"/>
      <c r="X1523" s="28">
        <f>IF(L1523+M1523=0,"",L1523+M1523)</f>
        <v/>
      </c>
      <c r="Y1523" s="38">
        <f>IF(L1523=0,"",M1523/L1523)</f>
        <v/>
      </c>
      <c r="Z1523" t="inlineStr">
        <is>
          <t>Director &amp; Investment Officer</t>
        </is>
      </c>
      <c r="AA1523" t="inlineStr">
        <is>
          <t>Investments</t>
        </is>
      </c>
      <c r="AB1523" s="50" t="inlineStr"/>
      <c r="AC1523" s="43">
        <f>HYPERLINK("https://projects.propublica.org/nonprofits/organizations/201226494/202531269349300703/full","view filing")</f>
        <v/>
      </c>
      <c r="AD1523" s="50" t="inlineStr"/>
    </row>
    <row r="1524">
      <c r="A1524" t="inlineStr">
        <is>
          <t>University Of Florida Investment Corporation</t>
        </is>
      </c>
      <c r="B1524" s="50" t="inlineStr">
        <is>
          <t>FL</t>
        </is>
      </c>
      <c r="C1524" s="52" t="n">
        <v>2.45</v>
      </c>
      <c r="D1524" t="inlineStr">
        <is>
          <t>Endowment</t>
        </is>
      </c>
      <c r="E1524" s="50" t="n">
        <v>2024</v>
      </c>
      <c r="F1524" s="50" t="inlineStr">
        <is>
          <t>2025-05-06</t>
        </is>
      </c>
      <c r="G1524" s="50" t="inlineStr">
        <is>
          <t>2024-06-30</t>
        </is>
      </c>
      <c r="H1524" t="inlineStr">
        <is>
          <t>William S Reeser</t>
        </is>
      </c>
      <c r="I1524" t="inlineStr">
        <is>
          <t>CEO/CIO/PRESIDENT</t>
        </is>
      </c>
      <c r="J1524" t="inlineStr">
        <is>
          <t>CIO</t>
        </is>
      </c>
      <c r="K1524" t="inlineStr">
        <is>
          <t>CIO - Top Investment Executive</t>
        </is>
      </c>
      <c r="L1524" s="28" t="n">
        <v>670406</v>
      </c>
      <c r="M1524" s="28" t="n">
        <v>840250</v>
      </c>
      <c r="N1524" s="28" t="n">
        <v>94296</v>
      </c>
      <c r="O1524" s="28" t="n">
        <v>233054</v>
      </c>
      <c r="P1524" s="28" t="n">
        <v>19115</v>
      </c>
      <c r="Q1524" s="28" t="n">
        <v>1857121</v>
      </c>
      <c r="R1524" s="28" t="n">
        <v>0</v>
      </c>
      <c r="S1524" s="28">
        <f>Q1524-R1524</f>
        <v/>
      </c>
      <c r="T1524" s="28">
        <f>IF(S1524="","",S1524*(1+in_GrowthRate)^(YEARFRAC(DATE(2024,6,30),in_AgeToDate)*IF(in_AgeToDate&lt;DATE(2024,6,30),-1,1)+1))</f>
        <v/>
      </c>
      <c r="U1524" s="50">
        <f>IF(AND(AND(OR(in_Mode="All Funds",AND(C1524&gt;=in_BandFloor,C1524&lt;=in_BandCeiling,OR(in_Geography="National",COUNTIFS(lst_GeoPreset,in_Geography,lst_GeoState,B1524)&gt;0,AND(in_Geography="Custom",ISNUMBER(SEARCH(B1524,SUBSTITUTE(in_CustomStates," ",""))))),OR(AND(D1524="Endowment",Inputs!$B$14="Y"),AND(D1524="Foundation",Inputs!$B$15="Y"),AND(D1524="Healthcare",Inputs!$B$16="Y"),AND(D1524="Pension",Inputs!$B$17="Y"),AND(D1524="OCIO",Inputs!$B$18="Y"),AND(D1524="Other",Inputs!$B$19="Y")))),A1524&lt;&gt;in_ClientOrg,NOT(AND(in_ExclHarvard="Y",ISNUMBER(SEARCH("Harvard",A1524))))),$AD1524="Y",K1524&lt;&gt;"",S1524&gt;0),"Y","")</f>
        <v/>
      </c>
      <c r="V1524" s="30" t="n">
        <v>1</v>
      </c>
      <c r="W1524" t="inlineStr"/>
      <c r="X1524" s="28">
        <f>IF(L1524+M1524=0,"",L1524+M1524)</f>
        <v/>
      </c>
      <c r="Y1524" s="38">
        <f>IF(L1524=0,"",M1524/L1524)</f>
        <v/>
      </c>
      <c r="Z1524" t="inlineStr">
        <is>
          <t>CIO - Top Investment Executive</t>
        </is>
      </c>
      <c r="AA1524" t="inlineStr">
        <is>
          <t>Leadership</t>
        </is>
      </c>
      <c r="AB1524" s="50" t="inlineStr">
        <is>
          <t>Y</t>
        </is>
      </c>
      <c r="AC1524" s="43">
        <f>HYPERLINK("https://projects.propublica.org/nonprofits/organizations/201226494/202531269349300703/full","view filing")</f>
        <v/>
      </c>
      <c r="AD1524" s="50" t="inlineStr"/>
    </row>
    <row r="1525">
      <c r="A1525" t="inlineStr">
        <is>
          <t>University Of Florida Investment Corporation</t>
        </is>
      </c>
      <c r="B1525" s="50" t="inlineStr">
        <is>
          <t>FL</t>
        </is>
      </c>
      <c r="C1525" s="52" t="n">
        <v>2.45</v>
      </c>
      <c r="D1525" t="inlineStr">
        <is>
          <t>Endowment</t>
        </is>
      </c>
      <c r="E1525" s="50" t="n">
        <v>2023</v>
      </c>
      <c r="F1525" s="50" t="inlineStr">
        <is>
          <t>2024-05-07</t>
        </is>
      </c>
      <c r="G1525" s="50" t="inlineStr">
        <is>
          <t>2023-06-30</t>
        </is>
      </c>
      <c r="H1525" t="inlineStr">
        <is>
          <t>Brennan Bubp</t>
        </is>
      </c>
      <c r="I1525" t="inlineStr">
        <is>
          <t>SENIOR INVESTMENT ANALYST</t>
        </is>
      </c>
      <c r="J1525" t="inlineStr">
        <is>
          <t>Senior Analyst</t>
        </is>
      </c>
      <c r="K1525" t="inlineStr">
        <is>
          <t>Sr Investment Professional</t>
        </is>
      </c>
      <c r="L1525" s="28" t="n">
        <v>132298</v>
      </c>
      <c r="M1525" s="28" t="n">
        <v>110592</v>
      </c>
      <c r="N1525" s="28" t="n">
        <v>6566</v>
      </c>
      <c r="O1525" s="28" t="n">
        <v>54743</v>
      </c>
      <c r="P1525" s="28" t="n">
        <v>19728</v>
      </c>
      <c r="Q1525" s="28" t="n">
        <v>323927</v>
      </c>
      <c r="R1525" s="28" t="n">
        <v>0</v>
      </c>
      <c r="S1525" s="28">
        <f>Q1525-R1525</f>
        <v/>
      </c>
      <c r="T1525" s="28">
        <f>IF(S1525="","",S1525*(1+in_GrowthRate)^(YEARFRAC(DATE(2023,6,30),in_AgeToDate)*IF(in_AgeToDate&lt;DATE(2023,6,30),-1,1)+1))</f>
        <v/>
      </c>
      <c r="U1525" s="50">
        <f>IF(AND(AND(OR(in_Mode="All Funds",AND(C1525&gt;=in_BandFloor,C1525&lt;=in_BandCeiling,OR(in_Geography="National",COUNTIFS(lst_GeoPreset,in_Geography,lst_GeoState,B1525)&gt;0,AND(in_Geography="Custom",ISNUMBER(SEARCH(B1525,SUBSTITUTE(in_CustomStates," ",""))))),OR(AND(D1525="Endowment",Inputs!$B$14="Y"),AND(D1525="Foundation",Inputs!$B$15="Y"),AND(D1525="Healthcare",Inputs!$B$16="Y"),AND(D1525="Pension",Inputs!$B$17="Y"),AND(D1525="OCIO",Inputs!$B$18="Y"),AND(D1525="Other",Inputs!$B$19="Y")))),A1525&lt;&gt;in_ClientOrg,NOT(AND(in_ExclHarvard="Y",ISNUMBER(SEARCH("Harvard",A1525))))),$AD1525="Y",K1525&lt;&gt;"",S1525&gt;0),"Y","")</f>
        <v/>
      </c>
      <c r="V1525" s="30" t="n">
        <v>0.1716756189532317</v>
      </c>
      <c r="W1525" t="inlineStr"/>
      <c r="X1525" s="28">
        <f>IF(L1525+M1525=0,"",L1525+M1525)</f>
        <v/>
      </c>
      <c r="Y1525" s="38">
        <f>IF(L1525=0,"",M1525/L1525)</f>
        <v/>
      </c>
      <c r="Z1525" t="inlineStr">
        <is>
          <t>Other investment staff</t>
        </is>
      </c>
      <c r="AA1525" t="inlineStr">
        <is>
          <t>Investments</t>
        </is>
      </c>
      <c r="AB1525" s="50" t="inlineStr"/>
      <c r="AC1525" s="43">
        <f>HYPERLINK("https://projects.propublica.org/nonprofits/organizations/201226494/202411289349300746/full","view filing")</f>
        <v/>
      </c>
      <c r="AD1525" s="50" t="inlineStr"/>
    </row>
    <row r="1526">
      <c r="A1526" t="inlineStr">
        <is>
          <t>University Of Florida Investment Corporation</t>
        </is>
      </c>
      <c r="B1526" s="50" t="inlineStr">
        <is>
          <t>FL</t>
        </is>
      </c>
      <c r="C1526" s="52" t="n">
        <v>2.45</v>
      </c>
      <c r="D1526" t="inlineStr">
        <is>
          <t>Endowment</t>
        </is>
      </c>
      <c r="E1526" s="50" t="n">
        <v>2023</v>
      </c>
      <c r="F1526" s="50" t="inlineStr">
        <is>
          <t>2024-05-07</t>
        </is>
      </c>
      <c r="G1526" s="50" t="inlineStr">
        <is>
          <t>2023-06-30</t>
        </is>
      </c>
      <c r="H1526" t="inlineStr">
        <is>
          <t>Brian C Mawdsley</t>
        </is>
      </c>
      <c r="I1526" t="inlineStr">
        <is>
          <t>DEPUTY CIO</t>
        </is>
      </c>
      <c r="J1526" t="inlineStr">
        <is>
          <t>Deputy CIO</t>
        </is>
      </c>
      <c r="K1526" t="inlineStr">
        <is>
          <t>Sr Investment Professional</t>
        </is>
      </c>
      <c r="L1526" s="28" t="n">
        <v>406694</v>
      </c>
      <c r="M1526" s="28" t="n">
        <v>542807</v>
      </c>
      <c r="N1526" s="28" t="n">
        <v>1458</v>
      </c>
      <c r="O1526" s="28" t="n">
        <v>181781</v>
      </c>
      <c r="P1526" s="28" t="n">
        <v>20046</v>
      </c>
      <c r="Q1526" s="28" t="n">
        <v>1152786</v>
      </c>
      <c r="R1526" s="28" t="n">
        <v>0</v>
      </c>
      <c r="S1526" s="28">
        <f>Q1526-R1526</f>
        <v/>
      </c>
      <c r="T1526" s="28">
        <f>IF(S1526="","",S1526*(1+in_GrowthRate)^(YEARFRAC(DATE(2023,6,30),in_AgeToDate)*IF(in_AgeToDate&lt;DATE(2023,6,30),-1,1)+1))</f>
        <v/>
      </c>
      <c r="U1526" s="50">
        <f>IF(AND(AND(OR(in_Mode="All Funds",AND(C1526&gt;=in_BandFloor,C1526&lt;=in_BandCeiling,OR(in_Geography="National",COUNTIFS(lst_GeoPreset,in_Geography,lst_GeoState,B1526)&gt;0,AND(in_Geography="Custom",ISNUMBER(SEARCH(B1526,SUBSTITUTE(in_CustomStates," ",""))))),OR(AND(D1526="Endowment",Inputs!$B$14="Y"),AND(D1526="Foundation",Inputs!$B$15="Y"),AND(D1526="Healthcare",Inputs!$B$16="Y"),AND(D1526="Pension",Inputs!$B$17="Y"),AND(D1526="OCIO",Inputs!$B$18="Y"),AND(D1526="Other",Inputs!$B$19="Y")))),A1526&lt;&gt;in_ClientOrg,NOT(AND(in_ExclHarvard="Y",ISNUMBER(SEARCH("Harvard",A1526))))),$AD1526="Y",K1526&lt;&gt;"",S1526&gt;0),"Y","")</f>
        <v/>
      </c>
      <c r="V1526" s="30" t="n">
        <v>0.6109563267977667</v>
      </c>
      <c r="W1526" t="inlineStr"/>
      <c r="X1526" s="28">
        <f>IF(L1526+M1526=0,"",L1526+M1526)</f>
        <v/>
      </c>
      <c r="Y1526" s="38">
        <f>IF(L1526=0,"",M1526/L1526)</f>
        <v/>
      </c>
      <c r="Z1526" t="inlineStr">
        <is>
          <t>Deputy CIO</t>
        </is>
      </c>
      <c r="AA1526" t="inlineStr">
        <is>
          <t>Leadership</t>
        </is>
      </c>
      <c r="AB1526" s="50" t="inlineStr"/>
      <c r="AC1526" s="43">
        <f>HYPERLINK("https://projects.propublica.org/nonprofits/organizations/201226494/202411289349300746/full","view filing")</f>
        <v/>
      </c>
      <c r="AD1526" s="50" t="inlineStr"/>
    </row>
    <row r="1527">
      <c r="A1527" t="inlineStr">
        <is>
          <t>University Of Florida Investment Corporation</t>
        </is>
      </c>
      <c r="B1527" s="50" t="inlineStr">
        <is>
          <t>FL</t>
        </is>
      </c>
      <c r="C1527" s="52" t="n">
        <v>2.45</v>
      </c>
      <c r="D1527" t="inlineStr">
        <is>
          <t>Endowment</t>
        </is>
      </c>
      <c r="E1527" s="50" t="n">
        <v>2023</v>
      </c>
      <c r="F1527" s="50" t="inlineStr">
        <is>
          <t>2024-05-07</t>
        </is>
      </c>
      <c r="G1527" s="50" t="inlineStr">
        <is>
          <t>2023-06-30</t>
        </is>
      </c>
      <c r="H1527" t="inlineStr">
        <is>
          <t>Edward A Kelly</t>
        </is>
      </c>
      <c r="I1527" t="inlineStr">
        <is>
          <t>COO/VICE PRESIDENT</t>
        </is>
      </c>
      <c r="J1527" t="inlineStr">
        <is>
          <t>COO (Inv Entity)</t>
        </is>
      </c>
      <c r="K1527" t="inlineStr">
        <is>
          <t>COO (Investment Office)</t>
        </is>
      </c>
      <c r="L1527" s="28" t="n">
        <v>322913</v>
      </c>
      <c r="M1527" s="28" t="n">
        <v>220487</v>
      </c>
      <c r="N1527" s="28" t="n">
        <v>5220</v>
      </c>
      <c r="O1527" s="28" t="n">
        <v>88656</v>
      </c>
      <c r="P1527" s="28" t="n">
        <v>21127</v>
      </c>
      <c r="Q1527" s="28" t="n">
        <v>658403</v>
      </c>
      <c r="R1527" s="28" t="n">
        <v>0</v>
      </c>
      <c r="S1527" s="28">
        <f>Q1527-R1527</f>
        <v/>
      </c>
      <c r="T1527" s="28">
        <f>IF(S1527="","",S1527*(1+in_GrowthRate)^(YEARFRAC(DATE(2023,6,30),in_AgeToDate)*IF(in_AgeToDate&lt;DATE(2023,6,30),-1,1)+1))</f>
        <v/>
      </c>
      <c r="U1527" s="50">
        <f>IF(AND(AND(OR(in_Mode="All Funds",AND(C1527&gt;=in_BandFloor,C1527&lt;=in_BandCeiling,OR(in_Geography="National",COUNTIFS(lst_GeoPreset,in_Geography,lst_GeoState,B1527)&gt;0,AND(in_Geography="Custom",ISNUMBER(SEARCH(B1527,SUBSTITUTE(in_CustomStates," ",""))))),OR(AND(D1527="Endowment",Inputs!$B$14="Y"),AND(D1527="Foundation",Inputs!$B$15="Y"),AND(D1527="Healthcare",Inputs!$B$16="Y"),AND(D1527="Pension",Inputs!$B$17="Y"),AND(D1527="OCIO",Inputs!$B$18="Y"),AND(D1527="Other",Inputs!$B$19="Y")))),A1527&lt;&gt;in_ClientOrg,NOT(AND(in_ExclHarvard="Y",ISNUMBER(SEARCH("Harvard",A1527))))),$AD1527="Y",K1527&lt;&gt;"",S1527&gt;0),"Y","")</f>
        <v/>
      </c>
      <c r="V1527" s="30" t="n">
        <v>0.3489420225719517</v>
      </c>
      <c r="W1527" t="inlineStr"/>
      <c r="X1527" s="28">
        <f>IF(L1527+M1527=0,"",L1527+M1527)</f>
        <v/>
      </c>
      <c r="Y1527" s="38">
        <f>IF(L1527=0,"",M1527/L1527)</f>
        <v/>
      </c>
      <c r="Z1527" t="inlineStr">
        <is>
          <t>COO (Investment Office)</t>
        </is>
      </c>
      <c r="AA1527" t="inlineStr">
        <is>
          <t>Operations &amp; Control</t>
        </is>
      </c>
      <c r="AB1527" s="50" t="inlineStr"/>
      <c r="AC1527" s="43">
        <f>HYPERLINK("https://projects.propublica.org/nonprofits/organizations/201226494/202411289349300746/full","view filing")</f>
        <v/>
      </c>
      <c r="AD1527" s="50" t="inlineStr"/>
    </row>
    <row r="1528">
      <c r="A1528" t="inlineStr">
        <is>
          <t>University Of Florida Investment Corporation</t>
        </is>
      </c>
      <c r="B1528" s="50" t="inlineStr">
        <is>
          <t>FL</t>
        </is>
      </c>
      <c r="C1528" s="52" t="n">
        <v>2.45</v>
      </c>
      <c r="D1528" t="inlineStr">
        <is>
          <t>Endowment</t>
        </is>
      </c>
      <c r="E1528" s="50" t="n">
        <v>2023</v>
      </c>
      <c r="F1528" s="50" t="inlineStr">
        <is>
          <t>2024-05-07</t>
        </is>
      </c>
      <c r="G1528" s="50" t="inlineStr">
        <is>
          <t>2023-06-30</t>
        </is>
      </c>
      <c r="H1528" t="inlineStr">
        <is>
          <t>James D Humphries</t>
        </is>
      </c>
      <c r="I1528" t="inlineStr">
        <is>
          <t>INVESTMENT OPERATIONS DIRECTOR</t>
        </is>
      </c>
      <c r="J1528" t="inlineStr">
        <is>
          <t>Head of Inv Ops (Inv Entity)</t>
        </is>
      </c>
      <c r="K1528" t="inlineStr">
        <is>
          <t>Other disclosed professionals</t>
        </is>
      </c>
      <c r="L1528" s="28" t="n">
        <v>154571</v>
      </c>
      <c r="M1528" s="28" t="n">
        <v>0</v>
      </c>
      <c r="N1528" s="28" t="n">
        <v>7087</v>
      </c>
      <c r="O1528" s="28" t="n">
        <v>16845</v>
      </c>
      <c r="P1528" s="28" t="n">
        <v>19741</v>
      </c>
      <c r="Q1528" s="28" t="n">
        <v>198244</v>
      </c>
      <c r="R1528" s="28" t="n">
        <v>0</v>
      </c>
      <c r="S1528" s="28">
        <f>Q1528-R1528</f>
        <v/>
      </c>
      <c r="T1528" s="28">
        <f>IF(S1528="","",S1528*(1+in_GrowthRate)^(YEARFRAC(DATE(2023,6,30),in_AgeToDate)*IF(in_AgeToDate&lt;DATE(2023,6,30),-1,1)+1))</f>
        <v/>
      </c>
      <c r="U1528" s="50">
        <f>IF(AND(AND(OR(in_Mode="All Funds",AND(C1528&gt;=in_BandFloor,C1528&lt;=in_BandCeiling,OR(in_Geography="National",COUNTIFS(lst_GeoPreset,in_Geography,lst_GeoState,B1528)&gt;0,AND(in_Geography="Custom",ISNUMBER(SEARCH(B1528,SUBSTITUTE(in_CustomStates," ",""))))),OR(AND(D1528="Endowment",Inputs!$B$14="Y"),AND(D1528="Foundation",Inputs!$B$15="Y"),AND(D1528="Healthcare",Inputs!$B$16="Y"),AND(D1528="Pension",Inputs!$B$17="Y"),AND(D1528="OCIO",Inputs!$B$18="Y"),AND(D1528="Other",Inputs!$B$19="Y")))),A1528&lt;&gt;in_ClientOrg,NOT(AND(in_ExclHarvard="Y",ISNUMBER(SEARCH("Harvard",A1528))))),$AD1528="Y",K1528&lt;&gt;"",S1528&gt;0),"Y","")</f>
        <v/>
      </c>
      <c r="V1528" s="30" t="n">
        <v>0.1050658370675012</v>
      </c>
      <c r="W1528" t="inlineStr">
        <is>
          <t>Other disclosed professionals</t>
        </is>
      </c>
      <c r="X1528" s="28">
        <f>IF(L1528+M1528=0,"",L1528+M1528)</f>
        <v/>
      </c>
      <c r="Y1528" s="38">
        <f>IF(L1528=0,"",M1528/L1528)</f>
        <v/>
      </c>
      <c r="Z1528" t="inlineStr">
        <is>
          <t>Other disclosed professionals</t>
        </is>
      </c>
      <c r="AA1528" t="inlineStr">
        <is>
          <t>Operations &amp; Control</t>
        </is>
      </c>
      <c r="AB1528" s="50" t="inlineStr"/>
      <c r="AC1528" s="43">
        <f>HYPERLINK("https://projects.propublica.org/nonprofits/organizations/201226494/202411289349300746/full","view filing")</f>
        <v/>
      </c>
      <c r="AD1528" s="50" t="inlineStr"/>
    </row>
    <row r="1529">
      <c r="A1529" t="inlineStr">
        <is>
          <t>University Of Florida Investment Corporation</t>
        </is>
      </c>
      <c r="B1529" s="50" t="inlineStr">
        <is>
          <t>FL</t>
        </is>
      </c>
      <c r="C1529" s="52" t="n">
        <v>2.45</v>
      </c>
      <c r="D1529" t="inlineStr">
        <is>
          <t>Endowment</t>
        </is>
      </c>
      <c r="E1529" s="50" t="n">
        <v>2023</v>
      </c>
      <c r="F1529" s="50" t="inlineStr">
        <is>
          <t>2024-05-07</t>
        </is>
      </c>
      <c r="G1529" s="50" t="inlineStr">
        <is>
          <t>2023-06-30</t>
        </is>
      </c>
      <c r="H1529" t="inlineStr">
        <is>
          <t>Jeffrey Furst</t>
        </is>
      </c>
      <c r="I1529" t="inlineStr">
        <is>
          <t>INVESTMENT DIRECTOR</t>
        </is>
      </c>
      <c r="J1529" t="inlineStr">
        <is>
          <t>Director of Investments</t>
        </is>
      </c>
      <c r="K1529" t="inlineStr">
        <is>
          <t>Sr Investment Professional</t>
        </is>
      </c>
      <c r="L1529" s="28" t="n">
        <v>249679</v>
      </c>
      <c r="M1529" s="28" t="n">
        <v>243249</v>
      </c>
      <c r="N1529" s="28" t="n">
        <v>618</v>
      </c>
      <c r="O1529" s="28" t="n">
        <v>95435</v>
      </c>
      <c r="P1529" s="28" t="n">
        <v>19741</v>
      </c>
      <c r="Q1529" s="28" t="n">
        <v>608722</v>
      </c>
      <c r="R1529" s="28" t="n">
        <v>0</v>
      </c>
      <c r="S1529" s="28">
        <f>Q1529-R1529</f>
        <v/>
      </c>
      <c r="T1529" s="28">
        <f>IF(S1529="","",S1529*(1+in_GrowthRate)^(YEARFRAC(DATE(2023,6,30),in_AgeToDate)*IF(in_AgeToDate&lt;DATE(2023,6,30),-1,1)+1))</f>
        <v/>
      </c>
      <c r="U1529" s="50">
        <f>IF(AND(AND(OR(in_Mode="All Funds",AND(C1529&gt;=in_BandFloor,C1529&lt;=in_BandCeiling,OR(in_Geography="National",COUNTIFS(lst_GeoPreset,in_Geography,lst_GeoState,B1529)&gt;0,AND(in_Geography="Custom",ISNUMBER(SEARCH(B1529,SUBSTITUTE(in_CustomStates," ",""))))),OR(AND(D1529="Endowment",Inputs!$B$14="Y"),AND(D1529="Foundation",Inputs!$B$15="Y"),AND(D1529="Healthcare",Inputs!$B$16="Y"),AND(D1529="Pension",Inputs!$B$17="Y"),AND(D1529="OCIO",Inputs!$B$18="Y"),AND(D1529="Other",Inputs!$B$19="Y")))),A1529&lt;&gt;in_ClientOrg,NOT(AND(in_ExclHarvard="Y",ISNUMBER(SEARCH("Harvard",A1529))))),$AD1529="Y",K1529&lt;&gt;"",S1529&gt;0),"Y","")</f>
        <v/>
      </c>
      <c r="V1529" s="30" t="n">
        <v>0.3226119654133465</v>
      </c>
      <c r="W1529" t="inlineStr"/>
      <c r="X1529" s="28">
        <f>IF(L1529+M1529=0,"",L1529+M1529)</f>
        <v/>
      </c>
      <c r="Y1529" s="38">
        <f>IF(L1529=0,"",M1529/L1529)</f>
        <v/>
      </c>
      <c r="Z1529" t="inlineStr">
        <is>
          <t>Director &amp; Investment Officer</t>
        </is>
      </c>
      <c r="AA1529" t="inlineStr">
        <is>
          <t>Investments</t>
        </is>
      </c>
      <c r="AB1529" s="50" t="inlineStr"/>
      <c r="AC1529" s="43">
        <f>HYPERLINK("https://projects.propublica.org/nonprofits/organizations/201226494/202411289349300746/full","view filing")</f>
        <v/>
      </c>
      <c r="AD1529" s="50" t="inlineStr"/>
    </row>
    <row r="1530">
      <c r="A1530" t="inlineStr">
        <is>
          <t>University Of Florida Investment Corporation</t>
        </is>
      </c>
      <c r="B1530" s="50" t="inlineStr">
        <is>
          <t>FL</t>
        </is>
      </c>
      <c r="C1530" s="52" t="n">
        <v>2.45</v>
      </c>
      <c r="D1530" t="inlineStr">
        <is>
          <t>Endowment</t>
        </is>
      </c>
      <c r="E1530" s="50" t="n">
        <v>2023</v>
      </c>
      <c r="F1530" s="50" t="inlineStr">
        <is>
          <t>2024-05-07</t>
        </is>
      </c>
      <c r="G1530" s="50" t="inlineStr">
        <is>
          <t>2023-06-30</t>
        </is>
      </c>
      <c r="H1530" t="inlineStr">
        <is>
          <t>William C Twible</t>
        </is>
      </c>
      <c r="I1530" t="inlineStr">
        <is>
          <t>INVESTMENT DIRECTOR</t>
        </is>
      </c>
      <c r="J1530" t="inlineStr">
        <is>
          <t>Director of Investments</t>
        </is>
      </c>
      <c r="K1530" t="inlineStr">
        <is>
          <t>Sr Investment Professional</t>
        </is>
      </c>
      <c r="L1530" s="28" t="n">
        <v>254316</v>
      </c>
      <c r="M1530" s="28" t="n">
        <v>243249</v>
      </c>
      <c r="N1530" s="28" t="n">
        <v>618</v>
      </c>
      <c r="O1530" s="28" t="n">
        <v>95435</v>
      </c>
      <c r="P1530" s="28" t="n">
        <v>6901</v>
      </c>
      <c r="Q1530" s="28" t="n">
        <v>600519</v>
      </c>
      <c r="R1530" s="28" t="n">
        <v>0</v>
      </c>
      <c r="S1530" s="28">
        <f>Q1530-R1530</f>
        <v/>
      </c>
      <c r="T1530" s="28">
        <f>IF(S1530="","",S1530*(1+in_GrowthRate)^(YEARFRAC(DATE(2023,6,30),in_AgeToDate)*IF(in_AgeToDate&lt;DATE(2023,6,30),-1,1)+1))</f>
        <v/>
      </c>
      <c r="U1530" s="50">
        <f>IF(AND(AND(OR(in_Mode="All Funds",AND(C1530&gt;=in_BandFloor,C1530&lt;=in_BandCeiling,OR(in_Geography="National",COUNTIFS(lst_GeoPreset,in_Geography,lst_GeoState,B1530)&gt;0,AND(in_Geography="Custom",ISNUMBER(SEARCH(B1530,SUBSTITUTE(in_CustomStates," ",""))))),OR(AND(D1530="Endowment",Inputs!$B$14="Y"),AND(D1530="Foundation",Inputs!$B$15="Y"),AND(D1530="Healthcare",Inputs!$B$16="Y"),AND(D1530="Pension",Inputs!$B$17="Y"),AND(D1530="OCIO",Inputs!$B$18="Y"),AND(D1530="Other",Inputs!$B$19="Y")))),A1530&lt;&gt;in_ClientOrg,NOT(AND(in_ExclHarvard="Y",ISNUMBER(SEARCH("Harvard",A1530))))),$AD1530="Y",K1530&lt;&gt;"",S1530&gt;0),"Y","")</f>
        <v/>
      </c>
      <c r="V1530" s="30" t="n">
        <v>0.3182645195311775</v>
      </c>
      <c r="W1530" t="inlineStr"/>
      <c r="X1530" s="28">
        <f>IF(L1530+M1530=0,"",L1530+M1530)</f>
        <v/>
      </c>
      <c r="Y1530" s="38">
        <f>IF(L1530=0,"",M1530/L1530)</f>
        <v/>
      </c>
      <c r="Z1530" t="inlineStr">
        <is>
          <t>Director &amp; Investment Officer</t>
        </is>
      </c>
      <c r="AA1530" t="inlineStr">
        <is>
          <t>Investments</t>
        </is>
      </c>
      <c r="AB1530" s="50" t="inlineStr"/>
      <c r="AC1530" s="43">
        <f>HYPERLINK("https://projects.propublica.org/nonprofits/organizations/201226494/202411289349300746/full","view filing")</f>
        <v/>
      </c>
      <c r="AD1530" s="50" t="inlineStr"/>
    </row>
    <row r="1531">
      <c r="A1531" t="inlineStr">
        <is>
          <t>University Of Florida Investment Corporation</t>
        </is>
      </c>
      <c r="B1531" s="50" t="inlineStr">
        <is>
          <t>FL</t>
        </is>
      </c>
      <c r="C1531" s="52" t="n">
        <v>2.45</v>
      </c>
      <c r="D1531" t="inlineStr">
        <is>
          <t>Endowment</t>
        </is>
      </c>
      <c r="E1531" s="50" t="n">
        <v>2023</v>
      </c>
      <c r="F1531" s="50" t="inlineStr">
        <is>
          <t>2024-05-07</t>
        </is>
      </c>
      <c r="G1531" s="50" t="inlineStr">
        <is>
          <t>2023-06-30</t>
        </is>
      </c>
      <c r="H1531" t="inlineStr">
        <is>
          <t>William S Reeser</t>
        </is>
      </c>
      <c r="I1531" t="inlineStr">
        <is>
          <t>CEO/CIO/PRESIDENT</t>
        </is>
      </c>
      <c r="J1531" t="inlineStr">
        <is>
          <t>CIO</t>
        </is>
      </c>
      <c r="K1531" t="inlineStr">
        <is>
          <t>CIO - Top Investment Executive</t>
        </is>
      </c>
      <c r="L1531" s="28" t="n">
        <v>638692</v>
      </c>
      <c r="M1531" s="28" t="n">
        <v>923562</v>
      </c>
      <c r="N1531" s="28" t="n">
        <v>40277</v>
      </c>
      <c r="O1531" s="28" t="n">
        <v>266156</v>
      </c>
      <c r="P1531" s="28" t="n">
        <v>18168</v>
      </c>
      <c r="Q1531" s="28" t="n">
        <v>1886855</v>
      </c>
      <c r="R1531" s="28" t="n">
        <v>0</v>
      </c>
      <c r="S1531" s="28">
        <f>Q1531-R1531</f>
        <v/>
      </c>
      <c r="T1531" s="28">
        <f>IF(S1531="","",S1531*(1+in_GrowthRate)^(YEARFRAC(DATE(2023,6,30),in_AgeToDate)*IF(in_AgeToDate&lt;DATE(2023,6,30),-1,1)+1))</f>
        <v/>
      </c>
      <c r="U1531" s="50">
        <f>IF(AND(AND(OR(in_Mode="All Funds",AND(C1531&gt;=in_BandFloor,C1531&lt;=in_BandCeiling,OR(in_Geography="National",COUNTIFS(lst_GeoPreset,in_Geography,lst_GeoState,B1531)&gt;0,AND(in_Geography="Custom",ISNUMBER(SEARCH(B1531,SUBSTITUTE(in_CustomStates," ",""))))),OR(AND(D1531="Endowment",Inputs!$B$14="Y"),AND(D1531="Foundation",Inputs!$B$15="Y"),AND(D1531="Healthcare",Inputs!$B$16="Y"),AND(D1531="Pension",Inputs!$B$17="Y"),AND(D1531="OCIO",Inputs!$B$18="Y"),AND(D1531="Other",Inputs!$B$19="Y")))),A1531&lt;&gt;in_ClientOrg,NOT(AND(in_ExclHarvard="Y",ISNUMBER(SEARCH("Harvard",A1531))))),$AD1531="Y",K1531&lt;&gt;"",S1531&gt;0),"Y","")</f>
        <v/>
      </c>
      <c r="V1531" s="30" t="n">
        <v>1</v>
      </c>
      <c r="W1531" t="inlineStr"/>
      <c r="X1531" s="28">
        <f>IF(L1531+M1531=0,"",L1531+M1531)</f>
        <v/>
      </c>
      <c r="Y1531" s="38">
        <f>IF(L1531=0,"",M1531/L1531)</f>
        <v/>
      </c>
      <c r="Z1531" t="inlineStr">
        <is>
          <t>CIO - Top Investment Executive</t>
        </is>
      </c>
      <c r="AA1531" t="inlineStr">
        <is>
          <t>Leadership</t>
        </is>
      </c>
      <c r="AB1531" s="50" t="inlineStr">
        <is>
          <t>Y</t>
        </is>
      </c>
      <c r="AC1531" s="43">
        <f>HYPERLINK("https://projects.propublica.org/nonprofits/organizations/201226494/202411289349300746/full","view filing")</f>
        <v/>
      </c>
      <c r="AD1531" s="50" t="inlineStr"/>
    </row>
    <row r="1532">
      <c r="A1532" t="inlineStr">
        <is>
          <t>University Of Florida Investment Corporation</t>
        </is>
      </c>
      <c r="B1532" s="50" t="inlineStr">
        <is>
          <t>FL</t>
        </is>
      </c>
      <c r="C1532" s="52" t="n">
        <v>2.45</v>
      </c>
      <c r="D1532" t="inlineStr">
        <is>
          <t>Endowment</t>
        </is>
      </c>
      <c r="E1532" s="50" t="n">
        <v>2022</v>
      </c>
      <c r="F1532" s="50" t="inlineStr">
        <is>
          <t>2023-05-05</t>
        </is>
      </c>
      <c r="G1532" s="50" t="inlineStr">
        <is>
          <t>2022-06-30</t>
        </is>
      </c>
      <c r="H1532" t="inlineStr">
        <is>
          <t>Brennan Bubp</t>
        </is>
      </c>
      <c r="I1532" t="inlineStr">
        <is>
          <t>SENIOR INVESTMENT ANALYST</t>
        </is>
      </c>
      <c r="J1532" t="inlineStr">
        <is>
          <t>Senior Analyst</t>
        </is>
      </c>
      <c r="K1532" t="inlineStr">
        <is>
          <t>Sr Investment Professional</t>
        </is>
      </c>
      <c r="L1532" s="28" t="n">
        <v>113039</v>
      </c>
      <c r="M1532" s="28" t="n">
        <v>83024</v>
      </c>
      <c r="N1532" s="28" t="n">
        <v>4998</v>
      </c>
      <c r="O1532" s="28" t="n">
        <v>48438</v>
      </c>
      <c r="P1532" s="28" t="n">
        <v>18802</v>
      </c>
      <c r="Q1532" s="28" t="n">
        <v>268301</v>
      </c>
      <c r="R1532" s="28" t="n">
        <v>0</v>
      </c>
      <c r="S1532" s="28">
        <f>Q1532-R1532</f>
        <v/>
      </c>
      <c r="T1532" s="28">
        <f>IF(S1532="","",S1532*(1+in_GrowthRate)^(YEARFRAC(DATE(2022,6,30),in_AgeToDate)*IF(in_AgeToDate&lt;DATE(2022,6,30),-1,1)+1))</f>
        <v/>
      </c>
      <c r="U1532" s="50">
        <f>IF(AND(AND(OR(in_Mode="All Funds",AND(C1532&gt;=in_BandFloor,C1532&lt;=in_BandCeiling,OR(in_Geography="National",COUNTIFS(lst_GeoPreset,in_Geography,lst_GeoState,B1532)&gt;0,AND(in_Geography="Custom",ISNUMBER(SEARCH(B1532,SUBSTITUTE(in_CustomStates," ",""))))),OR(AND(D1532="Endowment",Inputs!$B$14="Y"),AND(D1532="Foundation",Inputs!$B$15="Y"),AND(D1532="Healthcare",Inputs!$B$16="Y"),AND(D1532="Pension",Inputs!$B$17="Y"),AND(D1532="OCIO",Inputs!$B$18="Y"),AND(D1532="Other",Inputs!$B$19="Y")))),A1532&lt;&gt;in_ClientOrg,NOT(AND(in_ExclHarvard="Y",ISNUMBER(SEARCH("Harvard",A1532))))),$AD1532="Y",K1532&lt;&gt;"",S1532&gt;0),"Y","")</f>
        <v/>
      </c>
      <c r="V1532" s="30" t="n">
        <v>0.1527389005686557</v>
      </c>
      <c r="W1532" t="inlineStr"/>
      <c r="X1532" s="28">
        <f>IF(L1532+M1532=0,"",L1532+M1532)</f>
        <v/>
      </c>
      <c r="Y1532" s="38">
        <f>IF(L1532=0,"",M1532/L1532)</f>
        <v/>
      </c>
      <c r="Z1532" t="inlineStr">
        <is>
          <t>Other investment staff</t>
        </is>
      </c>
      <c r="AA1532" t="inlineStr">
        <is>
          <t>Investments</t>
        </is>
      </c>
      <c r="AB1532" s="50" t="inlineStr"/>
      <c r="AC1532" s="43">
        <f>HYPERLINK("https://projects.propublica.org/nonprofits/organizations/201226494/202301259349301825/full","view filing")</f>
        <v/>
      </c>
      <c r="AD1532" s="50" t="inlineStr"/>
    </row>
    <row r="1533">
      <c r="A1533" t="inlineStr">
        <is>
          <t>University Of Florida Investment Corporation</t>
        </is>
      </c>
      <c r="B1533" s="50" t="inlineStr">
        <is>
          <t>FL</t>
        </is>
      </c>
      <c r="C1533" s="52" t="n">
        <v>2.45</v>
      </c>
      <c r="D1533" t="inlineStr">
        <is>
          <t>Endowment</t>
        </is>
      </c>
      <c r="E1533" s="50" t="n">
        <v>2022</v>
      </c>
      <c r="F1533" s="50" t="inlineStr">
        <is>
          <t>2023-05-05</t>
        </is>
      </c>
      <c r="G1533" s="50" t="inlineStr">
        <is>
          <t>2022-06-30</t>
        </is>
      </c>
      <c r="H1533" t="inlineStr">
        <is>
          <t>Brian Mawdsley</t>
        </is>
      </c>
      <c r="I1533" t="inlineStr">
        <is>
          <t>DEPUTY CIO</t>
        </is>
      </c>
      <c r="J1533" t="inlineStr">
        <is>
          <t>Deputy CIO</t>
        </is>
      </c>
      <c r="K1533" t="inlineStr">
        <is>
          <t>Sr Investment Professional</t>
        </is>
      </c>
      <c r="L1533" s="28" t="n">
        <v>387616</v>
      </c>
      <c r="M1533" s="28" t="n">
        <v>351071</v>
      </c>
      <c r="N1533" s="28" t="n">
        <v>1458</v>
      </c>
      <c r="O1533" s="28" t="n">
        <v>122241</v>
      </c>
      <c r="P1533" s="28" t="n">
        <v>19120</v>
      </c>
      <c r="Q1533" s="28" t="n">
        <v>881506</v>
      </c>
      <c r="R1533" s="28" t="n">
        <v>0</v>
      </c>
      <c r="S1533" s="28">
        <f>Q1533-R1533</f>
        <v/>
      </c>
      <c r="T1533" s="28">
        <f>IF(S1533="","",S1533*(1+in_GrowthRate)^(YEARFRAC(DATE(2022,6,30),in_AgeToDate)*IF(in_AgeToDate&lt;DATE(2022,6,30),-1,1)+1))</f>
        <v/>
      </c>
      <c r="U1533" s="50">
        <f>IF(AND(AND(OR(in_Mode="All Funds",AND(C1533&gt;=in_BandFloor,C1533&lt;=in_BandCeiling,OR(in_Geography="National",COUNTIFS(lst_GeoPreset,in_Geography,lst_GeoState,B1533)&gt;0,AND(in_Geography="Custom",ISNUMBER(SEARCH(B1533,SUBSTITUTE(in_CustomStates," ",""))))),OR(AND(D1533="Endowment",Inputs!$B$14="Y"),AND(D1533="Foundation",Inputs!$B$15="Y"),AND(D1533="Healthcare",Inputs!$B$16="Y"),AND(D1533="Pension",Inputs!$B$17="Y"),AND(D1533="OCIO",Inputs!$B$18="Y"),AND(D1533="Other",Inputs!$B$19="Y")))),A1533&lt;&gt;in_ClientOrg,NOT(AND(in_ExclHarvard="Y",ISNUMBER(SEARCH("Harvard",A1533))))),$AD1533="Y",K1533&lt;&gt;"",S1533&gt;0),"Y","")</f>
        <v/>
      </c>
      <c r="V1533" s="30" t="n">
        <v>0.5018254023826725</v>
      </c>
      <c r="W1533" t="inlineStr"/>
      <c r="X1533" s="28">
        <f>IF(L1533+M1533=0,"",L1533+M1533)</f>
        <v/>
      </c>
      <c r="Y1533" s="38">
        <f>IF(L1533=0,"",M1533/L1533)</f>
        <v/>
      </c>
      <c r="Z1533" t="inlineStr">
        <is>
          <t>Deputy CIO</t>
        </is>
      </c>
      <c r="AA1533" t="inlineStr">
        <is>
          <t>Leadership</t>
        </is>
      </c>
      <c r="AB1533" s="50" t="inlineStr"/>
      <c r="AC1533" s="43">
        <f>HYPERLINK("https://projects.propublica.org/nonprofits/organizations/201226494/202301259349301825/full","view filing")</f>
        <v/>
      </c>
      <c r="AD1533" s="50" t="inlineStr"/>
    </row>
    <row r="1534">
      <c r="A1534" t="inlineStr">
        <is>
          <t>University Of Florida Investment Corporation</t>
        </is>
      </c>
      <c r="B1534" s="50" t="inlineStr">
        <is>
          <t>FL</t>
        </is>
      </c>
      <c r="C1534" s="52" t="n">
        <v>2.45</v>
      </c>
      <c r="D1534" t="inlineStr">
        <is>
          <t>Endowment</t>
        </is>
      </c>
      <c r="E1534" s="50" t="n">
        <v>2022</v>
      </c>
      <c r="F1534" s="50" t="inlineStr">
        <is>
          <t>2023-05-05</t>
        </is>
      </c>
      <c r="G1534" s="50" t="inlineStr">
        <is>
          <t>2022-06-30</t>
        </is>
      </c>
      <c r="H1534" t="inlineStr">
        <is>
          <t>Edward Kelly</t>
        </is>
      </c>
      <c r="I1534" t="inlineStr">
        <is>
          <t>COO, VICE PRESIDENT</t>
        </is>
      </c>
      <c r="J1534" t="inlineStr">
        <is>
          <t>COO (Inv Entity)</t>
        </is>
      </c>
      <c r="K1534" t="inlineStr">
        <is>
          <t>COO (Investment Office)</t>
        </is>
      </c>
      <c r="L1534" s="28" t="n">
        <v>310250</v>
      </c>
      <c r="M1534" s="28" t="n">
        <v>189973</v>
      </c>
      <c r="N1534" s="28" t="n">
        <v>2940</v>
      </c>
      <c r="O1534" s="28" t="n">
        <v>80093</v>
      </c>
      <c r="P1534" s="28" t="n">
        <v>20201</v>
      </c>
      <c r="Q1534" s="28" t="n">
        <v>603457</v>
      </c>
      <c r="R1534" s="28" t="n">
        <v>0</v>
      </c>
      <c r="S1534" s="28">
        <f>Q1534-R1534</f>
        <v/>
      </c>
      <c r="T1534" s="28">
        <f>IF(S1534="","",S1534*(1+in_GrowthRate)^(YEARFRAC(DATE(2022,6,30),in_AgeToDate)*IF(in_AgeToDate&lt;DATE(2022,6,30),-1,1)+1))</f>
        <v/>
      </c>
      <c r="U1534" s="50">
        <f>IF(AND(AND(OR(in_Mode="All Funds",AND(C1534&gt;=in_BandFloor,C1534&lt;=in_BandCeiling,OR(in_Geography="National",COUNTIFS(lst_GeoPreset,in_Geography,lst_GeoState,B1534)&gt;0,AND(in_Geography="Custom",ISNUMBER(SEARCH(B1534,SUBSTITUTE(in_CustomStates," ",""))))),OR(AND(D1534="Endowment",Inputs!$B$14="Y"),AND(D1534="Foundation",Inputs!$B$15="Y"),AND(D1534="Healthcare",Inputs!$B$16="Y"),AND(D1534="Pension",Inputs!$B$17="Y"),AND(D1534="OCIO",Inputs!$B$18="Y"),AND(D1534="Other",Inputs!$B$19="Y")))),A1534&lt;&gt;in_ClientOrg,NOT(AND(in_ExclHarvard="Y",ISNUMBER(SEARCH("Harvard",A1534))))),$AD1534="Y",K1534&lt;&gt;"",S1534&gt;0),"Y","")</f>
        <v/>
      </c>
      <c r="V1534" s="30" t="n">
        <v>0.3435371419430388</v>
      </c>
      <c r="W1534" t="inlineStr"/>
      <c r="X1534" s="28">
        <f>IF(L1534+M1534=0,"",L1534+M1534)</f>
        <v/>
      </c>
      <c r="Y1534" s="38">
        <f>IF(L1534=0,"",M1534/L1534)</f>
        <v/>
      </c>
      <c r="Z1534" t="inlineStr">
        <is>
          <t>COO (Investment Office)</t>
        </is>
      </c>
      <c r="AA1534" t="inlineStr">
        <is>
          <t>Operations &amp; Control</t>
        </is>
      </c>
      <c r="AB1534" s="50" t="inlineStr"/>
      <c r="AC1534" s="43">
        <f>HYPERLINK("https://projects.propublica.org/nonprofits/organizations/201226494/202301259349301825/full","view filing")</f>
        <v/>
      </c>
      <c r="AD1534" s="50" t="inlineStr"/>
    </row>
    <row r="1535">
      <c r="A1535" t="inlineStr">
        <is>
          <t>University Of Florida Investment Corporation</t>
        </is>
      </c>
      <c r="B1535" s="50" t="inlineStr">
        <is>
          <t>FL</t>
        </is>
      </c>
      <c r="C1535" s="52" t="n">
        <v>2.45</v>
      </c>
      <c r="D1535" t="inlineStr">
        <is>
          <t>Endowment</t>
        </is>
      </c>
      <c r="E1535" s="50" t="n">
        <v>2022</v>
      </c>
      <c r="F1535" s="50" t="inlineStr">
        <is>
          <t>2023-05-05</t>
        </is>
      </c>
      <c r="G1535" s="50" t="inlineStr">
        <is>
          <t>2022-06-30</t>
        </is>
      </c>
      <c r="H1535" t="inlineStr">
        <is>
          <t>Jeffrey Furst</t>
        </is>
      </c>
      <c r="I1535" t="inlineStr">
        <is>
          <t>INVESTMENT DIRECTOR</t>
        </is>
      </c>
      <c r="J1535" t="inlineStr">
        <is>
          <t>Director of Investments</t>
        </is>
      </c>
      <c r="K1535" t="inlineStr">
        <is>
          <t>Sr Investment Professional</t>
        </is>
      </c>
      <c r="L1535" s="28" t="n">
        <v>252655</v>
      </c>
      <c r="M1535" s="28" t="n">
        <v>225015</v>
      </c>
      <c r="N1535" s="28" t="n">
        <v>618</v>
      </c>
      <c r="O1535" s="28" t="n">
        <v>91076</v>
      </c>
      <c r="P1535" s="28" t="n">
        <v>18815</v>
      </c>
      <c r="Q1535" s="28" t="n">
        <v>588179</v>
      </c>
      <c r="R1535" s="28" t="n">
        <v>0</v>
      </c>
      <c r="S1535" s="28">
        <f>Q1535-R1535</f>
        <v/>
      </c>
      <c r="T1535" s="28">
        <f>IF(S1535="","",S1535*(1+in_GrowthRate)^(YEARFRAC(DATE(2022,6,30),in_AgeToDate)*IF(in_AgeToDate&lt;DATE(2022,6,30),-1,1)+1))</f>
        <v/>
      </c>
      <c r="U1535" s="50">
        <f>IF(AND(AND(OR(in_Mode="All Funds",AND(C1535&gt;=in_BandFloor,C1535&lt;=in_BandCeiling,OR(in_Geography="National",COUNTIFS(lst_GeoPreset,in_Geography,lst_GeoState,B1535)&gt;0,AND(in_Geography="Custom",ISNUMBER(SEARCH(B1535,SUBSTITUTE(in_CustomStates," ",""))))),OR(AND(D1535="Endowment",Inputs!$B$14="Y"),AND(D1535="Foundation",Inputs!$B$15="Y"),AND(D1535="Healthcare",Inputs!$B$16="Y"),AND(D1535="Pension",Inputs!$B$17="Y"),AND(D1535="OCIO",Inputs!$B$18="Y"),AND(D1535="Other",Inputs!$B$19="Y")))),A1535&lt;&gt;in_ClientOrg,NOT(AND(in_ExclHarvard="Y",ISNUMBER(SEARCH("Harvard",A1535))))),$AD1535="Y",K1535&lt;&gt;"",S1535&gt;0),"Y","")</f>
        <v/>
      </c>
      <c r="V1535" s="30" t="n">
        <v>0.3348396532162434</v>
      </c>
      <c r="W1535" t="inlineStr"/>
      <c r="X1535" s="28">
        <f>IF(L1535+M1535=0,"",L1535+M1535)</f>
        <v/>
      </c>
      <c r="Y1535" s="38">
        <f>IF(L1535=0,"",M1535/L1535)</f>
        <v/>
      </c>
      <c r="Z1535" t="inlineStr">
        <is>
          <t>Director &amp; Investment Officer</t>
        </is>
      </c>
      <c r="AA1535" t="inlineStr">
        <is>
          <t>Investments</t>
        </is>
      </c>
      <c r="AB1535" s="50" t="inlineStr"/>
      <c r="AC1535" s="43">
        <f>HYPERLINK("https://projects.propublica.org/nonprofits/organizations/201226494/202301259349301825/full","view filing")</f>
        <v/>
      </c>
      <c r="AD1535" s="50" t="inlineStr"/>
    </row>
    <row r="1536">
      <c r="A1536" t="inlineStr">
        <is>
          <t>University Of Florida Investment Corporation</t>
        </is>
      </c>
      <c r="B1536" s="50" t="inlineStr">
        <is>
          <t>FL</t>
        </is>
      </c>
      <c r="C1536" s="52" t="n">
        <v>2.45</v>
      </c>
      <c r="D1536" t="inlineStr">
        <is>
          <t>Endowment</t>
        </is>
      </c>
      <c r="E1536" s="50" t="n">
        <v>2022</v>
      </c>
      <c r="F1536" s="50" t="inlineStr">
        <is>
          <t>2023-05-05</t>
        </is>
      </c>
      <c r="G1536" s="50" t="inlineStr">
        <is>
          <t>2022-06-30</t>
        </is>
      </c>
      <c r="H1536" t="inlineStr">
        <is>
          <t>William Reeser</t>
        </is>
      </c>
      <c r="I1536" t="inlineStr">
        <is>
          <t>CIO, PRESIDENT</t>
        </is>
      </c>
      <c r="J1536" t="inlineStr">
        <is>
          <t>CIO</t>
        </is>
      </c>
      <c r="K1536" t="inlineStr">
        <is>
          <t>CIO - Top Investment Executive</t>
        </is>
      </c>
      <c r="L1536" s="28" t="n">
        <v>620721</v>
      </c>
      <c r="M1536" s="28" t="n">
        <v>849349</v>
      </c>
      <c r="N1536" s="28" t="n">
        <v>14796</v>
      </c>
      <c r="O1536" s="28" t="n">
        <v>254299</v>
      </c>
      <c r="P1536" s="28" t="n">
        <v>17434</v>
      </c>
      <c r="Q1536" s="28" t="n">
        <v>1756599</v>
      </c>
      <c r="R1536" s="28" t="n">
        <v>0</v>
      </c>
      <c r="S1536" s="28">
        <f>Q1536-R1536</f>
        <v/>
      </c>
      <c r="T1536" s="28">
        <f>IF(S1536="","",S1536*(1+in_GrowthRate)^(YEARFRAC(DATE(2022,6,30),in_AgeToDate)*IF(in_AgeToDate&lt;DATE(2022,6,30),-1,1)+1))</f>
        <v/>
      </c>
      <c r="U1536" s="50">
        <f>IF(AND(AND(OR(in_Mode="All Funds",AND(C1536&gt;=in_BandFloor,C1536&lt;=in_BandCeiling,OR(in_Geography="National",COUNTIFS(lst_GeoPreset,in_Geography,lst_GeoState,B1536)&gt;0,AND(in_Geography="Custom",ISNUMBER(SEARCH(B1536,SUBSTITUTE(in_CustomStates," ",""))))),OR(AND(D1536="Endowment",Inputs!$B$14="Y"),AND(D1536="Foundation",Inputs!$B$15="Y"),AND(D1536="Healthcare",Inputs!$B$16="Y"),AND(D1536="Pension",Inputs!$B$17="Y"),AND(D1536="OCIO",Inputs!$B$18="Y"),AND(D1536="Other",Inputs!$B$19="Y")))),A1536&lt;&gt;in_ClientOrg,NOT(AND(in_ExclHarvard="Y",ISNUMBER(SEARCH("Harvard",A1536))))),$AD1536="Y",K1536&lt;&gt;"",S1536&gt;0),"Y","")</f>
        <v/>
      </c>
      <c r="V1536" s="30" t="n">
        <v>1</v>
      </c>
      <c r="W1536" t="inlineStr"/>
      <c r="X1536" s="28">
        <f>IF(L1536+M1536=0,"",L1536+M1536)</f>
        <v/>
      </c>
      <c r="Y1536" s="38">
        <f>IF(L1536=0,"",M1536/L1536)</f>
        <v/>
      </c>
      <c r="Z1536" t="inlineStr">
        <is>
          <t>CIO - Top Investment Executive</t>
        </is>
      </c>
      <c r="AA1536" t="inlineStr">
        <is>
          <t>Leadership</t>
        </is>
      </c>
      <c r="AB1536" s="50" t="inlineStr">
        <is>
          <t>Y</t>
        </is>
      </c>
      <c r="AC1536" s="43">
        <f>HYPERLINK("https://projects.propublica.org/nonprofits/organizations/201226494/202301259349301825/full","view filing")</f>
        <v/>
      </c>
      <c r="AD1536" s="50" t="inlineStr"/>
    </row>
    <row r="1537">
      <c r="A1537" t="inlineStr">
        <is>
          <t>University Of Florida Investment Corporation</t>
        </is>
      </c>
      <c r="B1537" s="50" t="inlineStr">
        <is>
          <t>FL</t>
        </is>
      </c>
      <c r="C1537" s="52" t="n">
        <v>2.45</v>
      </c>
      <c r="D1537" t="inlineStr">
        <is>
          <t>Endowment</t>
        </is>
      </c>
      <c r="E1537" s="50" t="n">
        <v>2022</v>
      </c>
      <c r="F1537" s="50" t="inlineStr">
        <is>
          <t>2023-05-05</t>
        </is>
      </c>
      <c r="G1537" s="50" t="inlineStr">
        <is>
          <t>2022-06-30</t>
        </is>
      </c>
      <c r="H1537" t="inlineStr">
        <is>
          <t>William Twible</t>
        </is>
      </c>
      <c r="I1537" t="inlineStr">
        <is>
          <t>INVESTMENT DIRECTOR</t>
        </is>
      </c>
      <c r="J1537" t="inlineStr">
        <is>
          <t>Director of Investments</t>
        </is>
      </c>
      <c r="K1537" t="inlineStr">
        <is>
          <t>Sr Investment Professional</t>
        </is>
      </c>
      <c r="L1537" s="28" t="n">
        <v>254388</v>
      </c>
      <c r="M1537" s="28" t="n">
        <v>225015</v>
      </c>
      <c r="N1537" s="28" t="n">
        <v>588</v>
      </c>
      <c r="O1537" s="28" t="n">
        <v>91076</v>
      </c>
      <c r="P1537" s="28" t="n">
        <v>6632</v>
      </c>
      <c r="Q1537" s="28" t="n">
        <v>577699</v>
      </c>
      <c r="R1537" s="28" t="n">
        <v>0</v>
      </c>
      <c r="S1537" s="28">
        <f>Q1537-R1537</f>
        <v/>
      </c>
      <c r="T1537" s="28">
        <f>IF(S1537="","",S1537*(1+in_GrowthRate)^(YEARFRAC(DATE(2022,6,30),in_AgeToDate)*IF(in_AgeToDate&lt;DATE(2022,6,30),-1,1)+1))</f>
        <v/>
      </c>
      <c r="U1537" s="50">
        <f>IF(AND(AND(OR(in_Mode="All Funds",AND(C1537&gt;=in_BandFloor,C1537&lt;=in_BandCeiling,OR(in_Geography="National",COUNTIFS(lst_GeoPreset,in_Geography,lst_GeoState,B1537)&gt;0,AND(in_Geography="Custom",ISNUMBER(SEARCH(B1537,SUBSTITUTE(in_CustomStates," ",""))))),OR(AND(D1537="Endowment",Inputs!$B$14="Y"),AND(D1537="Foundation",Inputs!$B$15="Y"),AND(D1537="Healthcare",Inputs!$B$16="Y"),AND(D1537="Pension",Inputs!$B$17="Y"),AND(D1537="OCIO",Inputs!$B$18="Y"),AND(D1537="Other",Inputs!$B$19="Y")))),A1537&lt;&gt;in_ClientOrg,NOT(AND(in_ExclHarvard="Y",ISNUMBER(SEARCH("Harvard",A1537))))),$AD1537="Y",K1537&lt;&gt;"",S1537&gt;0),"Y","")</f>
        <v/>
      </c>
      <c r="V1537" s="30" t="n">
        <v>0.3288735790012405</v>
      </c>
      <c r="W1537" t="inlineStr"/>
      <c r="X1537" s="28">
        <f>IF(L1537+M1537=0,"",L1537+M1537)</f>
        <v/>
      </c>
      <c r="Y1537" s="38">
        <f>IF(L1537=0,"",M1537/L1537)</f>
        <v/>
      </c>
      <c r="Z1537" t="inlineStr">
        <is>
          <t>Director &amp; Investment Officer</t>
        </is>
      </c>
      <c r="AA1537" t="inlineStr">
        <is>
          <t>Investments</t>
        </is>
      </c>
      <c r="AB1537" s="50" t="inlineStr"/>
      <c r="AC1537" s="43">
        <f>HYPERLINK("https://projects.propublica.org/nonprofits/organizations/201226494/202301259349301825/full","view filing")</f>
        <v/>
      </c>
      <c r="AD1537" s="50" t="inlineStr"/>
    </row>
    <row r="1538">
      <c r="A1538" t="inlineStr">
        <is>
          <t>University Of Georgia Foundation</t>
        </is>
      </c>
      <c r="B1538" s="50" t="inlineStr">
        <is>
          <t>GA</t>
        </is>
      </c>
      <c r="C1538" s="52" t="n">
        <v>2.18</v>
      </c>
      <c r="D1538" t="inlineStr">
        <is>
          <t>Endowment</t>
        </is>
      </c>
      <c r="E1538" s="50" t="n">
        <v>2025</v>
      </c>
      <c r="F1538" s="50" t="inlineStr">
        <is>
          <t>2025-11-12</t>
        </is>
      </c>
      <c r="G1538" s="50" t="inlineStr">
        <is>
          <t>2025-06-30</t>
        </is>
      </c>
      <c r="H1538" t="inlineStr">
        <is>
          <t>Jason Bull</t>
        </is>
      </c>
      <c r="I1538" t="inlineStr">
        <is>
          <t>CIO</t>
        </is>
      </c>
      <c r="J1538" t="inlineStr">
        <is>
          <t>CIO</t>
        </is>
      </c>
      <c r="K1538" t="inlineStr">
        <is>
          <t>CIO - Top Investment Executive</t>
        </is>
      </c>
      <c r="L1538" s="28" t="n">
        <v>0</v>
      </c>
      <c r="M1538" s="28" t="n">
        <v>0</v>
      </c>
      <c r="N1538" s="28" t="n">
        <v>0</v>
      </c>
      <c r="O1538" s="28" t="n">
        <v>0</v>
      </c>
      <c r="P1538" s="28" t="n">
        <v>0</v>
      </c>
      <c r="Q1538" s="28" t="n">
        <v>451831</v>
      </c>
      <c r="R1538" s="28" t="n">
        <v>0</v>
      </c>
      <c r="S1538" s="28">
        <f>Q1538-R1538</f>
        <v/>
      </c>
      <c r="T1538" s="28">
        <f>IF(S1538="","",S1538*(1+in_GrowthRate)^(YEARFRAC(DATE(2025,6,30),in_AgeToDate)*IF(in_AgeToDate&lt;DATE(2025,6,30),-1,1)+1))</f>
        <v/>
      </c>
      <c r="U1538" s="50">
        <f>IF(AND(AND(OR(in_Mode="All Funds",AND(C1538&gt;=in_BandFloor,C1538&lt;=in_BandCeiling,OR(in_Geography="National",COUNTIFS(lst_GeoPreset,in_Geography,lst_GeoState,B1538)&gt;0,AND(in_Geography="Custom",ISNUMBER(SEARCH(B1538,SUBSTITUTE(in_CustomStates," ",""))))),OR(AND(D1538="Endowment",Inputs!$B$14="Y"),AND(D1538="Foundation",Inputs!$B$15="Y"),AND(D1538="Healthcare",Inputs!$B$16="Y"),AND(D1538="Pension",Inputs!$B$17="Y"),AND(D1538="OCIO",Inputs!$B$18="Y"),AND(D1538="Other",Inputs!$B$19="Y")))),A1538&lt;&gt;in_ClientOrg,NOT(AND(in_ExclHarvard="Y",ISNUMBER(SEARCH("Harvard",A1538))))),$AD1538="Y",K1538&lt;&gt;"",S1538&gt;0),"Y","")</f>
        <v/>
      </c>
      <c r="V1538" s="30" t="n">
        <v>1</v>
      </c>
      <c r="W1538" t="inlineStr"/>
      <c r="X1538" s="28">
        <f>IF(L1538+M1538=0,"",L1538+M1538)</f>
        <v/>
      </c>
      <c r="Y1538" s="38">
        <f>IF(L1538=0,"",M1538/L1538)</f>
        <v/>
      </c>
      <c r="Z1538" t="inlineStr">
        <is>
          <t>CIO - Top Investment Executive</t>
        </is>
      </c>
      <c r="AA1538" t="inlineStr">
        <is>
          <t>Leadership</t>
        </is>
      </c>
      <c r="AB1538" s="50" t="inlineStr">
        <is>
          <t>Y</t>
        </is>
      </c>
      <c r="AC1538" s="43">
        <f>HYPERLINK("https://projects.propublica.org/nonprofits/organizations/586033837/202523169349303707/full","view filing")</f>
        <v/>
      </c>
      <c r="AD1538" s="50" t="inlineStr">
        <is>
          <t>Y</t>
        </is>
      </c>
    </row>
    <row r="1539">
      <c r="A1539" t="inlineStr">
        <is>
          <t>University Of Georgia Foundation</t>
        </is>
      </c>
      <c r="B1539" s="50" t="inlineStr">
        <is>
          <t>GA</t>
        </is>
      </c>
      <c r="C1539" s="52" t="n">
        <v>2.18</v>
      </c>
      <c r="D1539" t="inlineStr">
        <is>
          <t>Endowment</t>
        </is>
      </c>
      <c r="E1539" s="50" t="n">
        <v>2024</v>
      </c>
      <c r="F1539" s="50" t="inlineStr">
        <is>
          <t>2024-11-15</t>
        </is>
      </c>
      <c r="G1539" s="50" t="inlineStr">
        <is>
          <t>2024-06-30</t>
        </is>
      </c>
      <c r="H1539" t="inlineStr">
        <is>
          <t>Jason Bull</t>
        </is>
      </c>
      <c r="I1539" t="inlineStr">
        <is>
          <t>CIO</t>
        </is>
      </c>
      <c r="J1539" t="inlineStr">
        <is>
          <t>CIO</t>
        </is>
      </c>
      <c r="K1539" t="inlineStr">
        <is>
          <t>CIO - Top Investment Executive</t>
        </is>
      </c>
      <c r="L1539" s="28" t="n">
        <v>0</v>
      </c>
      <c r="M1539" s="28" t="n">
        <v>0</v>
      </c>
      <c r="N1539" s="28" t="n">
        <v>0</v>
      </c>
      <c r="O1539" s="28" t="n">
        <v>0</v>
      </c>
      <c r="P1539" s="28" t="n">
        <v>0</v>
      </c>
      <c r="Q1539" s="28" t="n">
        <v>429116</v>
      </c>
      <c r="R1539" s="28" t="n">
        <v>0</v>
      </c>
      <c r="S1539" s="28">
        <f>Q1539-R1539</f>
        <v/>
      </c>
      <c r="T1539" s="28">
        <f>IF(S1539="","",S1539*(1+in_GrowthRate)^(YEARFRAC(DATE(2024,6,30),in_AgeToDate)*IF(in_AgeToDate&lt;DATE(2024,6,30),-1,1)+1))</f>
        <v/>
      </c>
      <c r="U1539" s="50">
        <f>IF(AND(AND(OR(in_Mode="All Funds",AND(C1539&gt;=in_BandFloor,C1539&lt;=in_BandCeiling,OR(in_Geography="National",COUNTIFS(lst_GeoPreset,in_Geography,lst_GeoState,B1539)&gt;0,AND(in_Geography="Custom",ISNUMBER(SEARCH(B1539,SUBSTITUTE(in_CustomStates," ",""))))),OR(AND(D1539="Endowment",Inputs!$B$14="Y"),AND(D1539="Foundation",Inputs!$B$15="Y"),AND(D1539="Healthcare",Inputs!$B$16="Y"),AND(D1539="Pension",Inputs!$B$17="Y"),AND(D1539="OCIO",Inputs!$B$18="Y"),AND(D1539="Other",Inputs!$B$19="Y")))),A1539&lt;&gt;in_ClientOrg,NOT(AND(in_ExclHarvard="Y",ISNUMBER(SEARCH("Harvard",A1539))))),$AD1539="Y",K1539&lt;&gt;"",S1539&gt;0),"Y","")</f>
        <v/>
      </c>
      <c r="V1539" s="30" t="n">
        <v>1</v>
      </c>
      <c r="W1539" t="inlineStr"/>
      <c r="X1539" s="28">
        <f>IF(L1539+M1539=0,"",L1539+M1539)</f>
        <v/>
      </c>
      <c r="Y1539" s="38">
        <f>IF(L1539=0,"",M1539/L1539)</f>
        <v/>
      </c>
      <c r="Z1539" t="inlineStr">
        <is>
          <t>CIO - Top Investment Executive</t>
        </is>
      </c>
      <c r="AA1539" t="inlineStr">
        <is>
          <t>Leadership</t>
        </is>
      </c>
      <c r="AB1539" s="50" t="inlineStr">
        <is>
          <t>Y</t>
        </is>
      </c>
      <c r="AC1539" s="43">
        <f>HYPERLINK("https://projects.propublica.org/nonprofits/organizations/586033837/202403209349316285/full","view filing")</f>
        <v/>
      </c>
      <c r="AD1539" s="50" t="inlineStr"/>
    </row>
    <row r="1540">
      <c r="A1540" t="inlineStr">
        <is>
          <t>University Of Georgia Foundation</t>
        </is>
      </c>
      <c r="B1540" s="50" t="inlineStr">
        <is>
          <t>GA</t>
        </is>
      </c>
      <c r="C1540" s="52" t="n">
        <v>2.18</v>
      </c>
      <c r="D1540" t="inlineStr">
        <is>
          <t>Endowment</t>
        </is>
      </c>
      <c r="E1540" s="50" t="n">
        <v>2023</v>
      </c>
      <c r="F1540" s="50" t="inlineStr">
        <is>
          <t>2023-11-15</t>
        </is>
      </c>
      <c r="G1540" s="50" t="inlineStr">
        <is>
          <t>2023-06-30</t>
        </is>
      </c>
      <c r="H1540" t="inlineStr">
        <is>
          <t>Jason Bull</t>
        </is>
      </c>
      <c r="I1540" t="inlineStr">
        <is>
          <t>CIO</t>
        </is>
      </c>
      <c r="J1540" t="inlineStr">
        <is>
          <t>CIO</t>
        </is>
      </c>
      <c r="K1540" t="inlineStr">
        <is>
          <t>CIO - Top Investment Executive</t>
        </is>
      </c>
      <c r="L1540" s="28" t="n">
        <v>0</v>
      </c>
      <c r="M1540" s="28" t="n">
        <v>0</v>
      </c>
      <c r="N1540" s="28" t="n">
        <v>0</v>
      </c>
      <c r="O1540" s="28" t="n">
        <v>0</v>
      </c>
      <c r="P1540" s="28" t="n">
        <v>0</v>
      </c>
      <c r="Q1540" s="28" t="n">
        <v>416345</v>
      </c>
      <c r="R1540" s="28" t="n">
        <v>0</v>
      </c>
      <c r="S1540" s="28">
        <f>Q1540-R1540</f>
        <v/>
      </c>
      <c r="T1540" s="28">
        <f>IF(S1540="","",S1540*(1+in_GrowthRate)^(YEARFRAC(DATE(2023,6,30),in_AgeToDate)*IF(in_AgeToDate&lt;DATE(2023,6,30),-1,1)+1))</f>
        <v/>
      </c>
      <c r="U1540" s="50">
        <f>IF(AND(AND(OR(in_Mode="All Funds",AND(C1540&gt;=in_BandFloor,C1540&lt;=in_BandCeiling,OR(in_Geography="National",COUNTIFS(lst_GeoPreset,in_Geography,lst_GeoState,B1540)&gt;0,AND(in_Geography="Custom",ISNUMBER(SEARCH(B1540,SUBSTITUTE(in_CustomStates," ",""))))),OR(AND(D1540="Endowment",Inputs!$B$14="Y"),AND(D1540="Foundation",Inputs!$B$15="Y"),AND(D1540="Healthcare",Inputs!$B$16="Y"),AND(D1540="Pension",Inputs!$B$17="Y"),AND(D1540="OCIO",Inputs!$B$18="Y"),AND(D1540="Other",Inputs!$B$19="Y")))),A1540&lt;&gt;in_ClientOrg,NOT(AND(in_ExclHarvard="Y",ISNUMBER(SEARCH("Harvard",A1540))))),$AD1540="Y",K1540&lt;&gt;"",S1540&gt;0),"Y","")</f>
        <v/>
      </c>
      <c r="V1540" s="30" t="n">
        <v>1</v>
      </c>
      <c r="W1540" t="inlineStr"/>
      <c r="X1540" s="28">
        <f>IF(L1540+M1540=0,"",L1540+M1540)</f>
        <v/>
      </c>
      <c r="Y1540" s="38">
        <f>IF(L1540=0,"",M1540/L1540)</f>
        <v/>
      </c>
      <c r="Z1540" t="inlineStr">
        <is>
          <t>CIO - Top Investment Executive</t>
        </is>
      </c>
      <c r="AA1540" t="inlineStr">
        <is>
          <t>Leadership</t>
        </is>
      </c>
      <c r="AB1540" s="50" t="inlineStr">
        <is>
          <t>Y</t>
        </is>
      </c>
      <c r="AC1540" s="43">
        <f>HYPERLINK("https://projects.propublica.org/nonprofits/organizations/586033837/202323199349323442/full","view filing")</f>
        <v/>
      </c>
      <c r="AD1540" s="50" t="inlineStr"/>
    </row>
    <row r="1541">
      <c r="A1541" t="inlineStr">
        <is>
          <t>University Of Georgia Foundation</t>
        </is>
      </c>
      <c r="B1541" s="50" t="inlineStr">
        <is>
          <t>GA</t>
        </is>
      </c>
      <c r="C1541" s="52" t="n">
        <v>2.18</v>
      </c>
      <c r="D1541" t="inlineStr">
        <is>
          <t>Endowment</t>
        </is>
      </c>
      <c r="E1541" s="50" t="n">
        <v>2022</v>
      </c>
      <c r="F1541" s="50" t="inlineStr">
        <is>
          <t>2022-11-15</t>
        </is>
      </c>
      <c r="G1541" s="50" t="inlineStr">
        <is>
          <t>2022-06-30</t>
        </is>
      </c>
      <c r="H1541" t="inlineStr">
        <is>
          <t>Jason Bull</t>
        </is>
      </c>
      <c r="I1541" t="inlineStr">
        <is>
          <t>CIO</t>
        </is>
      </c>
      <c r="J1541" t="inlineStr">
        <is>
          <t>CIO</t>
        </is>
      </c>
      <c r="K1541" t="inlineStr">
        <is>
          <t>CIO - Top Investment Executive</t>
        </is>
      </c>
      <c r="L1541" s="28" t="n">
        <v>0</v>
      </c>
      <c r="M1541" s="28" t="n">
        <v>0</v>
      </c>
      <c r="N1541" s="28" t="n">
        <v>0</v>
      </c>
      <c r="O1541" s="28" t="n">
        <v>0</v>
      </c>
      <c r="P1541" s="28" t="n">
        <v>0</v>
      </c>
      <c r="Q1541" s="28" t="n">
        <v>376206</v>
      </c>
      <c r="R1541" s="28" t="n">
        <v>0</v>
      </c>
      <c r="S1541" s="28">
        <f>Q1541-R1541</f>
        <v/>
      </c>
      <c r="T1541" s="28">
        <f>IF(S1541="","",S1541*(1+in_GrowthRate)^(YEARFRAC(DATE(2022,6,30),in_AgeToDate)*IF(in_AgeToDate&lt;DATE(2022,6,30),-1,1)+1))</f>
        <v/>
      </c>
      <c r="U1541" s="50">
        <f>IF(AND(AND(OR(in_Mode="All Funds",AND(C1541&gt;=in_BandFloor,C1541&lt;=in_BandCeiling,OR(in_Geography="National",COUNTIFS(lst_GeoPreset,in_Geography,lst_GeoState,B1541)&gt;0,AND(in_Geography="Custom",ISNUMBER(SEARCH(B1541,SUBSTITUTE(in_CustomStates," ",""))))),OR(AND(D1541="Endowment",Inputs!$B$14="Y"),AND(D1541="Foundation",Inputs!$B$15="Y"),AND(D1541="Healthcare",Inputs!$B$16="Y"),AND(D1541="Pension",Inputs!$B$17="Y"),AND(D1541="OCIO",Inputs!$B$18="Y"),AND(D1541="Other",Inputs!$B$19="Y")))),A1541&lt;&gt;in_ClientOrg,NOT(AND(in_ExclHarvard="Y",ISNUMBER(SEARCH("Harvard",A1541))))),$AD1541="Y",K1541&lt;&gt;"",S1541&gt;0),"Y","")</f>
        <v/>
      </c>
      <c r="V1541" s="30" t="n">
        <v>1</v>
      </c>
      <c r="W1541" t="inlineStr"/>
      <c r="X1541" s="28">
        <f>IF(L1541+M1541=0,"",L1541+M1541)</f>
        <v/>
      </c>
      <c r="Y1541" s="38">
        <f>IF(L1541=0,"",M1541/L1541)</f>
        <v/>
      </c>
      <c r="Z1541" t="inlineStr">
        <is>
          <t>CIO - Top Investment Executive</t>
        </is>
      </c>
      <c r="AA1541" t="inlineStr">
        <is>
          <t>Leadership</t>
        </is>
      </c>
      <c r="AB1541" s="50" t="inlineStr">
        <is>
          <t>Y</t>
        </is>
      </c>
      <c r="AC1541" s="43">
        <f>HYPERLINK("https://projects.propublica.org/nonprofits/organizations/586033837/202243199349324189/full","view filing")</f>
        <v/>
      </c>
      <c r="AD1541" s="50" t="inlineStr"/>
    </row>
    <row r="1542">
      <c r="A1542" t="inlineStr">
        <is>
          <t>University Of Illinois Foundation</t>
        </is>
      </c>
      <c r="B1542" s="50" t="inlineStr">
        <is>
          <t>IL</t>
        </is>
      </c>
      <c r="C1542" s="52" t="n">
        <v>3.8</v>
      </c>
      <c r="D1542" t="inlineStr">
        <is>
          <t>Endowment</t>
        </is>
      </c>
      <c r="E1542" s="50" t="n">
        <v>2025</v>
      </c>
      <c r="F1542" s="50" t="inlineStr">
        <is>
          <t>2026-05-15</t>
        </is>
      </c>
      <c r="G1542" s="50" t="inlineStr">
        <is>
          <t>2025-06-30</t>
        </is>
      </c>
      <c r="H1542" t="inlineStr">
        <is>
          <t>Frank Robinson</t>
        </is>
      </c>
      <c r="I1542" t="inlineStr">
        <is>
          <t>Managing Director</t>
        </is>
      </c>
      <c r="J1542" t="inlineStr">
        <is>
          <t>Managing Director</t>
        </is>
      </c>
      <c r="K1542" t="inlineStr">
        <is>
          <t>Sr Investment Professional</t>
        </is>
      </c>
      <c r="L1542" s="28" t="n">
        <v>368910</v>
      </c>
      <c r="M1542" s="28" t="n">
        <v>375000</v>
      </c>
      <c r="N1542" s="28" t="n">
        <v>0</v>
      </c>
      <c r="O1542" s="28" t="n">
        <v>25650</v>
      </c>
      <c r="P1542" s="28" t="n">
        <v>33177</v>
      </c>
      <c r="Q1542" s="28" t="n">
        <v>802737</v>
      </c>
      <c r="R1542" s="28" t="n">
        <v>0</v>
      </c>
      <c r="S1542" s="28">
        <f>Q1542-R1542</f>
        <v/>
      </c>
      <c r="T1542" s="28">
        <f>IF(S1542="","",S1542*(1+in_GrowthRate)^(YEARFRAC(DATE(2025,6,30),in_AgeToDate)*IF(in_AgeToDate&lt;DATE(2025,6,30),-1,1)+1))</f>
        <v/>
      </c>
      <c r="U1542" s="50">
        <f>IF(AND(AND(OR(in_Mode="All Funds",AND(C1542&gt;=in_BandFloor,C1542&lt;=in_BandCeiling,OR(in_Geography="National",COUNTIFS(lst_GeoPreset,in_Geography,lst_GeoState,B1542)&gt;0,AND(in_Geography="Custom",ISNUMBER(SEARCH(B1542,SUBSTITUTE(in_CustomStates," ",""))))),OR(AND(D1542="Endowment",Inputs!$B$14="Y"),AND(D1542="Foundation",Inputs!$B$15="Y"),AND(D1542="Healthcare",Inputs!$B$16="Y"),AND(D1542="Pension",Inputs!$B$17="Y"),AND(D1542="OCIO",Inputs!$B$18="Y"),AND(D1542="Other",Inputs!$B$19="Y")))),A1542&lt;&gt;in_ClientOrg,NOT(AND(in_ExclHarvard="Y",ISNUMBER(SEARCH("Harvard",A1542))))),$AD1542="Y",K1542&lt;&gt;"",S1542&gt;0),"Y","")</f>
        <v/>
      </c>
      <c r="V1542" s="30" t="n">
        <v>0.6944307954226948</v>
      </c>
      <c r="W1542" t="inlineStr"/>
      <c r="X1542" s="28">
        <f>IF(L1542+M1542=0,"",L1542+M1542)</f>
        <v/>
      </c>
      <c r="Y1542" s="38">
        <f>IF(L1542=0,"",M1542/L1542)</f>
        <v/>
      </c>
      <c r="Z1542" t="inlineStr">
        <is>
          <t>Managing Director</t>
        </is>
      </c>
      <c r="AA1542" t="inlineStr">
        <is>
          <t>Investments</t>
        </is>
      </c>
      <c r="AB1542" s="50" t="inlineStr"/>
      <c r="AC1542" s="43">
        <f>HYPERLINK("https://projects.propublica.org/nonprofits/organizations/376006007/202631359349306108/full","view filing")</f>
        <v/>
      </c>
      <c r="AD1542" s="50" t="inlineStr">
        <is>
          <t>Y</t>
        </is>
      </c>
    </row>
    <row r="1543">
      <c r="A1543" t="inlineStr">
        <is>
          <t>University Of Illinois Foundation</t>
        </is>
      </c>
      <c r="B1543" s="50" t="inlineStr">
        <is>
          <t>IL</t>
        </is>
      </c>
      <c r="C1543" s="52" t="n">
        <v>3.8</v>
      </c>
      <c r="D1543" t="inlineStr">
        <is>
          <t>Endowment</t>
        </is>
      </c>
      <c r="E1543" s="50" t="n">
        <v>2025</v>
      </c>
      <c r="F1543" s="50" t="inlineStr">
        <is>
          <t>2026-05-15</t>
        </is>
      </c>
      <c r="G1543" s="50" t="inlineStr">
        <is>
          <t>2025-06-30</t>
        </is>
      </c>
      <c r="H1543" t="inlineStr">
        <is>
          <t>Jeremy Heer</t>
        </is>
      </c>
      <c r="I1543" t="inlineStr">
        <is>
          <t>Managing Director</t>
        </is>
      </c>
      <c r="J1543" t="inlineStr">
        <is>
          <t>Managing Director</t>
        </is>
      </c>
      <c r="K1543" t="inlineStr">
        <is>
          <t>Sr Investment Professional</t>
        </is>
      </c>
      <c r="L1543" s="28" t="n">
        <v>336516</v>
      </c>
      <c r="M1543" s="28" t="n">
        <v>300000</v>
      </c>
      <c r="N1543" s="28" t="n">
        <v>0</v>
      </c>
      <c r="O1543" s="28" t="n">
        <v>25650</v>
      </c>
      <c r="P1543" s="28" t="n">
        <v>30621</v>
      </c>
      <c r="Q1543" s="28" t="n">
        <v>692787</v>
      </c>
      <c r="R1543" s="28" t="n">
        <v>0</v>
      </c>
      <c r="S1543" s="28">
        <f>Q1543-R1543</f>
        <v/>
      </c>
      <c r="T1543" s="28">
        <f>IF(S1543="","",S1543*(1+in_GrowthRate)^(YEARFRAC(DATE(2025,6,30),in_AgeToDate)*IF(in_AgeToDate&lt;DATE(2025,6,30),-1,1)+1))</f>
        <v/>
      </c>
      <c r="U1543" s="50">
        <f>IF(AND(AND(OR(in_Mode="All Funds",AND(C1543&gt;=in_BandFloor,C1543&lt;=in_BandCeiling,OR(in_Geography="National",COUNTIFS(lst_GeoPreset,in_Geography,lst_GeoState,B1543)&gt;0,AND(in_Geography="Custom",ISNUMBER(SEARCH(B1543,SUBSTITUTE(in_CustomStates," ",""))))),OR(AND(D1543="Endowment",Inputs!$B$14="Y"),AND(D1543="Foundation",Inputs!$B$15="Y"),AND(D1543="Healthcare",Inputs!$B$16="Y"),AND(D1543="Pension",Inputs!$B$17="Y"),AND(D1543="OCIO",Inputs!$B$18="Y"),AND(D1543="Other",Inputs!$B$19="Y")))),A1543&lt;&gt;in_ClientOrg,NOT(AND(in_ExclHarvard="Y",ISNUMBER(SEARCH("Harvard",A1543))))),$AD1543="Y",K1543&lt;&gt;"",S1543&gt;0),"Y","")</f>
        <v/>
      </c>
      <c r="V1543" s="30" t="n">
        <v>0.5993153766034236</v>
      </c>
      <c r="W1543" t="inlineStr"/>
      <c r="X1543" s="28">
        <f>IF(L1543+M1543=0,"",L1543+M1543)</f>
        <v/>
      </c>
      <c r="Y1543" s="38">
        <f>IF(L1543=0,"",M1543/L1543)</f>
        <v/>
      </c>
      <c r="Z1543" t="inlineStr">
        <is>
          <t>Managing Director</t>
        </is>
      </c>
      <c r="AA1543" t="inlineStr">
        <is>
          <t>Investments</t>
        </is>
      </c>
      <c r="AB1543" s="50" t="inlineStr"/>
      <c r="AC1543" s="43">
        <f>HYPERLINK("https://projects.propublica.org/nonprofits/organizations/376006007/202631359349306108/full","view filing")</f>
        <v/>
      </c>
      <c r="AD1543" s="50" t="inlineStr">
        <is>
          <t>Y</t>
        </is>
      </c>
    </row>
    <row r="1544">
      <c r="A1544" t="inlineStr">
        <is>
          <t>University Of Illinois Foundation</t>
        </is>
      </c>
      <c r="B1544" s="50" t="inlineStr">
        <is>
          <t>IL</t>
        </is>
      </c>
      <c r="C1544" s="52" t="n">
        <v>3.8</v>
      </c>
      <c r="D1544" t="inlineStr">
        <is>
          <t>Endowment</t>
        </is>
      </c>
      <c r="E1544" s="50" t="n">
        <v>2025</v>
      </c>
      <c r="F1544" s="50" t="inlineStr">
        <is>
          <t>2026-05-15</t>
        </is>
      </c>
      <c r="G1544" s="50" t="inlineStr">
        <is>
          <t>2025-06-30</t>
        </is>
      </c>
      <c r="H1544" t="inlineStr">
        <is>
          <t>Matthew Mcganity</t>
        </is>
      </c>
      <c r="I1544" t="inlineStr">
        <is>
          <t>Managing Director</t>
        </is>
      </c>
      <c r="J1544" t="inlineStr">
        <is>
          <t>Managing Director</t>
        </is>
      </c>
      <c r="K1544" t="inlineStr">
        <is>
          <t>Sr Investment Professional</t>
        </is>
      </c>
      <c r="L1544" s="28" t="n">
        <v>369636</v>
      </c>
      <c r="M1544" s="28" t="n">
        <v>375000</v>
      </c>
      <c r="N1544" s="28" t="n">
        <v>0</v>
      </c>
      <c r="O1544" s="28" t="n">
        <v>25650</v>
      </c>
      <c r="P1544" s="28" t="n">
        <v>25471</v>
      </c>
      <c r="Q1544" s="28" t="n">
        <v>795757</v>
      </c>
      <c r="R1544" s="28" t="n">
        <v>0</v>
      </c>
      <c r="S1544" s="28">
        <f>Q1544-R1544</f>
        <v/>
      </c>
      <c r="T1544" s="28">
        <f>IF(S1544="","",S1544*(1+in_GrowthRate)^(YEARFRAC(DATE(2025,6,30),in_AgeToDate)*IF(in_AgeToDate&lt;DATE(2025,6,30),-1,1)+1))</f>
        <v/>
      </c>
      <c r="U1544" s="50">
        <f>IF(AND(AND(OR(in_Mode="All Funds",AND(C1544&gt;=in_BandFloor,C1544&lt;=in_BandCeiling,OR(in_Geography="National",COUNTIFS(lst_GeoPreset,in_Geography,lst_GeoState,B1544)&gt;0,AND(in_Geography="Custom",ISNUMBER(SEARCH(B1544,SUBSTITUTE(in_CustomStates," ",""))))),OR(AND(D1544="Endowment",Inputs!$B$14="Y"),AND(D1544="Foundation",Inputs!$B$15="Y"),AND(D1544="Healthcare",Inputs!$B$16="Y"),AND(D1544="Pension",Inputs!$B$17="Y"),AND(D1544="OCIO",Inputs!$B$18="Y"),AND(D1544="Other",Inputs!$B$19="Y")))),A1544&lt;&gt;in_ClientOrg,NOT(AND(in_ExclHarvard="Y",ISNUMBER(SEARCH("Harvard",A1544))))),$AD1544="Y",K1544&lt;&gt;"",S1544&gt;0),"Y","")</f>
        <v/>
      </c>
      <c r="V1544" s="30" t="n">
        <v>0.6883925450965601</v>
      </c>
      <c r="W1544" t="inlineStr"/>
      <c r="X1544" s="28">
        <f>IF(L1544+M1544=0,"",L1544+M1544)</f>
        <v/>
      </c>
      <c r="Y1544" s="38">
        <f>IF(L1544=0,"",M1544/L1544)</f>
        <v/>
      </c>
      <c r="Z1544" t="inlineStr">
        <is>
          <t>Managing Director</t>
        </is>
      </c>
      <c r="AA1544" t="inlineStr">
        <is>
          <t>Investments</t>
        </is>
      </c>
      <c r="AB1544" s="50" t="inlineStr"/>
      <c r="AC1544" s="43">
        <f>HYPERLINK("https://projects.propublica.org/nonprofits/organizations/376006007/202631359349306108/full","view filing")</f>
        <v/>
      </c>
      <c r="AD1544" s="50" t="inlineStr">
        <is>
          <t>Y</t>
        </is>
      </c>
    </row>
    <row r="1545">
      <c r="A1545" t="inlineStr">
        <is>
          <t>University Of Illinois Foundation</t>
        </is>
      </c>
      <c r="B1545" s="50" t="inlineStr">
        <is>
          <t>IL</t>
        </is>
      </c>
      <c r="C1545" s="52" t="n">
        <v>3.8</v>
      </c>
      <c r="D1545" t="inlineStr">
        <is>
          <t>Endowment</t>
        </is>
      </c>
      <c r="E1545" s="50" t="n">
        <v>2025</v>
      </c>
      <c r="F1545" s="50" t="inlineStr">
        <is>
          <t>2026-05-15</t>
        </is>
      </c>
      <c r="G1545" s="50" t="inlineStr">
        <is>
          <t>2025-06-30</t>
        </is>
      </c>
      <c r="H1545" t="inlineStr">
        <is>
          <t>Travis W Shore</t>
        </is>
      </c>
      <c r="I1545" t="inlineStr">
        <is>
          <t>Chief Investment Officer</t>
        </is>
      </c>
      <c r="J1545" t="inlineStr">
        <is>
          <t>CIO</t>
        </is>
      </c>
      <c r="K1545" t="inlineStr">
        <is>
          <t>CIO - Top Investment Executive</t>
        </is>
      </c>
      <c r="L1545" s="28" t="n">
        <v>693094</v>
      </c>
      <c r="M1545" s="28" t="n">
        <v>400000</v>
      </c>
      <c r="N1545" s="28" t="n">
        <v>0</v>
      </c>
      <c r="O1545" s="28" t="n">
        <v>25650</v>
      </c>
      <c r="P1545" s="28" t="n">
        <v>37220</v>
      </c>
      <c r="Q1545" s="28" t="n">
        <v>1155964</v>
      </c>
      <c r="R1545" s="28" t="n">
        <v>0</v>
      </c>
      <c r="S1545" s="28">
        <f>Q1545-R1545</f>
        <v/>
      </c>
      <c r="T1545" s="28">
        <f>IF(S1545="","",S1545*(1+in_GrowthRate)^(YEARFRAC(DATE(2025,6,30),in_AgeToDate)*IF(in_AgeToDate&lt;DATE(2025,6,30),-1,1)+1))</f>
        <v/>
      </c>
      <c r="U1545" s="50">
        <f>IF(AND(AND(OR(in_Mode="All Funds",AND(C1545&gt;=in_BandFloor,C1545&lt;=in_BandCeiling,OR(in_Geography="National",COUNTIFS(lst_GeoPreset,in_Geography,lst_GeoState,B1545)&gt;0,AND(in_Geography="Custom",ISNUMBER(SEARCH(B1545,SUBSTITUTE(in_CustomStates," ",""))))),OR(AND(D1545="Endowment",Inputs!$B$14="Y"),AND(D1545="Foundation",Inputs!$B$15="Y"),AND(D1545="Healthcare",Inputs!$B$16="Y"),AND(D1545="Pension",Inputs!$B$17="Y"),AND(D1545="OCIO",Inputs!$B$18="Y"),AND(D1545="Other",Inputs!$B$19="Y")))),A1545&lt;&gt;in_ClientOrg,NOT(AND(in_ExclHarvard="Y",ISNUMBER(SEARCH("Harvard",A1545))))),$AD1545="Y",K1545&lt;&gt;"",S1545&gt;0),"Y","")</f>
        <v/>
      </c>
      <c r="V1545" s="30" t="n">
        <v>1</v>
      </c>
      <c r="W1545" t="inlineStr"/>
      <c r="X1545" s="28">
        <f>IF(L1545+M1545=0,"",L1545+M1545)</f>
        <v/>
      </c>
      <c r="Y1545" s="38">
        <f>IF(L1545=0,"",M1545/L1545)</f>
        <v/>
      </c>
      <c r="Z1545" t="inlineStr">
        <is>
          <t>CIO - Top Investment Executive</t>
        </is>
      </c>
      <c r="AA1545" t="inlineStr">
        <is>
          <t>Leadership</t>
        </is>
      </c>
      <c r="AB1545" s="50" t="inlineStr">
        <is>
          <t>Y</t>
        </is>
      </c>
      <c r="AC1545" s="43">
        <f>HYPERLINK("https://projects.propublica.org/nonprofits/organizations/376006007/202631359349306108/full","view filing")</f>
        <v/>
      </c>
      <c r="AD1545" s="50" t="inlineStr">
        <is>
          <t>Y</t>
        </is>
      </c>
    </row>
    <row r="1546">
      <c r="A1546" t="inlineStr">
        <is>
          <t>University Of Illinois Foundation</t>
        </is>
      </c>
      <c r="B1546" s="50" t="inlineStr">
        <is>
          <t>IL</t>
        </is>
      </c>
      <c r="C1546" s="52" t="n">
        <v>3.8</v>
      </c>
      <c r="D1546" t="inlineStr">
        <is>
          <t>Endowment</t>
        </is>
      </c>
      <c r="E1546" s="50" t="n">
        <v>2024</v>
      </c>
      <c r="F1546" s="50" t="inlineStr">
        <is>
          <t>2025-05-05</t>
        </is>
      </c>
      <c r="G1546" s="50" t="inlineStr">
        <is>
          <t>2024-06-30</t>
        </is>
      </c>
      <c r="H1546" t="inlineStr">
        <is>
          <t>Frank Robinson</t>
        </is>
      </c>
      <c r="I1546" t="inlineStr">
        <is>
          <t>Managing Director</t>
        </is>
      </c>
      <c r="J1546" t="inlineStr">
        <is>
          <t>Managing Director</t>
        </is>
      </c>
      <c r="K1546" t="inlineStr">
        <is>
          <t>Sr Investment Professional</t>
        </is>
      </c>
      <c r="L1546" s="28" t="n">
        <v>369000</v>
      </c>
      <c r="M1546" s="28" t="n">
        <v>375000</v>
      </c>
      <c r="N1546" s="28" t="n">
        <v>0</v>
      </c>
      <c r="O1546" s="28" t="n">
        <v>24130</v>
      </c>
      <c r="P1546" s="28" t="n">
        <v>30563</v>
      </c>
      <c r="Q1546" s="28" t="n">
        <v>798693</v>
      </c>
      <c r="R1546" s="28" t="n">
        <v>0</v>
      </c>
      <c r="S1546" s="28">
        <f>Q1546-R1546</f>
        <v/>
      </c>
      <c r="T1546" s="28">
        <f>IF(S1546="","",S1546*(1+in_GrowthRate)^(YEARFRAC(DATE(2024,6,30),in_AgeToDate)*IF(in_AgeToDate&lt;DATE(2024,6,30),-1,1)+1))</f>
        <v/>
      </c>
      <c r="U1546" s="50">
        <f>IF(AND(AND(OR(in_Mode="All Funds",AND(C1546&gt;=in_BandFloor,C1546&lt;=in_BandCeiling,OR(in_Geography="National",COUNTIFS(lst_GeoPreset,in_Geography,lst_GeoState,B1546)&gt;0,AND(in_Geography="Custom",ISNUMBER(SEARCH(B1546,SUBSTITUTE(in_CustomStates," ",""))))),OR(AND(D1546="Endowment",Inputs!$B$14="Y"),AND(D1546="Foundation",Inputs!$B$15="Y"),AND(D1546="Healthcare",Inputs!$B$16="Y"),AND(D1546="Pension",Inputs!$B$17="Y"),AND(D1546="OCIO",Inputs!$B$18="Y"),AND(D1546="Other",Inputs!$B$19="Y")))),A1546&lt;&gt;in_ClientOrg,NOT(AND(in_ExclHarvard="Y",ISNUMBER(SEARCH("Harvard",A1546))))),$AD1546="Y",K1546&lt;&gt;"",S1546&gt;0),"Y","")</f>
        <v/>
      </c>
      <c r="V1546" s="30" t="n">
        <v>0.6935790189422458</v>
      </c>
      <c r="W1546" t="inlineStr"/>
      <c r="X1546" s="28">
        <f>IF(L1546+M1546=0,"",L1546+M1546)</f>
        <v/>
      </c>
      <c r="Y1546" s="38">
        <f>IF(L1546=0,"",M1546/L1546)</f>
        <v/>
      </c>
      <c r="Z1546" t="inlineStr">
        <is>
          <t>Managing Director</t>
        </is>
      </c>
      <c r="AA1546" t="inlineStr">
        <is>
          <t>Investments</t>
        </is>
      </c>
      <c r="AB1546" s="50" t="inlineStr"/>
      <c r="AC1546" s="43">
        <f>HYPERLINK("https://projects.propublica.org/nonprofits/organizations/376006007/202541259349303159/full","view filing")</f>
        <v/>
      </c>
      <c r="AD1546" s="50" t="inlineStr"/>
    </row>
    <row r="1547">
      <c r="A1547" t="inlineStr">
        <is>
          <t>University Of Illinois Foundation</t>
        </is>
      </c>
      <c r="B1547" s="50" t="inlineStr">
        <is>
          <t>IL</t>
        </is>
      </c>
      <c r="C1547" s="52" t="n">
        <v>3.8</v>
      </c>
      <c r="D1547" t="inlineStr">
        <is>
          <t>Endowment</t>
        </is>
      </c>
      <c r="E1547" s="50" t="n">
        <v>2024</v>
      </c>
      <c r="F1547" s="50" t="inlineStr">
        <is>
          <t>2025-05-05</t>
        </is>
      </c>
      <c r="G1547" s="50" t="inlineStr">
        <is>
          <t>2024-06-30</t>
        </is>
      </c>
      <c r="H1547" t="inlineStr">
        <is>
          <t>Matthew Mcganity</t>
        </is>
      </c>
      <c r="I1547" t="inlineStr">
        <is>
          <t>Managing Director</t>
        </is>
      </c>
      <c r="J1547" t="inlineStr">
        <is>
          <t>Managing Director</t>
        </is>
      </c>
      <c r="K1547" t="inlineStr">
        <is>
          <t>Sr Investment Professional</t>
        </is>
      </c>
      <c r="L1547" s="28" t="n">
        <v>371871</v>
      </c>
      <c r="M1547" s="28" t="n">
        <v>375000</v>
      </c>
      <c r="N1547" s="28" t="n">
        <v>0</v>
      </c>
      <c r="O1547" s="28" t="n">
        <v>25764</v>
      </c>
      <c r="P1547" s="28" t="n">
        <v>19516</v>
      </c>
      <c r="Q1547" s="28" t="n">
        <v>792151</v>
      </c>
      <c r="R1547" s="28" t="n">
        <v>0</v>
      </c>
      <c r="S1547" s="28">
        <f>Q1547-R1547</f>
        <v/>
      </c>
      <c r="T1547" s="28">
        <f>IF(S1547="","",S1547*(1+in_GrowthRate)^(YEARFRAC(DATE(2024,6,30),in_AgeToDate)*IF(in_AgeToDate&lt;DATE(2024,6,30),-1,1)+1))</f>
        <v/>
      </c>
      <c r="U1547" s="50">
        <f>IF(AND(AND(OR(in_Mode="All Funds",AND(C1547&gt;=in_BandFloor,C1547&lt;=in_BandCeiling,OR(in_Geography="National",COUNTIFS(lst_GeoPreset,in_Geography,lst_GeoState,B1547)&gt;0,AND(in_Geography="Custom",ISNUMBER(SEARCH(B1547,SUBSTITUTE(in_CustomStates," ",""))))),OR(AND(D1547="Endowment",Inputs!$B$14="Y"),AND(D1547="Foundation",Inputs!$B$15="Y"),AND(D1547="Healthcare",Inputs!$B$16="Y"),AND(D1547="Pension",Inputs!$B$17="Y"),AND(D1547="OCIO",Inputs!$B$18="Y"),AND(D1547="Other",Inputs!$B$19="Y")))),A1547&lt;&gt;in_ClientOrg,NOT(AND(in_ExclHarvard="Y",ISNUMBER(SEARCH("Harvard",A1547))))),$AD1547="Y",K1547&lt;&gt;"",S1547&gt;0),"Y","")</f>
        <v/>
      </c>
      <c r="V1547" s="30" t="n">
        <v>0.6878979951422123</v>
      </c>
      <c r="W1547" t="inlineStr"/>
      <c r="X1547" s="28">
        <f>IF(L1547+M1547=0,"",L1547+M1547)</f>
        <v/>
      </c>
      <c r="Y1547" s="38">
        <f>IF(L1547=0,"",M1547/L1547)</f>
        <v/>
      </c>
      <c r="Z1547" t="inlineStr">
        <is>
          <t>Managing Director</t>
        </is>
      </c>
      <c r="AA1547" t="inlineStr">
        <is>
          <t>Investments</t>
        </is>
      </c>
      <c r="AB1547" s="50" t="inlineStr"/>
      <c r="AC1547" s="43">
        <f>HYPERLINK("https://projects.propublica.org/nonprofits/organizations/376006007/202541259349303159/full","view filing")</f>
        <v/>
      </c>
      <c r="AD1547" s="50" t="inlineStr"/>
    </row>
    <row r="1548">
      <c r="A1548" t="inlineStr">
        <is>
          <t>University Of Illinois Foundation</t>
        </is>
      </c>
      <c r="B1548" s="50" t="inlineStr">
        <is>
          <t>IL</t>
        </is>
      </c>
      <c r="C1548" s="52" t="n">
        <v>3.8</v>
      </c>
      <c r="D1548" t="inlineStr">
        <is>
          <t>Endowment</t>
        </is>
      </c>
      <c r="E1548" s="50" t="n">
        <v>2024</v>
      </c>
      <c r="F1548" s="50" t="inlineStr">
        <is>
          <t>2025-05-05</t>
        </is>
      </c>
      <c r="G1548" s="50" t="inlineStr">
        <is>
          <t>2024-06-30</t>
        </is>
      </c>
      <c r="H1548" t="inlineStr">
        <is>
          <t>Travis W Shore</t>
        </is>
      </c>
      <c r="I1548" t="inlineStr">
        <is>
          <t>Chief Investment Officer</t>
        </is>
      </c>
      <c r="J1548" t="inlineStr">
        <is>
          <t>CIO</t>
        </is>
      </c>
      <c r="K1548" t="inlineStr">
        <is>
          <t>CIO - Top Investment Executive</t>
        </is>
      </c>
      <c r="L1548" s="28" t="n">
        <v>593184</v>
      </c>
      <c r="M1548" s="28" t="n">
        <v>500000</v>
      </c>
      <c r="N1548" s="28" t="n">
        <v>0</v>
      </c>
      <c r="O1548" s="28" t="n">
        <v>24130</v>
      </c>
      <c r="P1548" s="28" t="n">
        <v>34239</v>
      </c>
      <c r="Q1548" s="28" t="n">
        <v>1151553</v>
      </c>
      <c r="R1548" s="28" t="n">
        <v>0</v>
      </c>
      <c r="S1548" s="28">
        <f>Q1548-R1548</f>
        <v/>
      </c>
      <c r="T1548" s="28">
        <f>IF(S1548="","",S1548*(1+in_GrowthRate)^(YEARFRAC(DATE(2024,6,30),in_AgeToDate)*IF(in_AgeToDate&lt;DATE(2024,6,30),-1,1)+1))</f>
        <v/>
      </c>
      <c r="U1548" s="50">
        <f>IF(AND(AND(OR(in_Mode="All Funds",AND(C1548&gt;=in_BandFloor,C1548&lt;=in_BandCeiling,OR(in_Geography="National",COUNTIFS(lst_GeoPreset,in_Geography,lst_GeoState,B1548)&gt;0,AND(in_Geography="Custom",ISNUMBER(SEARCH(B1548,SUBSTITUTE(in_CustomStates," ",""))))),OR(AND(D1548="Endowment",Inputs!$B$14="Y"),AND(D1548="Foundation",Inputs!$B$15="Y"),AND(D1548="Healthcare",Inputs!$B$16="Y"),AND(D1548="Pension",Inputs!$B$17="Y"),AND(D1548="OCIO",Inputs!$B$18="Y"),AND(D1548="Other",Inputs!$B$19="Y")))),A1548&lt;&gt;in_ClientOrg,NOT(AND(in_ExclHarvard="Y",ISNUMBER(SEARCH("Harvard",A1548))))),$AD1548="Y",K1548&lt;&gt;"",S1548&gt;0),"Y","")</f>
        <v/>
      </c>
      <c r="V1548" s="30" t="n">
        <v>1</v>
      </c>
      <c r="W1548" t="inlineStr"/>
      <c r="X1548" s="28">
        <f>IF(L1548+M1548=0,"",L1548+M1548)</f>
        <v/>
      </c>
      <c r="Y1548" s="38">
        <f>IF(L1548=0,"",M1548/L1548)</f>
        <v/>
      </c>
      <c r="Z1548" t="inlineStr">
        <is>
          <t>CIO - Top Investment Executive</t>
        </is>
      </c>
      <c r="AA1548" t="inlineStr">
        <is>
          <t>Leadership</t>
        </is>
      </c>
      <c r="AB1548" s="50" t="inlineStr">
        <is>
          <t>Y</t>
        </is>
      </c>
      <c r="AC1548" s="43">
        <f>HYPERLINK("https://projects.propublica.org/nonprofits/organizations/376006007/202541259349303159/full","view filing")</f>
        <v/>
      </c>
      <c r="AD1548" s="50" t="inlineStr"/>
    </row>
    <row r="1549">
      <c r="A1549" t="inlineStr">
        <is>
          <t>University Of Illinois Foundation</t>
        </is>
      </c>
      <c r="B1549" s="50" t="inlineStr">
        <is>
          <t>IL</t>
        </is>
      </c>
      <c r="C1549" s="52" t="n">
        <v>3.8</v>
      </c>
      <c r="D1549" t="inlineStr">
        <is>
          <t>Endowment</t>
        </is>
      </c>
      <c r="E1549" s="50" t="n">
        <v>2023</v>
      </c>
      <c r="F1549" s="50" t="inlineStr">
        <is>
          <t>2024-05-15</t>
        </is>
      </c>
      <c r="G1549" s="50" t="inlineStr">
        <is>
          <t>2023-06-30</t>
        </is>
      </c>
      <c r="H1549" t="inlineStr">
        <is>
          <t>Frank Robinson</t>
        </is>
      </c>
      <c r="I1549" t="inlineStr">
        <is>
          <t>Managing Director</t>
        </is>
      </c>
      <c r="J1549" t="inlineStr">
        <is>
          <t>Managing Director</t>
        </is>
      </c>
      <c r="K1549" t="inlineStr">
        <is>
          <t>Sr Investment Professional</t>
        </is>
      </c>
      <c r="L1549" s="28" t="n">
        <v>120370</v>
      </c>
      <c r="M1549" s="28" t="n">
        <v>175000</v>
      </c>
      <c r="N1549" s="28" t="n">
        <v>3089</v>
      </c>
      <c r="O1549" s="28" t="n">
        <v>16684</v>
      </c>
      <c r="P1549" s="28" t="n">
        <v>15127</v>
      </c>
      <c r="Q1549" s="28" t="n">
        <v>330270</v>
      </c>
      <c r="R1549" s="28" t="n">
        <v>0</v>
      </c>
      <c r="S1549" s="28">
        <f>Q1549-R1549</f>
        <v/>
      </c>
      <c r="T1549" s="28">
        <f>IF(S1549="","",S1549*(1+in_GrowthRate)^(YEARFRAC(DATE(2023,6,30),in_AgeToDate)*IF(in_AgeToDate&lt;DATE(2023,6,30),-1,1)+1))</f>
        <v/>
      </c>
      <c r="U1549" s="50">
        <f>IF(AND(AND(OR(in_Mode="All Funds",AND(C1549&gt;=in_BandFloor,C1549&lt;=in_BandCeiling,OR(in_Geography="National",COUNTIFS(lst_GeoPreset,in_Geography,lst_GeoState,B1549)&gt;0,AND(in_Geography="Custom",ISNUMBER(SEARCH(B1549,SUBSTITUTE(in_CustomStates," ",""))))),OR(AND(D1549="Endowment",Inputs!$B$14="Y"),AND(D1549="Foundation",Inputs!$B$15="Y"),AND(D1549="Healthcare",Inputs!$B$16="Y"),AND(D1549="Pension",Inputs!$B$17="Y"),AND(D1549="OCIO",Inputs!$B$18="Y"),AND(D1549="Other",Inputs!$B$19="Y")))),A1549&lt;&gt;in_ClientOrg,NOT(AND(in_ExclHarvard="Y",ISNUMBER(SEARCH("Harvard",A1549))))),$AD1549="Y",K1549&lt;&gt;"",S1549&gt;0),"Y","")</f>
        <v/>
      </c>
      <c r="V1549" s="30" t="n">
        <v>0.5032877442950208</v>
      </c>
      <c r="W1549" t="inlineStr"/>
      <c r="X1549" s="28">
        <f>IF(L1549+M1549=0,"",L1549+M1549)</f>
        <v/>
      </c>
      <c r="Y1549" s="38">
        <f>IF(L1549=0,"",M1549/L1549)</f>
        <v/>
      </c>
      <c r="Z1549" t="inlineStr">
        <is>
          <t>Managing Director</t>
        </is>
      </c>
      <c r="AA1549" t="inlineStr">
        <is>
          <t>Investments</t>
        </is>
      </c>
      <c r="AB1549" s="50" t="inlineStr"/>
      <c r="AC1549" s="43">
        <f>HYPERLINK("https://projects.propublica.org/nonprofits/organizations/376006007/202401239349301400/full","view filing")</f>
        <v/>
      </c>
      <c r="AD1549" s="50" t="inlineStr"/>
    </row>
    <row r="1550">
      <c r="A1550" t="inlineStr">
        <is>
          <t>University Of Illinois Foundation</t>
        </is>
      </c>
      <c r="B1550" s="50" t="inlineStr">
        <is>
          <t>IL</t>
        </is>
      </c>
      <c r="C1550" s="52" t="n">
        <v>3.8</v>
      </c>
      <c r="D1550" t="inlineStr">
        <is>
          <t>Endowment</t>
        </is>
      </c>
      <c r="E1550" s="50" t="n">
        <v>2023</v>
      </c>
      <c r="F1550" s="50" t="inlineStr">
        <is>
          <t>2024-05-15</t>
        </is>
      </c>
      <c r="G1550" s="50" t="inlineStr">
        <is>
          <t>2023-06-30</t>
        </is>
      </c>
      <c r="H1550" t="inlineStr">
        <is>
          <t>Matthew Mcganity</t>
        </is>
      </c>
      <c r="I1550" t="inlineStr">
        <is>
          <t>Managing Director</t>
        </is>
      </c>
      <c r="J1550" t="inlineStr">
        <is>
          <t>Managing Director</t>
        </is>
      </c>
      <c r="K1550" t="inlineStr">
        <is>
          <t>Sr Investment Professional</t>
        </is>
      </c>
      <c r="L1550" s="28" t="n">
        <v>121018</v>
      </c>
      <c r="M1550" s="28" t="n">
        <v>175000</v>
      </c>
      <c r="N1550" s="28" t="n">
        <v>8500</v>
      </c>
      <c r="O1550" s="28" t="n">
        <v>18318</v>
      </c>
      <c r="P1550" s="28" t="n">
        <v>8705</v>
      </c>
      <c r="Q1550" s="28" t="n">
        <v>331541</v>
      </c>
      <c r="R1550" s="28" t="n">
        <v>0</v>
      </c>
      <c r="S1550" s="28">
        <f>Q1550-R1550</f>
        <v/>
      </c>
      <c r="T1550" s="28">
        <f>IF(S1550="","",S1550*(1+in_GrowthRate)^(YEARFRAC(DATE(2023,6,30),in_AgeToDate)*IF(in_AgeToDate&lt;DATE(2023,6,30),-1,1)+1))</f>
        <v/>
      </c>
      <c r="U1550" s="50">
        <f>IF(AND(AND(OR(in_Mode="All Funds",AND(C1550&gt;=in_BandFloor,C1550&lt;=in_BandCeiling,OR(in_Geography="National",COUNTIFS(lst_GeoPreset,in_Geography,lst_GeoState,B1550)&gt;0,AND(in_Geography="Custom",ISNUMBER(SEARCH(B1550,SUBSTITUTE(in_CustomStates," ",""))))),OR(AND(D1550="Endowment",Inputs!$B$14="Y"),AND(D1550="Foundation",Inputs!$B$15="Y"),AND(D1550="Healthcare",Inputs!$B$16="Y"),AND(D1550="Pension",Inputs!$B$17="Y"),AND(D1550="OCIO",Inputs!$B$18="Y"),AND(D1550="Other",Inputs!$B$19="Y")))),A1550&lt;&gt;in_ClientOrg,NOT(AND(in_ExclHarvard="Y",ISNUMBER(SEARCH("Harvard",A1550))))),$AD1550="Y",K1550&lt;&gt;"",S1550&gt;0),"Y","")</f>
        <v/>
      </c>
      <c r="V1550" s="30" t="n">
        <v>0.5052245799839994</v>
      </c>
      <c r="W1550" t="inlineStr"/>
      <c r="X1550" s="28">
        <f>IF(L1550+M1550=0,"",L1550+M1550)</f>
        <v/>
      </c>
      <c r="Y1550" s="38">
        <f>IF(L1550=0,"",M1550/L1550)</f>
        <v/>
      </c>
      <c r="Z1550" t="inlineStr">
        <is>
          <t>Managing Director</t>
        </is>
      </c>
      <c r="AA1550" t="inlineStr">
        <is>
          <t>Investments</t>
        </is>
      </c>
      <c r="AB1550" s="50" t="inlineStr"/>
      <c r="AC1550" s="43">
        <f>HYPERLINK("https://projects.propublica.org/nonprofits/organizations/376006007/202401239349301400/full","view filing")</f>
        <v/>
      </c>
      <c r="AD1550" s="50" t="inlineStr"/>
    </row>
    <row r="1551">
      <c r="A1551" t="inlineStr">
        <is>
          <t>University Of Illinois Foundation</t>
        </is>
      </c>
      <c r="B1551" s="50" t="inlineStr">
        <is>
          <t>IL</t>
        </is>
      </c>
      <c r="C1551" s="52" t="n">
        <v>3.8</v>
      </c>
      <c r="D1551" t="inlineStr">
        <is>
          <t>Endowment</t>
        </is>
      </c>
      <c r="E1551" s="50" t="n">
        <v>2023</v>
      </c>
      <c r="F1551" s="50" t="inlineStr">
        <is>
          <t>2024-05-15</t>
        </is>
      </c>
      <c r="G1551" s="50" t="inlineStr">
        <is>
          <t>2023-06-30</t>
        </is>
      </c>
      <c r="H1551" t="inlineStr">
        <is>
          <t>Travis W Shore</t>
        </is>
      </c>
      <c r="I1551" t="inlineStr">
        <is>
          <t>Chief Investment Officer</t>
        </is>
      </c>
      <c r="J1551" t="inlineStr">
        <is>
          <t>CIO</t>
        </is>
      </c>
      <c r="K1551" t="inlineStr">
        <is>
          <t>CIO - Top Investment Executive</t>
        </is>
      </c>
      <c r="L1551" s="28" t="n">
        <v>397851</v>
      </c>
      <c r="M1551" s="28" t="n">
        <v>200000</v>
      </c>
      <c r="N1551" s="28" t="n">
        <v>9147</v>
      </c>
      <c r="O1551" s="28" t="n">
        <v>25350</v>
      </c>
      <c r="P1551" s="28" t="n">
        <v>23877</v>
      </c>
      <c r="Q1551" s="28" t="n">
        <v>656225</v>
      </c>
      <c r="R1551" s="28" t="n">
        <v>0</v>
      </c>
      <c r="S1551" s="28">
        <f>Q1551-R1551</f>
        <v/>
      </c>
      <c r="T1551" s="28">
        <f>IF(S1551="","",S1551*(1+in_GrowthRate)^(YEARFRAC(DATE(2023,6,30),in_AgeToDate)*IF(in_AgeToDate&lt;DATE(2023,6,30),-1,1)+1))</f>
        <v/>
      </c>
      <c r="U1551" s="50">
        <f>IF(AND(AND(OR(in_Mode="All Funds",AND(C1551&gt;=in_BandFloor,C1551&lt;=in_BandCeiling,OR(in_Geography="National",COUNTIFS(lst_GeoPreset,in_Geography,lst_GeoState,B1551)&gt;0,AND(in_Geography="Custom",ISNUMBER(SEARCH(B1551,SUBSTITUTE(in_CustomStates," ",""))))),OR(AND(D1551="Endowment",Inputs!$B$14="Y"),AND(D1551="Foundation",Inputs!$B$15="Y"),AND(D1551="Healthcare",Inputs!$B$16="Y"),AND(D1551="Pension",Inputs!$B$17="Y"),AND(D1551="OCIO",Inputs!$B$18="Y"),AND(D1551="Other",Inputs!$B$19="Y")))),A1551&lt;&gt;in_ClientOrg,NOT(AND(in_ExclHarvard="Y",ISNUMBER(SEARCH("Harvard",A1551))))),$AD1551="Y",K1551&lt;&gt;"",S1551&gt;0),"Y","")</f>
        <v/>
      </c>
      <c r="V1551" s="30" t="n">
        <v>1</v>
      </c>
      <c r="W1551" t="inlineStr"/>
      <c r="X1551" s="28">
        <f>IF(L1551+M1551=0,"",L1551+M1551)</f>
        <v/>
      </c>
      <c r="Y1551" s="38">
        <f>IF(L1551=0,"",M1551/L1551)</f>
        <v/>
      </c>
      <c r="Z1551" t="inlineStr">
        <is>
          <t>CIO - Top Investment Executive</t>
        </is>
      </c>
      <c r="AA1551" t="inlineStr">
        <is>
          <t>Leadership</t>
        </is>
      </c>
      <c r="AB1551" s="50" t="inlineStr">
        <is>
          <t>Y</t>
        </is>
      </c>
      <c r="AC1551" s="43">
        <f>HYPERLINK("https://projects.propublica.org/nonprofits/organizations/376006007/202401239349301400/full","view filing")</f>
        <v/>
      </c>
      <c r="AD1551" s="50" t="inlineStr"/>
    </row>
    <row r="1552">
      <c r="A1552" t="inlineStr">
        <is>
          <t>University Of Maryland Foundation Inc</t>
        </is>
      </c>
      <c r="B1552" s="50" t="inlineStr">
        <is>
          <t>MD</t>
        </is>
      </c>
      <c r="C1552" s="52" t="n">
        <v>2.46</v>
      </c>
      <c r="D1552" t="inlineStr">
        <is>
          <t>Endowment</t>
        </is>
      </c>
      <c r="E1552" s="50" t="n">
        <v>2025</v>
      </c>
      <c r="F1552" s="50" t="inlineStr">
        <is>
          <t>2026-05-14</t>
        </is>
      </c>
      <c r="G1552" s="50" t="inlineStr">
        <is>
          <t>2025-06-30</t>
        </is>
      </c>
      <c r="H1552" t="inlineStr">
        <is>
          <t>Charlie Sexton</t>
        </is>
      </c>
      <c r="I1552" t="inlineStr">
        <is>
          <t>Senior Investment Analyst</t>
        </is>
      </c>
      <c r="J1552" t="inlineStr">
        <is>
          <t>Senior Analyst</t>
        </is>
      </c>
      <c r="K1552" t="inlineStr">
        <is>
          <t>Sr Investment Professional</t>
        </is>
      </c>
      <c r="L1552" s="28" t="n">
        <v>258569</v>
      </c>
      <c r="M1552" s="28" t="n">
        <v>193125</v>
      </c>
      <c r="N1552" s="28" t="n">
        <v>0</v>
      </c>
      <c r="O1552" s="28" t="n">
        <v>25375</v>
      </c>
      <c r="P1552" s="28" t="n">
        <v>9528</v>
      </c>
      <c r="Q1552" s="28" t="n">
        <v>486597</v>
      </c>
      <c r="R1552" s="28" t="n">
        <v>0</v>
      </c>
      <c r="S1552" s="28">
        <f>Q1552-R1552</f>
        <v/>
      </c>
      <c r="T1552" s="28">
        <f>IF(S1552="","",S1552*(1+in_GrowthRate)^(YEARFRAC(DATE(2025,6,30),in_AgeToDate)*IF(in_AgeToDate&lt;DATE(2025,6,30),-1,1)+1))</f>
        <v/>
      </c>
      <c r="U1552" s="50">
        <f>IF(AND(AND(OR(in_Mode="All Funds",AND(C1552&gt;=in_BandFloor,C1552&lt;=in_BandCeiling,OR(in_Geography="National",COUNTIFS(lst_GeoPreset,in_Geography,lst_GeoState,B1552)&gt;0,AND(in_Geography="Custom",ISNUMBER(SEARCH(B1552,SUBSTITUTE(in_CustomStates," ",""))))),OR(AND(D1552="Endowment",Inputs!$B$14="Y"),AND(D1552="Foundation",Inputs!$B$15="Y"),AND(D1552="Healthcare",Inputs!$B$16="Y"),AND(D1552="Pension",Inputs!$B$17="Y"),AND(D1552="OCIO",Inputs!$B$18="Y"),AND(D1552="Other",Inputs!$B$19="Y")))),A1552&lt;&gt;in_ClientOrg,NOT(AND(in_ExclHarvard="Y",ISNUMBER(SEARCH("Harvard",A1552))))),$AD1552="Y",K1552&lt;&gt;"",S1552&gt;0),"Y","")</f>
        <v/>
      </c>
      <c r="V1552" s="30" t="n">
        <v>0.3288453038898057</v>
      </c>
      <c r="W1552" t="inlineStr"/>
      <c r="X1552" s="28">
        <f>IF(L1552+M1552=0,"",L1552+M1552)</f>
        <v/>
      </c>
      <c r="Y1552" s="38">
        <f>IF(L1552=0,"",M1552/L1552)</f>
        <v/>
      </c>
      <c r="Z1552" t="inlineStr">
        <is>
          <t>Other investment staff</t>
        </is>
      </c>
      <c r="AA1552" t="inlineStr">
        <is>
          <t>Investments</t>
        </is>
      </c>
      <c r="AB1552" s="50" t="inlineStr"/>
      <c r="AC1552" s="43">
        <f>HYPERLINK("https://projects.propublica.org/nonprofits/organizations/521125663/202631349349308193/full","view filing")</f>
        <v/>
      </c>
      <c r="AD1552" s="50" t="inlineStr">
        <is>
          <t>Y</t>
        </is>
      </c>
    </row>
    <row r="1553">
      <c r="A1553" t="inlineStr">
        <is>
          <t>University Of Maryland Foundation Inc</t>
        </is>
      </c>
      <c r="B1553" s="50" t="inlineStr">
        <is>
          <t>MD</t>
        </is>
      </c>
      <c r="C1553" s="52" t="n">
        <v>2.46</v>
      </c>
      <c r="D1553" t="inlineStr">
        <is>
          <t>Endowment</t>
        </is>
      </c>
      <c r="E1553" s="50" t="n">
        <v>2025</v>
      </c>
      <c r="F1553" s="50" t="inlineStr">
        <is>
          <t>2026-05-14</t>
        </is>
      </c>
      <c r="G1553" s="50" t="inlineStr">
        <is>
          <t>2025-06-30</t>
        </is>
      </c>
      <c r="H1553" t="inlineStr">
        <is>
          <t>Chris Ingram</t>
        </is>
      </c>
      <c r="I1553" t="inlineStr">
        <is>
          <t>Senior Sustainability &amp; Public Markets Analyst</t>
        </is>
      </c>
      <c r="J1553" t="inlineStr">
        <is>
          <t>Investment Manager</t>
        </is>
      </c>
      <c r="K1553" t="inlineStr">
        <is>
          <t>Sr Investment Professional</t>
        </is>
      </c>
      <c r="L1553" s="28" t="n">
        <v>255673</v>
      </c>
      <c r="M1553" s="28" t="n">
        <v>193125</v>
      </c>
      <c r="N1553" s="28" t="n">
        <v>0</v>
      </c>
      <c r="O1553" s="28" t="n">
        <v>25375</v>
      </c>
      <c r="P1553" s="28" t="n">
        <v>18087</v>
      </c>
      <c r="Q1553" s="28" t="n">
        <v>492260</v>
      </c>
      <c r="R1553" s="28" t="n">
        <v>0</v>
      </c>
      <c r="S1553" s="28">
        <f>Q1553-R1553</f>
        <v/>
      </c>
      <c r="T1553" s="28">
        <f>IF(S1553="","",S1553*(1+in_GrowthRate)^(YEARFRAC(DATE(2025,6,30),in_AgeToDate)*IF(in_AgeToDate&lt;DATE(2025,6,30),-1,1)+1))</f>
        <v/>
      </c>
      <c r="U1553" s="50">
        <f>IF(AND(AND(OR(in_Mode="All Funds",AND(C1553&gt;=in_BandFloor,C1553&lt;=in_BandCeiling,OR(in_Geography="National",COUNTIFS(lst_GeoPreset,in_Geography,lst_GeoState,B1553)&gt;0,AND(in_Geography="Custom",ISNUMBER(SEARCH(B1553,SUBSTITUTE(in_CustomStates," ",""))))),OR(AND(D1553="Endowment",Inputs!$B$14="Y"),AND(D1553="Foundation",Inputs!$B$15="Y"),AND(D1553="Healthcare",Inputs!$B$16="Y"),AND(D1553="Pension",Inputs!$B$17="Y"),AND(D1553="OCIO",Inputs!$B$18="Y"),AND(D1553="Other",Inputs!$B$19="Y")))),A1553&lt;&gt;in_ClientOrg,NOT(AND(in_ExclHarvard="Y",ISNUMBER(SEARCH("Harvard",A1553))))),$AD1553="Y",K1553&lt;&gt;"",S1553&gt;0),"Y","")</f>
        <v/>
      </c>
      <c r="V1553" s="30" t="n">
        <v>0.3326723948006169</v>
      </c>
      <c r="W1553" t="inlineStr"/>
      <c r="X1553" s="28">
        <f>IF(L1553+M1553=0,"",L1553+M1553)</f>
        <v/>
      </c>
      <c r="Y1553" s="38">
        <f>IF(L1553=0,"",M1553/L1553)</f>
        <v/>
      </c>
      <c r="Z1553" t="inlineStr">
        <is>
          <t>Director &amp; Investment Officer</t>
        </is>
      </c>
      <c r="AA1553" t="inlineStr">
        <is>
          <t>Investments</t>
        </is>
      </c>
      <c r="AB1553" s="50" t="inlineStr"/>
      <c r="AC1553" s="43">
        <f>HYPERLINK("https://projects.propublica.org/nonprofits/organizations/521125663/202631349349308193/full","view filing")</f>
        <v/>
      </c>
      <c r="AD1553" s="50" t="inlineStr">
        <is>
          <t>Y</t>
        </is>
      </c>
    </row>
    <row r="1554">
      <c r="A1554" t="inlineStr">
        <is>
          <t>University Of Maryland Foundation Inc</t>
        </is>
      </c>
      <c r="B1554" s="50" t="inlineStr">
        <is>
          <t>MD</t>
        </is>
      </c>
      <c r="C1554" s="52" t="n">
        <v>2.46</v>
      </c>
      <c r="D1554" t="inlineStr">
        <is>
          <t>Endowment</t>
        </is>
      </c>
      <c r="E1554" s="50" t="n">
        <v>2025</v>
      </c>
      <c r="F1554" s="50" t="inlineStr">
        <is>
          <t>2026-05-14</t>
        </is>
      </c>
      <c r="G1554" s="50" t="inlineStr">
        <is>
          <t>2025-06-30</t>
        </is>
      </c>
      <c r="H1554" t="inlineStr">
        <is>
          <t>Michal Pramik</t>
        </is>
      </c>
      <c r="I1554" t="inlineStr">
        <is>
          <t>Director of Private Markets</t>
        </is>
      </c>
      <c r="J1554" t="inlineStr">
        <is>
          <t>Investment Manager</t>
        </is>
      </c>
      <c r="K1554" t="inlineStr">
        <is>
          <t>Sr Investment Professional</t>
        </is>
      </c>
      <c r="L1554" s="28" t="n">
        <v>256768</v>
      </c>
      <c r="M1554" s="28" t="n">
        <v>100000</v>
      </c>
      <c r="N1554" s="28" t="n">
        <v>0</v>
      </c>
      <c r="O1554" s="28" t="n">
        <v>25375</v>
      </c>
      <c r="P1554" s="28" t="n">
        <v>3025</v>
      </c>
      <c r="Q1554" s="28" t="n">
        <v>385168</v>
      </c>
      <c r="R1554" s="28" t="n">
        <v>0</v>
      </c>
      <c r="S1554" s="28">
        <f>Q1554-R1554</f>
        <v/>
      </c>
      <c r="T1554" s="28">
        <f>IF(S1554="","",S1554*(1+in_GrowthRate)^(YEARFRAC(DATE(2025,6,30),in_AgeToDate)*IF(in_AgeToDate&lt;DATE(2025,6,30),-1,1)+1))</f>
        <v/>
      </c>
      <c r="U1554" s="50">
        <f>IF(AND(AND(OR(in_Mode="All Funds",AND(C1554&gt;=in_BandFloor,C1554&lt;=in_BandCeiling,OR(in_Geography="National",COUNTIFS(lst_GeoPreset,in_Geography,lst_GeoState,B1554)&gt;0,AND(in_Geography="Custom",ISNUMBER(SEARCH(B1554,SUBSTITUTE(in_CustomStates," ",""))))),OR(AND(D1554="Endowment",Inputs!$B$14="Y"),AND(D1554="Foundation",Inputs!$B$15="Y"),AND(D1554="Healthcare",Inputs!$B$16="Y"),AND(D1554="Pension",Inputs!$B$17="Y"),AND(D1554="OCIO",Inputs!$B$18="Y"),AND(D1554="Other",Inputs!$B$19="Y")))),A1554&lt;&gt;in_ClientOrg,NOT(AND(in_ExclHarvard="Y",ISNUMBER(SEARCH("Harvard",A1554))))),$AD1554="Y",K1554&lt;&gt;"",S1554&gt;0),"Y","")</f>
        <v/>
      </c>
      <c r="V1554" s="30" t="n">
        <v>0.2602989496618941</v>
      </c>
      <c r="W1554" t="inlineStr"/>
      <c r="X1554" s="28">
        <f>IF(L1554+M1554=0,"",L1554+M1554)</f>
        <v/>
      </c>
      <c r="Y1554" s="38">
        <f>IF(L1554=0,"",M1554/L1554)</f>
        <v/>
      </c>
      <c r="Z1554" t="inlineStr">
        <is>
          <t>Director &amp; Investment Officer</t>
        </is>
      </c>
      <c r="AA1554" t="inlineStr">
        <is>
          <t>Investments</t>
        </is>
      </c>
      <c r="AB1554" s="50" t="inlineStr"/>
      <c r="AC1554" s="43">
        <f>HYPERLINK("https://projects.propublica.org/nonprofits/organizations/521125663/202631349349308193/full","view filing")</f>
        <v/>
      </c>
      <c r="AD1554" s="50" t="inlineStr">
        <is>
          <t>Y</t>
        </is>
      </c>
    </row>
    <row r="1555">
      <c r="A1555" t="inlineStr">
        <is>
          <t>University Of Maryland Foundation Inc</t>
        </is>
      </c>
      <c r="B1555" s="50" t="inlineStr">
        <is>
          <t>MD</t>
        </is>
      </c>
      <c r="C1555" s="52" t="n">
        <v>2.46</v>
      </c>
      <c r="D1555" t="inlineStr">
        <is>
          <t>Endowment</t>
        </is>
      </c>
      <c r="E1555" s="50" t="n">
        <v>2025</v>
      </c>
      <c r="F1555" s="50" t="inlineStr">
        <is>
          <t>2026-05-14</t>
        </is>
      </c>
      <c r="G1555" s="50" t="inlineStr">
        <is>
          <t>2025-06-30</t>
        </is>
      </c>
      <c r="H1555" t="inlineStr">
        <is>
          <t>Roy Hossler</t>
        </is>
      </c>
      <c r="I1555" t="inlineStr">
        <is>
          <t>Director of Business Operations</t>
        </is>
      </c>
      <c r="J1555" t="inlineStr">
        <is>
          <t>Head of Inv Ops (Inv Entity)</t>
        </is>
      </c>
      <c r="K1555" t="inlineStr">
        <is>
          <t>COO (Investment Office)</t>
        </is>
      </c>
      <c r="L1555" s="28" t="n">
        <v>214087</v>
      </c>
      <c r="M1555" s="28" t="n">
        <v>0</v>
      </c>
      <c r="N1555" s="28" t="n">
        <v>0</v>
      </c>
      <c r="O1555" s="28" t="n">
        <v>15521</v>
      </c>
      <c r="P1555" s="28" t="n">
        <v>18166</v>
      </c>
      <c r="Q1555" s="28" t="n">
        <v>247774</v>
      </c>
      <c r="R1555" s="28" t="n">
        <v>0</v>
      </c>
      <c r="S1555" s="28">
        <f>Q1555-R1555</f>
        <v/>
      </c>
      <c r="T1555" s="28">
        <f>IF(S1555="","",S1555*(1+in_GrowthRate)^(YEARFRAC(DATE(2025,6,30),in_AgeToDate)*IF(in_AgeToDate&lt;DATE(2025,6,30),-1,1)+1))</f>
        <v/>
      </c>
      <c r="U1555" s="50">
        <f>IF(AND(AND(OR(in_Mode="All Funds",AND(C1555&gt;=in_BandFloor,C1555&lt;=in_BandCeiling,OR(in_Geography="National",COUNTIFS(lst_GeoPreset,in_Geography,lst_GeoState,B1555)&gt;0,AND(in_Geography="Custom",ISNUMBER(SEARCH(B1555,SUBSTITUTE(in_CustomStates," ",""))))),OR(AND(D1555="Endowment",Inputs!$B$14="Y"),AND(D1555="Foundation",Inputs!$B$15="Y"),AND(D1555="Healthcare",Inputs!$B$16="Y"),AND(D1555="Pension",Inputs!$B$17="Y"),AND(D1555="OCIO",Inputs!$B$18="Y"),AND(D1555="Other",Inputs!$B$19="Y")))),A1555&lt;&gt;in_ClientOrg,NOT(AND(in_ExclHarvard="Y",ISNUMBER(SEARCH("Harvard",A1555))))),$AD1555="Y",K1555&lt;&gt;"",S1555&gt;0),"Y","")</f>
        <v/>
      </c>
      <c r="V1555" s="30" t="n">
        <v>0.1674472229092919</v>
      </c>
      <c r="W1555" t="inlineStr"/>
      <c r="X1555" s="28">
        <f>IF(L1555+M1555=0,"",L1555+M1555)</f>
        <v/>
      </c>
      <c r="Y1555" s="38">
        <f>IF(L1555=0,"",M1555/L1555)</f>
        <v/>
      </c>
      <c r="Z1555" t="inlineStr">
        <is>
          <t>COO (Investment Office)</t>
        </is>
      </c>
      <c r="AA1555" t="inlineStr">
        <is>
          <t>Operations &amp; Control</t>
        </is>
      </c>
      <c r="AB1555" s="50" t="inlineStr"/>
      <c r="AC1555" s="43">
        <f>HYPERLINK("https://projects.propublica.org/nonprofits/organizations/521125663/202631349349308193/full","view filing")</f>
        <v/>
      </c>
      <c r="AD1555" s="50" t="inlineStr">
        <is>
          <t>Y</t>
        </is>
      </c>
    </row>
    <row r="1556">
      <c r="A1556" t="inlineStr">
        <is>
          <t>University Of Maryland Foundation Inc</t>
        </is>
      </c>
      <c r="B1556" s="50" t="inlineStr">
        <is>
          <t>MD</t>
        </is>
      </c>
      <c r="C1556" s="52" t="n">
        <v>2.46</v>
      </c>
      <c r="D1556" t="inlineStr">
        <is>
          <t>Endowment</t>
        </is>
      </c>
      <c r="E1556" s="50" t="n">
        <v>2025</v>
      </c>
      <c r="F1556" s="50" t="inlineStr">
        <is>
          <t>2026-05-14</t>
        </is>
      </c>
      <c r="G1556" s="50" t="inlineStr">
        <is>
          <t>2025-06-30</t>
        </is>
      </c>
      <c r="H1556" t="inlineStr">
        <is>
          <t>Sharcus Steen</t>
        </is>
      </c>
      <c r="I1556" t="inlineStr">
        <is>
          <t>CIO</t>
        </is>
      </c>
      <c r="J1556" t="inlineStr">
        <is>
          <t>CIO</t>
        </is>
      </c>
      <c r="K1556" t="inlineStr">
        <is>
          <t>CIO - Top Investment Executive</t>
        </is>
      </c>
      <c r="L1556" s="28" t="n">
        <v>658854</v>
      </c>
      <c r="M1556" s="28" t="n">
        <v>775000</v>
      </c>
      <c r="N1556" s="28" t="n">
        <v>0</v>
      </c>
      <c r="O1556" s="28" t="n">
        <v>25375</v>
      </c>
      <c r="P1556" s="28" t="n">
        <v>20485</v>
      </c>
      <c r="Q1556" s="28" t="n">
        <v>1479714</v>
      </c>
      <c r="R1556" s="28" t="n">
        <v>0</v>
      </c>
      <c r="S1556" s="28">
        <f>Q1556-R1556</f>
        <v/>
      </c>
      <c r="T1556" s="28">
        <f>IF(S1556="","",S1556*(1+in_GrowthRate)^(YEARFRAC(DATE(2025,6,30),in_AgeToDate)*IF(in_AgeToDate&lt;DATE(2025,6,30),-1,1)+1))</f>
        <v/>
      </c>
      <c r="U1556" s="50">
        <f>IF(AND(AND(OR(in_Mode="All Funds",AND(C1556&gt;=in_BandFloor,C1556&lt;=in_BandCeiling,OR(in_Geography="National",COUNTIFS(lst_GeoPreset,in_Geography,lst_GeoState,B1556)&gt;0,AND(in_Geography="Custom",ISNUMBER(SEARCH(B1556,SUBSTITUTE(in_CustomStates," ",""))))),OR(AND(D1556="Endowment",Inputs!$B$14="Y"),AND(D1556="Foundation",Inputs!$B$15="Y"),AND(D1556="Healthcare",Inputs!$B$16="Y"),AND(D1556="Pension",Inputs!$B$17="Y"),AND(D1556="OCIO",Inputs!$B$18="Y"),AND(D1556="Other",Inputs!$B$19="Y")))),A1556&lt;&gt;in_ClientOrg,NOT(AND(in_ExclHarvard="Y",ISNUMBER(SEARCH("Harvard",A1556))))),$AD1556="Y",K1556&lt;&gt;"",S1556&gt;0),"Y","")</f>
        <v/>
      </c>
      <c r="V1556" s="30" t="n">
        <v>1</v>
      </c>
      <c r="W1556" t="inlineStr"/>
      <c r="X1556" s="28">
        <f>IF(L1556+M1556=0,"",L1556+M1556)</f>
        <v/>
      </c>
      <c r="Y1556" s="38">
        <f>IF(L1556=0,"",M1556/L1556)</f>
        <v/>
      </c>
      <c r="Z1556" t="inlineStr">
        <is>
          <t>CIO - Top Investment Executive</t>
        </is>
      </c>
      <c r="AA1556" t="inlineStr">
        <is>
          <t>Leadership</t>
        </is>
      </c>
      <c r="AB1556" s="50" t="inlineStr">
        <is>
          <t>Y</t>
        </is>
      </c>
      <c r="AC1556" s="43">
        <f>HYPERLINK("https://projects.propublica.org/nonprofits/organizations/521125663/202631349349308193/full","view filing")</f>
        <v/>
      </c>
      <c r="AD1556" s="50" t="inlineStr">
        <is>
          <t>Y</t>
        </is>
      </c>
    </row>
    <row r="1557">
      <c r="A1557" t="inlineStr">
        <is>
          <t>University Of Maryland Foundation Inc</t>
        </is>
      </c>
      <c r="B1557" s="50" t="inlineStr">
        <is>
          <t>MD</t>
        </is>
      </c>
      <c r="C1557" s="52" t="n">
        <v>2.46</v>
      </c>
      <c r="D1557" t="inlineStr">
        <is>
          <t>Endowment</t>
        </is>
      </c>
      <c r="E1557" s="50" t="n">
        <v>2024</v>
      </c>
      <c r="F1557" s="50" t="inlineStr">
        <is>
          <t>2025-05-13</t>
        </is>
      </c>
      <c r="G1557" s="50" t="inlineStr">
        <is>
          <t>2024-06-30</t>
        </is>
      </c>
      <c r="H1557" t="inlineStr">
        <is>
          <t>Charlie Sexton</t>
        </is>
      </c>
      <c r="I1557" t="inlineStr">
        <is>
          <t>Senior Investment Analyst</t>
        </is>
      </c>
      <c r="J1557" t="inlineStr">
        <is>
          <t>Senior Analyst</t>
        </is>
      </c>
      <c r="K1557" t="inlineStr">
        <is>
          <t>Sr Investment Professional</t>
        </is>
      </c>
      <c r="L1557" s="28" t="n">
        <v>248461</v>
      </c>
      <c r="M1557" s="28" t="n">
        <v>187500</v>
      </c>
      <c r="N1557" s="28" t="n">
        <v>0</v>
      </c>
      <c r="O1557" s="28" t="n">
        <v>23925</v>
      </c>
      <c r="P1557" s="28" t="n">
        <v>11414</v>
      </c>
      <c r="Q1557" s="28" t="n">
        <v>471300</v>
      </c>
      <c r="R1557" s="28" t="n">
        <v>0</v>
      </c>
      <c r="S1557" s="28">
        <f>Q1557-R1557</f>
        <v/>
      </c>
      <c r="T1557" s="28">
        <f>IF(S1557="","",S1557*(1+in_GrowthRate)^(YEARFRAC(DATE(2024,6,30),in_AgeToDate)*IF(in_AgeToDate&lt;DATE(2024,6,30),-1,1)+1))</f>
        <v/>
      </c>
      <c r="U1557" s="50">
        <f>IF(AND(AND(OR(in_Mode="All Funds",AND(C1557&gt;=in_BandFloor,C1557&lt;=in_BandCeiling,OR(in_Geography="National",COUNTIFS(lst_GeoPreset,in_Geography,lst_GeoState,B1557)&gt;0,AND(in_Geography="Custom",ISNUMBER(SEARCH(B1557,SUBSTITUTE(in_CustomStates," ",""))))),OR(AND(D1557="Endowment",Inputs!$B$14="Y"),AND(D1557="Foundation",Inputs!$B$15="Y"),AND(D1557="Healthcare",Inputs!$B$16="Y"),AND(D1557="Pension",Inputs!$B$17="Y"),AND(D1557="OCIO",Inputs!$B$18="Y"),AND(D1557="Other",Inputs!$B$19="Y")))),A1557&lt;&gt;in_ClientOrg,NOT(AND(in_ExclHarvard="Y",ISNUMBER(SEARCH("Harvard",A1557))))),$AD1557="Y",K1557&lt;&gt;"",S1557&gt;0),"Y","")</f>
        <v/>
      </c>
      <c r="V1557" s="30" t="n">
        <v>0.08341592920353982</v>
      </c>
      <c r="W1557" t="inlineStr"/>
      <c r="X1557" s="28">
        <f>IF(L1557+M1557=0,"",L1557+M1557)</f>
        <v/>
      </c>
      <c r="Y1557" s="38">
        <f>IF(L1557=0,"",M1557/L1557)</f>
        <v/>
      </c>
      <c r="Z1557" t="inlineStr">
        <is>
          <t>Other investment staff</t>
        </is>
      </c>
      <c r="AA1557" t="inlineStr">
        <is>
          <t>Investments</t>
        </is>
      </c>
      <c r="AB1557" s="50" t="inlineStr"/>
      <c r="AC1557" s="43">
        <f>HYPERLINK("https://projects.propublica.org/nonprofits/organizations/521125663/202531359349304708/full","view filing")</f>
        <v/>
      </c>
      <c r="AD1557" s="50" t="inlineStr"/>
    </row>
    <row r="1558">
      <c r="A1558" t="inlineStr">
        <is>
          <t>University Of Maryland Foundation Inc</t>
        </is>
      </c>
      <c r="B1558" s="50" t="inlineStr">
        <is>
          <t>MD</t>
        </is>
      </c>
      <c r="C1558" s="52" t="n">
        <v>2.46</v>
      </c>
      <c r="D1558" t="inlineStr">
        <is>
          <t>Endowment</t>
        </is>
      </c>
      <c r="E1558" s="50" t="n">
        <v>2024</v>
      </c>
      <c r="F1558" s="50" t="inlineStr">
        <is>
          <t>2025-05-13</t>
        </is>
      </c>
      <c r="G1558" s="50" t="inlineStr">
        <is>
          <t>2024-06-30</t>
        </is>
      </c>
      <c r="H1558" t="inlineStr">
        <is>
          <t>Chris Ingram</t>
        </is>
      </c>
      <c r="I1558" t="inlineStr">
        <is>
          <t>Senior Sustainability &amp; Public Markets Analyst</t>
        </is>
      </c>
      <c r="J1558" t="inlineStr">
        <is>
          <t>Investment Manager</t>
        </is>
      </c>
      <c r="K1558" t="inlineStr">
        <is>
          <t>Sr Investment Professional</t>
        </is>
      </c>
      <c r="L1558" s="28" t="n">
        <v>243911</v>
      </c>
      <c r="M1558" s="28" t="n">
        <v>187500</v>
      </c>
      <c r="N1558" s="28" t="n">
        <v>0</v>
      </c>
      <c r="O1558" s="28" t="n">
        <v>23925</v>
      </c>
      <c r="P1558" s="28" t="n">
        <v>18106</v>
      </c>
      <c r="Q1558" s="28" t="n">
        <v>473442</v>
      </c>
      <c r="R1558" s="28" t="n">
        <v>0</v>
      </c>
      <c r="S1558" s="28">
        <f>Q1558-R1558</f>
        <v/>
      </c>
      <c r="T1558" s="28">
        <f>IF(S1558="","",S1558*(1+in_GrowthRate)^(YEARFRAC(DATE(2024,6,30),in_AgeToDate)*IF(in_AgeToDate&lt;DATE(2024,6,30),-1,1)+1))</f>
        <v/>
      </c>
      <c r="U1558" s="50">
        <f>IF(AND(AND(OR(in_Mode="All Funds",AND(C1558&gt;=in_BandFloor,C1558&lt;=in_BandCeiling,OR(in_Geography="National",COUNTIFS(lst_GeoPreset,in_Geography,lst_GeoState,B1558)&gt;0,AND(in_Geography="Custom",ISNUMBER(SEARCH(B1558,SUBSTITUTE(in_CustomStates," ",""))))),OR(AND(D1558="Endowment",Inputs!$B$14="Y"),AND(D1558="Foundation",Inputs!$B$15="Y"),AND(D1558="Healthcare",Inputs!$B$16="Y"),AND(D1558="Pension",Inputs!$B$17="Y"),AND(D1558="OCIO",Inputs!$B$18="Y"),AND(D1558="Other",Inputs!$B$19="Y")))),A1558&lt;&gt;in_ClientOrg,NOT(AND(in_ExclHarvard="Y",ISNUMBER(SEARCH("Harvard",A1558))))),$AD1558="Y",K1558&lt;&gt;"",S1558&gt;0),"Y","")</f>
        <v/>
      </c>
      <c r="V1558" s="30" t="n">
        <v>0.08379504424778761</v>
      </c>
      <c r="W1558" t="inlineStr"/>
      <c r="X1558" s="28">
        <f>IF(L1558+M1558=0,"",L1558+M1558)</f>
        <v/>
      </c>
      <c r="Y1558" s="38">
        <f>IF(L1558=0,"",M1558/L1558)</f>
        <v/>
      </c>
      <c r="Z1558" t="inlineStr">
        <is>
          <t>Director &amp; Investment Officer</t>
        </is>
      </c>
      <c r="AA1558" t="inlineStr">
        <is>
          <t>Investments</t>
        </is>
      </c>
      <c r="AB1558" s="50" t="inlineStr"/>
      <c r="AC1558" s="43">
        <f>HYPERLINK("https://projects.propublica.org/nonprofits/organizations/521125663/202531359349304708/full","view filing")</f>
        <v/>
      </c>
      <c r="AD1558" s="50" t="inlineStr"/>
    </row>
    <row r="1559">
      <c r="A1559" t="inlineStr">
        <is>
          <t>University Of Maryland Foundation Inc</t>
        </is>
      </c>
      <c r="B1559" s="50" t="inlineStr">
        <is>
          <t>MD</t>
        </is>
      </c>
      <c r="C1559" s="52" t="n">
        <v>2.46</v>
      </c>
      <c r="D1559" t="inlineStr">
        <is>
          <t>Endowment</t>
        </is>
      </c>
      <c r="E1559" s="50" t="n">
        <v>2024</v>
      </c>
      <c r="F1559" s="50" t="inlineStr">
        <is>
          <t>2025-05-13</t>
        </is>
      </c>
      <c r="G1559" s="50" t="inlineStr">
        <is>
          <t>2024-06-30</t>
        </is>
      </c>
      <c r="H1559" t="inlineStr">
        <is>
          <t>Michal Pramik</t>
        </is>
      </c>
      <c r="I1559" t="inlineStr">
        <is>
          <t>Senior Investment Analyst</t>
        </is>
      </c>
      <c r="J1559" t="inlineStr">
        <is>
          <t>Senior Analyst</t>
        </is>
      </c>
      <c r="K1559" t="inlineStr">
        <is>
          <t>Sr Investment Professional</t>
        </is>
      </c>
      <c r="L1559" s="28" t="n">
        <v>244328</v>
      </c>
      <c r="M1559" s="28" t="n">
        <v>72917</v>
      </c>
      <c r="N1559" s="28" t="n">
        <v>0</v>
      </c>
      <c r="O1559" s="28" t="n">
        <v>23000</v>
      </c>
      <c r="P1559" s="28" t="n">
        <v>7142</v>
      </c>
      <c r="Q1559" s="28" t="n">
        <v>347387</v>
      </c>
      <c r="R1559" s="28" t="n">
        <v>0</v>
      </c>
      <c r="S1559" s="28">
        <f>Q1559-R1559</f>
        <v/>
      </c>
      <c r="T1559" s="28">
        <f>IF(S1559="","",S1559*(1+in_GrowthRate)^(YEARFRAC(DATE(2024,6,30),in_AgeToDate)*IF(in_AgeToDate&lt;DATE(2024,6,30),-1,1)+1))</f>
        <v/>
      </c>
      <c r="U1559" s="50">
        <f>IF(AND(AND(OR(in_Mode="All Funds",AND(C1559&gt;=in_BandFloor,C1559&lt;=in_BandCeiling,OR(in_Geography="National",COUNTIFS(lst_GeoPreset,in_Geography,lst_GeoState,B1559)&gt;0,AND(in_Geography="Custom",ISNUMBER(SEARCH(B1559,SUBSTITUTE(in_CustomStates," ",""))))),OR(AND(D1559="Endowment",Inputs!$B$14="Y"),AND(D1559="Foundation",Inputs!$B$15="Y"),AND(D1559="Healthcare",Inputs!$B$16="Y"),AND(D1559="Pension",Inputs!$B$17="Y"),AND(D1559="OCIO",Inputs!$B$18="Y"),AND(D1559="Other",Inputs!$B$19="Y")))),A1559&lt;&gt;in_ClientOrg,NOT(AND(in_ExclHarvard="Y",ISNUMBER(SEARCH("Harvard",A1559))))),$AD1559="Y",K1559&lt;&gt;"",S1559&gt;0),"Y","")</f>
        <v/>
      </c>
      <c r="V1559" s="30" t="n">
        <v>0.06148442477876107</v>
      </c>
      <c r="W1559" t="inlineStr"/>
      <c r="X1559" s="28">
        <f>IF(L1559+M1559=0,"",L1559+M1559)</f>
        <v/>
      </c>
      <c r="Y1559" s="38">
        <f>IF(L1559=0,"",M1559/L1559)</f>
        <v/>
      </c>
      <c r="Z1559" t="inlineStr">
        <is>
          <t>Other investment staff</t>
        </is>
      </c>
      <c r="AA1559" t="inlineStr">
        <is>
          <t>Investments</t>
        </is>
      </c>
      <c r="AB1559" s="50" t="inlineStr"/>
      <c r="AC1559" s="43">
        <f>HYPERLINK("https://projects.propublica.org/nonprofits/organizations/521125663/202531359349304708/full","view filing")</f>
        <v/>
      </c>
      <c r="AD1559" s="50" t="inlineStr"/>
    </row>
    <row r="1560">
      <c r="A1560" t="inlineStr">
        <is>
          <t>University Of Maryland Foundation Inc</t>
        </is>
      </c>
      <c r="B1560" s="50" t="inlineStr">
        <is>
          <t>MD</t>
        </is>
      </c>
      <c r="C1560" s="52" t="n">
        <v>2.46</v>
      </c>
      <c r="D1560" t="inlineStr">
        <is>
          <t>Endowment</t>
        </is>
      </c>
      <c r="E1560" s="50" t="n">
        <v>2024</v>
      </c>
      <c r="F1560" s="50" t="inlineStr">
        <is>
          <t>2025-05-13</t>
        </is>
      </c>
      <c r="G1560" s="50" t="inlineStr">
        <is>
          <t>2024-06-30</t>
        </is>
      </c>
      <c r="H1560" t="inlineStr">
        <is>
          <t>Roy Hossler</t>
        </is>
      </c>
      <c r="I1560" t="inlineStr">
        <is>
          <t>Director of Business Operations</t>
        </is>
      </c>
      <c r="J1560" t="inlineStr">
        <is>
          <t>Head of Inv Ops (Inv Entity)</t>
        </is>
      </c>
      <c r="K1560" t="inlineStr">
        <is>
          <t>COO (Investment Office)</t>
        </is>
      </c>
      <c r="L1560" s="28" t="n">
        <v>204291</v>
      </c>
      <c r="M1560" s="28" t="n">
        <v>0</v>
      </c>
      <c r="N1560" s="28" t="n">
        <v>0</v>
      </c>
      <c r="O1560" s="28" t="n">
        <v>14811</v>
      </c>
      <c r="P1560" s="28" t="n">
        <v>18254</v>
      </c>
      <c r="Q1560" s="28" t="n">
        <v>237356</v>
      </c>
      <c r="R1560" s="28" t="n">
        <v>0</v>
      </c>
      <c r="S1560" s="28">
        <f>Q1560-R1560</f>
        <v/>
      </c>
      <c r="T1560" s="28">
        <f>IF(S1560="","",S1560*(1+in_GrowthRate)^(YEARFRAC(DATE(2024,6,30),in_AgeToDate)*IF(in_AgeToDate&lt;DATE(2024,6,30),-1,1)+1))</f>
        <v/>
      </c>
      <c r="U1560" s="50">
        <f>IF(AND(AND(OR(in_Mode="All Funds",AND(C1560&gt;=in_BandFloor,C1560&lt;=in_BandCeiling,OR(in_Geography="National",COUNTIFS(lst_GeoPreset,in_Geography,lst_GeoState,B1560)&gt;0,AND(in_Geography="Custom",ISNUMBER(SEARCH(B1560,SUBSTITUTE(in_CustomStates," ",""))))),OR(AND(D1560="Endowment",Inputs!$B$14="Y"),AND(D1560="Foundation",Inputs!$B$15="Y"),AND(D1560="Healthcare",Inputs!$B$16="Y"),AND(D1560="Pension",Inputs!$B$17="Y"),AND(D1560="OCIO",Inputs!$B$18="Y"),AND(D1560="Other",Inputs!$B$19="Y")))),A1560&lt;&gt;in_ClientOrg,NOT(AND(in_ExclHarvard="Y",ISNUMBER(SEARCH("Harvard",A1560))))),$AD1560="Y",K1560&lt;&gt;"",S1560&gt;0),"Y","")</f>
        <v/>
      </c>
      <c r="V1560" s="30" t="n">
        <v>0.04200991150442478</v>
      </c>
      <c r="W1560" t="inlineStr"/>
      <c r="X1560" s="28">
        <f>IF(L1560+M1560=0,"",L1560+M1560)</f>
        <v/>
      </c>
      <c r="Y1560" s="38">
        <f>IF(L1560=0,"",M1560/L1560)</f>
        <v/>
      </c>
      <c r="Z1560" t="inlineStr">
        <is>
          <t>COO (Investment Office)</t>
        </is>
      </c>
      <c r="AA1560" t="inlineStr">
        <is>
          <t>Operations &amp; Control</t>
        </is>
      </c>
      <c r="AB1560" s="50" t="inlineStr"/>
      <c r="AC1560" s="43">
        <f>HYPERLINK("https://projects.propublica.org/nonprofits/organizations/521125663/202531359349304708/full","view filing")</f>
        <v/>
      </c>
      <c r="AD1560" s="50" t="inlineStr"/>
    </row>
    <row r="1561">
      <c r="A1561" t="inlineStr">
        <is>
          <t>University Of Maryland Foundation Inc</t>
        </is>
      </c>
      <c r="B1561" s="50" t="inlineStr">
        <is>
          <t>MD</t>
        </is>
      </c>
      <c r="C1561" s="52" t="n">
        <v>2.46</v>
      </c>
      <c r="D1561" t="inlineStr">
        <is>
          <t>Endowment</t>
        </is>
      </c>
      <c r="E1561" s="50" t="n">
        <v>2024</v>
      </c>
      <c r="F1561" s="50" t="inlineStr">
        <is>
          <t>2025-05-13</t>
        </is>
      </c>
      <c r="G1561" s="50" t="inlineStr">
        <is>
          <t>2024-06-30</t>
        </is>
      </c>
      <c r="H1561" t="inlineStr">
        <is>
          <t>Samuel Gallo</t>
        </is>
      </c>
      <c r="I1561" t="inlineStr">
        <is>
          <t>CIO/Departing CIO</t>
        </is>
      </c>
      <c r="J1561" t="inlineStr">
        <is>
          <t>CIO</t>
        </is>
      </c>
      <c r="K1561" t="inlineStr">
        <is>
          <t>CIO - Top Investment Executive</t>
        </is>
      </c>
      <c r="L1561" s="28" t="n">
        <v>0</v>
      </c>
      <c r="M1561" s="28" t="n">
        <v>0</v>
      </c>
      <c r="N1561" s="28" t="n">
        <v>5650000</v>
      </c>
      <c r="O1561" s="28" t="n">
        <v>0</v>
      </c>
      <c r="P1561" s="28" t="n">
        <v>0</v>
      </c>
      <c r="Q1561" s="28" t="n">
        <v>5650000</v>
      </c>
      <c r="R1561" s="28" t="n">
        <v>0</v>
      </c>
      <c r="S1561" s="28">
        <f>Q1561-R1561</f>
        <v/>
      </c>
      <c r="T1561" s="28">
        <f>IF(S1561="","",S1561*(1+in_GrowthRate)^(YEARFRAC(DATE(2024,6,30),in_AgeToDate)*IF(in_AgeToDate&lt;DATE(2024,6,30),-1,1)+1))</f>
        <v/>
      </c>
      <c r="U1561" s="50">
        <f>IF(AND(AND(OR(in_Mode="All Funds",AND(C1561&gt;=in_BandFloor,C1561&lt;=in_BandCeiling,OR(in_Geography="National",COUNTIFS(lst_GeoPreset,in_Geography,lst_GeoState,B1561)&gt;0,AND(in_Geography="Custom",ISNUMBER(SEARCH(B1561,SUBSTITUTE(in_CustomStates," ",""))))),OR(AND(D1561="Endowment",Inputs!$B$14="Y"),AND(D1561="Foundation",Inputs!$B$15="Y"),AND(D1561="Healthcare",Inputs!$B$16="Y"),AND(D1561="Pension",Inputs!$B$17="Y"),AND(D1561="OCIO",Inputs!$B$18="Y"),AND(D1561="Other",Inputs!$B$19="Y")))),A1561&lt;&gt;in_ClientOrg,NOT(AND(in_ExclHarvard="Y",ISNUMBER(SEARCH("Harvard",A1561))))),$AD1561="Y",K1561&lt;&gt;"",S1561&gt;0),"Y","")</f>
        <v/>
      </c>
      <c r="V1561" s="30" t="n">
        <v>1</v>
      </c>
      <c r="W1561" t="inlineStr"/>
      <c r="X1561" s="28">
        <f>IF(L1561+M1561=0,"",L1561+M1561)</f>
        <v/>
      </c>
      <c r="Y1561" s="38">
        <f>IF(L1561=0,"",M1561/L1561)</f>
        <v/>
      </c>
      <c r="Z1561" t="inlineStr">
        <is>
          <t>CIO - Top Investment Executive</t>
        </is>
      </c>
      <c r="AA1561" t="inlineStr">
        <is>
          <t>Leadership</t>
        </is>
      </c>
      <c r="AB1561" s="50" t="inlineStr">
        <is>
          <t>Y</t>
        </is>
      </c>
      <c r="AC1561" s="43">
        <f>HYPERLINK("https://projects.propublica.org/nonprofits/organizations/521125663/202531359349304708/full","view filing")</f>
        <v/>
      </c>
      <c r="AD1561" s="50" t="inlineStr"/>
    </row>
    <row r="1562">
      <c r="A1562" t="inlineStr">
        <is>
          <t>University Of Maryland Foundation Inc</t>
        </is>
      </c>
      <c r="B1562" s="50" t="inlineStr">
        <is>
          <t>MD</t>
        </is>
      </c>
      <c r="C1562" s="52" t="n">
        <v>2.46</v>
      </c>
      <c r="D1562" t="inlineStr">
        <is>
          <t>Endowment</t>
        </is>
      </c>
      <c r="E1562" s="50" t="n">
        <v>2023</v>
      </c>
      <c r="F1562" s="50" t="inlineStr">
        <is>
          <t>2024-05-14</t>
        </is>
      </c>
      <c r="G1562" s="50" t="inlineStr">
        <is>
          <t>2023-06-30</t>
        </is>
      </c>
      <c r="H1562" t="inlineStr">
        <is>
          <t>Chad Mitchell</t>
        </is>
      </c>
      <c r="I1562" t="inlineStr">
        <is>
          <t>Senior Investment Analyst</t>
        </is>
      </c>
      <c r="J1562" t="inlineStr">
        <is>
          <t>Senior Analyst</t>
        </is>
      </c>
      <c r="K1562" t="inlineStr">
        <is>
          <t>Sr Investment Professional</t>
        </is>
      </c>
      <c r="L1562" s="28" t="n">
        <v>220011</v>
      </c>
      <c r="M1562" s="28" t="n">
        <v>144500</v>
      </c>
      <c r="N1562" s="28" t="n">
        <v>0</v>
      </c>
      <c r="O1562" s="28" t="n">
        <v>22112</v>
      </c>
      <c r="P1562" s="28" t="n">
        <v>15643</v>
      </c>
      <c r="Q1562" s="28" t="n">
        <v>402266</v>
      </c>
      <c r="R1562" s="28" t="n">
        <v>0</v>
      </c>
      <c r="S1562" s="28">
        <f>Q1562-R1562</f>
        <v/>
      </c>
      <c r="T1562" s="28">
        <f>IF(S1562="","",S1562*(1+in_GrowthRate)^(YEARFRAC(DATE(2023,6,30),in_AgeToDate)*IF(in_AgeToDate&lt;DATE(2023,6,30),-1,1)+1))</f>
        <v/>
      </c>
      <c r="U1562" s="50">
        <f>IF(AND(AND(OR(in_Mode="All Funds",AND(C1562&gt;=in_BandFloor,C1562&lt;=in_BandCeiling,OR(in_Geography="National",COUNTIFS(lst_GeoPreset,in_Geography,lst_GeoState,B1562)&gt;0,AND(in_Geography="Custom",ISNUMBER(SEARCH(B1562,SUBSTITUTE(in_CustomStates," ",""))))),OR(AND(D1562="Endowment",Inputs!$B$14="Y"),AND(D1562="Foundation",Inputs!$B$15="Y"),AND(D1562="Healthcare",Inputs!$B$16="Y"),AND(D1562="Pension",Inputs!$B$17="Y"),AND(D1562="OCIO",Inputs!$B$18="Y"),AND(D1562="Other",Inputs!$B$19="Y")))),A1562&lt;&gt;in_ClientOrg,NOT(AND(in_ExclHarvard="Y",ISNUMBER(SEARCH("Harvard",A1562))))),$AD1562="Y",K1562&lt;&gt;"",S1562&gt;0),"Y","")</f>
        <v/>
      </c>
      <c r="V1562" s="30" t="n">
        <v>0.7970619355401181</v>
      </c>
      <c r="W1562" t="inlineStr"/>
      <c r="X1562" s="28">
        <f>IF(L1562+M1562=0,"",L1562+M1562)</f>
        <v/>
      </c>
      <c r="Y1562" s="38">
        <f>IF(L1562=0,"",M1562/L1562)</f>
        <v/>
      </c>
      <c r="Z1562" t="inlineStr">
        <is>
          <t>Other investment staff</t>
        </is>
      </c>
      <c r="AA1562" t="inlineStr">
        <is>
          <t>Investments</t>
        </is>
      </c>
      <c r="AB1562" s="50" t="inlineStr"/>
      <c r="AC1562" s="43">
        <f>HYPERLINK("https://projects.propublica.org/nonprofits/organizations/521125663/202431369349301763/full","view filing")</f>
        <v/>
      </c>
      <c r="AD1562" s="50" t="inlineStr"/>
    </row>
    <row r="1563">
      <c r="A1563" t="inlineStr">
        <is>
          <t>University Of Maryland Foundation Inc</t>
        </is>
      </c>
      <c r="B1563" s="50" t="inlineStr">
        <is>
          <t>MD</t>
        </is>
      </c>
      <c r="C1563" s="52" t="n">
        <v>2.46</v>
      </c>
      <c r="D1563" t="inlineStr">
        <is>
          <t>Endowment</t>
        </is>
      </c>
      <c r="E1563" s="50" t="n">
        <v>2023</v>
      </c>
      <c r="F1563" s="50" t="inlineStr">
        <is>
          <t>2024-05-14</t>
        </is>
      </c>
      <c r="G1563" s="50" t="inlineStr">
        <is>
          <t>2023-06-30</t>
        </is>
      </c>
      <c r="H1563" t="inlineStr">
        <is>
          <t>Charlie Sexton</t>
        </is>
      </c>
      <c r="I1563" t="inlineStr">
        <is>
          <t>Senior Investment Analyst</t>
        </is>
      </c>
      <c r="J1563" t="inlineStr">
        <is>
          <t>Senior Analyst</t>
        </is>
      </c>
      <c r="K1563" t="inlineStr">
        <is>
          <t>Sr Investment Professional</t>
        </is>
      </c>
      <c r="L1563" s="28" t="n">
        <v>220907</v>
      </c>
      <c r="M1563" s="28" t="n">
        <v>144500</v>
      </c>
      <c r="N1563" s="28" t="n">
        <v>0</v>
      </c>
      <c r="O1563" s="28" t="n">
        <v>22112</v>
      </c>
      <c r="P1563" s="28" t="n">
        <v>7732</v>
      </c>
      <c r="Q1563" s="28" t="n">
        <v>395251</v>
      </c>
      <c r="R1563" s="28" t="n">
        <v>0</v>
      </c>
      <c r="S1563" s="28">
        <f>Q1563-R1563</f>
        <v/>
      </c>
      <c r="T1563" s="28">
        <f>IF(S1563="","",S1563*(1+in_GrowthRate)^(YEARFRAC(DATE(2023,6,30),in_AgeToDate)*IF(in_AgeToDate&lt;DATE(2023,6,30),-1,1)+1))</f>
        <v/>
      </c>
      <c r="U1563" s="50">
        <f>IF(AND(AND(OR(in_Mode="All Funds",AND(C1563&gt;=in_BandFloor,C1563&lt;=in_BandCeiling,OR(in_Geography="National",COUNTIFS(lst_GeoPreset,in_Geography,lst_GeoState,B1563)&gt;0,AND(in_Geography="Custom",ISNUMBER(SEARCH(B1563,SUBSTITUTE(in_CustomStates," ",""))))),OR(AND(D1563="Endowment",Inputs!$B$14="Y"),AND(D1563="Foundation",Inputs!$B$15="Y"),AND(D1563="Healthcare",Inputs!$B$16="Y"),AND(D1563="Pension",Inputs!$B$17="Y"),AND(D1563="OCIO",Inputs!$B$18="Y"),AND(D1563="Other",Inputs!$B$19="Y")))),A1563&lt;&gt;in_ClientOrg,NOT(AND(in_ExclHarvard="Y",ISNUMBER(SEARCH("Harvard",A1563))))),$AD1563="Y",K1563&lt;&gt;"",S1563&gt;0),"Y","")</f>
        <v/>
      </c>
      <c r="V1563" s="30" t="n">
        <v>0.7831622038257451</v>
      </c>
      <c r="W1563" t="inlineStr"/>
      <c r="X1563" s="28">
        <f>IF(L1563+M1563=0,"",L1563+M1563)</f>
        <v/>
      </c>
      <c r="Y1563" s="38">
        <f>IF(L1563=0,"",M1563/L1563)</f>
        <v/>
      </c>
      <c r="Z1563" t="inlineStr">
        <is>
          <t>Other investment staff</t>
        </is>
      </c>
      <c r="AA1563" t="inlineStr">
        <is>
          <t>Investments</t>
        </is>
      </c>
      <c r="AB1563" s="50" t="inlineStr"/>
      <c r="AC1563" s="43">
        <f>HYPERLINK("https://projects.propublica.org/nonprofits/organizations/521125663/202431369349301763/full","view filing")</f>
        <v/>
      </c>
      <c r="AD1563" s="50" t="inlineStr"/>
    </row>
    <row r="1564">
      <c r="A1564" t="inlineStr">
        <is>
          <t>University Of Maryland Foundation Inc</t>
        </is>
      </c>
      <c r="B1564" s="50" t="inlineStr">
        <is>
          <t>MD</t>
        </is>
      </c>
      <c r="C1564" s="52" t="n">
        <v>2.46</v>
      </c>
      <c r="D1564" t="inlineStr">
        <is>
          <t>Endowment</t>
        </is>
      </c>
      <c r="E1564" s="50" t="n">
        <v>2023</v>
      </c>
      <c r="F1564" s="50" t="inlineStr">
        <is>
          <t>2024-05-14</t>
        </is>
      </c>
      <c r="G1564" s="50" t="inlineStr">
        <is>
          <t>2023-06-30</t>
        </is>
      </c>
      <c r="H1564" t="inlineStr">
        <is>
          <t>Chris Ingram</t>
        </is>
      </c>
      <c r="I1564" t="inlineStr">
        <is>
          <t>Senior Sustainability &amp; Public Markets Analyst</t>
        </is>
      </c>
      <c r="J1564" t="inlineStr">
        <is>
          <t>Investment Manager</t>
        </is>
      </c>
      <c r="K1564" t="inlineStr">
        <is>
          <t>Sr Investment Professional</t>
        </is>
      </c>
      <c r="L1564" s="28" t="n">
        <v>215736</v>
      </c>
      <c r="M1564" s="28" t="n">
        <v>144500</v>
      </c>
      <c r="N1564" s="28" t="n">
        <v>0</v>
      </c>
      <c r="O1564" s="28" t="n">
        <v>22112</v>
      </c>
      <c r="P1564" s="28" t="n">
        <v>20183</v>
      </c>
      <c r="Q1564" s="28" t="n">
        <v>402531</v>
      </c>
      <c r="R1564" s="28" t="n">
        <v>0</v>
      </c>
      <c r="S1564" s="28">
        <f>Q1564-R1564</f>
        <v/>
      </c>
      <c r="T1564" s="28">
        <f>IF(S1564="","",S1564*(1+in_GrowthRate)^(YEARFRAC(DATE(2023,6,30),in_AgeToDate)*IF(in_AgeToDate&lt;DATE(2023,6,30),-1,1)+1))</f>
        <v/>
      </c>
      <c r="U1564" s="50">
        <f>IF(AND(AND(OR(in_Mode="All Funds",AND(C1564&gt;=in_BandFloor,C1564&lt;=in_BandCeiling,OR(in_Geography="National",COUNTIFS(lst_GeoPreset,in_Geography,lst_GeoState,B1564)&gt;0,AND(in_Geography="Custom",ISNUMBER(SEARCH(B1564,SUBSTITUTE(in_CustomStates," ",""))))),OR(AND(D1564="Endowment",Inputs!$B$14="Y"),AND(D1564="Foundation",Inputs!$B$15="Y"),AND(D1564="Healthcare",Inputs!$B$16="Y"),AND(D1564="Pension",Inputs!$B$17="Y"),AND(D1564="OCIO",Inputs!$B$18="Y"),AND(D1564="Other",Inputs!$B$19="Y")))),A1564&lt;&gt;in_ClientOrg,NOT(AND(in_ExclHarvard="Y",ISNUMBER(SEARCH("Harvard",A1564))))),$AD1564="Y",K1564&lt;&gt;"",S1564&gt;0),"Y","")</f>
        <v/>
      </c>
      <c r="V1564" s="30" t="n">
        <v>0.7975870145001051</v>
      </c>
      <c r="W1564" t="inlineStr"/>
      <c r="X1564" s="28">
        <f>IF(L1564+M1564=0,"",L1564+M1564)</f>
        <v/>
      </c>
      <c r="Y1564" s="38">
        <f>IF(L1564=0,"",M1564/L1564)</f>
        <v/>
      </c>
      <c r="Z1564" t="inlineStr">
        <is>
          <t>Director &amp; Investment Officer</t>
        </is>
      </c>
      <c r="AA1564" t="inlineStr">
        <is>
          <t>Investments</t>
        </is>
      </c>
      <c r="AB1564" s="50" t="inlineStr"/>
      <c r="AC1564" s="43">
        <f>HYPERLINK("https://projects.propublica.org/nonprofits/organizations/521125663/202431369349301763/full","view filing")</f>
        <v/>
      </c>
      <c r="AD1564" s="50" t="inlineStr"/>
    </row>
    <row r="1565">
      <c r="A1565" t="inlineStr">
        <is>
          <t>University Of Maryland Foundation Inc</t>
        </is>
      </c>
      <c r="B1565" s="50" t="inlineStr">
        <is>
          <t>MD</t>
        </is>
      </c>
      <c r="C1565" s="52" t="n">
        <v>2.46</v>
      </c>
      <c r="D1565" t="inlineStr">
        <is>
          <t>Endowment</t>
        </is>
      </c>
      <c r="E1565" s="50" t="n">
        <v>2023</v>
      </c>
      <c r="F1565" s="50" t="inlineStr">
        <is>
          <t>2024-05-14</t>
        </is>
      </c>
      <c r="G1565" s="50" t="inlineStr">
        <is>
          <t>2023-06-30</t>
        </is>
      </c>
      <c r="H1565" t="inlineStr">
        <is>
          <t>Roy Hossler</t>
        </is>
      </c>
      <c r="I1565" t="inlineStr">
        <is>
          <t>Director of Business Operations</t>
        </is>
      </c>
      <c r="J1565" t="inlineStr">
        <is>
          <t>Head of Inv Ops (Inv Entity)</t>
        </is>
      </c>
      <c r="K1565" t="inlineStr">
        <is>
          <t>COO (Investment Office)</t>
        </is>
      </c>
      <c r="L1565" s="28" t="n">
        <v>187442</v>
      </c>
      <c r="M1565" s="28" t="n">
        <v>1500</v>
      </c>
      <c r="N1565" s="28" t="n">
        <v>0</v>
      </c>
      <c r="O1565" s="28" t="n">
        <v>13698</v>
      </c>
      <c r="P1565" s="28" t="n">
        <v>19056</v>
      </c>
      <c r="Q1565" s="28" t="n">
        <v>221696</v>
      </c>
      <c r="R1565" s="28" t="n">
        <v>0</v>
      </c>
      <c r="S1565" s="28">
        <f>Q1565-R1565</f>
        <v/>
      </c>
      <c r="T1565" s="28">
        <f>IF(S1565="","",S1565*(1+in_GrowthRate)^(YEARFRAC(DATE(2023,6,30),in_AgeToDate)*IF(in_AgeToDate&lt;DATE(2023,6,30),-1,1)+1))</f>
        <v/>
      </c>
      <c r="U1565" s="50">
        <f>IF(AND(AND(OR(in_Mode="All Funds",AND(C1565&gt;=in_BandFloor,C1565&lt;=in_BandCeiling,OR(in_Geography="National",COUNTIFS(lst_GeoPreset,in_Geography,lst_GeoState,B1565)&gt;0,AND(in_Geography="Custom",ISNUMBER(SEARCH(B1565,SUBSTITUTE(in_CustomStates," ",""))))),OR(AND(D1565="Endowment",Inputs!$B$14="Y"),AND(D1565="Foundation",Inputs!$B$15="Y"),AND(D1565="Healthcare",Inputs!$B$16="Y"),AND(D1565="Pension",Inputs!$B$17="Y"),AND(D1565="OCIO",Inputs!$B$18="Y"),AND(D1565="Other",Inputs!$B$19="Y")))),A1565&lt;&gt;in_ClientOrg,NOT(AND(in_ExclHarvard="Y",ISNUMBER(SEARCH("Harvard",A1565))))),$AD1565="Y",K1565&lt;&gt;"",S1565&gt;0),"Y","")</f>
        <v/>
      </c>
      <c r="V1565" s="30" t="n">
        <v>0.4392751136350126</v>
      </c>
      <c r="W1565" t="inlineStr"/>
      <c r="X1565" s="28">
        <f>IF(L1565+M1565=0,"",L1565+M1565)</f>
        <v/>
      </c>
      <c r="Y1565" s="38">
        <f>IF(L1565=0,"",M1565/L1565)</f>
        <v/>
      </c>
      <c r="Z1565" t="inlineStr">
        <is>
          <t>COO (Investment Office)</t>
        </is>
      </c>
      <c r="AA1565" t="inlineStr">
        <is>
          <t>Operations &amp; Control</t>
        </is>
      </c>
      <c r="AB1565" s="50" t="inlineStr"/>
      <c r="AC1565" s="43">
        <f>HYPERLINK("https://projects.propublica.org/nonprofits/organizations/521125663/202431369349301763/full","view filing")</f>
        <v/>
      </c>
      <c r="AD1565" s="50" t="inlineStr"/>
    </row>
    <row r="1566">
      <c r="A1566" t="inlineStr">
        <is>
          <t>University Of Maryland Foundation Inc</t>
        </is>
      </c>
      <c r="B1566" s="50" t="inlineStr">
        <is>
          <t>MD</t>
        </is>
      </c>
      <c r="C1566" s="52" t="n">
        <v>2.46</v>
      </c>
      <c r="D1566" t="inlineStr">
        <is>
          <t>Endowment</t>
        </is>
      </c>
      <c r="E1566" s="50" t="n">
        <v>2023</v>
      </c>
      <c r="F1566" s="50" t="inlineStr">
        <is>
          <t>2024-05-14</t>
        </is>
      </c>
      <c r="G1566" s="50" t="inlineStr">
        <is>
          <t>2023-06-30</t>
        </is>
      </c>
      <c r="H1566" t="inlineStr">
        <is>
          <t>Samuel Gallo</t>
        </is>
      </c>
      <c r="I1566" t="inlineStr">
        <is>
          <t>CIO/Departing CIO</t>
        </is>
      </c>
      <c r="J1566" t="inlineStr">
        <is>
          <t>CIO</t>
        </is>
      </c>
      <c r="K1566" t="inlineStr">
        <is>
          <t>CIO - Top Investment Executive</t>
        </is>
      </c>
      <c r="L1566" s="28" t="n">
        <v>468509</v>
      </c>
      <c r="M1566" s="28" t="n">
        <v>1500</v>
      </c>
      <c r="N1566" s="28" t="n">
        <v>0</v>
      </c>
      <c r="O1566" s="28" t="n">
        <v>22112</v>
      </c>
      <c r="P1566" s="28" t="n">
        <v>12565</v>
      </c>
      <c r="Q1566" s="28" t="n">
        <v>504686</v>
      </c>
      <c r="R1566" s="28" t="n">
        <v>0</v>
      </c>
      <c r="S1566" s="28">
        <f>Q1566-R1566</f>
        <v/>
      </c>
      <c r="T1566" s="28">
        <f>IF(S1566="","",S1566*(1+in_GrowthRate)^(YEARFRAC(DATE(2023,6,30),in_AgeToDate)*IF(in_AgeToDate&lt;DATE(2023,6,30),-1,1)+1))</f>
        <v/>
      </c>
      <c r="U1566" s="50">
        <f>IF(AND(AND(OR(in_Mode="All Funds",AND(C1566&gt;=in_BandFloor,C1566&lt;=in_BandCeiling,OR(in_Geography="National",COUNTIFS(lst_GeoPreset,in_Geography,lst_GeoState,B1566)&gt;0,AND(in_Geography="Custom",ISNUMBER(SEARCH(B1566,SUBSTITUTE(in_CustomStates," ",""))))),OR(AND(D1566="Endowment",Inputs!$B$14="Y"),AND(D1566="Foundation",Inputs!$B$15="Y"),AND(D1566="Healthcare",Inputs!$B$16="Y"),AND(D1566="Pension",Inputs!$B$17="Y"),AND(D1566="OCIO",Inputs!$B$18="Y"),AND(D1566="Other",Inputs!$B$19="Y")))),A1566&lt;&gt;in_ClientOrg,NOT(AND(in_ExclHarvard="Y",ISNUMBER(SEARCH("Harvard",A1566))))),$AD1566="Y",K1566&lt;&gt;"",S1566&gt;0),"Y","")</f>
        <v/>
      </c>
      <c r="V1566" s="30" t="n">
        <v>1</v>
      </c>
      <c r="W1566" t="inlineStr"/>
      <c r="X1566" s="28">
        <f>IF(L1566+M1566=0,"",L1566+M1566)</f>
        <v/>
      </c>
      <c r="Y1566" s="38">
        <f>IF(L1566=0,"",M1566/L1566)</f>
        <v/>
      </c>
      <c r="Z1566" t="inlineStr">
        <is>
          <t>CIO - Top Investment Executive</t>
        </is>
      </c>
      <c r="AA1566" t="inlineStr">
        <is>
          <t>Leadership</t>
        </is>
      </c>
      <c r="AB1566" s="50" t="inlineStr">
        <is>
          <t>Y</t>
        </is>
      </c>
      <c r="AC1566" s="43">
        <f>HYPERLINK("https://projects.propublica.org/nonprofits/organizations/521125663/202431369349301763/full","view filing")</f>
        <v/>
      </c>
      <c r="AD1566" s="50" t="inlineStr"/>
    </row>
    <row r="1567">
      <c r="A1567" t="inlineStr">
        <is>
          <t>University Of Maryland Foundation Inc</t>
        </is>
      </c>
      <c r="B1567" s="50" t="inlineStr">
        <is>
          <t>MD</t>
        </is>
      </c>
      <c r="C1567" s="52" t="n">
        <v>2.46</v>
      </c>
      <c r="D1567" t="inlineStr">
        <is>
          <t>Endowment</t>
        </is>
      </c>
      <c r="E1567" s="50" t="n">
        <v>2022</v>
      </c>
      <c r="F1567" s="50" t="inlineStr">
        <is>
          <t>2023-05-12</t>
        </is>
      </c>
      <c r="G1567" s="50" t="inlineStr">
        <is>
          <t>2022-06-30</t>
        </is>
      </c>
      <c r="H1567" t="inlineStr">
        <is>
          <t>Chad Mitchell</t>
        </is>
      </c>
      <c r="I1567" t="inlineStr">
        <is>
          <t>Senior Investment Analyst</t>
        </is>
      </c>
      <c r="J1567" t="inlineStr">
        <is>
          <t>Senior Analyst</t>
        </is>
      </c>
      <c r="K1567" t="inlineStr">
        <is>
          <t>Sr Investment Professional</t>
        </is>
      </c>
      <c r="L1567" s="28" t="n">
        <v>193407</v>
      </c>
      <c r="M1567" s="28" t="n">
        <v>129700</v>
      </c>
      <c r="N1567" s="28" t="n">
        <v>0</v>
      </c>
      <c r="O1567" s="28" t="n">
        <v>21025</v>
      </c>
      <c r="P1567" s="28" t="n">
        <v>18448</v>
      </c>
      <c r="Q1567" s="28" t="n">
        <v>362580</v>
      </c>
      <c r="R1567" s="28" t="n">
        <v>0</v>
      </c>
      <c r="S1567" s="28">
        <f>Q1567-R1567</f>
        <v/>
      </c>
      <c r="T1567" s="28">
        <f>IF(S1567="","",S1567*(1+in_GrowthRate)^(YEARFRAC(DATE(2022,6,30),in_AgeToDate)*IF(in_AgeToDate&lt;DATE(2022,6,30),-1,1)+1))</f>
        <v/>
      </c>
      <c r="U1567" s="50">
        <f>IF(AND(AND(OR(in_Mode="All Funds",AND(C1567&gt;=in_BandFloor,C1567&lt;=in_BandCeiling,OR(in_Geography="National",COUNTIFS(lst_GeoPreset,in_Geography,lst_GeoState,B1567)&gt;0,AND(in_Geography="Custom",ISNUMBER(SEARCH(B1567,SUBSTITUTE(in_CustomStates," ",""))))),OR(AND(D1567="Endowment",Inputs!$B$14="Y"),AND(D1567="Foundation",Inputs!$B$15="Y"),AND(D1567="Healthcare",Inputs!$B$16="Y"),AND(D1567="Pension",Inputs!$B$17="Y"),AND(D1567="OCIO",Inputs!$B$18="Y"),AND(D1567="Other",Inputs!$B$19="Y")))),A1567&lt;&gt;in_ClientOrg,NOT(AND(in_ExclHarvard="Y",ISNUMBER(SEARCH("Harvard",A1567))))),$AD1567="Y",K1567&lt;&gt;"",S1567&gt;0),"Y","")</f>
        <v/>
      </c>
      <c r="V1567" s="30" t="n">
        <v>0.2742276805230127</v>
      </c>
      <c r="W1567" t="inlineStr"/>
      <c r="X1567" s="28">
        <f>IF(L1567+M1567=0,"",L1567+M1567)</f>
        <v/>
      </c>
      <c r="Y1567" s="38">
        <f>IF(L1567=0,"",M1567/L1567)</f>
        <v/>
      </c>
      <c r="Z1567" t="inlineStr">
        <is>
          <t>Other investment staff</t>
        </is>
      </c>
      <c r="AA1567" t="inlineStr">
        <is>
          <t>Investments</t>
        </is>
      </c>
      <c r="AB1567" s="50" t="inlineStr"/>
      <c r="AC1567" s="43">
        <f>HYPERLINK("https://projects.propublica.org/nonprofits/organizations/521125663/202331329349308033/full","view filing")</f>
        <v/>
      </c>
      <c r="AD1567" s="50" t="inlineStr"/>
    </row>
    <row r="1568">
      <c r="A1568" t="inlineStr">
        <is>
          <t>University Of Maryland Foundation Inc</t>
        </is>
      </c>
      <c r="B1568" s="50" t="inlineStr">
        <is>
          <t>MD</t>
        </is>
      </c>
      <c r="C1568" s="52" t="n">
        <v>2.46</v>
      </c>
      <c r="D1568" t="inlineStr">
        <is>
          <t>Endowment</t>
        </is>
      </c>
      <c r="E1568" s="50" t="n">
        <v>2022</v>
      </c>
      <c r="F1568" s="50" t="inlineStr">
        <is>
          <t>2023-05-12</t>
        </is>
      </c>
      <c r="G1568" s="50" t="inlineStr">
        <is>
          <t>2022-06-30</t>
        </is>
      </c>
      <c r="H1568" t="inlineStr">
        <is>
          <t>Charlie Sexton</t>
        </is>
      </c>
      <c r="I1568" t="inlineStr">
        <is>
          <t>Senior Investment Analyst</t>
        </is>
      </c>
      <c r="J1568" t="inlineStr">
        <is>
          <t>Senior Analyst</t>
        </is>
      </c>
      <c r="K1568" t="inlineStr">
        <is>
          <t>Sr Investment Professional</t>
        </is>
      </c>
      <c r="L1568" s="28" t="n">
        <v>169554</v>
      </c>
      <c r="M1568" s="28" t="n">
        <v>97525</v>
      </c>
      <c r="N1568" s="28" t="n">
        <v>0</v>
      </c>
      <c r="O1568" s="28" t="n">
        <v>19363</v>
      </c>
      <c r="P1568" s="28" t="n">
        <v>5228</v>
      </c>
      <c r="Q1568" s="28" t="n">
        <v>291670</v>
      </c>
      <c r="R1568" s="28" t="n">
        <v>0</v>
      </c>
      <c r="S1568" s="28">
        <f>Q1568-R1568</f>
        <v/>
      </c>
      <c r="T1568" s="28">
        <f>IF(S1568="","",S1568*(1+in_GrowthRate)^(YEARFRAC(DATE(2022,6,30),in_AgeToDate)*IF(in_AgeToDate&lt;DATE(2022,6,30),-1,1)+1))</f>
        <v/>
      </c>
      <c r="U1568" s="50">
        <f>IF(AND(AND(OR(in_Mode="All Funds",AND(C1568&gt;=in_BandFloor,C1568&lt;=in_BandCeiling,OR(in_Geography="National",COUNTIFS(lst_GeoPreset,in_Geography,lst_GeoState,B1568)&gt;0,AND(in_Geography="Custom",ISNUMBER(SEARCH(B1568,SUBSTITUTE(in_CustomStates," ",""))))),OR(AND(D1568="Endowment",Inputs!$B$14="Y"),AND(D1568="Foundation",Inputs!$B$15="Y"),AND(D1568="Healthcare",Inputs!$B$16="Y"),AND(D1568="Pension",Inputs!$B$17="Y"),AND(D1568="OCIO",Inputs!$B$18="Y"),AND(D1568="Other",Inputs!$B$19="Y")))),A1568&lt;&gt;in_ClientOrg,NOT(AND(in_ExclHarvard="Y",ISNUMBER(SEARCH("Harvard",A1568))))),$AD1568="Y",K1568&lt;&gt;"",S1568&gt;0),"Y","")</f>
        <v/>
      </c>
      <c r="V1568" s="30" t="n">
        <v>0.2205967995425757</v>
      </c>
      <c r="W1568" t="inlineStr"/>
      <c r="X1568" s="28">
        <f>IF(L1568+M1568=0,"",L1568+M1568)</f>
        <v/>
      </c>
      <c r="Y1568" s="38">
        <f>IF(L1568=0,"",M1568/L1568)</f>
        <v/>
      </c>
      <c r="Z1568" t="inlineStr">
        <is>
          <t>Other investment staff</t>
        </is>
      </c>
      <c r="AA1568" t="inlineStr">
        <is>
          <t>Investments</t>
        </is>
      </c>
      <c r="AB1568" s="50" t="inlineStr"/>
      <c r="AC1568" s="43">
        <f>HYPERLINK("https://projects.propublica.org/nonprofits/organizations/521125663/202331329349308033/full","view filing")</f>
        <v/>
      </c>
      <c r="AD1568" s="50" t="inlineStr"/>
    </row>
    <row r="1569">
      <c r="A1569" t="inlineStr">
        <is>
          <t>University Of Maryland Foundation Inc</t>
        </is>
      </c>
      <c r="B1569" s="50" t="inlineStr">
        <is>
          <t>MD</t>
        </is>
      </c>
      <c r="C1569" s="52" t="n">
        <v>2.46</v>
      </c>
      <c r="D1569" t="inlineStr">
        <is>
          <t>Endowment</t>
        </is>
      </c>
      <c r="E1569" s="50" t="n">
        <v>2022</v>
      </c>
      <c r="F1569" s="50" t="inlineStr">
        <is>
          <t>2023-05-12</t>
        </is>
      </c>
      <c r="G1569" s="50" t="inlineStr">
        <is>
          <t>2022-06-30</t>
        </is>
      </c>
      <c r="H1569" t="inlineStr">
        <is>
          <t>Chris Ingram</t>
        </is>
      </c>
      <c r="I1569" t="inlineStr">
        <is>
          <t>Senior Sustainability &amp; Public Markets Analyst</t>
        </is>
      </c>
      <c r="J1569" t="inlineStr">
        <is>
          <t>Investment Manager</t>
        </is>
      </c>
      <c r="K1569" t="inlineStr">
        <is>
          <t>Sr Investment Professional</t>
        </is>
      </c>
      <c r="L1569" s="28" t="n">
        <v>191157</v>
      </c>
      <c r="M1569" s="28" t="n">
        <v>129700</v>
      </c>
      <c r="N1569" s="28" t="n">
        <v>0</v>
      </c>
      <c r="O1569" s="28" t="n">
        <v>21025</v>
      </c>
      <c r="P1569" s="28" t="n">
        <v>22910</v>
      </c>
      <c r="Q1569" s="28" t="n">
        <v>364792</v>
      </c>
      <c r="R1569" s="28" t="n">
        <v>0</v>
      </c>
      <c r="S1569" s="28">
        <f>Q1569-R1569</f>
        <v/>
      </c>
      <c r="T1569" s="28">
        <f>IF(S1569="","",S1569*(1+in_GrowthRate)^(YEARFRAC(DATE(2022,6,30),in_AgeToDate)*IF(in_AgeToDate&lt;DATE(2022,6,30),-1,1)+1))</f>
        <v/>
      </c>
      <c r="U1569" s="50">
        <f>IF(AND(AND(OR(in_Mode="All Funds",AND(C1569&gt;=in_BandFloor,C1569&lt;=in_BandCeiling,OR(in_Geography="National",COUNTIFS(lst_GeoPreset,in_Geography,lst_GeoState,B1569)&gt;0,AND(in_Geography="Custom",ISNUMBER(SEARCH(B1569,SUBSTITUTE(in_CustomStates," ",""))))),OR(AND(D1569="Endowment",Inputs!$B$14="Y"),AND(D1569="Foundation",Inputs!$B$15="Y"),AND(D1569="Healthcare",Inputs!$B$16="Y"),AND(D1569="Pension",Inputs!$B$17="Y"),AND(D1569="OCIO",Inputs!$B$18="Y"),AND(D1569="Other",Inputs!$B$19="Y")))),A1569&lt;&gt;in_ClientOrg,NOT(AND(in_ExclHarvard="Y",ISNUMBER(SEARCH("Harvard",A1569))))),$AD1569="Y",K1569&lt;&gt;"",S1569&gt;0),"Y","")</f>
        <v/>
      </c>
      <c r="V1569" s="30" t="n">
        <v>0.275900667530892</v>
      </c>
      <c r="W1569" t="inlineStr"/>
      <c r="X1569" s="28">
        <f>IF(L1569+M1569=0,"",L1569+M1569)</f>
        <v/>
      </c>
      <c r="Y1569" s="38">
        <f>IF(L1569=0,"",M1569/L1569)</f>
        <v/>
      </c>
      <c r="Z1569" t="inlineStr">
        <is>
          <t>Director &amp; Investment Officer</t>
        </is>
      </c>
      <c r="AA1569" t="inlineStr">
        <is>
          <t>Investments</t>
        </is>
      </c>
      <c r="AB1569" s="50" t="inlineStr"/>
      <c r="AC1569" s="43">
        <f>HYPERLINK("https://projects.propublica.org/nonprofits/organizations/521125663/202331329349308033/full","view filing")</f>
        <v/>
      </c>
      <c r="AD1569" s="50" t="inlineStr"/>
    </row>
    <row r="1570">
      <c r="A1570" t="inlineStr">
        <is>
          <t>University Of Maryland Foundation Inc</t>
        </is>
      </c>
      <c r="B1570" s="50" t="inlineStr">
        <is>
          <t>MD</t>
        </is>
      </c>
      <c r="C1570" s="52" t="n">
        <v>2.46</v>
      </c>
      <c r="D1570" t="inlineStr">
        <is>
          <t>Endowment</t>
        </is>
      </c>
      <c r="E1570" s="50" t="n">
        <v>2022</v>
      </c>
      <c r="F1570" s="50" t="inlineStr">
        <is>
          <t>2023-05-12</t>
        </is>
      </c>
      <c r="G1570" s="50" t="inlineStr">
        <is>
          <t>2022-06-30</t>
        </is>
      </c>
      <c r="H1570" t="inlineStr">
        <is>
          <t>Roy Hossler</t>
        </is>
      </c>
      <c r="I1570" t="inlineStr">
        <is>
          <t>Director of Business Operations</t>
        </is>
      </c>
      <c r="J1570" t="inlineStr">
        <is>
          <t>Head of Inv Ops (Inv Entity)</t>
        </is>
      </c>
      <c r="K1570" t="inlineStr">
        <is>
          <t>COO (Investment Office)</t>
        </is>
      </c>
      <c r="L1570" s="28" t="n">
        <v>161435</v>
      </c>
      <c r="M1570" s="28" t="n">
        <v>1000</v>
      </c>
      <c r="N1570" s="28" t="n">
        <v>0</v>
      </c>
      <c r="O1570" s="28" t="n">
        <v>11777</v>
      </c>
      <c r="P1570" s="28" t="n">
        <v>20235</v>
      </c>
      <c r="Q1570" s="28" t="n">
        <v>194447</v>
      </c>
      <c r="R1570" s="28" t="n">
        <v>0</v>
      </c>
      <c r="S1570" s="28">
        <f>Q1570-R1570</f>
        <v/>
      </c>
      <c r="T1570" s="28">
        <f>IF(S1570="","",S1570*(1+in_GrowthRate)^(YEARFRAC(DATE(2022,6,30),in_AgeToDate)*IF(in_AgeToDate&lt;DATE(2022,6,30),-1,1)+1))</f>
        <v/>
      </c>
      <c r="U1570" s="50">
        <f>IF(AND(AND(OR(in_Mode="All Funds",AND(C1570&gt;=in_BandFloor,C1570&lt;=in_BandCeiling,OR(in_Geography="National",COUNTIFS(lst_GeoPreset,in_Geography,lst_GeoState,B1570)&gt;0,AND(in_Geography="Custom",ISNUMBER(SEARCH(B1570,SUBSTITUTE(in_CustomStates," ",""))))),OR(AND(D1570="Endowment",Inputs!$B$14="Y"),AND(D1570="Foundation",Inputs!$B$15="Y"),AND(D1570="Healthcare",Inputs!$B$16="Y"),AND(D1570="Pension",Inputs!$B$17="Y"),AND(D1570="OCIO",Inputs!$B$18="Y"),AND(D1570="Other",Inputs!$B$19="Y")))),A1570&lt;&gt;in_ClientOrg,NOT(AND(in_ExclHarvard="Y",ISNUMBER(SEARCH("Harvard",A1570))))),$AD1570="Y",K1570&lt;&gt;"",S1570&gt;0),"Y","")</f>
        <v/>
      </c>
      <c r="V1570" s="30" t="n">
        <v>0.1470647851361306</v>
      </c>
      <c r="W1570" t="inlineStr"/>
      <c r="X1570" s="28">
        <f>IF(L1570+M1570=0,"",L1570+M1570)</f>
        <v/>
      </c>
      <c r="Y1570" s="38">
        <f>IF(L1570=0,"",M1570/L1570)</f>
        <v/>
      </c>
      <c r="Z1570" t="inlineStr">
        <is>
          <t>COO (Investment Office)</t>
        </is>
      </c>
      <c r="AA1570" t="inlineStr">
        <is>
          <t>Operations &amp; Control</t>
        </is>
      </c>
      <c r="AB1570" s="50" t="inlineStr"/>
      <c r="AC1570" s="43">
        <f>HYPERLINK("https://projects.propublica.org/nonprofits/organizations/521125663/202331329349308033/full","view filing")</f>
        <v/>
      </c>
      <c r="AD1570" s="50" t="inlineStr"/>
    </row>
    <row r="1571">
      <c r="A1571" t="inlineStr">
        <is>
          <t>University Of Maryland Foundation Inc</t>
        </is>
      </c>
      <c r="B1571" s="50" t="inlineStr">
        <is>
          <t>MD</t>
        </is>
      </c>
      <c r="C1571" s="52" t="n">
        <v>2.46</v>
      </c>
      <c r="D1571" t="inlineStr">
        <is>
          <t>Endowment</t>
        </is>
      </c>
      <c r="E1571" s="50" t="n">
        <v>2022</v>
      </c>
      <c r="F1571" s="50" t="inlineStr">
        <is>
          <t>2023-05-12</t>
        </is>
      </c>
      <c r="G1571" s="50" t="inlineStr">
        <is>
          <t>2022-06-30</t>
        </is>
      </c>
      <c r="H1571" t="inlineStr">
        <is>
          <t>Samuel Gallo</t>
        </is>
      </c>
      <c r="I1571" t="inlineStr">
        <is>
          <t>Chief Investment Officer</t>
        </is>
      </c>
      <c r="J1571" t="inlineStr">
        <is>
          <t>CIO</t>
        </is>
      </c>
      <c r="K1571" t="inlineStr">
        <is>
          <t>CIO - Top Investment Executive</t>
        </is>
      </c>
      <c r="L1571" s="28" t="n">
        <v>574977</v>
      </c>
      <c r="M1571" s="28" t="n">
        <v>701000</v>
      </c>
      <c r="N1571" s="28" t="n">
        <v>0</v>
      </c>
      <c r="O1571" s="28" t="n">
        <v>21025</v>
      </c>
      <c r="P1571" s="28" t="n">
        <v>25184</v>
      </c>
      <c r="Q1571" s="28" t="n">
        <v>1322186</v>
      </c>
      <c r="R1571" s="28" t="n">
        <v>0</v>
      </c>
      <c r="S1571" s="28">
        <f>Q1571-R1571</f>
        <v/>
      </c>
      <c r="T1571" s="28">
        <f>IF(S1571="","",S1571*(1+in_GrowthRate)^(YEARFRAC(DATE(2022,6,30),in_AgeToDate)*IF(in_AgeToDate&lt;DATE(2022,6,30),-1,1)+1))</f>
        <v/>
      </c>
      <c r="U1571" s="50">
        <f>IF(AND(AND(OR(in_Mode="All Funds",AND(C1571&gt;=in_BandFloor,C1571&lt;=in_BandCeiling,OR(in_Geography="National",COUNTIFS(lst_GeoPreset,in_Geography,lst_GeoState,B1571)&gt;0,AND(in_Geography="Custom",ISNUMBER(SEARCH(B1571,SUBSTITUTE(in_CustomStates," ",""))))),OR(AND(D1571="Endowment",Inputs!$B$14="Y"),AND(D1571="Foundation",Inputs!$B$15="Y"),AND(D1571="Healthcare",Inputs!$B$16="Y"),AND(D1571="Pension",Inputs!$B$17="Y"),AND(D1571="OCIO",Inputs!$B$18="Y"),AND(D1571="Other",Inputs!$B$19="Y")))),A1571&lt;&gt;in_ClientOrg,NOT(AND(in_ExclHarvard="Y",ISNUMBER(SEARCH("Harvard",A1571))))),$AD1571="Y",K1571&lt;&gt;"",S1571&gt;0),"Y","")</f>
        <v/>
      </c>
      <c r="V1571" s="30" t="n">
        <v>1</v>
      </c>
      <c r="W1571" t="inlineStr"/>
      <c r="X1571" s="28">
        <f>IF(L1571+M1571=0,"",L1571+M1571)</f>
        <v/>
      </c>
      <c r="Y1571" s="38">
        <f>IF(L1571=0,"",M1571/L1571)</f>
        <v/>
      </c>
      <c r="Z1571" t="inlineStr">
        <is>
          <t>CIO - Top Investment Executive</t>
        </is>
      </c>
      <c r="AA1571" t="inlineStr">
        <is>
          <t>Leadership</t>
        </is>
      </c>
      <c r="AB1571" s="50" t="inlineStr">
        <is>
          <t>Y</t>
        </is>
      </c>
      <c r="AC1571" s="43">
        <f>HYPERLINK("https://projects.propublica.org/nonprofits/organizations/521125663/202331329349308033/full","view filing")</f>
        <v/>
      </c>
      <c r="AD1571" s="50" t="inlineStr"/>
    </row>
    <row r="1572">
      <c r="A1572" t="inlineStr">
        <is>
          <t>University Of Maryland Foundation Inc</t>
        </is>
      </c>
      <c r="B1572" s="50" t="inlineStr">
        <is>
          <t>MD</t>
        </is>
      </c>
      <c r="C1572" s="52" t="n">
        <v>2.46</v>
      </c>
      <c r="D1572" t="inlineStr">
        <is>
          <t>Endowment</t>
        </is>
      </c>
      <c r="E1572" s="50" t="n">
        <v>2022</v>
      </c>
      <c r="F1572" s="50" t="inlineStr">
        <is>
          <t>2023-05-12</t>
        </is>
      </c>
      <c r="G1572" s="50" t="inlineStr">
        <is>
          <t>2022-06-30</t>
        </is>
      </c>
      <c r="H1572" t="inlineStr">
        <is>
          <t>Sharcus Steen</t>
        </is>
      </c>
      <c r="I1572" t="inlineStr">
        <is>
          <t>Director of Investments</t>
        </is>
      </c>
      <c r="J1572" t="inlineStr">
        <is>
          <t>Director of Investments</t>
        </is>
      </c>
      <c r="K1572" t="inlineStr">
        <is>
          <t>Sr Investment Professional</t>
        </is>
      </c>
      <c r="L1572" s="28" t="n">
        <v>340945</v>
      </c>
      <c r="M1572" s="28" t="n">
        <v>338838</v>
      </c>
      <c r="N1572" s="28" t="n">
        <v>0</v>
      </c>
      <c r="O1572" s="28" t="n">
        <v>21025</v>
      </c>
      <c r="P1572" s="28" t="n">
        <v>20289</v>
      </c>
      <c r="Q1572" s="28" t="n">
        <v>721097</v>
      </c>
      <c r="R1572" s="28" t="n">
        <v>0</v>
      </c>
      <c r="S1572" s="28">
        <f>Q1572-R1572</f>
        <v/>
      </c>
      <c r="T1572" s="28">
        <f>IF(S1572="","",S1572*(1+in_GrowthRate)^(YEARFRAC(DATE(2022,6,30),in_AgeToDate)*IF(in_AgeToDate&lt;DATE(2022,6,30),-1,1)+1))</f>
        <v/>
      </c>
      <c r="U1572" s="50">
        <f>IF(AND(AND(OR(in_Mode="All Funds",AND(C1572&gt;=in_BandFloor,C1572&lt;=in_BandCeiling,OR(in_Geography="National",COUNTIFS(lst_GeoPreset,in_Geography,lst_GeoState,B1572)&gt;0,AND(in_Geography="Custom",ISNUMBER(SEARCH(B1572,SUBSTITUTE(in_CustomStates," ",""))))),OR(AND(D1572="Endowment",Inputs!$B$14="Y"),AND(D1572="Foundation",Inputs!$B$15="Y"),AND(D1572="Healthcare",Inputs!$B$16="Y"),AND(D1572="Pension",Inputs!$B$17="Y"),AND(D1572="OCIO",Inputs!$B$18="Y"),AND(D1572="Other",Inputs!$B$19="Y")))),A1572&lt;&gt;in_ClientOrg,NOT(AND(in_ExclHarvard="Y",ISNUMBER(SEARCH("Harvard",A1572))))),$AD1572="Y",K1572&lt;&gt;"",S1572&gt;0),"Y","")</f>
        <v/>
      </c>
      <c r="V1572" s="30" t="n">
        <v>0.5453824197200696</v>
      </c>
      <c r="W1572" t="inlineStr"/>
      <c r="X1572" s="28">
        <f>IF(L1572+M1572=0,"",L1572+M1572)</f>
        <v/>
      </c>
      <c r="Y1572" s="38">
        <f>IF(L1572=0,"",M1572/L1572)</f>
        <v/>
      </c>
      <c r="Z1572" t="inlineStr">
        <is>
          <t>Director &amp; Investment Officer</t>
        </is>
      </c>
      <c r="AA1572" t="inlineStr">
        <is>
          <t>Investments</t>
        </is>
      </c>
      <c r="AB1572" s="50" t="inlineStr"/>
      <c r="AC1572" s="43">
        <f>HYPERLINK("https://projects.propublica.org/nonprofits/organizations/521125663/202331329349308033/full","view filing")</f>
        <v/>
      </c>
      <c r="AD1572" s="50" t="inlineStr"/>
    </row>
    <row r="1573">
      <c r="A1573" t="inlineStr">
        <is>
          <t>University Of Massachusetts Foundation Inc</t>
        </is>
      </c>
      <c r="B1573" s="50" t="inlineStr">
        <is>
          <t>MA</t>
        </is>
      </c>
      <c r="C1573" s="52" t="n">
        <v>1.8</v>
      </c>
      <c r="D1573" t="inlineStr">
        <is>
          <t>Endowment</t>
        </is>
      </c>
      <c r="E1573" s="50" t="n">
        <v>2025</v>
      </c>
      <c r="F1573" s="50" t="inlineStr">
        <is>
          <t>2026-05-15</t>
        </is>
      </c>
      <c r="G1573" s="50" t="inlineStr">
        <is>
          <t>2025-06-30</t>
        </is>
      </c>
      <c r="H1573" t="inlineStr">
        <is>
          <t>Derek Wade</t>
        </is>
      </c>
      <c r="I1573" t="inlineStr">
        <is>
          <t>DIRECTOR OF INVESTMENT OPERATIONS</t>
        </is>
      </c>
      <c r="J1573" t="inlineStr">
        <is>
          <t>Head of Inv Ops (Inv Entity)</t>
        </is>
      </c>
      <c r="K1573" t="inlineStr">
        <is>
          <t>COO (Investment Office)</t>
        </is>
      </c>
      <c r="L1573" s="28" t="n">
        <v>239033</v>
      </c>
      <c r="M1573" s="28" t="n">
        <v>58341</v>
      </c>
      <c r="N1573" s="28" t="n">
        <v>15383</v>
      </c>
      <c r="O1573" s="28" t="n">
        <v>51781</v>
      </c>
      <c r="P1573" s="28" t="n">
        <v>43297</v>
      </c>
      <c r="Q1573" s="28" t="n">
        <v>407835</v>
      </c>
      <c r="R1573" s="28" t="n">
        <v>13219</v>
      </c>
      <c r="S1573" s="28">
        <f>Q1573-R1573</f>
        <v/>
      </c>
      <c r="T1573" s="28">
        <f>IF(S1573="","",S1573*(1+in_GrowthRate)^(YEARFRAC(DATE(2025,6,30),in_AgeToDate)*IF(in_AgeToDate&lt;DATE(2025,6,30),-1,1)+1))</f>
        <v/>
      </c>
      <c r="U1573" s="50">
        <f>IF(AND(AND(OR(in_Mode="All Funds",AND(C1573&gt;=in_BandFloor,C1573&lt;=in_BandCeiling,OR(in_Geography="National",COUNTIFS(lst_GeoPreset,in_Geography,lst_GeoState,B1573)&gt;0,AND(in_Geography="Custom",ISNUMBER(SEARCH(B1573,SUBSTITUTE(in_CustomStates," ",""))))),OR(AND(D1573="Endowment",Inputs!$B$14="Y"),AND(D1573="Foundation",Inputs!$B$15="Y"),AND(D1573="Healthcare",Inputs!$B$16="Y"),AND(D1573="Pension",Inputs!$B$17="Y"),AND(D1573="OCIO",Inputs!$B$18="Y"),AND(D1573="Other",Inputs!$B$19="Y")))),A1573&lt;&gt;in_ClientOrg,NOT(AND(in_ExclHarvard="Y",ISNUMBER(SEARCH("Harvard",A1573))))),$AD1573="Y",K1573&lt;&gt;"",S1573&gt;0),"Y","")</f>
        <v/>
      </c>
      <c r="V1573" s="30" t="n">
        <v>0.3182207456030708</v>
      </c>
      <c r="W1573" t="inlineStr"/>
      <c r="X1573" s="28">
        <f>IF(L1573+M1573=0,"",L1573+M1573)</f>
        <v/>
      </c>
      <c r="Y1573" s="38">
        <f>IF(L1573=0,"",M1573/L1573)</f>
        <v/>
      </c>
      <c r="Z1573" t="inlineStr">
        <is>
          <t>COO (Investment Office)</t>
        </is>
      </c>
      <c r="AA1573" t="inlineStr">
        <is>
          <t>Operations &amp; Control</t>
        </is>
      </c>
      <c r="AB1573" s="50" t="inlineStr"/>
      <c r="AC1573" s="43">
        <f>HYPERLINK("https://projects.propublica.org/nonprofits/organizations/46013152/202601359349306395/full","view filing")</f>
        <v/>
      </c>
      <c r="AD1573" s="50" t="inlineStr">
        <is>
          <t>Y</t>
        </is>
      </c>
    </row>
    <row r="1574">
      <c r="A1574" t="inlineStr">
        <is>
          <t>University Of Massachusetts Foundation Inc</t>
        </is>
      </c>
      <c r="B1574" s="50" t="inlineStr">
        <is>
          <t>MA</t>
        </is>
      </c>
      <c r="C1574" s="52" t="n">
        <v>1.8</v>
      </c>
      <c r="D1574" t="inlineStr">
        <is>
          <t>Endowment</t>
        </is>
      </c>
      <c r="E1574" s="50" t="n">
        <v>2025</v>
      </c>
      <c r="F1574" s="50" t="inlineStr">
        <is>
          <t>2026-05-15</t>
        </is>
      </c>
      <c r="G1574" s="50" t="inlineStr">
        <is>
          <t>2025-06-30</t>
        </is>
      </c>
      <c r="H1574" t="inlineStr">
        <is>
          <t>Geoffrey Bowes</t>
        </is>
      </c>
      <c r="I1574" t="inlineStr">
        <is>
          <t>MANAGING DIRECTOR, INVESTMENT TEAM</t>
        </is>
      </c>
      <c r="J1574" t="inlineStr">
        <is>
          <t>Managing Director</t>
        </is>
      </c>
      <c r="K1574" t="inlineStr">
        <is>
          <t>Sr Investment Professional</t>
        </is>
      </c>
      <c r="L1574" s="28" t="n">
        <v>326437</v>
      </c>
      <c r="M1574" s="28" t="n">
        <v>103350</v>
      </c>
      <c r="N1574" s="28" t="n">
        <v>134039</v>
      </c>
      <c r="O1574" s="28" t="n">
        <v>137850</v>
      </c>
      <c r="P1574" s="28" t="n">
        <v>42076</v>
      </c>
      <c r="Q1574" s="28" t="n">
        <v>743752</v>
      </c>
      <c r="R1574" s="28" t="n">
        <v>109366</v>
      </c>
      <c r="S1574" s="28">
        <f>Q1574-R1574</f>
        <v/>
      </c>
      <c r="T1574" s="28">
        <f>IF(S1574="","",S1574*(1+in_GrowthRate)^(YEARFRAC(DATE(2025,6,30),in_AgeToDate)*IF(in_AgeToDate&lt;DATE(2025,6,30),-1,1)+1))</f>
        <v/>
      </c>
      <c r="U1574" s="50">
        <f>IF(AND(AND(OR(in_Mode="All Funds",AND(C1574&gt;=in_BandFloor,C1574&lt;=in_BandCeiling,OR(in_Geography="National",COUNTIFS(lst_GeoPreset,in_Geography,lst_GeoState,B1574)&gt;0,AND(in_Geography="Custom",ISNUMBER(SEARCH(B1574,SUBSTITUTE(in_CustomStates," ",""))))),OR(AND(D1574="Endowment",Inputs!$B$14="Y"),AND(D1574="Foundation",Inputs!$B$15="Y"),AND(D1574="Healthcare",Inputs!$B$16="Y"),AND(D1574="Pension",Inputs!$B$17="Y"),AND(D1574="OCIO",Inputs!$B$18="Y"),AND(D1574="Other",Inputs!$B$19="Y")))),A1574&lt;&gt;in_ClientOrg,NOT(AND(in_ExclHarvard="Y",ISNUMBER(SEARCH("Harvard",A1574))))),$AD1574="Y",K1574&lt;&gt;"",S1574&gt;0),"Y","")</f>
        <v/>
      </c>
      <c r="V1574" s="30" t="n">
        <v>0.5115727337972856</v>
      </c>
      <c r="W1574" t="inlineStr"/>
      <c r="X1574" s="28">
        <f>IF(L1574+M1574=0,"",L1574+M1574)</f>
        <v/>
      </c>
      <c r="Y1574" s="38">
        <f>IF(L1574=0,"",M1574/L1574)</f>
        <v/>
      </c>
      <c r="Z1574" t="inlineStr">
        <is>
          <t>Managing Director</t>
        </is>
      </c>
      <c r="AA1574" t="inlineStr">
        <is>
          <t>Investments</t>
        </is>
      </c>
      <c r="AB1574" s="50" t="inlineStr"/>
      <c r="AC1574" s="43">
        <f>HYPERLINK("https://projects.propublica.org/nonprofits/organizations/46013152/202601359349306395/full","view filing")</f>
        <v/>
      </c>
      <c r="AD1574" s="50" t="inlineStr">
        <is>
          <t>Y</t>
        </is>
      </c>
    </row>
    <row r="1575">
      <c r="A1575" t="inlineStr">
        <is>
          <t>University Of Massachusetts Foundation Inc</t>
        </is>
      </c>
      <c r="B1575" s="50" t="inlineStr">
        <is>
          <t>MA</t>
        </is>
      </c>
      <c r="C1575" s="52" t="n">
        <v>1.8</v>
      </c>
      <c r="D1575" t="inlineStr">
        <is>
          <t>Endowment</t>
        </is>
      </c>
      <c r="E1575" s="50" t="n">
        <v>2025</v>
      </c>
      <c r="F1575" s="50" t="inlineStr">
        <is>
          <t>2026-05-15</t>
        </is>
      </c>
      <c r="G1575" s="50" t="inlineStr">
        <is>
          <t>2025-06-30</t>
        </is>
      </c>
      <c r="H1575" t="inlineStr">
        <is>
          <t>Jonathan Gibbons</t>
        </is>
      </c>
      <c r="I1575" t="inlineStr">
        <is>
          <t>CHIEF INVESTMENT OFFICER</t>
        </is>
      </c>
      <c r="J1575" t="inlineStr">
        <is>
          <t>CIO</t>
        </is>
      </c>
      <c r="K1575" t="inlineStr">
        <is>
          <t>CIO - Top Investment Executive</t>
        </is>
      </c>
      <c r="L1575" s="28" t="n">
        <v>641381</v>
      </c>
      <c r="M1575" s="28" t="n">
        <v>231035</v>
      </c>
      <c r="N1575" s="28" t="n">
        <v>597274</v>
      </c>
      <c r="O1575" s="28" t="n">
        <v>265535</v>
      </c>
      <c r="P1575" s="28" t="n">
        <v>42012</v>
      </c>
      <c r="Q1575" s="28" t="n">
        <v>1777237</v>
      </c>
      <c r="R1575" s="28" t="n">
        <v>537167</v>
      </c>
      <c r="S1575" s="28">
        <f>Q1575-R1575</f>
        <v/>
      </c>
      <c r="T1575" s="28">
        <f>IF(S1575="","",S1575*(1+in_GrowthRate)^(YEARFRAC(DATE(2025,6,30),in_AgeToDate)*IF(in_AgeToDate&lt;DATE(2025,6,30),-1,1)+1))</f>
        <v/>
      </c>
      <c r="U1575" s="50">
        <f>IF(AND(AND(OR(in_Mode="All Funds",AND(C1575&gt;=in_BandFloor,C1575&lt;=in_BandCeiling,OR(in_Geography="National",COUNTIFS(lst_GeoPreset,in_Geography,lst_GeoState,B1575)&gt;0,AND(in_Geography="Custom",ISNUMBER(SEARCH(B1575,SUBSTITUTE(in_CustomStates," ",""))))),OR(AND(D1575="Endowment",Inputs!$B$14="Y"),AND(D1575="Foundation",Inputs!$B$15="Y"),AND(D1575="Healthcare",Inputs!$B$16="Y"),AND(D1575="Pension",Inputs!$B$17="Y"),AND(D1575="OCIO",Inputs!$B$18="Y"),AND(D1575="Other",Inputs!$B$19="Y")))),A1575&lt;&gt;in_ClientOrg,NOT(AND(in_ExclHarvard="Y",ISNUMBER(SEARCH("Harvard",A1575))))),$AD1575="Y",K1575&lt;&gt;"",S1575&gt;0),"Y","")</f>
        <v/>
      </c>
      <c r="V1575" s="30" t="n">
        <v>1</v>
      </c>
      <c r="W1575" t="inlineStr"/>
      <c r="X1575" s="28">
        <f>IF(L1575+M1575=0,"",L1575+M1575)</f>
        <v/>
      </c>
      <c r="Y1575" s="38">
        <f>IF(L1575=0,"",M1575/L1575)</f>
        <v/>
      </c>
      <c r="Z1575" t="inlineStr">
        <is>
          <t>CIO - Top Investment Executive</t>
        </is>
      </c>
      <c r="AA1575" t="inlineStr">
        <is>
          <t>Leadership</t>
        </is>
      </c>
      <c r="AB1575" s="50" t="inlineStr">
        <is>
          <t>Y</t>
        </is>
      </c>
      <c r="AC1575" s="43">
        <f>HYPERLINK("https://projects.propublica.org/nonprofits/organizations/46013152/202601359349306395/full","view filing")</f>
        <v/>
      </c>
      <c r="AD1575" s="50" t="inlineStr">
        <is>
          <t>Y</t>
        </is>
      </c>
    </row>
    <row r="1576">
      <c r="A1576" t="inlineStr">
        <is>
          <t>University Of Massachusetts Foundation Inc</t>
        </is>
      </c>
      <c r="B1576" s="50" t="inlineStr">
        <is>
          <t>MA</t>
        </is>
      </c>
      <c r="C1576" s="52" t="n">
        <v>1.8</v>
      </c>
      <c r="D1576" t="inlineStr">
        <is>
          <t>Endowment</t>
        </is>
      </c>
      <c r="E1576" s="50" t="n">
        <v>2024</v>
      </c>
      <c r="F1576" s="50" t="inlineStr">
        <is>
          <t>2025-05-15</t>
        </is>
      </c>
      <c r="G1576" s="50" t="inlineStr">
        <is>
          <t>2024-06-30</t>
        </is>
      </c>
      <c r="H1576" t="inlineStr">
        <is>
          <t>Derek Wade</t>
        </is>
      </c>
      <c r="I1576" t="inlineStr">
        <is>
          <t>DIRECTOR OF INVESTMENT OPERATIONS</t>
        </is>
      </c>
      <c r="J1576" t="inlineStr">
        <is>
          <t>Head of Inv Ops (Inv Entity)</t>
        </is>
      </c>
      <c r="K1576" t="inlineStr">
        <is>
          <t>COO (Investment Office)</t>
        </is>
      </c>
      <c r="L1576" s="28" t="n">
        <v>231107</v>
      </c>
      <c r="M1576" s="28" t="n">
        <v>39656</v>
      </c>
      <c r="N1576" s="28" t="n">
        <v>0</v>
      </c>
      <c r="O1576" s="28" t="n">
        <v>41184</v>
      </c>
      <c r="P1576" s="28" t="n">
        <v>33446</v>
      </c>
      <c r="Q1576" s="28" t="n">
        <v>345393</v>
      </c>
      <c r="R1576" s="28" t="n">
        <v>0</v>
      </c>
      <c r="S1576" s="28">
        <f>Q1576-R1576</f>
        <v/>
      </c>
      <c r="T1576" s="28">
        <f>IF(S1576="","",S1576*(1+in_GrowthRate)^(YEARFRAC(DATE(2024,6,30),in_AgeToDate)*IF(in_AgeToDate&lt;DATE(2024,6,30),-1,1)+1))</f>
        <v/>
      </c>
      <c r="U1576" s="50">
        <f>IF(AND(AND(OR(in_Mode="All Funds",AND(C1576&gt;=in_BandFloor,C1576&lt;=in_BandCeiling,OR(in_Geography="National",COUNTIFS(lst_GeoPreset,in_Geography,lst_GeoState,B1576)&gt;0,AND(in_Geography="Custom",ISNUMBER(SEARCH(B1576,SUBSTITUTE(in_CustomStates," ",""))))),OR(AND(D1576="Endowment",Inputs!$B$14="Y"),AND(D1576="Foundation",Inputs!$B$15="Y"),AND(D1576="Healthcare",Inputs!$B$16="Y"),AND(D1576="Pension",Inputs!$B$17="Y"),AND(D1576="OCIO",Inputs!$B$18="Y"),AND(D1576="Other",Inputs!$B$19="Y")))),A1576&lt;&gt;in_ClientOrg,NOT(AND(in_ExclHarvard="Y",ISNUMBER(SEARCH("Harvard",A1576))))),$AD1576="Y",K1576&lt;&gt;"",S1576&gt;0),"Y","")</f>
        <v/>
      </c>
      <c r="V1576" s="30" t="n">
        <v>0.2874528531147738</v>
      </c>
      <c r="W1576" t="inlineStr"/>
      <c r="X1576" s="28">
        <f>IF(L1576+M1576=0,"",L1576+M1576)</f>
        <v/>
      </c>
      <c r="Y1576" s="38">
        <f>IF(L1576=0,"",M1576/L1576)</f>
        <v/>
      </c>
      <c r="Z1576" t="inlineStr">
        <is>
          <t>COO (Investment Office)</t>
        </is>
      </c>
      <c r="AA1576" t="inlineStr">
        <is>
          <t>Operations &amp; Control</t>
        </is>
      </c>
      <c r="AB1576" s="50" t="inlineStr"/>
      <c r="AC1576" s="43">
        <f>HYPERLINK("https://projects.propublica.org/nonprofits/organizations/46013152/202541359349312684/full","view filing")</f>
        <v/>
      </c>
      <c r="AD1576" s="50" t="inlineStr"/>
    </row>
    <row r="1577">
      <c r="A1577" t="inlineStr">
        <is>
          <t>University Of Massachusetts Foundation Inc</t>
        </is>
      </c>
      <c r="B1577" s="50" t="inlineStr">
        <is>
          <t>MA</t>
        </is>
      </c>
      <c r="C1577" s="52" t="n">
        <v>1.8</v>
      </c>
      <c r="D1577" t="inlineStr">
        <is>
          <t>Endowment</t>
        </is>
      </c>
      <c r="E1577" s="50" t="n">
        <v>2024</v>
      </c>
      <c r="F1577" s="50" t="inlineStr">
        <is>
          <t>2025-05-15</t>
        </is>
      </c>
      <c r="G1577" s="50" t="inlineStr">
        <is>
          <t>2024-06-30</t>
        </is>
      </c>
      <c r="H1577" t="inlineStr">
        <is>
          <t>Geoffrey Bowes</t>
        </is>
      </c>
      <c r="I1577" t="inlineStr">
        <is>
          <t>MANAGING DIRECTOR, INVESTMENT TEAM</t>
        </is>
      </c>
      <c r="J1577" t="inlineStr">
        <is>
          <t>Managing Director</t>
        </is>
      </c>
      <c r="K1577" t="inlineStr">
        <is>
          <t>Sr Investment Professional</t>
        </is>
      </c>
      <c r="L1577" s="28" t="n">
        <v>310553</v>
      </c>
      <c r="M1577" s="28" t="n">
        <v>118875</v>
      </c>
      <c r="N1577" s="28" t="n">
        <v>161987</v>
      </c>
      <c r="O1577" s="28" t="n">
        <v>151875</v>
      </c>
      <c r="P1577" s="28" t="n">
        <v>33129</v>
      </c>
      <c r="Q1577" s="28" t="n">
        <v>776419</v>
      </c>
      <c r="R1577" s="28" t="n">
        <v>161987</v>
      </c>
      <c r="S1577" s="28">
        <f>Q1577-R1577</f>
        <v/>
      </c>
      <c r="T1577" s="28">
        <f>IF(S1577="","",S1577*(1+in_GrowthRate)^(YEARFRAC(DATE(2024,6,30),in_AgeToDate)*IF(in_AgeToDate&lt;DATE(2024,6,30),-1,1)+1))</f>
        <v/>
      </c>
      <c r="U1577" s="50">
        <f>IF(AND(AND(OR(in_Mode="All Funds",AND(C1577&gt;=in_BandFloor,C1577&lt;=in_BandCeiling,OR(in_Geography="National",COUNTIFS(lst_GeoPreset,in_Geography,lst_GeoState,B1577)&gt;0,AND(in_Geography="Custom",ISNUMBER(SEARCH(B1577,SUBSTITUTE(in_CustomStates," ",""))))),OR(AND(D1577="Endowment",Inputs!$B$14="Y"),AND(D1577="Foundation",Inputs!$B$15="Y"),AND(D1577="Healthcare",Inputs!$B$16="Y"),AND(D1577="Pension",Inputs!$B$17="Y"),AND(D1577="OCIO",Inputs!$B$18="Y"),AND(D1577="Other",Inputs!$B$19="Y")))),A1577&lt;&gt;in_ClientOrg,NOT(AND(in_ExclHarvard="Y",ISNUMBER(SEARCH("Harvard",A1577))))),$AD1577="Y",K1577&lt;&gt;"",S1577&gt;0),"Y","")</f>
        <v/>
      </c>
      <c r="V1577" s="30" t="n">
        <v>0.5113601938806422</v>
      </c>
      <c r="W1577" t="inlineStr"/>
      <c r="X1577" s="28">
        <f>IF(L1577+M1577=0,"",L1577+M1577)</f>
        <v/>
      </c>
      <c r="Y1577" s="38">
        <f>IF(L1577=0,"",M1577/L1577)</f>
        <v/>
      </c>
      <c r="Z1577" t="inlineStr">
        <is>
          <t>Managing Director</t>
        </is>
      </c>
      <c r="AA1577" t="inlineStr">
        <is>
          <t>Investments</t>
        </is>
      </c>
      <c r="AB1577" s="50" t="inlineStr"/>
      <c r="AC1577" s="43">
        <f>HYPERLINK("https://projects.propublica.org/nonprofits/organizations/46013152/202541359349312684/full","view filing")</f>
        <v/>
      </c>
      <c r="AD1577" s="50" t="inlineStr"/>
    </row>
    <row r="1578">
      <c r="A1578" t="inlineStr">
        <is>
          <t>University Of Massachusetts Foundation Inc</t>
        </is>
      </c>
      <c r="B1578" s="50" t="inlineStr">
        <is>
          <t>MA</t>
        </is>
      </c>
      <c r="C1578" s="52" t="n">
        <v>1.8</v>
      </c>
      <c r="D1578" t="inlineStr">
        <is>
          <t>Endowment</t>
        </is>
      </c>
      <c r="E1578" s="50" t="n">
        <v>2024</v>
      </c>
      <c r="F1578" s="50" t="inlineStr">
        <is>
          <t>2025-05-15</t>
        </is>
      </c>
      <c r="G1578" s="50" t="inlineStr">
        <is>
          <t>2024-06-30</t>
        </is>
      </c>
      <c r="H1578" t="inlineStr">
        <is>
          <t>Hsungwen Chang</t>
        </is>
      </c>
      <c r="I1578" t="inlineStr">
        <is>
          <t>DIRECTOR OF INVESTMENT</t>
        </is>
      </c>
      <c r="J1578" t="inlineStr">
        <is>
          <t>Director of Investments</t>
        </is>
      </c>
      <c r="K1578" t="inlineStr">
        <is>
          <t>Sr Investment Professional</t>
        </is>
      </c>
      <c r="L1578" s="28" t="n">
        <v>231204</v>
      </c>
      <c r="M1578" s="28" t="n">
        <v>15625</v>
      </c>
      <c r="N1578" s="28" t="n">
        <v>0</v>
      </c>
      <c r="O1578" s="28" t="n">
        <v>40668</v>
      </c>
      <c r="P1578" s="28" t="n">
        <v>31140</v>
      </c>
      <c r="Q1578" s="28" t="n">
        <v>318637</v>
      </c>
      <c r="R1578" s="28" t="n">
        <v>0</v>
      </c>
      <c r="S1578" s="28">
        <f>Q1578-R1578</f>
        <v/>
      </c>
      <c r="T1578" s="28">
        <f>IF(S1578="","",S1578*(1+in_GrowthRate)^(YEARFRAC(DATE(2024,6,30),in_AgeToDate)*IF(in_AgeToDate&lt;DATE(2024,6,30),-1,1)+1))</f>
        <v/>
      </c>
      <c r="U1578" s="50">
        <f>IF(AND(AND(OR(in_Mode="All Funds",AND(C1578&gt;=in_BandFloor,C1578&lt;=in_BandCeiling,OR(in_Geography="National",COUNTIFS(lst_GeoPreset,in_Geography,lst_GeoState,B1578)&gt;0,AND(in_Geography="Custom",ISNUMBER(SEARCH(B1578,SUBSTITUTE(in_CustomStates," ",""))))),OR(AND(D1578="Endowment",Inputs!$B$14="Y"),AND(D1578="Foundation",Inputs!$B$15="Y"),AND(D1578="Healthcare",Inputs!$B$16="Y"),AND(D1578="Pension",Inputs!$B$17="Y"),AND(D1578="OCIO",Inputs!$B$18="Y"),AND(D1578="Other",Inputs!$B$19="Y")))),A1578&lt;&gt;in_ClientOrg,NOT(AND(in_ExclHarvard="Y",ISNUMBER(SEARCH("Harvard",A1578))))),$AD1578="Y",K1578&lt;&gt;"",S1578&gt;0),"Y","")</f>
        <v/>
      </c>
      <c r="V1578" s="30" t="n">
        <v>0.2651852086114431</v>
      </c>
      <c r="W1578" t="inlineStr"/>
      <c r="X1578" s="28">
        <f>IF(L1578+M1578=0,"",L1578+M1578)</f>
        <v/>
      </c>
      <c r="Y1578" s="38">
        <f>IF(L1578=0,"",M1578/L1578)</f>
        <v/>
      </c>
      <c r="Z1578" t="inlineStr">
        <is>
          <t>Director &amp; Investment Officer</t>
        </is>
      </c>
      <c r="AA1578" t="inlineStr">
        <is>
          <t>Investments</t>
        </is>
      </c>
      <c r="AB1578" s="50" t="inlineStr"/>
      <c r="AC1578" s="43">
        <f>HYPERLINK("https://projects.propublica.org/nonprofits/organizations/46013152/202541359349312684/full","view filing")</f>
        <v/>
      </c>
      <c r="AD1578" s="50" t="inlineStr"/>
    </row>
    <row r="1579">
      <c r="A1579" t="inlineStr">
        <is>
          <t>University Of Massachusetts Foundation Inc</t>
        </is>
      </c>
      <c r="B1579" s="50" t="inlineStr">
        <is>
          <t>MA</t>
        </is>
      </c>
      <c r="C1579" s="52" t="n">
        <v>1.8</v>
      </c>
      <c r="D1579" t="inlineStr">
        <is>
          <t>Endowment</t>
        </is>
      </c>
      <c r="E1579" s="50" t="n">
        <v>2024</v>
      </c>
      <c r="F1579" s="50" t="inlineStr">
        <is>
          <t>2025-05-15</t>
        </is>
      </c>
      <c r="G1579" s="50" t="inlineStr">
        <is>
          <t>2024-06-30</t>
        </is>
      </c>
      <c r="H1579" t="inlineStr">
        <is>
          <t>Jonathan Gibbons</t>
        </is>
      </c>
      <c r="I1579" t="inlineStr">
        <is>
          <t>CHIEF INVESTMENT OFFICER</t>
        </is>
      </c>
      <c r="J1579" t="inlineStr">
        <is>
          <t>CIO</t>
        </is>
      </c>
      <c r="K1579" t="inlineStr">
        <is>
          <t>CIO - Top Investment Executive</t>
        </is>
      </c>
      <c r="L1579" s="28" t="n">
        <v>579608</v>
      </c>
      <c r="M1579" s="28" t="n">
        <v>0</v>
      </c>
      <c r="N1579" s="28" t="n">
        <v>398884</v>
      </c>
      <c r="O1579" s="28" t="n">
        <v>582085</v>
      </c>
      <c r="P1579" s="28" t="n">
        <v>39871</v>
      </c>
      <c r="Q1579" s="28" t="n">
        <v>1600448</v>
      </c>
      <c r="R1579" s="28" t="n">
        <v>398884</v>
      </c>
      <c r="S1579" s="28">
        <f>Q1579-R1579</f>
        <v/>
      </c>
      <c r="T1579" s="28">
        <f>IF(S1579="","",S1579*(1+in_GrowthRate)^(YEARFRAC(DATE(2024,6,30),in_AgeToDate)*IF(in_AgeToDate&lt;DATE(2024,6,30),-1,1)+1))</f>
        <v/>
      </c>
      <c r="U1579" s="50">
        <f>IF(AND(AND(OR(in_Mode="All Funds",AND(C1579&gt;=in_BandFloor,C1579&lt;=in_BandCeiling,OR(in_Geography="National",COUNTIFS(lst_GeoPreset,in_Geography,lst_GeoState,B1579)&gt;0,AND(in_Geography="Custom",ISNUMBER(SEARCH(B1579,SUBSTITUTE(in_CustomStates," ",""))))),OR(AND(D1579="Endowment",Inputs!$B$14="Y"),AND(D1579="Foundation",Inputs!$B$15="Y"),AND(D1579="Healthcare",Inputs!$B$16="Y"),AND(D1579="Pension",Inputs!$B$17="Y"),AND(D1579="OCIO",Inputs!$B$18="Y"),AND(D1579="Other",Inputs!$B$19="Y")))),A1579&lt;&gt;in_ClientOrg,NOT(AND(in_ExclHarvard="Y",ISNUMBER(SEARCH("Harvard",A1579))))),$AD1579="Y",K1579&lt;&gt;"",S1579&gt;0),"Y","")</f>
        <v/>
      </c>
      <c r="V1579" s="30" t="n">
        <v>1</v>
      </c>
      <c r="W1579" t="inlineStr"/>
      <c r="X1579" s="28">
        <f>IF(L1579+M1579=0,"",L1579+M1579)</f>
        <v/>
      </c>
      <c r="Y1579" s="38">
        <f>IF(L1579=0,"",M1579/L1579)</f>
        <v/>
      </c>
      <c r="Z1579" t="inlineStr">
        <is>
          <t>CIO - Top Investment Executive</t>
        </is>
      </c>
      <c r="AA1579" t="inlineStr">
        <is>
          <t>Leadership</t>
        </is>
      </c>
      <c r="AB1579" s="50" t="inlineStr">
        <is>
          <t>Y</t>
        </is>
      </c>
      <c r="AC1579" s="43">
        <f>HYPERLINK("https://projects.propublica.org/nonprofits/organizations/46013152/202541359349312684/full","view filing")</f>
        <v/>
      </c>
      <c r="AD1579" s="50" t="inlineStr"/>
    </row>
    <row r="1580">
      <c r="A1580" t="inlineStr">
        <is>
          <t>University Of Massachusetts Foundation Inc</t>
        </is>
      </c>
      <c r="B1580" s="50" t="inlineStr">
        <is>
          <t>MA</t>
        </is>
      </c>
      <c r="C1580" s="52" t="n">
        <v>1.8</v>
      </c>
      <c r="D1580" t="inlineStr">
        <is>
          <t>Endowment</t>
        </is>
      </c>
      <c r="E1580" s="50" t="n">
        <v>2023</v>
      </c>
      <c r="F1580" s="50" t="inlineStr">
        <is>
          <t>2024-05-15</t>
        </is>
      </c>
      <c r="G1580" s="50" t="inlineStr">
        <is>
          <t>2023-06-30</t>
        </is>
      </c>
      <c r="H1580" t="inlineStr">
        <is>
          <t>Geoffrey Bowes</t>
        </is>
      </c>
      <c r="I1580" t="inlineStr">
        <is>
          <t>MANAGING DIRECTOR, INVESTMENT TEAM</t>
        </is>
      </c>
      <c r="J1580" t="inlineStr">
        <is>
          <t>Managing Director</t>
        </is>
      </c>
      <c r="K1580" t="inlineStr">
        <is>
          <t>Sr Investment Professional</t>
        </is>
      </c>
      <c r="L1580" s="28" t="n">
        <v>316433</v>
      </c>
      <c r="M1580" s="28" t="n">
        <v>192390</v>
      </c>
      <c r="N1580" s="28" t="n">
        <v>0</v>
      </c>
      <c r="O1580" s="28" t="n">
        <v>230210</v>
      </c>
      <c r="P1580" s="28" t="n">
        <v>26601</v>
      </c>
      <c r="Q1580" s="28" t="n">
        <v>765634</v>
      </c>
      <c r="R1580" s="28" t="n">
        <v>99855</v>
      </c>
      <c r="S1580" s="28">
        <f>Q1580-R1580</f>
        <v/>
      </c>
      <c r="T1580" s="28">
        <f>IF(S1580="","",S1580*(1+in_GrowthRate)^(YEARFRAC(DATE(2023,6,30),in_AgeToDate)*IF(in_AgeToDate&lt;DATE(2023,6,30),-1,1)+1))</f>
        <v/>
      </c>
      <c r="U1580" s="50">
        <f>IF(AND(AND(OR(in_Mode="All Funds",AND(C1580&gt;=in_BandFloor,C1580&lt;=in_BandCeiling,OR(in_Geography="National",COUNTIFS(lst_GeoPreset,in_Geography,lst_GeoState,B1580)&gt;0,AND(in_Geography="Custom",ISNUMBER(SEARCH(B1580,SUBSTITUTE(in_CustomStates," ",""))))),OR(AND(D1580="Endowment",Inputs!$B$14="Y"),AND(D1580="Foundation",Inputs!$B$15="Y"),AND(D1580="Healthcare",Inputs!$B$16="Y"),AND(D1580="Pension",Inputs!$B$17="Y"),AND(D1580="OCIO",Inputs!$B$18="Y"),AND(D1580="Other",Inputs!$B$19="Y")))),A1580&lt;&gt;in_ClientOrg,NOT(AND(in_ExclHarvard="Y",ISNUMBER(SEARCH("Harvard",A1580))))),$AD1580="Y",K1580&lt;&gt;"",S1580&gt;0),"Y","")</f>
        <v/>
      </c>
      <c r="V1580" s="30" t="n">
        <v>0.4112958575677921</v>
      </c>
      <c r="W1580" t="inlineStr"/>
      <c r="X1580" s="28">
        <f>IF(L1580+M1580=0,"",L1580+M1580)</f>
        <v/>
      </c>
      <c r="Y1580" s="38">
        <f>IF(L1580=0,"",M1580/L1580)</f>
        <v/>
      </c>
      <c r="Z1580" t="inlineStr">
        <is>
          <t>Managing Director</t>
        </is>
      </c>
      <c r="AA1580" t="inlineStr">
        <is>
          <t>Investments</t>
        </is>
      </c>
      <c r="AB1580" s="50" t="inlineStr"/>
      <c r="AC1580" s="43">
        <f>HYPERLINK("https://projects.propublica.org/nonprofits/organizations/46013152/202431369349310888/full","view filing")</f>
        <v/>
      </c>
      <c r="AD1580" s="50" t="inlineStr"/>
    </row>
    <row r="1581">
      <c r="A1581" t="inlineStr">
        <is>
          <t>University Of Massachusetts Foundation Inc</t>
        </is>
      </c>
      <c r="B1581" s="50" t="inlineStr">
        <is>
          <t>MA</t>
        </is>
      </c>
      <c r="C1581" s="52" t="n">
        <v>1.8</v>
      </c>
      <c r="D1581" t="inlineStr">
        <is>
          <t>Endowment</t>
        </is>
      </c>
      <c r="E1581" s="50" t="n">
        <v>2023</v>
      </c>
      <c r="F1581" s="50" t="inlineStr">
        <is>
          <t>2024-05-15</t>
        </is>
      </c>
      <c r="G1581" s="50" t="inlineStr">
        <is>
          <t>2023-06-30</t>
        </is>
      </c>
      <c r="H1581" t="inlineStr">
        <is>
          <t>Jonathan Gibbons</t>
        </is>
      </c>
      <c r="I1581" t="inlineStr">
        <is>
          <t>CHIEF INVESTMENT OFFICER</t>
        </is>
      </c>
      <c r="J1581" t="inlineStr">
        <is>
          <t>CIO</t>
        </is>
      </c>
      <c r="K1581" t="inlineStr">
        <is>
          <t>CIO - Top Investment Executive</t>
        </is>
      </c>
      <c r="L1581" s="28" t="n">
        <v>548117</v>
      </c>
      <c r="M1581" s="28" t="n">
        <v>739414</v>
      </c>
      <c r="N1581" s="28" t="n">
        <v>0</v>
      </c>
      <c r="O1581" s="28" t="n">
        <v>531910</v>
      </c>
      <c r="P1581" s="28" t="n">
        <v>33794</v>
      </c>
      <c r="Q1581" s="28" t="n">
        <v>1853235</v>
      </c>
      <c r="R1581" s="28" t="n">
        <v>234500</v>
      </c>
      <c r="S1581" s="28">
        <f>Q1581-R1581</f>
        <v/>
      </c>
      <c r="T1581" s="28">
        <f>IF(S1581="","",S1581*(1+in_GrowthRate)^(YEARFRAC(DATE(2023,6,30),in_AgeToDate)*IF(in_AgeToDate&lt;DATE(2023,6,30),-1,1)+1))</f>
        <v/>
      </c>
      <c r="U1581" s="50">
        <f>IF(AND(AND(OR(in_Mode="All Funds",AND(C1581&gt;=in_BandFloor,C1581&lt;=in_BandCeiling,OR(in_Geography="National",COUNTIFS(lst_GeoPreset,in_Geography,lst_GeoState,B1581)&gt;0,AND(in_Geography="Custom",ISNUMBER(SEARCH(B1581,SUBSTITUTE(in_CustomStates," ",""))))),OR(AND(D1581="Endowment",Inputs!$B$14="Y"),AND(D1581="Foundation",Inputs!$B$15="Y"),AND(D1581="Healthcare",Inputs!$B$16="Y"),AND(D1581="Pension",Inputs!$B$17="Y"),AND(D1581="OCIO",Inputs!$B$18="Y"),AND(D1581="Other",Inputs!$B$19="Y")))),A1581&lt;&gt;in_ClientOrg,NOT(AND(in_ExclHarvard="Y",ISNUMBER(SEARCH("Harvard",A1581))))),$AD1581="Y",K1581&lt;&gt;"",S1581&gt;0),"Y","")</f>
        <v/>
      </c>
      <c r="V1581" s="30" t="n">
        <v>1</v>
      </c>
      <c r="W1581" t="inlineStr"/>
      <c r="X1581" s="28">
        <f>IF(L1581+M1581=0,"",L1581+M1581)</f>
        <v/>
      </c>
      <c r="Y1581" s="38">
        <f>IF(L1581=0,"",M1581/L1581)</f>
        <v/>
      </c>
      <c r="Z1581" t="inlineStr">
        <is>
          <t>CIO - Top Investment Executive</t>
        </is>
      </c>
      <c r="AA1581" t="inlineStr">
        <is>
          <t>Leadership</t>
        </is>
      </c>
      <c r="AB1581" s="50" t="inlineStr">
        <is>
          <t>Y</t>
        </is>
      </c>
      <c r="AC1581" s="43">
        <f>HYPERLINK("https://projects.propublica.org/nonprofits/organizations/46013152/202431369349310888/full","view filing")</f>
        <v/>
      </c>
      <c r="AD1581" s="50" t="inlineStr"/>
    </row>
    <row r="1582">
      <c r="A1582" t="inlineStr">
        <is>
          <t>University Of Massachusetts Foundation Inc</t>
        </is>
      </c>
      <c r="B1582" s="50" t="inlineStr">
        <is>
          <t>MA</t>
        </is>
      </c>
      <c r="C1582" s="52" t="n">
        <v>1.8</v>
      </c>
      <c r="D1582" t="inlineStr">
        <is>
          <t>Endowment</t>
        </is>
      </c>
      <c r="E1582" s="50" t="n">
        <v>2022</v>
      </c>
      <c r="F1582" s="50" t="inlineStr">
        <is>
          <t>2023-05-15</t>
        </is>
      </c>
      <c r="G1582" s="50" t="inlineStr">
        <is>
          <t>2022-06-30</t>
        </is>
      </c>
      <c r="H1582" t="inlineStr">
        <is>
          <t>Geoffrey Bowes</t>
        </is>
      </c>
      <c r="I1582" t="inlineStr">
        <is>
          <t>MANAGING DIRECTOR, INVESTMENT TEAM</t>
        </is>
      </c>
      <c r="J1582" t="inlineStr">
        <is>
          <t>Managing Director</t>
        </is>
      </c>
      <c r="K1582" t="inlineStr">
        <is>
          <t>Sr Investment Professional</t>
        </is>
      </c>
      <c r="L1582" s="28" t="n">
        <v>317013</v>
      </c>
      <c r="M1582" s="28" t="n">
        <v>39625</v>
      </c>
      <c r="N1582" s="28" t="n">
        <v>0</v>
      </c>
      <c r="O1582" s="28" t="n">
        <v>128855</v>
      </c>
      <c r="P1582" s="28" t="n">
        <v>33401</v>
      </c>
      <c r="Q1582" s="28" t="n">
        <v>518894</v>
      </c>
      <c r="R1582" s="28" t="n">
        <v>0</v>
      </c>
      <c r="S1582" s="28">
        <f>Q1582-R1582</f>
        <v/>
      </c>
      <c r="T1582" s="28">
        <f>IF(S1582="","",S1582*(1+in_GrowthRate)^(YEARFRAC(DATE(2022,6,30),in_AgeToDate)*IF(in_AgeToDate&lt;DATE(2022,6,30),-1,1)+1))</f>
        <v/>
      </c>
      <c r="U1582" s="50">
        <f>IF(AND(AND(OR(in_Mode="All Funds",AND(C1582&gt;=in_BandFloor,C1582&lt;=in_BandCeiling,OR(in_Geography="National",COUNTIFS(lst_GeoPreset,in_Geography,lst_GeoState,B1582)&gt;0,AND(in_Geography="Custom",ISNUMBER(SEARCH(B1582,SUBSTITUTE(in_CustomStates," ",""))))),OR(AND(D1582="Endowment",Inputs!$B$14="Y"),AND(D1582="Foundation",Inputs!$B$15="Y"),AND(D1582="Healthcare",Inputs!$B$16="Y"),AND(D1582="Pension",Inputs!$B$17="Y"),AND(D1582="OCIO",Inputs!$B$18="Y"),AND(D1582="Other",Inputs!$B$19="Y")))),A1582&lt;&gt;in_ClientOrg,NOT(AND(in_ExclHarvard="Y",ISNUMBER(SEARCH("Harvard",A1582))))),$AD1582="Y",K1582&lt;&gt;"",S1582&gt;0),"Y","")</f>
        <v/>
      </c>
      <c r="V1582" s="30" t="n">
        <v>0.5284795623010158</v>
      </c>
      <c r="W1582" t="inlineStr"/>
      <c r="X1582" s="28">
        <f>IF(L1582+M1582=0,"",L1582+M1582)</f>
        <v/>
      </c>
      <c r="Y1582" s="38">
        <f>IF(L1582=0,"",M1582/L1582)</f>
        <v/>
      </c>
      <c r="Z1582" t="inlineStr">
        <is>
          <t>Managing Director</t>
        </is>
      </c>
      <c r="AA1582" t="inlineStr">
        <is>
          <t>Investments</t>
        </is>
      </c>
      <c r="AB1582" s="50" t="inlineStr"/>
      <c r="AC1582" s="43">
        <f>HYPERLINK("https://projects.propublica.org/nonprofits/organizations/46013152/202321359349308972/full","view filing")</f>
        <v/>
      </c>
      <c r="AD1582" s="50" t="inlineStr"/>
    </row>
    <row r="1583">
      <c r="A1583" t="inlineStr">
        <is>
          <t>University Of Massachusetts Foundation Inc</t>
        </is>
      </c>
      <c r="B1583" s="50" t="inlineStr">
        <is>
          <t>MA</t>
        </is>
      </c>
      <c r="C1583" s="52" t="n">
        <v>1.8</v>
      </c>
      <c r="D1583" t="inlineStr">
        <is>
          <t>Endowment</t>
        </is>
      </c>
      <c r="E1583" s="50" t="n">
        <v>2022</v>
      </c>
      <c r="F1583" s="50" t="inlineStr">
        <is>
          <t>2023-05-15</t>
        </is>
      </c>
      <c r="G1583" s="50" t="inlineStr">
        <is>
          <t>2022-06-30</t>
        </is>
      </c>
      <c r="H1583" t="inlineStr">
        <is>
          <t>Jonathan Gibbons</t>
        </is>
      </c>
      <c r="I1583" t="inlineStr">
        <is>
          <t>CHIEF INVESTMENT OFFICER</t>
        </is>
      </c>
      <c r="J1583" t="inlineStr">
        <is>
          <t>CIO</t>
        </is>
      </c>
      <c r="K1583" t="inlineStr">
        <is>
          <t>CIO - Top Investment Executive</t>
        </is>
      </c>
      <c r="L1583" s="28" t="n">
        <v>509833</v>
      </c>
      <c r="M1583" s="28" t="n">
        <v>232916</v>
      </c>
      <c r="N1583" s="28" t="n">
        <v>0</v>
      </c>
      <c r="O1583" s="28" t="n">
        <v>263500</v>
      </c>
      <c r="P1583" s="28" t="n">
        <v>36813</v>
      </c>
      <c r="Q1583" s="28" t="n">
        <v>1043062</v>
      </c>
      <c r="R1583" s="28" t="n">
        <v>61200</v>
      </c>
      <c r="S1583" s="28">
        <f>Q1583-R1583</f>
        <v/>
      </c>
      <c r="T1583" s="28">
        <f>IF(S1583="","",S1583*(1+in_GrowthRate)^(YEARFRAC(DATE(2022,6,30),in_AgeToDate)*IF(in_AgeToDate&lt;DATE(2022,6,30),-1,1)+1))</f>
        <v/>
      </c>
      <c r="U1583" s="50">
        <f>IF(AND(AND(OR(in_Mode="All Funds",AND(C1583&gt;=in_BandFloor,C1583&lt;=in_BandCeiling,OR(in_Geography="National",COUNTIFS(lst_GeoPreset,in_Geography,lst_GeoState,B1583)&gt;0,AND(in_Geography="Custom",ISNUMBER(SEARCH(B1583,SUBSTITUTE(in_CustomStates," ",""))))),OR(AND(D1583="Endowment",Inputs!$B$14="Y"),AND(D1583="Foundation",Inputs!$B$15="Y"),AND(D1583="Healthcare",Inputs!$B$16="Y"),AND(D1583="Pension",Inputs!$B$17="Y"),AND(D1583="OCIO",Inputs!$B$18="Y"),AND(D1583="Other",Inputs!$B$19="Y")))),A1583&lt;&gt;in_ClientOrg,NOT(AND(in_ExclHarvard="Y",ISNUMBER(SEARCH("Harvard",A1583))))),$AD1583="Y",K1583&lt;&gt;"",S1583&gt;0),"Y","")</f>
        <v/>
      </c>
      <c r="V1583" s="30" t="n">
        <v>1</v>
      </c>
      <c r="W1583" t="inlineStr"/>
      <c r="X1583" s="28">
        <f>IF(L1583+M1583=0,"",L1583+M1583)</f>
        <v/>
      </c>
      <c r="Y1583" s="38">
        <f>IF(L1583=0,"",M1583/L1583)</f>
        <v/>
      </c>
      <c r="Z1583" t="inlineStr">
        <is>
          <t>CIO - Top Investment Executive</t>
        </is>
      </c>
      <c r="AA1583" t="inlineStr">
        <is>
          <t>Leadership</t>
        </is>
      </c>
      <c r="AB1583" s="50" t="inlineStr">
        <is>
          <t>Y</t>
        </is>
      </c>
      <c r="AC1583" s="43">
        <f>HYPERLINK("https://projects.propublica.org/nonprofits/organizations/46013152/202321359349308972/full","view filing")</f>
        <v/>
      </c>
      <c r="AD1583" s="50" t="inlineStr"/>
    </row>
    <row r="1584">
      <c r="A1584" t="inlineStr">
        <is>
          <t>University Of Massachusetts Foundation Inc</t>
        </is>
      </c>
      <c r="B1584" s="50" t="inlineStr">
        <is>
          <t>MA</t>
        </is>
      </c>
      <c r="C1584" s="52" t="n">
        <v>1.8</v>
      </c>
      <c r="D1584" t="inlineStr">
        <is>
          <t>Endowment</t>
        </is>
      </c>
      <c r="E1584" s="50" t="n">
        <v>2022</v>
      </c>
      <c r="F1584" s="50" t="inlineStr">
        <is>
          <t>2023-05-15</t>
        </is>
      </c>
      <c r="G1584" s="50" t="inlineStr">
        <is>
          <t>2022-06-30</t>
        </is>
      </c>
      <c r="H1584" t="inlineStr">
        <is>
          <t>Linda Liang</t>
        </is>
      </c>
      <c r="I1584" t="inlineStr">
        <is>
          <t>DIRECTOR OF OPERATIONS</t>
        </is>
      </c>
      <c r="J1584" t="inlineStr">
        <is>
          <t>Head of Inv Ops (Inv Entity)</t>
        </is>
      </c>
      <c r="K1584" t="inlineStr">
        <is>
          <t>COO (Investment Office)</t>
        </is>
      </c>
      <c r="L1584" s="28" t="n">
        <v>167024</v>
      </c>
      <c r="M1584" s="28" t="n">
        <v>25550</v>
      </c>
      <c r="N1584" s="28" t="n">
        <v>0</v>
      </c>
      <c r="O1584" s="28" t="n">
        <v>19257</v>
      </c>
      <c r="P1584" s="28" t="n">
        <v>34912</v>
      </c>
      <c r="Q1584" s="28" t="n">
        <v>246743</v>
      </c>
      <c r="R1584" s="28" t="n">
        <v>0</v>
      </c>
      <c r="S1584" s="28">
        <f>Q1584-R1584</f>
        <v/>
      </c>
      <c r="T1584" s="28">
        <f>IF(S1584="","",S1584*(1+in_GrowthRate)^(YEARFRAC(DATE(2022,6,30),in_AgeToDate)*IF(in_AgeToDate&lt;DATE(2022,6,30),-1,1)+1))</f>
        <v/>
      </c>
      <c r="U1584" s="50">
        <f>IF(AND(AND(OR(in_Mode="All Funds",AND(C1584&gt;=in_BandFloor,C1584&lt;=in_BandCeiling,OR(in_Geography="National",COUNTIFS(lst_GeoPreset,in_Geography,lst_GeoState,B1584)&gt;0,AND(in_Geography="Custom",ISNUMBER(SEARCH(B1584,SUBSTITUTE(in_CustomStates," ",""))))),OR(AND(D1584="Endowment",Inputs!$B$14="Y"),AND(D1584="Foundation",Inputs!$B$15="Y"),AND(D1584="Healthcare",Inputs!$B$16="Y"),AND(D1584="Pension",Inputs!$B$17="Y"),AND(D1584="OCIO",Inputs!$B$18="Y"),AND(D1584="Other",Inputs!$B$19="Y")))),A1584&lt;&gt;in_ClientOrg,NOT(AND(in_ExclHarvard="Y",ISNUMBER(SEARCH("Harvard",A1584))))),$AD1584="Y",K1584&lt;&gt;"",S1584&gt;0),"Y","")</f>
        <v/>
      </c>
      <c r="V1584" s="30" t="n">
        <v>0.2513010993398258</v>
      </c>
      <c r="W1584" t="inlineStr"/>
      <c r="X1584" s="28">
        <f>IF(L1584+M1584=0,"",L1584+M1584)</f>
        <v/>
      </c>
      <c r="Y1584" s="38">
        <f>IF(L1584=0,"",M1584/L1584)</f>
        <v/>
      </c>
      <c r="Z1584" t="inlineStr">
        <is>
          <t>COO (Investment Office)</t>
        </is>
      </c>
      <c r="AA1584" t="inlineStr">
        <is>
          <t>Operations &amp; Control</t>
        </is>
      </c>
      <c r="AB1584" s="50" t="inlineStr"/>
      <c r="AC1584" s="43">
        <f>HYPERLINK("https://projects.propublica.org/nonprofits/organizations/46013152/202321359349308972/full","view filing")</f>
        <v/>
      </c>
      <c r="AD1584" s="50" t="inlineStr"/>
    </row>
    <row r="1585">
      <c r="A1585" t="inlineStr">
        <is>
          <t>University Of Minnesota Foundation Investment Advisors</t>
        </is>
      </c>
      <c r="B1585" s="50" t="inlineStr">
        <is>
          <t>MN</t>
        </is>
      </c>
      <c r="C1585" s="52" t="n">
        <v>5.2</v>
      </c>
      <c r="D1585" t="inlineStr">
        <is>
          <t>Endowment</t>
        </is>
      </c>
      <c r="E1585" s="50" t="n">
        <v>2025</v>
      </c>
      <c r="F1585" s="50" t="inlineStr">
        <is>
          <t>2026-03-30</t>
        </is>
      </c>
      <c r="G1585" s="50" t="inlineStr">
        <is>
          <t>2025-06-30</t>
        </is>
      </c>
      <c r="H1585" t="inlineStr">
        <is>
          <t>Amanda Escen</t>
        </is>
      </c>
      <c r="I1585" t="inlineStr">
        <is>
          <t>CHIEF OPERATING OFFICER</t>
        </is>
      </c>
      <c r="J1585" t="inlineStr">
        <is>
          <t>COO (Inv Entity)</t>
        </is>
      </c>
      <c r="K1585" t="inlineStr">
        <is>
          <t>COO (Investment Office)</t>
        </is>
      </c>
      <c r="L1585" s="28" t="n">
        <v>275679</v>
      </c>
      <c r="M1585" s="28" t="n">
        <v>82110</v>
      </c>
      <c r="N1585" s="28" t="n">
        <v>80</v>
      </c>
      <c r="O1585" s="28" t="n">
        <v>41400</v>
      </c>
      <c r="P1585" s="28" t="n">
        <v>31345</v>
      </c>
      <c r="Q1585" s="28" t="n">
        <v>430614</v>
      </c>
      <c r="R1585" s="28" t="n">
        <v>0</v>
      </c>
      <c r="S1585" s="28">
        <f>Q1585-R1585</f>
        <v/>
      </c>
      <c r="T1585" s="28">
        <f>IF(S1585="","",S1585*(1+in_GrowthRate)^(YEARFRAC(DATE(2025,6,30),in_AgeToDate)*IF(in_AgeToDate&lt;DATE(2025,6,30),-1,1)+1))</f>
        <v/>
      </c>
      <c r="U1585" s="50">
        <f>IF(AND(AND(OR(in_Mode="All Funds",AND(C1585&gt;=in_BandFloor,C1585&lt;=in_BandCeiling,OR(in_Geography="National",COUNTIFS(lst_GeoPreset,in_Geography,lst_GeoState,B1585)&gt;0,AND(in_Geography="Custom",ISNUMBER(SEARCH(B1585,SUBSTITUTE(in_CustomStates," ",""))))),OR(AND(D1585="Endowment",Inputs!$B$14="Y"),AND(D1585="Foundation",Inputs!$B$15="Y"),AND(D1585="Healthcare",Inputs!$B$16="Y"),AND(D1585="Pension",Inputs!$B$17="Y"),AND(D1585="OCIO",Inputs!$B$18="Y"),AND(D1585="Other",Inputs!$B$19="Y")))),A1585&lt;&gt;in_ClientOrg,NOT(AND(in_ExclHarvard="Y",ISNUMBER(SEARCH("Harvard",A1585))))),$AD1585="Y",K1585&lt;&gt;"",S1585&gt;0),"Y","")</f>
        <v/>
      </c>
      <c r="V1585" s="30" t="n">
        <v>0.3363031597099109</v>
      </c>
      <c r="W1585" t="inlineStr"/>
      <c r="X1585" s="28">
        <f>IF(L1585+M1585=0,"",L1585+M1585)</f>
        <v/>
      </c>
      <c r="Y1585" s="38">
        <f>IF(L1585=0,"",M1585/L1585)</f>
        <v/>
      </c>
      <c r="Z1585" t="inlineStr">
        <is>
          <t>COO (Investment Office)</t>
        </is>
      </c>
      <c r="AA1585" t="inlineStr">
        <is>
          <t>Operations &amp; Control</t>
        </is>
      </c>
      <c r="AB1585" s="50" t="inlineStr"/>
      <c r="AC1585" s="43">
        <f>HYPERLINK("https://projects.propublica.org/nonprofits/organizations/411931343/202610899349300721/full","view filing")</f>
        <v/>
      </c>
      <c r="AD1585" s="50" t="inlineStr">
        <is>
          <t>Y</t>
        </is>
      </c>
    </row>
    <row r="1586">
      <c r="A1586" t="inlineStr">
        <is>
          <t>University Of Minnesota Foundation Investment Advisors</t>
        </is>
      </c>
      <c r="B1586" s="50" t="inlineStr">
        <is>
          <t>MN</t>
        </is>
      </c>
      <c r="C1586" s="52" t="n">
        <v>5.2</v>
      </c>
      <c r="D1586" t="inlineStr">
        <is>
          <t>Endowment</t>
        </is>
      </c>
      <c r="E1586" s="50" t="n">
        <v>2025</v>
      </c>
      <c r="F1586" s="50" t="inlineStr">
        <is>
          <t>2026-03-30</t>
        </is>
      </c>
      <c r="G1586" s="50" t="inlineStr">
        <is>
          <t>2025-06-30</t>
        </is>
      </c>
      <c r="H1586" t="inlineStr">
        <is>
          <t>Andrew J Behrens</t>
        </is>
      </c>
      <c r="I1586" t="inlineStr">
        <is>
          <t>CHIEF INVESTMENT OFFICER &amp; PRESIDENT</t>
        </is>
      </c>
      <c r="J1586" t="inlineStr">
        <is>
          <t>CIO</t>
        </is>
      </c>
      <c r="K1586" t="inlineStr">
        <is>
          <t>CIO - Top Investment Executive</t>
        </is>
      </c>
      <c r="L1586" s="28" t="n">
        <v>670000</v>
      </c>
      <c r="M1586" s="28" t="n">
        <v>563618</v>
      </c>
      <c r="N1586" s="28" t="n">
        <v>80</v>
      </c>
      <c r="O1586" s="28" t="n">
        <v>41400</v>
      </c>
      <c r="P1586" s="28" t="n">
        <v>5336</v>
      </c>
      <c r="Q1586" s="28" t="n">
        <v>1280434</v>
      </c>
      <c r="R1586" s="28" t="n">
        <v>0</v>
      </c>
      <c r="S1586" s="28">
        <f>Q1586-R1586</f>
        <v/>
      </c>
      <c r="T1586" s="28">
        <f>IF(S1586="","",S1586*(1+in_GrowthRate)^(YEARFRAC(DATE(2025,6,30),in_AgeToDate)*IF(in_AgeToDate&lt;DATE(2025,6,30),-1,1)+1))</f>
        <v/>
      </c>
      <c r="U1586" s="50">
        <f>IF(AND(AND(OR(in_Mode="All Funds",AND(C1586&gt;=in_BandFloor,C1586&lt;=in_BandCeiling,OR(in_Geography="National",COUNTIFS(lst_GeoPreset,in_Geography,lst_GeoState,B1586)&gt;0,AND(in_Geography="Custom",ISNUMBER(SEARCH(B1586,SUBSTITUTE(in_CustomStates," ",""))))),OR(AND(D1586="Endowment",Inputs!$B$14="Y"),AND(D1586="Foundation",Inputs!$B$15="Y"),AND(D1586="Healthcare",Inputs!$B$16="Y"),AND(D1586="Pension",Inputs!$B$17="Y"),AND(D1586="OCIO",Inputs!$B$18="Y"),AND(D1586="Other",Inputs!$B$19="Y")))),A1586&lt;&gt;in_ClientOrg,NOT(AND(in_ExclHarvard="Y",ISNUMBER(SEARCH("Harvard",A1586))))),$AD1586="Y",K1586&lt;&gt;"",S1586&gt;0),"Y","")</f>
        <v/>
      </c>
      <c r="V1586" s="30" t="n">
        <v>1</v>
      </c>
      <c r="W1586" t="inlineStr"/>
      <c r="X1586" s="28">
        <f>IF(L1586+M1586=0,"",L1586+M1586)</f>
        <v/>
      </c>
      <c r="Y1586" s="38">
        <f>IF(L1586=0,"",M1586/L1586)</f>
        <v/>
      </c>
      <c r="Z1586" t="inlineStr">
        <is>
          <t>CIO - Top Investment Executive</t>
        </is>
      </c>
      <c r="AA1586" t="inlineStr">
        <is>
          <t>Leadership</t>
        </is>
      </c>
      <c r="AB1586" s="50" t="inlineStr">
        <is>
          <t>Y</t>
        </is>
      </c>
      <c r="AC1586" s="43">
        <f>HYPERLINK("https://projects.propublica.org/nonprofits/organizations/411931343/202610899349300721/full","view filing")</f>
        <v/>
      </c>
      <c r="AD1586" s="50" t="inlineStr">
        <is>
          <t>Y</t>
        </is>
      </c>
    </row>
    <row r="1587">
      <c r="A1587" t="inlineStr">
        <is>
          <t>University Of Minnesota Foundation Investment Advisors</t>
        </is>
      </c>
      <c r="B1587" s="50" t="inlineStr">
        <is>
          <t>MN</t>
        </is>
      </c>
      <c r="C1587" s="52" t="n">
        <v>5.2</v>
      </c>
      <c r="D1587" t="inlineStr">
        <is>
          <t>Endowment</t>
        </is>
      </c>
      <c r="E1587" s="50" t="n">
        <v>2025</v>
      </c>
      <c r="F1587" s="50" t="inlineStr">
        <is>
          <t>2026-03-30</t>
        </is>
      </c>
      <c r="G1587" s="50" t="inlineStr">
        <is>
          <t>2025-06-30</t>
        </is>
      </c>
      <c r="H1587" t="inlineStr">
        <is>
          <t>Daniel J Arlandson</t>
        </is>
      </c>
      <c r="I1587" t="inlineStr">
        <is>
          <t>INVESTMENT DIRECTOR</t>
        </is>
      </c>
      <c r="J1587" t="inlineStr">
        <is>
          <t>Director of Investments</t>
        </is>
      </c>
      <c r="K1587" t="inlineStr">
        <is>
          <t>Sr Investment Professional</t>
        </is>
      </c>
      <c r="L1587" s="28" t="n">
        <v>392638</v>
      </c>
      <c r="M1587" s="28" t="n">
        <v>288022</v>
      </c>
      <c r="N1587" s="28" t="n">
        <v>120</v>
      </c>
      <c r="O1587" s="28" t="n">
        <v>41400</v>
      </c>
      <c r="P1587" s="28" t="n">
        <v>15541</v>
      </c>
      <c r="Q1587" s="28" t="n">
        <v>737721</v>
      </c>
      <c r="R1587" s="28" t="n">
        <v>0</v>
      </c>
      <c r="S1587" s="28">
        <f>Q1587-R1587</f>
        <v/>
      </c>
      <c r="T1587" s="28">
        <f>IF(S1587="","",S1587*(1+in_GrowthRate)^(YEARFRAC(DATE(2025,6,30),in_AgeToDate)*IF(in_AgeToDate&lt;DATE(2025,6,30),-1,1)+1))</f>
        <v/>
      </c>
      <c r="U1587" s="50">
        <f>IF(AND(AND(OR(in_Mode="All Funds",AND(C1587&gt;=in_BandFloor,C1587&lt;=in_BandCeiling,OR(in_Geography="National",COUNTIFS(lst_GeoPreset,in_Geography,lst_GeoState,B1587)&gt;0,AND(in_Geography="Custom",ISNUMBER(SEARCH(B1587,SUBSTITUTE(in_CustomStates," ",""))))),OR(AND(D1587="Endowment",Inputs!$B$14="Y"),AND(D1587="Foundation",Inputs!$B$15="Y"),AND(D1587="Healthcare",Inputs!$B$16="Y"),AND(D1587="Pension",Inputs!$B$17="Y"),AND(D1587="OCIO",Inputs!$B$18="Y"),AND(D1587="Other",Inputs!$B$19="Y")))),A1587&lt;&gt;in_ClientOrg,NOT(AND(in_ExclHarvard="Y",ISNUMBER(SEARCH("Harvard",A1587))))),$AD1587="Y",K1587&lt;&gt;"",S1587&gt;0),"Y","")</f>
        <v/>
      </c>
      <c r="V1587" s="30" t="n">
        <v>0.5761491806684296</v>
      </c>
      <c r="W1587" t="inlineStr"/>
      <c r="X1587" s="28">
        <f>IF(L1587+M1587=0,"",L1587+M1587)</f>
        <v/>
      </c>
      <c r="Y1587" s="38">
        <f>IF(L1587=0,"",M1587/L1587)</f>
        <v/>
      </c>
      <c r="Z1587" t="inlineStr">
        <is>
          <t>Director &amp; Investment Officer</t>
        </is>
      </c>
      <c r="AA1587" t="inlineStr">
        <is>
          <t>Investments</t>
        </is>
      </c>
      <c r="AB1587" s="50" t="inlineStr"/>
      <c r="AC1587" s="43">
        <f>HYPERLINK("https://projects.propublica.org/nonprofits/organizations/411931343/202610899349300721/full","view filing")</f>
        <v/>
      </c>
      <c r="AD1587" s="50" t="inlineStr">
        <is>
          <t>Y</t>
        </is>
      </c>
    </row>
    <row r="1588">
      <c r="A1588" t="inlineStr">
        <is>
          <t>University Of Minnesota Foundation Investment Advisors</t>
        </is>
      </c>
      <c r="B1588" s="50" t="inlineStr">
        <is>
          <t>MN</t>
        </is>
      </c>
      <c r="C1588" s="52" t="n">
        <v>5.2</v>
      </c>
      <c r="D1588" t="inlineStr">
        <is>
          <t>Endowment</t>
        </is>
      </c>
      <c r="E1588" s="50" t="n">
        <v>2025</v>
      </c>
      <c r="F1588" s="50" t="inlineStr">
        <is>
          <t>2026-03-30</t>
        </is>
      </c>
      <c r="G1588" s="50" t="inlineStr">
        <is>
          <t>2025-06-30</t>
        </is>
      </c>
      <c r="H1588" t="inlineStr">
        <is>
          <t>David T Walkosz</t>
        </is>
      </c>
      <c r="I1588" t="inlineStr">
        <is>
          <t>DIRECTOR OF OPERATIONS</t>
        </is>
      </c>
      <c r="J1588" t="inlineStr">
        <is>
          <t>Head of Inv Ops (Inv Entity)</t>
        </is>
      </c>
      <c r="K1588" t="inlineStr">
        <is>
          <t>Other disclosed professionals</t>
        </is>
      </c>
      <c r="L1588" s="28" t="n">
        <v>194230</v>
      </c>
      <c r="M1588" s="28" t="n">
        <v>65725</v>
      </c>
      <c r="N1588" s="28" t="n">
        <v>344</v>
      </c>
      <c r="O1588" s="28" t="n">
        <v>31857</v>
      </c>
      <c r="P1588" s="28" t="n">
        <v>36458</v>
      </c>
      <c r="Q1588" s="28" t="n">
        <v>328614</v>
      </c>
      <c r="R1588" s="28" t="n">
        <v>0</v>
      </c>
      <c r="S1588" s="28">
        <f>Q1588-R1588</f>
        <v/>
      </c>
      <c r="T1588" s="28">
        <f>IF(S1588="","",S1588*(1+in_GrowthRate)^(YEARFRAC(DATE(2025,6,30),in_AgeToDate)*IF(in_AgeToDate&lt;DATE(2025,6,30),-1,1)+1))</f>
        <v/>
      </c>
      <c r="U1588" s="50">
        <f>IF(AND(AND(OR(in_Mode="All Funds",AND(C1588&gt;=in_BandFloor,C1588&lt;=in_BandCeiling,OR(in_Geography="National",COUNTIFS(lst_GeoPreset,in_Geography,lst_GeoState,B1588)&gt;0,AND(in_Geography="Custom",ISNUMBER(SEARCH(B1588,SUBSTITUTE(in_CustomStates," ",""))))),OR(AND(D1588="Endowment",Inputs!$B$14="Y"),AND(D1588="Foundation",Inputs!$B$15="Y"),AND(D1588="Healthcare",Inputs!$B$16="Y"),AND(D1588="Pension",Inputs!$B$17="Y"),AND(D1588="OCIO",Inputs!$B$18="Y"),AND(D1588="Other",Inputs!$B$19="Y")))),A1588&lt;&gt;in_ClientOrg,NOT(AND(in_ExclHarvard="Y",ISNUMBER(SEARCH("Harvard",A1588))))),$AD1588="Y",K1588&lt;&gt;"",S1588&gt;0),"Y","")</f>
        <v/>
      </c>
      <c r="V1588" s="30" t="n">
        <v>0.2566426695948405</v>
      </c>
      <c r="W1588" t="inlineStr">
        <is>
          <t>Other disclosed professionals</t>
        </is>
      </c>
      <c r="X1588" s="28">
        <f>IF(L1588+M1588=0,"",L1588+M1588)</f>
        <v/>
      </c>
      <c r="Y1588" s="38">
        <f>IF(L1588=0,"",M1588/L1588)</f>
        <v/>
      </c>
      <c r="Z1588" t="inlineStr">
        <is>
          <t>Other disclosed professionals</t>
        </is>
      </c>
      <c r="AA1588" t="inlineStr">
        <is>
          <t>Operations &amp; Control</t>
        </is>
      </c>
      <c r="AB1588" s="50" t="inlineStr"/>
      <c r="AC1588" s="43">
        <f>HYPERLINK("https://projects.propublica.org/nonprofits/organizations/411931343/202610899349300721/full","view filing")</f>
        <v/>
      </c>
      <c r="AD1588" s="50" t="inlineStr">
        <is>
          <t>Y</t>
        </is>
      </c>
    </row>
    <row r="1589">
      <c r="A1589" t="inlineStr">
        <is>
          <t>University Of Minnesota Foundation Investment Advisors</t>
        </is>
      </c>
      <c r="B1589" s="50" t="inlineStr">
        <is>
          <t>MN</t>
        </is>
      </c>
      <c r="C1589" s="52" t="n">
        <v>5.2</v>
      </c>
      <c r="D1589" t="inlineStr">
        <is>
          <t>Endowment</t>
        </is>
      </c>
      <c r="E1589" s="50" t="n">
        <v>2025</v>
      </c>
      <c r="F1589" s="50" t="inlineStr">
        <is>
          <t>2026-03-30</t>
        </is>
      </c>
      <c r="G1589" s="50" t="inlineStr">
        <is>
          <t>2025-06-30</t>
        </is>
      </c>
      <c r="H1589" t="inlineStr">
        <is>
          <t>Grant Larson</t>
        </is>
      </c>
      <c r="I1589" t="inlineStr">
        <is>
          <t>INVESTMENT ANALYST</t>
        </is>
      </c>
      <c r="J1589" t="inlineStr">
        <is>
          <t>Analyst</t>
        </is>
      </c>
      <c r="K1589" t="inlineStr">
        <is>
          <t>Sr Investment Professional</t>
        </is>
      </c>
      <c r="L1589" s="28" t="n">
        <v>139379</v>
      </c>
      <c r="M1589" s="28" t="n">
        <v>45533</v>
      </c>
      <c r="N1589" s="28" t="n">
        <v>64</v>
      </c>
      <c r="O1589" s="28" t="n">
        <v>23164</v>
      </c>
      <c r="P1589" s="28" t="n">
        <v>23674</v>
      </c>
      <c r="Q1589" s="28" t="n">
        <v>231814</v>
      </c>
      <c r="R1589" s="28" t="n">
        <v>0</v>
      </c>
      <c r="S1589" s="28">
        <f>Q1589-R1589</f>
        <v/>
      </c>
      <c r="T1589" s="28">
        <f>IF(S1589="","",S1589*(1+in_GrowthRate)^(YEARFRAC(DATE(2025,6,30),in_AgeToDate)*IF(in_AgeToDate&lt;DATE(2025,6,30),-1,1)+1))</f>
        <v/>
      </c>
      <c r="U1589" s="50">
        <f>IF(AND(AND(OR(in_Mode="All Funds",AND(C1589&gt;=in_BandFloor,C1589&lt;=in_BandCeiling,OR(in_Geography="National",COUNTIFS(lst_GeoPreset,in_Geography,lst_GeoState,B1589)&gt;0,AND(in_Geography="Custom",ISNUMBER(SEARCH(B1589,SUBSTITUTE(in_CustomStates," ",""))))),OR(AND(D1589="Endowment",Inputs!$B$14="Y"),AND(D1589="Foundation",Inputs!$B$15="Y"),AND(D1589="Healthcare",Inputs!$B$16="Y"),AND(D1589="Pension",Inputs!$B$17="Y"),AND(D1589="OCIO",Inputs!$B$18="Y"),AND(D1589="Other",Inputs!$B$19="Y")))),A1589&lt;&gt;in_ClientOrg,NOT(AND(in_ExclHarvard="Y",ISNUMBER(SEARCH("Harvard",A1589))))),$AD1589="Y",K1589&lt;&gt;"",S1589&gt;0),"Y","")</f>
        <v/>
      </c>
      <c r="V1589" s="30" t="n">
        <v>0.1810433025052443</v>
      </c>
      <c r="W1589" t="inlineStr"/>
      <c r="X1589" s="28">
        <f>IF(L1589+M1589=0,"",L1589+M1589)</f>
        <v/>
      </c>
      <c r="Y1589" s="38">
        <f>IF(L1589=0,"",M1589/L1589)</f>
        <v/>
      </c>
      <c r="Z1589" t="inlineStr">
        <is>
          <t>Other investment staff</t>
        </is>
      </c>
      <c r="AA1589" t="inlineStr">
        <is>
          <t>Investments</t>
        </is>
      </c>
      <c r="AB1589" s="50" t="inlineStr"/>
      <c r="AC1589" s="43">
        <f>HYPERLINK("https://projects.propublica.org/nonprofits/organizations/411931343/202610899349300721/full","view filing")</f>
        <v/>
      </c>
      <c r="AD1589" s="50" t="inlineStr">
        <is>
          <t>Y</t>
        </is>
      </c>
    </row>
    <row r="1590">
      <c r="A1590" t="inlineStr">
        <is>
          <t>University Of Minnesota Foundation Investment Advisors</t>
        </is>
      </c>
      <c r="B1590" s="50" t="inlineStr">
        <is>
          <t>MN</t>
        </is>
      </c>
      <c r="C1590" s="52" t="n">
        <v>5.2</v>
      </c>
      <c r="D1590" t="inlineStr">
        <is>
          <t>Endowment</t>
        </is>
      </c>
      <c r="E1590" s="50" t="n">
        <v>2025</v>
      </c>
      <c r="F1590" s="50" t="inlineStr">
        <is>
          <t>2026-03-30</t>
        </is>
      </c>
      <c r="G1590" s="50" t="inlineStr">
        <is>
          <t>2025-06-30</t>
        </is>
      </c>
      <c r="H1590" t="inlineStr">
        <is>
          <t>Hollie Wilma</t>
        </is>
      </c>
      <c r="I1590" t="inlineStr">
        <is>
          <t>ASSOCIATE DIRECTOR OF OPERATIONS</t>
        </is>
      </c>
      <c r="J1590" t="inlineStr">
        <is>
          <t>Investment Operations (Inv Entity)</t>
        </is>
      </c>
      <c r="K1590" t="inlineStr">
        <is>
          <t>Other disclosed professionals</t>
        </is>
      </c>
      <c r="L1590" s="28" t="n">
        <v>0</v>
      </c>
      <c r="M1590" s="28" t="n">
        <v>0</v>
      </c>
      <c r="N1590" s="28" t="n">
        <v>0</v>
      </c>
      <c r="O1590" s="28" t="n">
        <v>0</v>
      </c>
      <c r="P1590" s="28" t="n">
        <v>0</v>
      </c>
      <c r="Q1590" s="28" t="n">
        <v>138360</v>
      </c>
      <c r="R1590" s="28" t="n">
        <v>0</v>
      </c>
      <c r="S1590" s="28">
        <f>Q1590-R1590</f>
        <v/>
      </c>
      <c r="T1590" s="28">
        <f>IF(S1590="","",S1590*(1+in_GrowthRate)^(YEARFRAC(DATE(2025,6,30),in_AgeToDate)*IF(in_AgeToDate&lt;DATE(2025,6,30),-1,1)+1))</f>
        <v/>
      </c>
      <c r="U1590" s="50">
        <f>IF(AND(AND(OR(in_Mode="All Funds",AND(C1590&gt;=in_BandFloor,C1590&lt;=in_BandCeiling,OR(in_Geography="National",COUNTIFS(lst_GeoPreset,in_Geography,lst_GeoState,B1590)&gt;0,AND(in_Geography="Custom",ISNUMBER(SEARCH(B1590,SUBSTITUTE(in_CustomStates," ",""))))),OR(AND(D1590="Endowment",Inputs!$B$14="Y"),AND(D1590="Foundation",Inputs!$B$15="Y"),AND(D1590="Healthcare",Inputs!$B$16="Y"),AND(D1590="Pension",Inputs!$B$17="Y"),AND(D1590="OCIO",Inputs!$B$18="Y"),AND(D1590="Other",Inputs!$B$19="Y")))),A1590&lt;&gt;in_ClientOrg,NOT(AND(in_ExclHarvard="Y",ISNUMBER(SEARCH("Harvard",A1590))))),$AD1590="Y",K1590&lt;&gt;"",S1590&gt;0),"Y","")</f>
        <v/>
      </c>
      <c r="V1590" s="30" t="n">
        <v>0.1080571118855013</v>
      </c>
      <c r="W1590" t="inlineStr">
        <is>
          <t>Other disclosed professionals</t>
        </is>
      </c>
      <c r="X1590" s="28">
        <f>IF(L1590+M1590=0,"",L1590+M1590)</f>
        <v/>
      </c>
      <c r="Y1590" s="38">
        <f>IF(L1590=0,"",M1590/L1590)</f>
        <v/>
      </c>
      <c r="Z1590" t="inlineStr">
        <is>
          <t>Other disclosed professionals</t>
        </is>
      </c>
      <c r="AA1590" t="inlineStr">
        <is>
          <t>Operations &amp; Control</t>
        </is>
      </c>
      <c r="AB1590" s="50" t="inlineStr"/>
      <c r="AC1590" s="43">
        <f>HYPERLINK("https://projects.propublica.org/nonprofits/organizations/411931343/202610899349300721/full","view filing")</f>
        <v/>
      </c>
      <c r="AD1590" s="50" t="inlineStr">
        <is>
          <t>Y</t>
        </is>
      </c>
    </row>
    <row r="1591">
      <c r="A1591" t="inlineStr">
        <is>
          <t>University Of Minnesota Foundation Investment Advisors</t>
        </is>
      </c>
      <c r="B1591" s="50" t="inlineStr">
        <is>
          <t>MN</t>
        </is>
      </c>
      <c r="C1591" s="52" t="n">
        <v>5.2</v>
      </c>
      <c r="D1591" t="inlineStr">
        <is>
          <t>Endowment</t>
        </is>
      </c>
      <c r="E1591" s="50" t="n">
        <v>2025</v>
      </c>
      <c r="F1591" s="50" t="inlineStr">
        <is>
          <t>2026-03-30</t>
        </is>
      </c>
      <c r="G1591" s="50" t="inlineStr">
        <is>
          <t>2025-06-30</t>
        </is>
      </c>
      <c r="H1591" t="inlineStr">
        <is>
          <t>Jeffrey M Rodgers</t>
        </is>
      </c>
      <c r="I1591" t="inlineStr">
        <is>
          <t>INVESTMENT DIRECTOR</t>
        </is>
      </c>
      <c r="J1591" t="inlineStr">
        <is>
          <t>Director of Investments</t>
        </is>
      </c>
      <c r="K1591" t="inlineStr">
        <is>
          <t>Sr Investment Professional</t>
        </is>
      </c>
      <c r="L1591" s="28" t="n">
        <v>393800</v>
      </c>
      <c r="M1591" s="28" t="n">
        <v>288022</v>
      </c>
      <c r="N1591" s="28" t="n">
        <v>80</v>
      </c>
      <c r="O1591" s="28" t="n">
        <v>41400</v>
      </c>
      <c r="P1591" s="28" t="n">
        <v>30054</v>
      </c>
      <c r="Q1591" s="28" t="n">
        <v>753356</v>
      </c>
      <c r="R1591" s="28" t="n">
        <v>0</v>
      </c>
      <c r="S1591" s="28">
        <f>Q1591-R1591</f>
        <v/>
      </c>
      <c r="T1591" s="28">
        <f>IF(S1591="","",S1591*(1+in_GrowthRate)^(YEARFRAC(DATE(2025,6,30),in_AgeToDate)*IF(in_AgeToDate&lt;DATE(2025,6,30),-1,1)+1))</f>
        <v/>
      </c>
      <c r="U1591" s="50">
        <f>IF(AND(AND(OR(in_Mode="All Funds",AND(C1591&gt;=in_BandFloor,C1591&lt;=in_BandCeiling,OR(in_Geography="National",COUNTIFS(lst_GeoPreset,in_Geography,lst_GeoState,B1591)&gt;0,AND(in_Geography="Custom",ISNUMBER(SEARCH(B1591,SUBSTITUTE(in_CustomStates," ",""))))),OR(AND(D1591="Endowment",Inputs!$B$14="Y"),AND(D1591="Foundation",Inputs!$B$15="Y"),AND(D1591="Healthcare",Inputs!$B$16="Y"),AND(D1591="Pension",Inputs!$B$17="Y"),AND(D1591="OCIO",Inputs!$B$18="Y"),AND(D1591="Other",Inputs!$B$19="Y")))),A1591&lt;&gt;in_ClientOrg,NOT(AND(in_ExclHarvard="Y",ISNUMBER(SEARCH("Harvard",A1591))))),$AD1591="Y",K1591&lt;&gt;"",S1591&gt;0),"Y","")</f>
        <v/>
      </c>
      <c r="V1591" s="30" t="n">
        <v>0.5883598842267543</v>
      </c>
      <c r="W1591" t="inlineStr"/>
      <c r="X1591" s="28">
        <f>IF(L1591+M1591=0,"",L1591+M1591)</f>
        <v/>
      </c>
      <c r="Y1591" s="38">
        <f>IF(L1591=0,"",M1591/L1591)</f>
        <v/>
      </c>
      <c r="Z1591" t="inlineStr">
        <is>
          <t>Director &amp; Investment Officer</t>
        </is>
      </c>
      <c r="AA1591" t="inlineStr">
        <is>
          <t>Investments</t>
        </is>
      </c>
      <c r="AB1591" s="50" t="inlineStr"/>
      <c r="AC1591" s="43">
        <f>HYPERLINK("https://projects.propublica.org/nonprofits/organizations/411931343/202610899349300721/full","view filing")</f>
        <v/>
      </c>
      <c r="AD1591" s="50" t="inlineStr">
        <is>
          <t>Y</t>
        </is>
      </c>
    </row>
    <row r="1592">
      <c r="A1592" t="inlineStr">
        <is>
          <t>University Of Minnesota Foundation Investment Advisors</t>
        </is>
      </c>
      <c r="B1592" s="50" t="inlineStr">
        <is>
          <t>MN</t>
        </is>
      </c>
      <c r="C1592" s="52" t="n">
        <v>5.2</v>
      </c>
      <c r="D1592" t="inlineStr">
        <is>
          <t>Endowment</t>
        </is>
      </c>
      <c r="E1592" s="50" t="n">
        <v>2024</v>
      </c>
      <c r="F1592" s="50" t="inlineStr">
        <is>
          <t>2025-03-28</t>
        </is>
      </c>
      <c r="G1592" s="50" t="inlineStr">
        <is>
          <t>2024-06-30</t>
        </is>
      </c>
      <c r="H1592" t="inlineStr">
        <is>
          <t>Amanda Escen</t>
        </is>
      </c>
      <c r="I1592" t="inlineStr">
        <is>
          <t>CHIEF OPERATING OFFICER</t>
        </is>
      </c>
      <c r="J1592" t="inlineStr">
        <is>
          <t>COO (Inv Entity)</t>
        </is>
      </c>
      <c r="K1592" t="inlineStr">
        <is>
          <t>COO (Investment Office)</t>
        </is>
      </c>
      <c r="L1592" s="28" t="n">
        <v>246766</v>
      </c>
      <c r="M1592" s="28" t="n">
        <v>41546</v>
      </c>
      <c r="N1592" s="28" t="n">
        <v>60</v>
      </c>
      <c r="O1592" s="28" t="n">
        <v>35466</v>
      </c>
      <c r="P1592" s="28" t="n">
        <v>7750</v>
      </c>
      <c r="Q1592" s="28" t="n">
        <v>331588</v>
      </c>
      <c r="R1592" s="28" t="n">
        <v>0</v>
      </c>
      <c r="S1592" s="28">
        <f>Q1592-R1592</f>
        <v/>
      </c>
      <c r="T1592" s="28">
        <f>IF(S1592="","",S1592*(1+in_GrowthRate)^(YEARFRAC(DATE(2024,6,30),in_AgeToDate)*IF(in_AgeToDate&lt;DATE(2024,6,30),-1,1)+1))</f>
        <v/>
      </c>
      <c r="U1592" s="50">
        <f>IF(AND(AND(OR(in_Mode="All Funds",AND(C1592&gt;=in_BandFloor,C1592&lt;=in_BandCeiling,OR(in_Geography="National",COUNTIFS(lst_GeoPreset,in_Geography,lst_GeoState,B1592)&gt;0,AND(in_Geography="Custom",ISNUMBER(SEARCH(B1592,SUBSTITUTE(in_CustomStates," ",""))))),OR(AND(D1592="Endowment",Inputs!$B$14="Y"),AND(D1592="Foundation",Inputs!$B$15="Y"),AND(D1592="Healthcare",Inputs!$B$16="Y"),AND(D1592="Pension",Inputs!$B$17="Y"),AND(D1592="OCIO",Inputs!$B$18="Y"),AND(D1592="Other",Inputs!$B$19="Y")))),A1592&lt;&gt;in_ClientOrg,NOT(AND(in_ExclHarvard="Y",ISNUMBER(SEARCH("Harvard",A1592))))),$AD1592="Y",K1592&lt;&gt;"",S1592&gt;0),"Y","")</f>
        <v/>
      </c>
      <c r="V1592" s="30" t="n">
        <v>0.3413372752558578</v>
      </c>
      <c r="W1592" t="inlineStr"/>
      <c r="X1592" s="28">
        <f>IF(L1592+M1592=0,"",L1592+M1592)</f>
        <v/>
      </c>
      <c r="Y1592" s="38">
        <f>IF(L1592=0,"",M1592/L1592)</f>
        <v/>
      </c>
      <c r="Z1592" t="inlineStr">
        <is>
          <t>COO (Investment Office)</t>
        </is>
      </c>
      <c r="AA1592" t="inlineStr">
        <is>
          <t>Operations &amp; Control</t>
        </is>
      </c>
      <c r="AB1592" s="50" t="inlineStr"/>
      <c r="AC1592" s="43">
        <f>HYPERLINK("https://projects.propublica.org/nonprofits/organizations/411931343/202500879349301200/full","view filing")</f>
        <v/>
      </c>
      <c r="AD1592" s="50" t="inlineStr"/>
    </row>
    <row r="1593">
      <c r="A1593" t="inlineStr">
        <is>
          <t>University Of Minnesota Foundation Investment Advisors</t>
        </is>
      </c>
      <c r="B1593" s="50" t="inlineStr">
        <is>
          <t>MN</t>
        </is>
      </c>
      <c r="C1593" s="52" t="n">
        <v>5.2</v>
      </c>
      <c r="D1593" t="inlineStr">
        <is>
          <t>Endowment</t>
        </is>
      </c>
      <c r="E1593" s="50" t="n">
        <v>2024</v>
      </c>
      <c r="F1593" s="50" t="inlineStr">
        <is>
          <t>2025-03-28</t>
        </is>
      </c>
      <c r="G1593" s="50" t="inlineStr">
        <is>
          <t>2024-06-30</t>
        </is>
      </c>
      <c r="H1593" t="inlineStr">
        <is>
          <t>Andrew J Behrens</t>
        </is>
      </c>
      <c r="I1593" t="inlineStr">
        <is>
          <t>CHIEF INVESTMENT OFFICER AND PRESIDENT</t>
        </is>
      </c>
      <c r="J1593" t="inlineStr">
        <is>
          <t>CIO</t>
        </is>
      </c>
      <c r="K1593" t="inlineStr">
        <is>
          <t>CIO - Top Investment Executive</t>
        </is>
      </c>
      <c r="L1593" s="28" t="n">
        <v>500000</v>
      </c>
      <c r="M1593" s="28" t="n">
        <v>431778</v>
      </c>
      <c r="N1593" s="28" t="n">
        <v>60</v>
      </c>
      <c r="O1593" s="28" t="n">
        <v>39600</v>
      </c>
      <c r="P1593" s="28" t="n">
        <v>0</v>
      </c>
      <c r="Q1593" s="28" t="n">
        <v>971438</v>
      </c>
      <c r="R1593" s="28" t="n">
        <v>0</v>
      </c>
      <c r="S1593" s="28">
        <f>Q1593-R1593</f>
        <v/>
      </c>
      <c r="T1593" s="28">
        <f>IF(S1593="","",S1593*(1+in_GrowthRate)^(YEARFRAC(DATE(2024,6,30),in_AgeToDate)*IF(in_AgeToDate&lt;DATE(2024,6,30),-1,1)+1))</f>
        <v/>
      </c>
      <c r="U1593" s="50">
        <f>IF(AND(AND(OR(in_Mode="All Funds",AND(C1593&gt;=in_BandFloor,C1593&lt;=in_BandCeiling,OR(in_Geography="National",COUNTIFS(lst_GeoPreset,in_Geography,lst_GeoState,B1593)&gt;0,AND(in_Geography="Custom",ISNUMBER(SEARCH(B1593,SUBSTITUTE(in_CustomStates," ",""))))),OR(AND(D1593="Endowment",Inputs!$B$14="Y"),AND(D1593="Foundation",Inputs!$B$15="Y"),AND(D1593="Healthcare",Inputs!$B$16="Y"),AND(D1593="Pension",Inputs!$B$17="Y"),AND(D1593="OCIO",Inputs!$B$18="Y"),AND(D1593="Other",Inputs!$B$19="Y")))),A1593&lt;&gt;in_ClientOrg,NOT(AND(in_ExclHarvard="Y",ISNUMBER(SEARCH("Harvard",A1593))))),$AD1593="Y",K1593&lt;&gt;"",S1593&gt;0),"Y","")</f>
        <v/>
      </c>
      <c r="V1593" s="30" t="n">
        <v>1</v>
      </c>
      <c r="W1593" t="inlineStr"/>
      <c r="X1593" s="28">
        <f>IF(L1593+M1593=0,"",L1593+M1593)</f>
        <v/>
      </c>
      <c r="Y1593" s="38">
        <f>IF(L1593=0,"",M1593/L1593)</f>
        <v/>
      </c>
      <c r="Z1593" t="inlineStr">
        <is>
          <t>CIO - Top Investment Executive</t>
        </is>
      </c>
      <c r="AA1593" t="inlineStr">
        <is>
          <t>Leadership</t>
        </is>
      </c>
      <c r="AB1593" s="50" t="inlineStr">
        <is>
          <t>Y</t>
        </is>
      </c>
      <c r="AC1593" s="43">
        <f>HYPERLINK("https://projects.propublica.org/nonprofits/organizations/411931343/202500879349301200/full","view filing")</f>
        <v/>
      </c>
      <c r="AD1593" s="50" t="inlineStr"/>
    </row>
    <row r="1594">
      <c r="A1594" t="inlineStr">
        <is>
          <t>University Of Minnesota Foundation Investment Advisors</t>
        </is>
      </c>
      <c r="B1594" s="50" t="inlineStr">
        <is>
          <t>MN</t>
        </is>
      </c>
      <c r="C1594" s="52" t="n">
        <v>5.2</v>
      </c>
      <c r="D1594" t="inlineStr">
        <is>
          <t>Endowment</t>
        </is>
      </c>
      <c r="E1594" s="50" t="n">
        <v>2024</v>
      </c>
      <c r="F1594" s="50" t="inlineStr">
        <is>
          <t>2025-03-28</t>
        </is>
      </c>
      <c r="G1594" s="50" t="inlineStr">
        <is>
          <t>2024-06-30</t>
        </is>
      </c>
      <c r="H1594" t="inlineStr">
        <is>
          <t>Daniel J Arlandson</t>
        </is>
      </c>
      <c r="I1594" t="inlineStr">
        <is>
          <t>INVESTMENT DIRECTOR</t>
        </is>
      </c>
      <c r="J1594" t="inlineStr">
        <is>
          <t>Director of Investments</t>
        </is>
      </c>
      <c r="K1594" t="inlineStr">
        <is>
          <t>Sr Investment Professional</t>
        </is>
      </c>
      <c r="L1594" s="28" t="n">
        <v>351109</v>
      </c>
      <c r="M1594" s="28" t="n">
        <v>248836</v>
      </c>
      <c r="N1594" s="28" t="n">
        <v>90</v>
      </c>
      <c r="O1594" s="28" t="n">
        <v>39600</v>
      </c>
      <c r="P1594" s="28" t="n">
        <v>3850</v>
      </c>
      <c r="Q1594" s="28" t="n">
        <v>643485</v>
      </c>
      <c r="R1594" s="28" t="n">
        <v>0</v>
      </c>
      <c r="S1594" s="28">
        <f>Q1594-R1594</f>
        <v/>
      </c>
      <c r="T1594" s="28">
        <f>IF(S1594="","",S1594*(1+in_GrowthRate)^(YEARFRAC(DATE(2024,6,30),in_AgeToDate)*IF(in_AgeToDate&lt;DATE(2024,6,30),-1,1)+1))</f>
        <v/>
      </c>
      <c r="U1594" s="50">
        <f>IF(AND(AND(OR(in_Mode="All Funds",AND(C1594&gt;=in_BandFloor,C1594&lt;=in_BandCeiling,OR(in_Geography="National",COUNTIFS(lst_GeoPreset,in_Geography,lst_GeoState,B1594)&gt;0,AND(in_Geography="Custom",ISNUMBER(SEARCH(B1594,SUBSTITUTE(in_CustomStates," ",""))))),OR(AND(D1594="Endowment",Inputs!$B$14="Y"),AND(D1594="Foundation",Inputs!$B$15="Y"),AND(D1594="Healthcare",Inputs!$B$16="Y"),AND(D1594="Pension",Inputs!$B$17="Y"),AND(D1594="OCIO",Inputs!$B$18="Y"),AND(D1594="Other",Inputs!$B$19="Y")))),A1594&lt;&gt;in_ClientOrg,NOT(AND(in_ExclHarvard="Y",ISNUMBER(SEARCH("Harvard",A1594))))),$AD1594="Y",K1594&lt;&gt;"",S1594&gt;0),"Y","")</f>
        <v/>
      </c>
      <c r="V1594" s="30" t="n">
        <v>0.6624046001906452</v>
      </c>
      <c r="W1594" t="inlineStr"/>
      <c r="X1594" s="28">
        <f>IF(L1594+M1594=0,"",L1594+M1594)</f>
        <v/>
      </c>
      <c r="Y1594" s="38">
        <f>IF(L1594=0,"",M1594/L1594)</f>
        <v/>
      </c>
      <c r="Z1594" t="inlineStr">
        <is>
          <t>Director &amp; Investment Officer</t>
        </is>
      </c>
      <c r="AA1594" t="inlineStr">
        <is>
          <t>Investments</t>
        </is>
      </c>
      <c r="AB1594" s="50" t="inlineStr"/>
      <c r="AC1594" s="43">
        <f>HYPERLINK("https://projects.propublica.org/nonprofits/organizations/411931343/202500879349301200/full","view filing")</f>
        <v/>
      </c>
      <c r="AD1594" s="50" t="inlineStr"/>
    </row>
    <row r="1595">
      <c r="A1595" t="inlineStr">
        <is>
          <t>University Of Minnesota Foundation Investment Advisors</t>
        </is>
      </c>
      <c r="B1595" s="50" t="inlineStr">
        <is>
          <t>MN</t>
        </is>
      </c>
      <c r="C1595" s="52" t="n">
        <v>5.2</v>
      </c>
      <c r="D1595" t="inlineStr">
        <is>
          <t>Endowment</t>
        </is>
      </c>
      <c r="E1595" s="50" t="n">
        <v>2024</v>
      </c>
      <c r="F1595" s="50" t="inlineStr">
        <is>
          <t>2025-03-28</t>
        </is>
      </c>
      <c r="G1595" s="50" t="inlineStr">
        <is>
          <t>2024-06-30</t>
        </is>
      </c>
      <c r="H1595" t="inlineStr">
        <is>
          <t>David T Walkosz</t>
        </is>
      </c>
      <c r="I1595" t="inlineStr">
        <is>
          <t>CONTROLLER</t>
        </is>
      </c>
      <c r="J1595" t="inlineStr">
        <is>
          <t>Controller (Inv Entity)</t>
        </is>
      </c>
      <c r="K1595" t="inlineStr">
        <is>
          <t>Other disclosed professionals</t>
        </is>
      </c>
      <c r="L1595" s="28" t="n">
        <v>180639</v>
      </c>
      <c r="M1595" s="28" t="n">
        <v>64904</v>
      </c>
      <c r="N1595" s="28" t="n">
        <v>258</v>
      </c>
      <c r="O1595" s="28" t="n">
        <v>30114</v>
      </c>
      <c r="P1595" s="28" t="n">
        <v>7750</v>
      </c>
      <c r="Q1595" s="28" t="n">
        <v>283665</v>
      </c>
      <c r="R1595" s="28" t="n">
        <v>0</v>
      </c>
      <c r="S1595" s="28">
        <f>Q1595-R1595</f>
        <v/>
      </c>
      <c r="T1595" s="28">
        <f>IF(S1595="","",S1595*(1+in_GrowthRate)^(YEARFRAC(DATE(2024,6,30),in_AgeToDate)*IF(in_AgeToDate&lt;DATE(2024,6,30),-1,1)+1))</f>
        <v/>
      </c>
      <c r="U1595" s="50">
        <f>IF(AND(AND(OR(in_Mode="All Funds",AND(C1595&gt;=in_BandFloor,C1595&lt;=in_BandCeiling,OR(in_Geography="National",COUNTIFS(lst_GeoPreset,in_Geography,lst_GeoState,B1595)&gt;0,AND(in_Geography="Custom",ISNUMBER(SEARCH(B1595,SUBSTITUTE(in_CustomStates," ",""))))),OR(AND(D1595="Endowment",Inputs!$B$14="Y"),AND(D1595="Foundation",Inputs!$B$15="Y"),AND(D1595="Healthcare",Inputs!$B$16="Y"),AND(D1595="Pension",Inputs!$B$17="Y"),AND(D1595="OCIO",Inputs!$B$18="Y"),AND(D1595="Other",Inputs!$B$19="Y")))),A1595&lt;&gt;in_ClientOrg,NOT(AND(in_ExclHarvard="Y",ISNUMBER(SEARCH("Harvard",A1595))))),$AD1595="Y",K1595&lt;&gt;"",S1595&gt;0),"Y","")</f>
        <v/>
      </c>
      <c r="V1595" s="30" t="n">
        <v>0.2920052540666517</v>
      </c>
      <c r="W1595" t="inlineStr">
        <is>
          <t>Other disclosed professionals</t>
        </is>
      </c>
      <c r="X1595" s="28">
        <f>IF(L1595+M1595=0,"",L1595+M1595)</f>
        <v/>
      </c>
      <c r="Y1595" s="38">
        <f>IF(L1595=0,"",M1595/L1595)</f>
        <v/>
      </c>
      <c r="Z1595" t="inlineStr">
        <is>
          <t>Other disclosed professionals</t>
        </is>
      </c>
      <c r="AA1595" t="inlineStr">
        <is>
          <t>Operations &amp; Control</t>
        </is>
      </c>
      <c r="AB1595" s="50" t="inlineStr"/>
      <c r="AC1595" s="43">
        <f>HYPERLINK("https://projects.propublica.org/nonprofits/organizations/411931343/202500879349301200/full","view filing")</f>
        <v/>
      </c>
      <c r="AD1595" s="50" t="inlineStr"/>
    </row>
    <row r="1596">
      <c r="A1596" t="inlineStr">
        <is>
          <t>University Of Minnesota Foundation Investment Advisors</t>
        </is>
      </c>
      <c r="B1596" s="50" t="inlineStr">
        <is>
          <t>MN</t>
        </is>
      </c>
      <c r="C1596" s="52" t="n">
        <v>5.2</v>
      </c>
      <c r="D1596" t="inlineStr">
        <is>
          <t>Endowment</t>
        </is>
      </c>
      <c r="E1596" s="50" t="n">
        <v>2024</v>
      </c>
      <c r="F1596" s="50" t="inlineStr">
        <is>
          <t>2025-03-28</t>
        </is>
      </c>
      <c r="G1596" s="50" t="inlineStr">
        <is>
          <t>2024-06-30</t>
        </is>
      </c>
      <c r="H1596" t="inlineStr">
        <is>
          <t>Douglas J Gorence</t>
        </is>
      </c>
      <c r="I1596" t="inlineStr">
        <is>
          <t>CHIEF INVESTMENT OFFICER EMERITUS</t>
        </is>
      </c>
      <c r="J1596" t="inlineStr">
        <is>
          <t>CIO</t>
        </is>
      </c>
      <c r="K1596" t="inlineStr">
        <is>
          <t>Sr Investment Professional</t>
        </is>
      </c>
      <c r="L1596" s="28" t="n">
        <v>374120</v>
      </c>
      <c r="M1596" s="28" t="n">
        <v>291450</v>
      </c>
      <c r="N1596" s="28" t="n">
        <v>489687</v>
      </c>
      <c r="O1596" s="28" t="n">
        <v>39600</v>
      </c>
      <c r="P1596" s="28" t="n">
        <v>1925</v>
      </c>
      <c r="Q1596" s="28" t="n">
        <v>1196782</v>
      </c>
      <c r="R1596" s="28" t="n">
        <v>488925</v>
      </c>
      <c r="S1596" s="28">
        <f>Q1596-R1596</f>
        <v/>
      </c>
      <c r="T1596" s="28">
        <f>IF(S1596="","",S1596*(1+in_GrowthRate)^(YEARFRAC(DATE(2024,6,30),in_AgeToDate)*IF(in_AgeToDate&lt;DATE(2024,6,30),-1,1)+1))</f>
        <v/>
      </c>
      <c r="U1596" s="50">
        <f>IF(AND(AND(OR(in_Mode="All Funds",AND(C1596&gt;=in_BandFloor,C1596&lt;=in_BandCeiling,OR(in_Geography="National",COUNTIFS(lst_GeoPreset,in_Geography,lst_GeoState,B1596)&gt;0,AND(in_Geography="Custom",ISNUMBER(SEARCH(B1596,SUBSTITUTE(in_CustomStates," ",""))))),OR(AND(D1596="Endowment",Inputs!$B$14="Y"),AND(D1596="Foundation",Inputs!$B$15="Y"),AND(D1596="Healthcare",Inputs!$B$16="Y"),AND(D1596="Pension",Inputs!$B$17="Y"),AND(D1596="OCIO",Inputs!$B$18="Y"),AND(D1596="Other",Inputs!$B$19="Y")))),A1596&lt;&gt;in_ClientOrg,NOT(AND(in_ExclHarvard="Y",ISNUMBER(SEARCH("Harvard",A1596))))),$AD1596="Y",K1596&lt;&gt;"",S1596&gt;0),"Y","")</f>
        <v/>
      </c>
      <c r="V1596" s="30" t="n">
        <v>0.7286692511513859</v>
      </c>
      <c r="W1596" t="inlineStr"/>
      <c r="X1596" s="28">
        <f>IF(L1596+M1596=0,"",L1596+M1596)</f>
        <v/>
      </c>
      <c r="Y1596" s="38">
        <f>IF(L1596=0,"",M1596/L1596)</f>
        <v/>
      </c>
      <c r="Z1596" t="inlineStr">
        <is>
          <t>Deputy CIO</t>
        </is>
      </c>
      <c r="AA1596" t="inlineStr">
        <is>
          <t>Leadership</t>
        </is>
      </c>
      <c r="AB1596" s="50" t="inlineStr"/>
      <c r="AC1596" s="43">
        <f>HYPERLINK("https://projects.propublica.org/nonprofits/organizations/411931343/202500879349301200/full","view filing")</f>
        <v/>
      </c>
      <c r="AD1596" s="50" t="inlineStr"/>
    </row>
    <row r="1597">
      <c r="A1597" t="inlineStr">
        <is>
          <t>University Of Minnesota Foundation Investment Advisors</t>
        </is>
      </c>
      <c r="B1597" s="50" t="inlineStr">
        <is>
          <t>MN</t>
        </is>
      </c>
      <c r="C1597" s="52" t="n">
        <v>5.2</v>
      </c>
      <c r="D1597" t="inlineStr">
        <is>
          <t>Endowment</t>
        </is>
      </c>
      <c r="E1597" s="50" t="n">
        <v>2024</v>
      </c>
      <c r="F1597" s="50" t="inlineStr">
        <is>
          <t>2025-03-28</t>
        </is>
      </c>
      <c r="G1597" s="50" t="inlineStr">
        <is>
          <t>2024-06-30</t>
        </is>
      </c>
      <c r="H1597" t="inlineStr">
        <is>
          <t>Grant Larson</t>
        </is>
      </c>
      <c r="I1597" t="inlineStr">
        <is>
          <t>INVESTMENT ANALYST</t>
        </is>
      </c>
      <c r="J1597" t="inlineStr">
        <is>
          <t>Analyst</t>
        </is>
      </c>
      <c r="K1597" t="inlineStr">
        <is>
          <t>Sr Investment Professional</t>
        </is>
      </c>
      <c r="L1597" s="28" t="n">
        <v>116423</v>
      </c>
      <c r="M1597" s="28" t="n">
        <v>39595</v>
      </c>
      <c r="N1597" s="28" t="n">
        <v>48</v>
      </c>
      <c r="O1597" s="28" t="n">
        <v>19481</v>
      </c>
      <c r="P1597" s="28" t="n">
        <v>7750</v>
      </c>
      <c r="Q1597" s="28" t="n">
        <v>183297</v>
      </c>
      <c r="R1597" s="28" t="n">
        <v>0</v>
      </c>
      <c r="S1597" s="28">
        <f>Q1597-R1597</f>
        <v/>
      </c>
      <c r="T1597" s="28">
        <f>IF(S1597="","",S1597*(1+in_GrowthRate)^(YEARFRAC(DATE(2024,6,30),in_AgeToDate)*IF(in_AgeToDate&lt;DATE(2024,6,30),-1,1)+1))</f>
        <v/>
      </c>
      <c r="U1597" s="50">
        <f>IF(AND(AND(OR(in_Mode="All Funds",AND(C1597&gt;=in_BandFloor,C1597&lt;=in_BandCeiling,OR(in_Geography="National",COUNTIFS(lst_GeoPreset,in_Geography,lst_GeoState,B1597)&gt;0,AND(in_Geography="Custom",ISNUMBER(SEARCH(B1597,SUBSTITUTE(in_CustomStates," ",""))))),OR(AND(D1597="Endowment",Inputs!$B$14="Y"),AND(D1597="Foundation",Inputs!$B$15="Y"),AND(D1597="Healthcare",Inputs!$B$16="Y"),AND(D1597="Pension",Inputs!$B$17="Y"),AND(D1597="OCIO",Inputs!$B$18="Y"),AND(D1597="Other",Inputs!$B$19="Y")))),A1597&lt;&gt;in_ClientOrg,NOT(AND(in_ExclHarvard="Y",ISNUMBER(SEARCH("Harvard",A1597))))),$AD1597="Y",K1597&lt;&gt;"",S1597&gt;0),"Y","")</f>
        <v/>
      </c>
      <c r="V1597" s="30" t="n">
        <v>0.1886862568686833</v>
      </c>
      <c r="W1597" t="inlineStr"/>
      <c r="X1597" s="28">
        <f>IF(L1597+M1597=0,"",L1597+M1597)</f>
        <v/>
      </c>
      <c r="Y1597" s="38">
        <f>IF(L1597=0,"",M1597/L1597)</f>
        <v/>
      </c>
      <c r="Z1597" t="inlineStr">
        <is>
          <t>Other investment staff</t>
        </is>
      </c>
      <c r="AA1597" t="inlineStr">
        <is>
          <t>Investments</t>
        </is>
      </c>
      <c r="AB1597" s="50" t="inlineStr"/>
      <c r="AC1597" s="43">
        <f>HYPERLINK("https://projects.propublica.org/nonprofits/organizations/411931343/202500879349301200/full","view filing")</f>
        <v/>
      </c>
      <c r="AD1597" s="50" t="inlineStr"/>
    </row>
    <row r="1598">
      <c r="A1598" t="inlineStr">
        <is>
          <t>University Of Minnesota Foundation Investment Advisors</t>
        </is>
      </c>
      <c r="B1598" s="50" t="inlineStr">
        <is>
          <t>MN</t>
        </is>
      </c>
      <c r="C1598" s="52" t="n">
        <v>5.2</v>
      </c>
      <c r="D1598" t="inlineStr">
        <is>
          <t>Endowment</t>
        </is>
      </c>
      <c r="E1598" s="50" t="n">
        <v>2024</v>
      </c>
      <c r="F1598" s="50" t="inlineStr">
        <is>
          <t>2025-03-28</t>
        </is>
      </c>
      <c r="G1598" s="50" t="inlineStr">
        <is>
          <t>2024-06-30</t>
        </is>
      </c>
      <c r="H1598" t="inlineStr">
        <is>
          <t>Jeffrey M Rodgers</t>
        </is>
      </c>
      <c r="I1598" t="inlineStr">
        <is>
          <t>INVESTMENT DIRECTOR</t>
        </is>
      </c>
      <c r="J1598" t="inlineStr">
        <is>
          <t>Director of Investments</t>
        </is>
      </c>
      <c r="K1598" t="inlineStr">
        <is>
          <t>Sr Investment Professional</t>
        </is>
      </c>
      <c r="L1598" s="28" t="n">
        <v>351967</v>
      </c>
      <c r="M1598" s="28" t="n">
        <v>248836</v>
      </c>
      <c r="N1598" s="28" t="n">
        <v>60</v>
      </c>
      <c r="O1598" s="28" t="n">
        <v>39600</v>
      </c>
      <c r="P1598" s="28" t="n">
        <v>7750</v>
      </c>
      <c r="Q1598" s="28" t="n">
        <v>648213</v>
      </c>
      <c r="R1598" s="28" t="n">
        <v>0</v>
      </c>
      <c r="S1598" s="28">
        <f>Q1598-R1598</f>
        <v/>
      </c>
      <c r="T1598" s="28">
        <f>IF(S1598="","",S1598*(1+in_GrowthRate)^(YEARFRAC(DATE(2024,6,30),in_AgeToDate)*IF(in_AgeToDate&lt;DATE(2024,6,30),-1,1)+1))</f>
        <v/>
      </c>
      <c r="U1598" s="50">
        <f>IF(AND(AND(OR(in_Mode="All Funds",AND(C1598&gt;=in_BandFloor,C1598&lt;=in_BandCeiling,OR(in_Geography="National",COUNTIFS(lst_GeoPreset,in_Geography,lst_GeoState,B1598)&gt;0,AND(in_Geography="Custom",ISNUMBER(SEARCH(B1598,SUBSTITUTE(in_CustomStates," ",""))))),OR(AND(D1598="Endowment",Inputs!$B$14="Y"),AND(D1598="Foundation",Inputs!$B$15="Y"),AND(D1598="Healthcare",Inputs!$B$16="Y"),AND(D1598="Pension",Inputs!$B$17="Y"),AND(D1598="OCIO",Inputs!$B$18="Y"),AND(D1598="Other",Inputs!$B$19="Y")))),A1598&lt;&gt;in_ClientOrg,NOT(AND(in_ExclHarvard="Y",ISNUMBER(SEARCH("Harvard",A1598))))),$AD1598="Y",K1598&lt;&gt;"",S1598&gt;0),"Y","")</f>
        <v/>
      </c>
      <c r="V1598" s="30" t="n">
        <v>0.6672716117755327</v>
      </c>
      <c r="W1598" t="inlineStr"/>
      <c r="X1598" s="28">
        <f>IF(L1598+M1598=0,"",L1598+M1598)</f>
        <v/>
      </c>
      <c r="Y1598" s="38">
        <f>IF(L1598=0,"",M1598/L1598)</f>
        <v/>
      </c>
      <c r="Z1598" t="inlineStr">
        <is>
          <t>Director &amp; Investment Officer</t>
        </is>
      </c>
      <c r="AA1598" t="inlineStr">
        <is>
          <t>Investments</t>
        </is>
      </c>
      <c r="AB1598" s="50" t="inlineStr"/>
      <c r="AC1598" s="43">
        <f>HYPERLINK("https://projects.propublica.org/nonprofits/organizations/411931343/202500879349301200/full","view filing")</f>
        <v/>
      </c>
      <c r="AD1598" s="50" t="inlineStr"/>
    </row>
    <row r="1599">
      <c r="A1599" t="inlineStr">
        <is>
          <t>University Of Minnesota Foundation Investment Advisors</t>
        </is>
      </c>
      <c r="B1599" s="50" t="inlineStr">
        <is>
          <t>MN</t>
        </is>
      </c>
      <c r="C1599" s="52" t="n">
        <v>5.2</v>
      </c>
      <c r="D1599" t="inlineStr">
        <is>
          <t>Endowment</t>
        </is>
      </c>
      <c r="E1599" s="50" t="n">
        <v>2023</v>
      </c>
      <c r="F1599" s="50" t="inlineStr">
        <is>
          <t>2024-03-20</t>
        </is>
      </c>
      <c r="G1599" s="50" t="inlineStr">
        <is>
          <t>2023-06-30</t>
        </is>
      </c>
      <c r="H1599" t="inlineStr">
        <is>
          <t>Andrew J Behrens</t>
        </is>
      </c>
      <c r="I1599" t="inlineStr">
        <is>
          <t>PRESIDENT</t>
        </is>
      </c>
      <c r="J1599" t="inlineStr">
        <is>
          <t>CEO (Inv Entity)</t>
        </is>
      </c>
      <c r="K1599" t="inlineStr">
        <is>
          <t>CIO - Top Investment Executive</t>
        </is>
      </c>
      <c r="L1599" s="28" t="n">
        <v>425000</v>
      </c>
      <c r="M1599" s="28" t="n">
        <v>327057</v>
      </c>
      <c r="N1599" s="28" t="n">
        <v>59</v>
      </c>
      <c r="O1599" s="28" t="n">
        <v>36600</v>
      </c>
      <c r="P1599" s="28" t="n">
        <v>0</v>
      </c>
      <c r="Q1599" s="28" t="n">
        <v>788716</v>
      </c>
      <c r="R1599" s="28" t="n">
        <v>0</v>
      </c>
      <c r="S1599" s="28">
        <f>Q1599-R1599</f>
        <v/>
      </c>
      <c r="T1599" s="28">
        <f>IF(S1599="","",S1599*(1+in_GrowthRate)^(YEARFRAC(DATE(2023,6,30),in_AgeToDate)*IF(in_AgeToDate&lt;DATE(2023,6,30),-1,1)+1))</f>
        <v/>
      </c>
      <c r="U1599" s="50">
        <f>IF(AND(AND(OR(in_Mode="All Funds",AND(C1599&gt;=in_BandFloor,C1599&lt;=in_BandCeiling,OR(in_Geography="National",COUNTIFS(lst_GeoPreset,in_Geography,lst_GeoState,B1599)&gt;0,AND(in_Geography="Custom",ISNUMBER(SEARCH(B1599,SUBSTITUTE(in_CustomStates," ",""))))),OR(AND(D1599="Endowment",Inputs!$B$14="Y"),AND(D1599="Foundation",Inputs!$B$15="Y"),AND(D1599="Healthcare",Inputs!$B$16="Y"),AND(D1599="Pension",Inputs!$B$17="Y"),AND(D1599="OCIO",Inputs!$B$18="Y"),AND(D1599="Other",Inputs!$B$19="Y")))),A1599&lt;&gt;in_ClientOrg,NOT(AND(in_ExclHarvard="Y",ISNUMBER(SEARCH("Harvard",A1599))))),$AD1599="Y",K1599&lt;&gt;"",S1599&gt;0),"Y","")</f>
        <v/>
      </c>
      <c r="V1599" s="30" t="n">
        <v>1</v>
      </c>
      <c r="W1599" t="inlineStr"/>
      <c r="X1599" s="28">
        <f>IF(L1599+M1599=0,"",L1599+M1599)</f>
        <v/>
      </c>
      <c r="Y1599" s="38">
        <f>IF(L1599=0,"",M1599/L1599)</f>
        <v/>
      </c>
      <c r="Z1599" t="inlineStr">
        <is>
          <t>CIO - Top Investment Executive</t>
        </is>
      </c>
      <c r="AA1599" t="inlineStr">
        <is>
          <t>Leadership</t>
        </is>
      </c>
      <c r="AB1599" s="50" t="inlineStr">
        <is>
          <t>Y</t>
        </is>
      </c>
      <c r="AC1599" s="43">
        <f>HYPERLINK("https://projects.propublica.org/nonprofits/organizations/411931343/202400809349301005/full","view filing")</f>
        <v/>
      </c>
      <c r="AD1599" s="50" t="inlineStr"/>
    </row>
    <row r="1600">
      <c r="A1600" t="inlineStr">
        <is>
          <t>University Of Minnesota Foundation Investment Advisors</t>
        </is>
      </c>
      <c r="B1600" s="50" t="inlineStr">
        <is>
          <t>MN</t>
        </is>
      </c>
      <c r="C1600" s="52" t="n">
        <v>5.2</v>
      </c>
      <c r="D1600" t="inlineStr">
        <is>
          <t>Endowment</t>
        </is>
      </c>
      <c r="E1600" s="50" t="n">
        <v>2023</v>
      </c>
      <c r="F1600" s="50" t="inlineStr">
        <is>
          <t>2024-03-20</t>
        </is>
      </c>
      <c r="G1600" s="50" t="inlineStr">
        <is>
          <t>2023-06-30</t>
        </is>
      </c>
      <c r="H1600" t="inlineStr">
        <is>
          <t>Daniel J Arlandson</t>
        </is>
      </c>
      <c r="I1600" t="inlineStr">
        <is>
          <t>INVESTMENT DIRECTOR</t>
        </is>
      </c>
      <c r="J1600" t="inlineStr">
        <is>
          <t>Director of Investments</t>
        </is>
      </c>
      <c r="K1600" t="inlineStr">
        <is>
          <t>Sr Investment Professional</t>
        </is>
      </c>
      <c r="L1600" s="28" t="n">
        <v>311937</v>
      </c>
      <c r="M1600" s="28" t="n">
        <v>207571</v>
      </c>
      <c r="N1600" s="28" t="n">
        <v>90</v>
      </c>
      <c r="O1600" s="28" t="n">
        <v>36600</v>
      </c>
      <c r="P1600" s="28" t="n">
        <v>2738</v>
      </c>
      <c r="Q1600" s="28" t="n">
        <v>558936</v>
      </c>
      <c r="R1600" s="28" t="n">
        <v>0</v>
      </c>
      <c r="S1600" s="28">
        <f>Q1600-R1600</f>
        <v/>
      </c>
      <c r="T1600" s="28">
        <f>IF(S1600="","",S1600*(1+in_GrowthRate)^(YEARFRAC(DATE(2023,6,30),in_AgeToDate)*IF(in_AgeToDate&lt;DATE(2023,6,30),-1,1)+1))</f>
        <v/>
      </c>
      <c r="U1600" s="50">
        <f>IF(AND(AND(OR(in_Mode="All Funds",AND(C1600&gt;=in_BandFloor,C1600&lt;=in_BandCeiling,OR(in_Geography="National",COUNTIFS(lst_GeoPreset,in_Geography,lst_GeoState,B1600)&gt;0,AND(in_Geography="Custom",ISNUMBER(SEARCH(B1600,SUBSTITUTE(in_CustomStates," ",""))))),OR(AND(D1600="Endowment",Inputs!$B$14="Y"),AND(D1600="Foundation",Inputs!$B$15="Y"),AND(D1600="Healthcare",Inputs!$B$16="Y"),AND(D1600="Pension",Inputs!$B$17="Y"),AND(D1600="OCIO",Inputs!$B$18="Y"),AND(D1600="Other",Inputs!$B$19="Y")))),A1600&lt;&gt;in_ClientOrg,NOT(AND(in_ExclHarvard="Y",ISNUMBER(SEARCH("Harvard",A1600))))),$AD1600="Y",K1600&lt;&gt;"",S1600&gt;0),"Y","")</f>
        <v/>
      </c>
      <c r="V1600" s="30" t="n">
        <v>0.7086657301233904</v>
      </c>
      <c r="W1600" t="inlineStr"/>
      <c r="X1600" s="28">
        <f>IF(L1600+M1600=0,"",L1600+M1600)</f>
        <v/>
      </c>
      <c r="Y1600" s="38">
        <f>IF(L1600=0,"",M1600/L1600)</f>
        <v/>
      </c>
      <c r="Z1600" t="inlineStr">
        <is>
          <t>Director &amp; Investment Officer</t>
        </is>
      </c>
      <c r="AA1600" t="inlineStr">
        <is>
          <t>Investments</t>
        </is>
      </c>
      <c r="AB1600" s="50" t="inlineStr"/>
      <c r="AC1600" s="43">
        <f>HYPERLINK("https://projects.propublica.org/nonprofits/organizations/411931343/202400809349301005/full","view filing")</f>
        <v/>
      </c>
      <c r="AD1600" s="50" t="inlineStr"/>
    </row>
    <row r="1601">
      <c r="A1601" t="inlineStr">
        <is>
          <t>University Of Minnesota Foundation Investment Advisors</t>
        </is>
      </c>
      <c r="B1601" s="50" t="inlineStr">
        <is>
          <t>MN</t>
        </is>
      </c>
      <c r="C1601" s="52" t="n">
        <v>5.2</v>
      </c>
      <c r="D1601" t="inlineStr">
        <is>
          <t>Endowment</t>
        </is>
      </c>
      <c r="E1601" s="50" t="n">
        <v>2023</v>
      </c>
      <c r="F1601" s="50" t="inlineStr">
        <is>
          <t>2024-03-20</t>
        </is>
      </c>
      <c r="G1601" s="50" t="inlineStr">
        <is>
          <t>2023-06-30</t>
        </is>
      </c>
      <c r="H1601" t="inlineStr">
        <is>
          <t>David T Walkosz</t>
        </is>
      </c>
      <c r="I1601" t="inlineStr">
        <is>
          <t>CONTROLLER</t>
        </is>
      </c>
      <c r="J1601" t="inlineStr">
        <is>
          <t>Controller (Inv Entity)</t>
        </is>
      </c>
      <c r="K1601" t="inlineStr">
        <is>
          <t>Other disclosed professionals</t>
        </is>
      </c>
      <c r="L1601" s="28" t="n">
        <v>173373</v>
      </c>
      <c r="M1601" s="28" t="n">
        <v>61900</v>
      </c>
      <c r="N1601" s="28" t="n">
        <v>178</v>
      </c>
      <c r="O1601" s="28" t="n">
        <v>28783</v>
      </c>
      <c r="P1601" s="28" t="n">
        <v>5475</v>
      </c>
      <c r="Q1601" s="28" t="n">
        <v>269709</v>
      </c>
      <c r="R1601" s="28" t="n">
        <v>0</v>
      </c>
      <c r="S1601" s="28">
        <f>Q1601-R1601</f>
        <v/>
      </c>
      <c r="T1601" s="28">
        <f>IF(S1601="","",S1601*(1+in_GrowthRate)^(YEARFRAC(DATE(2023,6,30),in_AgeToDate)*IF(in_AgeToDate&lt;DATE(2023,6,30),-1,1)+1))</f>
        <v/>
      </c>
      <c r="U1601" s="50">
        <f>IF(AND(AND(OR(in_Mode="All Funds",AND(C1601&gt;=in_BandFloor,C1601&lt;=in_BandCeiling,OR(in_Geography="National",COUNTIFS(lst_GeoPreset,in_Geography,lst_GeoState,B1601)&gt;0,AND(in_Geography="Custom",ISNUMBER(SEARCH(B1601,SUBSTITUTE(in_CustomStates," ",""))))),OR(AND(D1601="Endowment",Inputs!$B$14="Y"),AND(D1601="Foundation",Inputs!$B$15="Y"),AND(D1601="Healthcare",Inputs!$B$16="Y"),AND(D1601="Pension",Inputs!$B$17="Y"),AND(D1601="OCIO",Inputs!$B$18="Y"),AND(D1601="Other",Inputs!$B$19="Y")))),A1601&lt;&gt;in_ClientOrg,NOT(AND(in_ExclHarvard="Y",ISNUMBER(SEARCH("Harvard",A1601))))),$AD1601="Y",K1601&lt;&gt;"",S1601&gt;0),"Y","")</f>
        <v/>
      </c>
      <c r="V1601" s="30" t="n">
        <v>0.3419595900171925</v>
      </c>
      <c r="W1601" t="inlineStr">
        <is>
          <t>Other disclosed professionals</t>
        </is>
      </c>
      <c r="X1601" s="28">
        <f>IF(L1601+M1601=0,"",L1601+M1601)</f>
        <v/>
      </c>
      <c r="Y1601" s="38">
        <f>IF(L1601=0,"",M1601/L1601)</f>
        <v/>
      </c>
      <c r="Z1601" t="inlineStr">
        <is>
          <t>Other disclosed professionals</t>
        </is>
      </c>
      <c r="AA1601" t="inlineStr">
        <is>
          <t>Operations &amp; Control</t>
        </is>
      </c>
      <c r="AB1601" s="50" t="inlineStr"/>
      <c r="AC1601" s="43">
        <f>HYPERLINK("https://projects.propublica.org/nonprofits/organizations/411931343/202400809349301005/full","view filing")</f>
        <v/>
      </c>
      <c r="AD1601" s="50" t="inlineStr"/>
    </row>
    <row r="1602">
      <c r="A1602" t="inlineStr">
        <is>
          <t>University Of Minnesota Foundation Investment Advisors</t>
        </is>
      </c>
      <c r="B1602" s="50" t="inlineStr">
        <is>
          <t>MN</t>
        </is>
      </c>
      <c r="C1602" s="52" t="n">
        <v>5.2</v>
      </c>
      <c r="D1602" t="inlineStr">
        <is>
          <t>Endowment</t>
        </is>
      </c>
      <c r="E1602" s="50" t="n">
        <v>2023</v>
      </c>
      <c r="F1602" s="50" t="inlineStr">
        <is>
          <t>2024-03-20</t>
        </is>
      </c>
      <c r="G1602" s="50" t="inlineStr">
        <is>
          <t>2023-06-30</t>
        </is>
      </c>
      <c r="H1602" t="inlineStr">
        <is>
          <t>Grant Larson</t>
        </is>
      </c>
      <c r="I1602" t="inlineStr">
        <is>
          <t>INVESTMENT ANALYST</t>
        </is>
      </c>
      <c r="J1602" t="inlineStr">
        <is>
          <t>Analyst</t>
        </is>
      </c>
      <c r="K1602" t="inlineStr">
        <is>
          <t>Sr Investment Professional</t>
        </is>
      </c>
      <c r="L1602" s="28" t="n">
        <v>0</v>
      </c>
      <c r="M1602" s="28" t="n">
        <v>0</v>
      </c>
      <c r="N1602" s="28" t="n">
        <v>0</v>
      </c>
      <c r="O1602" s="28" t="n">
        <v>0</v>
      </c>
      <c r="P1602" s="28" t="n">
        <v>0</v>
      </c>
      <c r="Q1602" s="28" t="n">
        <v>144801</v>
      </c>
      <c r="R1602" s="28" t="n">
        <v>0</v>
      </c>
      <c r="S1602" s="28">
        <f>Q1602-R1602</f>
        <v/>
      </c>
      <c r="T1602" s="28">
        <f>IF(S1602="","",S1602*(1+in_GrowthRate)^(YEARFRAC(DATE(2023,6,30),in_AgeToDate)*IF(in_AgeToDate&lt;DATE(2023,6,30),-1,1)+1))</f>
        <v/>
      </c>
      <c r="U1602" s="50">
        <f>IF(AND(AND(OR(in_Mode="All Funds",AND(C1602&gt;=in_BandFloor,C1602&lt;=in_BandCeiling,OR(in_Geography="National",COUNTIFS(lst_GeoPreset,in_Geography,lst_GeoState,B1602)&gt;0,AND(in_Geography="Custom",ISNUMBER(SEARCH(B1602,SUBSTITUTE(in_CustomStates," ",""))))),OR(AND(D1602="Endowment",Inputs!$B$14="Y"),AND(D1602="Foundation",Inputs!$B$15="Y"),AND(D1602="Healthcare",Inputs!$B$16="Y"),AND(D1602="Pension",Inputs!$B$17="Y"),AND(D1602="OCIO",Inputs!$B$18="Y"),AND(D1602="Other",Inputs!$B$19="Y")))),A1602&lt;&gt;in_ClientOrg,NOT(AND(in_ExclHarvard="Y",ISNUMBER(SEARCH("Harvard",A1602))))),$AD1602="Y",K1602&lt;&gt;"",S1602&gt;0),"Y","")</f>
        <v/>
      </c>
      <c r="V1602" s="30" t="n">
        <v>0.1835907982087342</v>
      </c>
      <c r="W1602" t="inlineStr"/>
      <c r="X1602" s="28">
        <f>IF(L1602+M1602=0,"",L1602+M1602)</f>
        <v/>
      </c>
      <c r="Y1602" s="38">
        <f>IF(L1602=0,"",M1602/L1602)</f>
        <v/>
      </c>
      <c r="Z1602" t="inlineStr">
        <is>
          <t>Other investment staff</t>
        </is>
      </c>
      <c r="AA1602" t="inlineStr">
        <is>
          <t>Investments</t>
        </is>
      </c>
      <c r="AB1602" s="50" t="inlineStr"/>
      <c r="AC1602" s="43">
        <f>HYPERLINK("https://projects.propublica.org/nonprofits/organizations/411931343/202400809349301005/full","view filing")</f>
        <v/>
      </c>
      <c r="AD1602" s="50" t="inlineStr"/>
    </row>
    <row r="1603">
      <c r="A1603" t="inlineStr">
        <is>
          <t>University Of Minnesota Foundation Investment Advisors</t>
        </is>
      </c>
      <c r="B1603" s="50" t="inlineStr">
        <is>
          <t>MN</t>
        </is>
      </c>
      <c r="C1603" s="52" t="n">
        <v>5.2</v>
      </c>
      <c r="D1603" t="inlineStr">
        <is>
          <t>Endowment</t>
        </is>
      </c>
      <c r="E1603" s="50" t="n">
        <v>2023</v>
      </c>
      <c r="F1603" s="50" t="inlineStr">
        <is>
          <t>2024-03-20</t>
        </is>
      </c>
      <c r="G1603" s="50" t="inlineStr">
        <is>
          <t>2023-06-30</t>
        </is>
      </c>
      <c r="H1603" t="inlineStr">
        <is>
          <t>Jeffrey M Rodgers</t>
        </is>
      </c>
      <c r="I1603" t="inlineStr">
        <is>
          <t>INVESTMENT DIRECTOR</t>
        </is>
      </c>
      <c r="J1603" t="inlineStr">
        <is>
          <t>Director of Investments</t>
        </is>
      </c>
      <c r="K1603" t="inlineStr">
        <is>
          <t>Sr Investment Professional</t>
        </is>
      </c>
      <c r="L1603" s="28" t="n">
        <v>311486</v>
      </c>
      <c r="M1603" s="28" t="n">
        <v>207571</v>
      </c>
      <c r="N1603" s="28" t="n">
        <v>57</v>
      </c>
      <c r="O1603" s="28" t="n">
        <v>36600</v>
      </c>
      <c r="P1603" s="28" t="n">
        <v>5475</v>
      </c>
      <c r="Q1603" s="28" t="n">
        <v>561189</v>
      </c>
      <c r="R1603" s="28" t="n">
        <v>0</v>
      </c>
      <c r="S1603" s="28">
        <f>Q1603-R1603</f>
        <v/>
      </c>
      <c r="T1603" s="28">
        <f>IF(S1603="","",S1603*(1+in_GrowthRate)^(YEARFRAC(DATE(2023,6,30),in_AgeToDate)*IF(in_AgeToDate&lt;DATE(2023,6,30),-1,1)+1))</f>
        <v/>
      </c>
      <c r="U1603" s="50">
        <f>IF(AND(AND(OR(in_Mode="All Funds",AND(C1603&gt;=in_BandFloor,C1603&lt;=in_BandCeiling,OR(in_Geography="National",COUNTIFS(lst_GeoPreset,in_Geography,lst_GeoState,B1603)&gt;0,AND(in_Geography="Custom",ISNUMBER(SEARCH(B1603,SUBSTITUTE(in_CustomStates," ",""))))),OR(AND(D1603="Endowment",Inputs!$B$14="Y"),AND(D1603="Foundation",Inputs!$B$15="Y"),AND(D1603="Healthcare",Inputs!$B$16="Y"),AND(D1603="Pension",Inputs!$B$17="Y"),AND(D1603="OCIO",Inputs!$B$18="Y"),AND(D1603="Other",Inputs!$B$19="Y")))),A1603&lt;&gt;in_ClientOrg,NOT(AND(in_ExclHarvard="Y",ISNUMBER(SEARCH("Harvard",A1603))))),$AD1603="Y",K1603&lt;&gt;"",S1603&gt;0),"Y","")</f>
        <v/>
      </c>
      <c r="V1603" s="30" t="n">
        <v>0.7115222716415034</v>
      </c>
      <c r="W1603" t="inlineStr"/>
      <c r="X1603" s="28">
        <f>IF(L1603+M1603=0,"",L1603+M1603)</f>
        <v/>
      </c>
      <c r="Y1603" s="38">
        <f>IF(L1603=0,"",M1603/L1603)</f>
        <v/>
      </c>
      <c r="Z1603" t="inlineStr">
        <is>
          <t>Director &amp; Investment Officer</t>
        </is>
      </c>
      <c r="AA1603" t="inlineStr">
        <is>
          <t>Investments</t>
        </is>
      </c>
      <c r="AB1603" s="50" t="inlineStr"/>
      <c r="AC1603" s="43">
        <f>HYPERLINK("https://projects.propublica.org/nonprofits/organizations/411931343/202400809349301005/full","view filing")</f>
        <v/>
      </c>
      <c r="AD1603" s="50" t="inlineStr"/>
    </row>
    <row r="1604">
      <c r="A1604" t="inlineStr">
        <is>
          <t>University Of Minnesota Foundation Investment Advisors</t>
        </is>
      </c>
      <c r="B1604" s="50" t="inlineStr">
        <is>
          <t>MN</t>
        </is>
      </c>
      <c r="C1604" s="52" t="n">
        <v>5.2</v>
      </c>
      <c r="D1604" t="inlineStr">
        <is>
          <t>Endowment</t>
        </is>
      </c>
      <c r="E1604" s="50" t="n">
        <v>2022</v>
      </c>
      <c r="F1604" s="50" t="inlineStr">
        <is>
          <t>2023-03-14</t>
        </is>
      </c>
      <c r="G1604" s="50" t="inlineStr">
        <is>
          <t>2022-06-30</t>
        </is>
      </c>
      <c r="H1604" t="inlineStr">
        <is>
          <t>Andrew J Behrens</t>
        </is>
      </c>
      <c r="I1604" t="inlineStr">
        <is>
          <t>Chief Investment Officer</t>
        </is>
      </c>
      <c r="J1604" t="inlineStr">
        <is>
          <t>CIO</t>
        </is>
      </c>
      <c r="K1604" t="inlineStr">
        <is>
          <t>Sr Investment Professional</t>
        </is>
      </c>
      <c r="L1604" s="28" t="n">
        <v>371667</v>
      </c>
      <c r="M1604" s="28" t="n">
        <v>327653</v>
      </c>
      <c r="N1604" s="28" t="n">
        <v>54</v>
      </c>
      <c r="O1604" s="28" t="n">
        <v>34800</v>
      </c>
      <c r="P1604" s="28" t="n">
        <v>0</v>
      </c>
      <c r="Q1604" s="28" t="n">
        <v>734174</v>
      </c>
      <c r="R1604" s="28" t="n">
        <v>0</v>
      </c>
      <c r="S1604" s="28">
        <f>Q1604-R1604</f>
        <v/>
      </c>
      <c r="T1604" s="28">
        <f>IF(S1604="","",S1604*(1+in_GrowthRate)^(YEARFRAC(DATE(2022,6,30),in_AgeToDate)*IF(in_AgeToDate&lt;DATE(2022,6,30),-1,1)+1))</f>
        <v/>
      </c>
      <c r="U1604" s="50">
        <f>IF(AND(AND(OR(in_Mode="All Funds",AND(C1604&gt;=in_BandFloor,C1604&lt;=in_BandCeiling,OR(in_Geography="National",COUNTIFS(lst_GeoPreset,in_Geography,lst_GeoState,B1604)&gt;0,AND(in_Geography="Custom",ISNUMBER(SEARCH(B1604,SUBSTITUTE(in_CustomStates," ",""))))),OR(AND(D1604="Endowment",Inputs!$B$14="Y"),AND(D1604="Foundation",Inputs!$B$15="Y"),AND(D1604="Healthcare",Inputs!$B$16="Y"),AND(D1604="Pension",Inputs!$B$17="Y"),AND(D1604="OCIO",Inputs!$B$18="Y"),AND(D1604="Other",Inputs!$B$19="Y")))),A1604&lt;&gt;in_ClientOrg,NOT(AND(in_ExclHarvard="Y",ISNUMBER(SEARCH("Harvard",A1604))))),$AD1604="Y",K1604&lt;&gt;"",S1604&gt;0),"Y","")</f>
        <v/>
      </c>
      <c r="V1604" s="30" t="n">
        <v>0.5668093648067013</v>
      </c>
      <c r="W1604" t="inlineStr"/>
      <c r="X1604" s="28">
        <f>IF(L1604+M1604=0,"",L1604+M1604)</f>
        <v/>
      </c>
      <c r="Y1604" s="38">
        <f>IF(L1604=0,"",M1604/L1604)</f>
        <v/>
      </c>
      <c r="Z1604" t="inlineStr">
        <is>
          <t>Deputy CIO</t>
        </is>
      </c>
      <c r="AA1604" t="inlineStr">
        <is>
          <t>Leadership</t>
        </is>
      </c>
      <c r="AB1604" s="50" t="inlineStr"/>
      <c r="AC1604" s="43">
        <f>HYPERLINK("https://projects.propublica.org/nonprofits/organizations/411931343/202340739349300819/full","view filing")</f>
        <v/>
      </c>
      <c r="AD1604" s="50" t="inlineStr"/>
    </row>
    <row r="1605">
      <c r="A1605" t="inlineStr">
        <is>
          <t>University Of Minnesota Foundation Investment Advisors</t>
        </is>
      </c>
      <c r="B1605" s="50" t="inlineStr">
        <is>
          <t>MN</t>
        </is>
      </c>
      <c r="C1605" s="52" t="n">
        <v>5.2</v>
      </c>
      <c r="D1605" t="inlineStr">
        <is>
          <t>Endowment</t>
        </is>
      </c>
      <c r="E1605" s="50" t="n">
        <v>2022</v>
      </c>
      <c r="F1605" s="50" t="inlineStr">
        <is>
          <t>2023-03-14</t>
        </is>
      </c>
      <c r="G1605" s="50" t="inlineStr">
        <is>
          <t>2022-06-30</t>
        </is>
      </c>
      <c r="H1605" t="inlineStr">
        <is>
          <t>Daniel J Arlandson</t>
        </is>
      </c>
      <c r="I1605" t="inlineStr">
        <is>
          <t>Investment Director</t>
        </is>
      </c>
      <c r="J1605" t="inlineStr">
        <is>
          <t>Director of Investments</t>
        </is>
      </c>
      <c r="K1605" t="inlineStr">
        <is>
          <t>Sr Investment Professional</t>
        </is>
      </c>
      <c r="L1605" s="28" t="n">
        <v>271057</v>
      </c>
      <c r="M1605" s="28" t="n">
        <v>221352</v>
      </c>
      <c r="N1605" s="28" t="n">
        <v>68</v>
      </c>
      <c r="O1605" s="28" t="n">
        <v>34800</v>
      </c>
      <c r="P1605" s="28" t="n">
        <v>3600</v>
      </c>
      <c r="Q1605" s="28" t="n">
        <v>530877</v>
      </c>
      <c r="R1605" s="28" t="n">
        <v>0</v>
      </c>
      <c r="S1605" s="28">
        <f>Q1605-R1605</f>
        <v/>
      </c>
      <c r="T1605" s="28">
        <f>IF(S1605="","",S1605*(1+in_GrowthRate)^(YEARFRAC(DATE(2022,6,30),in_AgeToDate)*IF(in_AgeToDate&lt;DATE(2022,6,30),-1,1)+1))</f>
        <v/>
      </c>
      <c r="U1605" s="50">
        <f>IF(AND(AND(OR(in_Mode="All Funds",AND(C1605&gt;=in_BandFloor,C1605&lt;=in_BandCeiling,OR(in_Geography="National",COUNTIFS(lst_GeoPreset,in_Geography,lst_GeoState,B1605)&gt;0,AND(in_Geography="Custom",ISNUMBER(SEARCH(B1605,SUBSTITUTE(in_CustomStates," ",""))))),OR(AND(D1605="Endowment",Inputs!$B$14="Y"),AND(D1605="Foundation",Inputs!$B$15="Y"),AND(D1605="Healthcare",Inputs!$B$16="Y"),AND(D1605="Pension",Inputs!$B$17="Y"),AND(D1605="OCIO",Inputs!$B$18="Y"),AND(D1605="Other",Inputs!$B$19="Y")))),A1605&lt;&gt;in_ClientOrg,NOT(AND(in_ExclHarvard="Y",ISNUMBER(SEARCH("Harvard",A1605))))),$AD1605="Y",K1605&lt;&gt;"",S1605&gt;0),"Y","")</f>
        <v/>
      </c>
      <c r="V1605" s="30" t="n">
        <v>0.4098565941595414</v>
      </c>
      <c r="W1605" t="inlineStr"/>
      <c r="X1605" s="28">
        <f>IF(L1605+M1605=0,"",L1605+M1605)</f>
        <v/>
      </c>
      <c r="Y1605" s="38">
        <f>IF(L1605=0,"",M1605/L1605)</f>
        <v/>
      </c>
      <c r="Z1605" t="inlineStr">
        <is>
          <t>Director &amp; Investment Officer</t>
        </is>
      </c>
      <c r="AA1605" t="inlineStr">
        <is>
          <t>Investments</t>
        </is>
      </c>
      <c r="AB1605" s="50" t="inlineStr"/>
      <c r="AC1605" s="43">
        <f>HYPERLINK("https://projects.propublica.org/nonprofits/organizations/411931343/202340739349300819/full","view filing")</f>
        <v/>
      </c>
      <c r="AD1605" s="50" t="inlineStr"/>
    </row>
    <row r="1606">
      <c r="A1606" t="inlineStr">
        <is>
          <t>University Of Minnesota Foundation Investment Advisors</t>
        </is>
      </c>
      <c r="B1606" s="50" t="inlineStr">
        <is>
          <t>MN</t>
        </is>
      </c>
      <c r="C1606" s="52" t="n">
        <v>5.2</v>
      </c>
      <c r="D1606" t="inlineStr">
        <is>
          <t>Endowment</t>
        </is>
      </c>
      <c r="E1606" s="50" t="n">
        <v>2022</v>
      </c>
      <c r="F1606" s="50" t="inlineStr">
        <is>
          <t>2023-03-14</t>
        </is>
      </c>
      <c r="G1606" s="50" t="inlineStr">
        <is>
          <t>2022-06-30</t>
        </is>
      </c>
      <c r="H1606" t="inlineStr">
        <is>
          <t>David T Walkosz</t>
        </is>
      </c>
      <c r="I1606" t="inlineStr">
        <is>
          <t>Controller</t>
        </is>
      </c>
      <c r="J1606" t="inlineStr">
        <is>
          <t>Controller (Inv Entity)</t>
        </is>
      </c>
      <c r="K1606" t="inlineStr">
        <is>
          <t>Other disclosed professionals</t>
        </is>
      </c>
      <c r="L1606" s="28" t="n">
        <v>165993</v>
      </c>
      <c r="M1606" s="28" t="n">
        <v>55300</v>
      </c>
      <c r="N1606" s="28" t="n">
        <v>138</v>
      </c>
      <c r="O1606" s="28" t="n">
        <v>27126</v>
      </c>
      <c r="P1606" s="28" t="n">
        <v>7200</v>
      </c>
      <c r="Q1606" s="28" t="n">
        <v>255757</v>
      </c>
      <c r="R1606" s="28" t="n">
        <v>0</v>
      </c>
      <c r="S1606" s="28">
        <f>Q1606-R1606</f>
        <v/>
      </c>
      <c r="T1606" s="28">
        <f>IF(S1606="","",S1606*(1+in_GrowthRate)^(YEARFRAC(DATE(2022,6,30),in_AgeToDate)*IF(in_AgeToDate&lt;DATE(2022,6,30),-1,1)+1))</f>
        <v/>
      </c>
      <c r="U1606" s="50">
        <f>IF(AND(AND(OR(in_Mode="All Funds",AND(C1606&gt;=in_BandFloor,C1606&lt;=in_BandCeiling,OR(in_Geography="National",COUNTIFS(lst_GeoPreset,in_Geography,lst_GeoState,B1606)&gt;0,AND(in_Geography="Custom",ISNUMBER(SEARCH(B1606,SUBSTITUTE(in_CustomStates," ",""))))),OR(AND(D1606="Endowment",Inputs!$B$14="Y"),AND(D1606="Foundation",Inputs!$B$15="Y"),AND(D1606="Healthcare",Inputs!$B$16="Y"),AND(D1606="Pension",Inputs!$B$17="Y"),AND(D1606="OCIO",Inputs!$B$18="Y"),AND(D1606="Other",Inputs!$B$19="Y")))),A1606&lt;&gt;in_ClientOrg,NOT(AND(in_ExclHarvard="Y",ISNUMBER(SEARCH("Harvard",A1606))))),$AD1606="Y",K1606&lt;&gt;"",S1606&gt;0),"Y","")</f>
        <v/>
      </c>
      <c r="V1606" s="30" t="n">
        <v>0.1974538225473355</v>
      </c>
      <c r="W1606" t="inlineStr">
        <is>
          <t>Other disclosed professionals</t>
        </is>
      </c>
      <c r="X1606" s="28">
        <f>IF(L1606+M1606=0,"",L1606+M1606)</f>
        <v/>
      </c>
      <c r="Y1606" s="38">
        <f>IF(L1606=0,"",M1606/L1606)</f>
        <v/>
      </c>
      <c r="Z1606" t="inlineStr">
        <is>
          <t>Other disclosed professionals</t>
        </is>
      </c>
      <c r="AA1606" t="inlineStr">
        <is>
          <t>Operations &amp; Control</t>
        </is>
      </c>
      <c r="AB1606" s="50" t="inlineStr"/>
      <c r="AC1606" s="43">
        <f>HYPERLINK("https://projects.propublica.org/nonprofits/organizations/411931343/202340739349300819/full","view filing")</f>
        <v/>
      </c>
      <c r="AD1606" s="50" t="inlineStr"/>
    </row>
    <row r="1607">
      <c r="A1607" t="inlineStr">
        <is>
          <t>University Of Minnesota Foundation Investment Advisors</t>
        </is>
      </c>
      <c r="B1607" s="50" t="inlineStr">
        <is>
          <t>MN</t>
        </is>
      </c>
      <c r="C1607" s="52" t="n">
        <v>5.2</v>
      </c>
      <c r="D1607" t="inlineStr">
        <is>
          <t>Endowment</t>
        </is>
      </c>
      <c r="E1607" s="50" t="n">
        <v>2022</v>
      </c>
      <c r="F1607" s="50" t="inlineStr">
        <is>
          <t>2023-03-14</t>
        </is>
      </c>
      <c r="G1607" s="50" t="inlineStr">
        <is>
          <t>2022-06-30</t>
        </is>
      </c>
      <c r="H1607" t="inlineStr">
        <is>
          <t>Douglas J Gorence</t>
        </is>
      </c>
      <c r="I1607" t="inlineStr">
        <is>
          <t>President</t>
        </is>
      </c>
      <c r="J1607" t="inlineStr">
        <is>
          <t>CEO (Inv Entity)</t>
        </is>
      </c>
      <c r="K1607" t="inlineStr">
        <is>
          <t>CIO - Top Investment Executive</t>
        </is>
      </c>
      <c r="L1607" s="28" t="n">
        <v>642137</v>
      </c>
      <c r="M1607" s="28" t="n">
        <v>460687</v>
      </c>
      <c r="N1607" s="28" t="n">
        <v>349340</v>
      </c>
      <c r="O1607" s="28" t="n">
        <v>188363</v>
      </c>
      <c r="P1607" s="28" t="n">
        <v>3600</v>
      </c>
      <c r="Q1607" s="28" t="n">
        <v>1644127</v>
      </c>
      <c r="R1607" s="28" t="n">
        <v>348852</v>
      </c>
      <c r="S1607" s="28">
        <f>Q1607-R1607</f>
        <v/>
      </c>
      <c r="T1607" s="28">
        <f>IF(S1607="","",S1607*(1+in_GrowthRate)^(YEARFRAC(DATE(2022,6,30),in_AgeToDate)*IF(in_AgeToDate&lt;DATE(2022,6,30),-1,1)+1))</f>
        <v/>
      </c>
      <c r="U1607" s="50">
        <f>IF(AND(AND(OR(in_Mode="All Funds",AND(C1607&gt;=in_BandFloor,C1607&lt;=in_BandCeiling,OR(in_Geography="National",COUNTIFS(lst_GeoPreset,in_Geography,lst_GeoState,B1607)&gt;0,AND(in_Geography="Custom",ISNUMBER(SEARCH(B1607,SUBSTITUTE(in_CustomStates," ",""))))),OR(AND(D1607="Endowment",Inputs!$B$14="Y"),AND(D1607="Foundation",Inputs!$B$15="Y"),AND(D1607="Healthcare",Inputs!$B$16="Y"),AND(D1607="Pension",Inputs!$B$17="Y"),AND(D1607="OCIO",Inputs!$B$18="Y"),AND(D1607="Other",Inputs!$B$19="Y")))),A1607&lt;&gt;in_ClientOrg,NOT(AND(in_ExclHarvard="Y",ISNUMBER(SEARCH("Harvard",A1607))))),$AD1607="Y",K1607&lt;&gt;"",S1607&gt;0),"Y","")</f>
        <v/>
      </c>
      <c r="V1607" s="30" t="n">
        <v>1</v>
      </c>
      <c r="W1607" t="inlineStr"/>
      <c r="X1607" s="28">
        <f>IF(L1607+M1607=0,"",L1607+M1607)</f>
        <v/>
      </c>
      <c r="Y1607" s="38">
        <f>IF(L1607=0,"",M1607/L1607)</f>
        <v/>
      </c>
      <c r="Z1607" t="inlineStr">
        <is>
          <t>CIO - Top Investment Executive</t>
        </is>
      </c>
      <c r="AA1607" t="inlineStr">
        <is>
          <t>Leadership</t>
        </is>
      </c>
      <c r="AB1607" s="50" t="inlineStr">
        <is>
          <t>Y</t>
        </is>
      </c>
      <c r="AC1607" s="43">
        <f>HYPERLINK("https://projects.propublica.org/nonprofits/organizations/411931343/202340739349300819/full","view filing")</f>
        <v/>
      </c>
      <c r="AD1607" s="50" t="inlineStr"/>
    </row>
    <row r="1608">
      <c r="A1608" t="inlineStr">
        <is>
          <t>University Of Minnesota Foundation Investment Advisors</t>
        </is>
      </c>
      <c r="B1608" s="50" t="inlineStr">
        <is>
          <t>MN</t>
        </is>
      </c>
      <c r="C1608" s="52" t="n">
        <v>5.2</v>
      </c>
      <c r="D1608" t="inlineStr">
        <is>
          <t>Endowment</t>
        </is>
      </c>
      <c r="E1608" s="50" t="n">
        <v>2022</v>
      </c>
      <c r="F1608" s="50" t="inlineStr">
        <is>
          <t>2023-03-14</t>
        </is>
      </c>
      <c r="G1608" s="50" t="inlineStr">
        <is>
          <t>2022-06-30</t>
        </is>
      </c>
      <c r="H1608" t="inlineStr">
        <is>
          <t>Grant Larson</t>
        </is>
      </c>
      <c r="I1608" t="inlineStr">
        <is>
          <t>Investment Analyst</t>
        </is>
      </c>
      <c r="J1608" t="inlineStr">
        <is>
          <t>Analyst</t>
        </is>
      </c>
      <c r="K1608" t="inlineStr">
        <is>
          <t>Sr Investment Professional</t>
        </is>
      </c>
      <c r="L1608" s="28" t="n">
        <v>0</v>
      </c>
      <c r="M1608" s="28" t="n">
        <v>0</v>
      </c>
      <c r="N1608" s="28" t="n">
        <v>0</v>
      </c>
      <c r="O1608" s="28" t="n">
        <v>0</v>
      </c>
      <c r="P1608" s="28" t="n">
        <v>0</v>
      </c>
      <c r="Q1608" s="28" t="n">
        <v>137162</v>
      </c>
      <c r="R1608" s="28" t="n">
        <v>0</v>
      </c>
      <c r="S1608" s="28">
        <f>Q1608-R1608</f>
        <v/>
      </c>
      <c r="T1608" s="28">
        <f>IF(S1608="","",S1608*(1+in_GrowthRate)^(YEARFRAC(DATE(2022,6,30),in_AgeToDate)*IF(in_AgeToDate&lt;DATE(2022,6,30),-1,1)+1))</f>
        <v/>
      </c>
      <c r="U1608" s="50">
        <f>IF(AND(AND(OR(in_Mode="All Funds",AND(C1608&gt;=in_BandFloor,C1608&lt;=in_BandCeiling,OR(in_Geography="National",COUNTIFS(lst_GeoPreset,in_Geography,lst_GeoState,B1608)&gt;0,AND(in_Geography="Custom",ISNUMBER(SEARCH(B1608,SUBSTITUTE(in_CustomStates," ",""))))),OR(AND(D1608="Endowment",Inputs!$B$14="Y"),AND(D1608="Foundation",Inputs!$B$15="Y"),AND(D1608="Healthcare",Inputs!$B$16="Y"),AND(D1608="Pension",Inputs!$B$17="Y"),AND(D1608="OCIO",Inputs!$B$18="Y"),AND(D1608="Other",Inputs!$B$19="Y")))),A1608&lt;&gt;in_ClientOrg,NOT(AND(in_ExclHarvard="Y",ISNUMBER(SEARCH("Harvard",A1608))))),$AD1608="Y",K1608&lt;&gt;"",S1608&gt;0),"Y","")</f>
        <v/>
      </c>
      <c r="V1608" s="30" t="n">
        <v>0.1058941151492926</v>
      </c>
      <c r="W1608" t="inlineStr"/>
      <c r="X1608" s="28">
        <f>IF(L1608+M1608=0,"",L1608+M1608)</f>
        <v/>
      </c>
      <c r="Y1608" s="38">
        <f>IF(L1608=0,"",M1608/L1608)</f>
        <v/>
      </c>
      <c r="Z1608" t="inlineStr">
        <is>
          <t>Other investment staff</t>
        </is>
      </c>
      <c r="AA1608" t="inlineStr">
        <is>
          <t>Investments</t>
        </is>
      </c>
      <c r="AB1608" s="50" t="inlineStr"/>
      <c r="AC1608" s="43">
        <f>HYPERLINK("https://projects.propublica.org/nonprofits/organizations/411931343/202340739349300819/full","view filing")</f>
        <v/>
      </c>
      <c r="AD1608" s="50" t="inlineStr"/>
    </row>
    <row r="1609">
      <c r="A1609" t="inlineStr">
        <is>
          <t>University Of Minnesota Foundation Investment Advisors</t>
        </is>
      </c>
      <c r="B1609" s="50" t="inlineStr">
        <is>
          <t>MN</t>
        </is>
      </c>
      <c r="C1609" s="52" t="n">
        <v>5.2</v>
      </c>
      <c r="D1609" t="inlineStr">
        <is>
          <t>Endowment</t>
        </is>
      </c>
      <c r="E1609" s="50" t="n">
        <v>2022</v>
      </c>
      <c r="F1609" s="50" t="inlineStr">
        <is>
          <t>2023-03-14</t>
        </is>
      </c>
      <c r="G1609" s="50" t="inlineStr">
        <is>
          <t>2022-06-30</t>
        </is>
      </c>
      <c r="H1609" t="inlineStr">
        <is>
          <t>Jeffrey M Rodgers</t>
        </is>
      </c>
      <c r="I1609" t="inlineStr">
        <is>
          <t>Investment Director</t>
        </is>
      </c>
      <c r="J1609" t="inlineStr">
        <is>
          <t>Director of Investments</t>
        </is>
      </c>
      <c r="K1609" t="inlineStr">
        <is>
          <t>Sr Investment Professional</t>
        </is>
      </c>
      <c r="L1609" s="28" t="n">
        <v>268243</v>
      </c>
      <c r="M1609" s="28" t="n">
        <v>221352</v>
      </c>
      <c r="N1609" s="28" t="n">
        <v>54</v>
      </c>
      <c r="O1609" s="28" t="n">
        <v>34800</v>
      </c>
      <c r="P1609" s="28" t="n">
        <v>7200</v>
      </c>
      <c r="Q1609" s="28" t="n">
        <v>531649</v>
      </c>
      <c r="R1609" s="28" t="n">
        <v>0</v>
      </c>
      <c r="S1609" s="28">
        <f>Q1609-R1609</f>
        <v/>
      </c>
      <c r="T1609" s="28">
        <f>IF(S1609="","",S1609*(1+in_GrowthRate)^(YEARFRAC(DATE(2022,6,30),in_AgeToDate)*IF(in_AgeToDate&lt;DATE(2022,6,30),-1,1)+1))</f>
        <v/>
      </c>
      <c r="U1609" s="50">
        <f>IF(AND(AND(OR(in_Mode="All Funds",AND(C1609&gt;=in_BandFloor,C1609&lt;=in_BandCeiling,OR(in_Geography="National",COUNTIFS(lst_GeoPreset,in_Geography,lst_GeoState,B1609)&gt;0,AND(in_Geography="Custom",ISNUMBER(SEARCH(B1609,SUBSTITUTE(in_CustomStates," ",""))))),OR(AND(D1609="Endowment",Inputs!$B$14="Y"),AND(D1609="Foundation",Inputs!$B$15="Y"),AND(D1609="Healthcare",Inputs!$B$16="Y"),AND(D1609="Pension",Inputs!$B$17="Y"),AND(D1609="OCIO",Inputs!$B$18="Y"),AND(D1609="Other",Inputs!$B$19="Y")))),A1609&lt;&gt;in_ClientOrg,NOT(AND(in_ExclHarvard="Y",ISNUMBER(SEARCH("Harvard",A1609))))),$AD1609="Y",K1609&lt;&gt;"",S1609&gt;0),"Y","")</f>
        <v/>
      </c>
      <c r="V1609" s="30" t="n">
        <v>0.4104526065893343</v>
      </c>
      <c r="W1609" t="inlineStr"/>
      <c r="X1609" s="28">
        <f>IF(L1609+M1609=0,"",L1609+M1609)</f>
        <v/>
      </c>
      <c r="Y1609" s="38">
        <f>IF(L1609=0,"",M1609/L1609)</f>
        <v/>
      </c>
      <c r="Z1609" t="inlineStr">
        <is>
          <t>Director &amp; Investment Officer</t>
        </is>
      </c>
      <c r="AA1609" t="inlineStr">
        <is>
          <t>Investments</t>
        </is>
      </c>
      <c r="AB1609" s="50" t="inlineStr"/>
      <c r="AC1609" s="43">
        <f>HYPERLINK("https://projects.propublica.org/nonprofits/organizations/411931343/202340739349300819/full","view filing")</f>
        <v/>
      </c>
      <c r="AD1609" s="50" t="inlineStr"/>
    </row>
    <row r="1610">
      <c r="A1610" t="inlineStr">
        <is>
          <t>University Of Mississippi Foundation</t>
        </is>
      </c>
      <c r="B1610" s="50" t="inlineStr">
        <is>
          <t>MS</t>
        </is>
      </c>
      <c r="C1610" s="52" t="n">
        <v>1</v>
      </c>
      <c r="D1610" t="inlineStr">
        <is>
          <t>Endowment</t>
        </is>
      </c>
      <c r="E1610" s="50" t="n">
        <v>2025</v>
      </c>
      <c r="F1610" s="50" t="inlineStr">
        <is>
          <t>2025-11-17</t>
        </is>
      </c>
      <c r="G1610" s="50" t="inlineStr">
        <is>
          <t>2025-06-30</t>
        </is>
      </c>
      <c r="H1610" t="inlineStr">
        <is>
          <t>Christi Bland</t>
        </is>
      </c>
      <c r="I1610" t="inlineStr">
        <is>
          <t>DIRECTOR OF ENDOWMENT</t>
        </is>
      </c>
      <c r="J1610" t="inlineStr">
        <is>
          <t>Director of Investments</t>
        </is>
      </c>
      <c r="K1610" t="inlineStr">
        <is>
          <t>Sr Investment Professional</t>
        </is>
      </c>
      <c r="L1610" s="28" t="n">
        <v>0</v>
      </c>
      <c r="M1610" s="28" t="n">
        <v>0</v>
      </c>
      <c r="N1610" s="28" t="n">
        <v>0</v>
      </c>
      <c r="O1610" s="28" t="n">
        <v>0</v>
      </c>
      <c r="P1610" s="28" t="n">
        <v>0</v>
      </c>
      <c r="Q1610" s="28" t="n">
        <v>134481</v>
      </c>
      <c r="R1610" s="28" t="n">
        <v>0</v>
      </c>
      <c r="S1610" s="28">
        <f>Q1610-R1610</f>
        <v/>
      </c>
      <c r="T1610" s="28">
        <f>IF(S1610="","",S1610*(1+in_GrowthRate)^(YEARFRAC(DATE(2025,6,30),in_AgeToDate)*IF(in_AgeToDate&lt;DATE(2025,6,30),-1,1)+1))</f>
        <v/>
      </c>
      <c r="U1610" s="50">
        <f>IF(AND(AND(OR(in_Mode="All Funds",AND(C1610&gt;=in_BandFloor,C1610&lt;=in_BandCeiling,OR(in_Geography="National",COUNTIFS(lst_GeoPreset,in_Geography,lst_GeoState,B1610)&gt;0,AND(in_Geography="Custom",ISNUMBER(SEARCH(B1610,SUBSTITUTE(in_CustomStates," ",""))))),OR(AND(D1610="Endowment",Inputs!$B$14="Y"),AND(D1610="Foundation",Inputs!$B$15="Y"),AND(D1610="Healthcare",Inputs!$B$16="Y"),AND(D1610="Pension",Inputs!$B$17="Y"),AND(D1610="OCIO",Inputs!$B$18="Y"),AND(D1610="Other",Inputs!$B$19="Y")))),A1610&lt;&gt;in_ClientOrg,NOT(AND(in_ExclHarvard="Y",ISNUMBER(SEARCH("Harvard",A1610))))),$AD1610="Y",K1610&lt;&gt;"",S1610&gt;0),"Y","")</f>
        <v/>
      </c>
      <c r="V1610" s="30" t="n"/>
      <c r="W1610" t="inlineStr"/>
      <c r="X1610" s="28">
        <f>IF(L1610+M1610=0,"",L1610+M1610)</f>
        <v/>
      </c>
      <c r="Y1610" s="38">
        <f>IF(L1610=0,"",M1610/L1610)</f>
        <v/>
      </c>
      <c r="Z1610" t="inlineStr">
        <is>
          <t>Director &amp; Investment Officer</t>
        </is>
      </c>
      <c r="AA1610" t="inlineStr">
        <is>
          <t>Investments</t>
        </is>
      </c>
      <c r="AB1610" s="50" t="inlineStr"/>
      <c r="AC1610" s="43">
        <f>HYPERLINK("https://projects.propublica.org/nonprofits/organizations/237310293/202513219349310786/full","view filing")</f>
        <v/>
      </c>
      <c r="AD1610" s="50" t="inlineStr">
        <is>
          <t>Y</t>
        </is>
      </c>
    </row>
    <row r="1611">
      <c r="A1611" t="inlineStr">
        <is>
          <t>University Of Mississippi Foundation</t>
        </is>
      </c>
      <c r="B1611" s="50" t="inlineStr">
        <is>
          <t>MS</t>
        </is>
      </c>
      <c r="C1611" s="52" t="n">
        <v>1</v>
      </c>
      <c r="D1611" t="inlineStr">
        <is>
          <t>Endowment</t>
        </is>
      </c>
      <c r="E1611" s="50" t="n">
        <v>2024</v>
      </c>
      <c r="F1611" s="50" t="inlineStr">
        <is>
          <t>2024-11-14</t>
        </is>
      </c>
      <c r="G1611" s="50" t="inlineStr">
        <is>
          <t>2024-06-30</t>
        </is>
      </c>
      <c r="H1611" t="inlineStr">
        <is>
          <t>Christi Bland</t>
        </is>
      </c>
      <c r="I1611" t="inlineStr">
        <is>
          <t>DIRECTOR OF ENDOWMENT</t>
        </is>
      </c>
      <c r="J1611" t="inlineStr">
        <is>
          <t>Director of Investments</t>
        </is>
      </c>
      <c r="K1611" t="inlineStr">
        <is>
          <t>Sr Investment Professional</t>
        </is>
      </c>
      <c r="L1611" s="28" t="n">
        <v>0</v>
      </c>
      <c r="M1611" s="28" t="n">
        <v>0</v>
      </c>
      <c r="N1611" s="28" t="n">
        <v>0</v>
      </c>
      <c r="O1611" s="28" t="n">
        <v>0</v>
      </c>
      <c r="P1611" s="28" t="n">
        <v>0</v>
      </c>
      <c r="Q1611" s="28" t="n">
        <v>130230</v>
      </c>
      <c r="R1611" s="28" t="n">
        <v>0</v>
      </c>
      <c r="S1611" s="28">
        <f>Q1611-R1611</f>
        <v/>
      </c>
      <c r="T1611" s="28">
        <f>IF(S1611="","",S1611*(1+in_GrowthRate)^(YEARFRAC(DATE(2024,6,30),in_AgeToDate)*IF(in_AgeToDate&lt;DATE(2024,6,30),-1,1)+1))</f>
        <v/>
      </c>
      <c r="U1611" s="50">
        <f>IF(AND(AND(OR(in_Mode="All Funds",AND(C1611&gt;=in_BandFloor,C1611&lt;=in_BandCeiling,OR(in_Geography="National",COUNTIFS(lst_GeoPreset,in_Geography,lst_GeoState,B1611)&gt;0,AND(in_Geography="Custom",ISNUMBER(SEARCH(B1611,SUBSTITUTE(in_CustomStates," ",""))))),OR(AND(D1611="Endowment",Inputs!$B$14="Y"),AND(D1611="Foundation",Inputs!$B$15="Y"),AND(D1611="Healthcare",Inputs!$B$16="Y"),AND(D1611="Pension",Inputs!$B$17="Y"),AND(D1611="OCIO",Inputs!$B$18="Y"),AND(D1611="Other",Inputs!$B$19="Y")))),A1611&lt;&gt;in_ClientOrg,NOT(AND(in_ExclHarvard="Y",ISNUMBER(SEARCH("Harvard",A1611))))),$AD1611="Y",K1611&lt;&gt;"",S1611&gt;0),"Y","")</f>
        <v/>
      </c>
      <c r="V1611" s="30" t="n"/>
      <c r="W1611" t="inlineStr"/>
      <c r="X1611" s="28">
        <f>IF(L1611+M1611=0,"",L1611+M1611)</f>
        <v/>
      </c>
      <c r="Y1611" s="38">
        <f>IF(L1611=0,"",M1611/L1611)</f>
        <v/>
      </c>
      <c r="Z1611" t="inlineStr">
        <is>
          <t>Director &amp; Investment Officer</t>
        </is>
      </c>
      <c r="AA1611" t="inlineStr">
        <is>
          <t>Investments</t>
        </is>
      </c>
      <c r="AB1611" s="50" t="inlineStr"/>
      <c r="AC1611" s="43">
        <f>HYPERLINK("https://projects.propublica.org/nonprofits/organizations/237310293/202433199349304833/full","view filing")</f>
        <v/>
      </c>
      <c r="AD1611" s="50" t="inlineStr"/>
    </row>
    <row r="1612">
      <c r="A1612" t="inlineStr">
        <is>
          <t>University Of Nebraska Foundation</t>
        </is>
      </c>
      <c r="B1612" s="50" t="inlineStr">
        <is>
          <t>NE</t>
        </is>
      </c>
      <c r="C1612" s="52" t="n">
        <v>2.72</v>
      </c>
      <c r="D1612" t="inlineStr">
        <is>
          <t>Endowment</t>
        </is>
      </c>
      <c r="E1612" s="50" t="n">
        <v>2025</v>
      </c>
      <c r="F1612" s="50" t="inlineStr">
        <is>
          <t>2026-04-30</t>
        </is>
      </c>
      <c r="G1612" s="50" t="inlineStr">
        <is>
          <t>2025-06-30</t>
        </is>
      </c>
      <c r="H1612" t="inlineStr">
        <is>
          <t>Brian Neale</t>
        </is>
      </c>
      <c r="I1612" t="inlineStr">
        <is>
          <t>CHIEF INVESTMENT OFFICER</t>
        </is>
      </c>
      <c r="J1612" t="inlineStr">
        <is>
          <t>CIO</t>
        </is>
      </c>
      <c r="K1612" t="inlineStr">
        <is>
          <t>CIO - Top Investment Executive</t>
        </is>
      </c>
      <c r="L1612" s="28" t="n">
        <v>379551</v>
      </c>
      <c r="M1612" s="28" t="n">
        <v>100763</v>
      </c>
      <c r="N1612" s="28" t="n">
        <v>193</v>
      </c>
      <c r="O1612" s="28" t="n">
        <v>34500</v>
      </c>
      <c r="P1612" s="28" t="n">
        <v>27261</v>
      </c>
      <c r="Q1612" s="28" t="n">
        <v>542268</v>
      </c>
      <c r="R1612" s="28" t="n">
        <v>0</v>
      </c>
      <c r="S1612" s="28">
        <f>Q1612-R1612</f>
        <v/>
      </c>
      <c r="T1612" s="28">
        <f>IF(S1612="","",S1612*(1+in_GrowthRate)^(YEARFRAC(DATE(2025,6,30),in_AgeToDate)*IF(in_AgeToDate&lt;DATE(2025,6,30),-1,1)+1))</f>
        <v/>
      </c>
      <c r="U1612" s="50">
        <f>IF(AND(AND(OR(in_Mode="All Funds",AND(C1612&gt;=in_BandFloor,C1612&lt;=in_BandCeiling,OR(in_Geography="National",COUNTIFS(lst_GeoPreset,in_Geography,lst_GeoState,B1612)&gt;0,AND(in_Geography="Custom",ISNUMBER(SEARCH(B1612,SUBSTITUTE(in_CustomStates," ",""))))),OR(AND(D1612="Endowment",Inputs!$B$14="Y"),AND(D1612="Foundation",Inputs!$B$15="Y"),AND(D1612="Healthcare",Inputs!$B$16="Y"),AND(D1612="Pension",Inputs!$B$17="Y"),AND(D1612="OCIO",Inputs!$B$18="Y"),AND(D1612="Other",Inputs!$B$19="Y")))),A1612&lt;&gt;in_ClientOrg,NOT(AND(in_ExclHarvard="Y",ISNUMBER(SEARCH("Harvard",A1612))))),$AD1612="Y",K1612&lt;&gt;"",S1612&gt;0),"Y","")</f>
        <v/>
      </c>
      <c r="V1612" s="30" t="n">
        <v>1</v>
      </c>
      <c r="W1612" t="inlineStr"/>
      <c r="X1612" s="28">
        <f>IF(L1612+M1612=0,"",L1612+M1612)</f>
        <v/>
      </c>
      <c r="Y1612" s="38">
        <f>IF(L1612=0,"",M1612/L1612)</f>
        <v/>
      </c>
      <c r="Z1612" t="inlineStr">
        <is>
          <t>CIO - Top Investment Executive</t>
        </is>
      </c>
      <c r="AA1612" t="inlineStr">
        <is>
          <t>Leadership</t>
        </is>
      </c>
      <c r="AB1612" s="50" t="inlineStr">
        <is>
          <t>Y</t>
        </is>
      </c>
      <c r="AC1612" s="43">
        <f>HYPERLINK("https://projects.propublica.org/nonprofits/organizations/470379839/202631209349300813/full","view filing")</f>
        <v/>
      </c>
      <c r="AD1612" s="50" t="inlineStr">
        <is>
          <t>Y</t>
        </is>
      </c>
    </row>
    <row r="1613">
      <c r="A1613" t="inlineStr">
        <is>
          <t>University Of Nebraska Foundation</t>
        </is>
      </c>
      <c r="B1613" s="50" t="inlineStr">
        <is>
          <t>NE</t>
        </is>
      </c>
      <c r="C1613" s="52" t="n">
        <v>2.72</v>
      </c>
      <c r="D1613" t="inlineStr">
        <is>
          <t>Endowment</t>
        </is>
      </c>
      <c r="E1613" s="50" t="n">
        <v>2024</v>
      </c>
      <c r="F1613" s="50" t="inlineStr">
        <is>
          <t>2025-05-01</t>
        </is>
      </c>
      <c r="G1613" s="50" t="inlineStr">
        <is>
          <t>2024-06-30</t>
        </is>
      </c>
      <c r="H1613" t="inlineStr">
        <is>
          <t>Brian Neale</t>
        </is>
      </c>
      <c r="I1613" t="inlineStr">
        <is>
          <t>CHIEF INVESTMENT OFFICER</t>
        </is>
      </c>
      <c r="J1613" t="inlineStr">
        <is>
          <t>CIO</t>
        </is>
      </c>
      <c r="K1613" t="inlineStr">
        <is>
          <t>CIO - Top Investment Executive</t>
        </is>
      </c>
      <c r="L1613" s="28" t="n">
        <v>349733</v>
      </c>
      <c r="M1613" s="28" t="n">
        <v>197363</v>
      </c>
      <c r="N1613" s="28" t="n">
        <v>176</v>
      </c>
      <c r="O1613" s="28" t="n">
        <v>33000</v>
      </c>
      <c r="P1613" s="28" t="n">
        <v>32418</v>
      </c>
      <c r="Q1613" s="28" t="n">
        <v>612690</v>
      </c>
      <c r="R1613" s="28" t="n">
        <v>0</v>
      </c>
      <c r="S1613" s="28">
        <f>Q1613-R1613</f>
        <v/>
      </c>
      <c r="T1613" s="28">
        <f>IF(S1613="","",S1613*(1+in_GrowthRate)^(YEARFRAC(DATE(2024,6,30),in_AgeToDate)*IF(in_AgeToDate&lt;DATE(2024,6,30),-1,1)+1))</f>
        <v/>
      </c>
      <c r="U1613" s="50">
        <f>IF(AND(AND(OR(in_Mode="All Funds",AND(C1613&gt;=in_BandFloor,C1613&lt;=in_BandCeiling,OR(in_Geography="National",COUNTIFS(lst_GeoPreset,in_Geography,lst_GeoState,B1613)&gt;0,AND(in_Geography="Custom",ISNUMBER(SEARCH(B1613,SUBSTITUTE(in_CustomStates," ",""))))),OR(AND(D1613="Endowment",Inputs!$B$14="Y"),AND(D1613="Foundation",Inputs!$B$15="Y"),AND(D1613="Healthcare",Inputs!$B$16="Y"),AND(D1613="Pension",Inputs!$B$17="Y"),AND(D1613="OCIO",Inputs!$B$18="Y"),AND(D1613="Other",Inputs!$B$19="Y")))),A1613&lt;&gt;in_ClientOrg,NOT(AND(in_ExclHarvard="Y",ISNUMBER(SEARCH("Harvard",A1613))))),$AD1613="Y",K1613&lt;&gt;"",S1613&gt;0),"Y","")</f>
        <v/>
      </c>
      <c r="V1613" s="30" t="n">
        <v>1</v>
      </c>
      <c r="W1613" t="inlineStr"/>
      <c r="X1613" s="28">
        <f>IF(L1613+M1613=0,"",L1613+M1613)</f>
        <v/>
      </c>
      <c r="Y1613" s="38">
        <f>IF(L1613=0,"",M1613/L1613)</f>
        <v/>
      </c>
      <c r="Z1613" t="inlineStr">
        <is>
          <t>CIO - Top Investment Executive</t>
        </is>
      </c>
      <c r="AA1613" t="inlineStr">
        <is>
          <t>Leadership</t>
        </is>
      </c>
      <c r="AB1613" s="50" t="inlineStr">
        <is>
          <t>Y</t>
        </is>
      </c>
      <c r="AC1613" s="43">
        <f>HYPERLINK("https://projects.propublica.org/nonprofits/organizations/470379839/202501219349302265/full","view filing")</f>
        <v/>
      </c>
      <c r="AD1613" s="50" t="inlineStr"/>
    </row>
    <row r="1614">
      <c r="A1614" t="inlineStr">
        <is>
          <t>University Of Nebraska Foundation</t>
        </is>
      </c>
      <c r="B1614" s="50" t="inlineStr">
        <is>
          <t>NE</t>
        </is>
      </c>
      <c r="C1614" s="52" t="n">
        <v>2.72</v>
      </c>
      <c r="D1614" t="inlineStr">
        <is>
          <t>Endowment</t>
        </is>
      </c>
      <c r="E1614" s="50" t="n">
        <v>2023</v>
      </c>
      <c r="F1614" s="50" t="inlineStr">
        <is>
          <t>2024-05-08</t>
        </is>
      </c>
      <c r="G1614" s="50" t="inlineStr">
        <is>
          <t>2023-06-30</t>
        </is>
      </c>
      <c r="H1614" t="inlineStr">
        <is>
          <t>Brian Neale</t>
        </is>
      </c>
      <c r="I1614" t="inlineStr">
        <is>
          <t>CHIEF INVESTMENT OFFICER</t>
        </is>
      </c>
      <c r="J1614" t="inlineStr">
        <is>
          <t>CIO</t>
        </is>
      </c>
      <c r="K1614" t="inlineStr">
        <is>
          <t>CIO - Top Investment Executive</t>
        </is>
      </c>
      <c r="L1614" s="28" t="n">
        <v>329104</v>
      </c>
      <c r="M1614" s="28" t="n">
        <v>6584</v>
      </c>
      <c r="N1614" s="28" t="n">
        <v>126</v>
      </c>
      <c r="O1614" s="28" t="n">
        <v>24400</v>
      </c>
      <c r="P1614" s="28" t="n">
        <v>29735</v>
      </c>
      <c r="Q1614" s="28" t="n">
        <v>389949</v>
      </c>
      <c r="R1614" s="28" t="n">
        <v>0</v>
      </c>
      <c r="S1614" s="28">
        <f>Q1614-R1614</f>
        <v/>
      </c>
      <c r="T1614" s="28">
        <f>IF(S1614="","",S1614*(1+in_GrowthRate)^(YEARFRAC(DATE(2023,6,30),in_AgeToDate)*IF(in_AgeToDate&lt;DATE(2023,6,30),-1,1)+1))</f>
        <v/>
      </c>
      <c r="U1614" s="50">
        <f>IF(AND(AND(OR(in_Mode="All Funds",AND(C1614&gt;=in_BandFloor,C1614&lt;=in_BandCeiling,OR(in_Geography="National",COUNTIFS(lst_GeoPreset,in_Geography,lst_GeoState,B1614)&gt;0,AND(in_Geography="Custom",ISNUMBER(SEARCH(B1614,SUBSTITUTE(in_CustomStates," ",""))))),OR(AND(D1614="Endowment",Inputs!$B$14="Y"),AND(D1614="Foundation",Inputs!$B$15="Y"),AND(D1614="Healthcare",Inputs!$B$16="Y"),AND(D1614="Pension",Inputs!$B$17="Y"),AND(D1614="OCIO",Inputs!$B$18="Y"),AND(D1614="Other",Inputs!$B$19="Y")))),A1614&lt;&gt;in_ClientOrg,NOT(AND(in_ExclHarvard="Y",ISNUMBER(SEARCH("Harvard",A1614))))),$AD1614="Y",K1614&lt;&gt;"",S1614&gt;0),"Y","")</f>
        <v/>
      </c>
      <c r="V1614" s="30" t="n">
        <v>1</v>
      </c>
      <c r="W1614" t="inlineStr"/>
      <c r="X1614" s="28">
        <f>IF(L1614+M1614=0,"",L1614+M1614)</f>
        <v/>
      </c>
      <c r="Y1614" s="38">
        <f>IF(L1614=0,"",M1614/L1614)</f>
        <v/>
      </c>
      <c r="Z1614" t="inlineStr">
        <is>
          <t>CIO - Top Investment Executive</t>
        </is>
      </c>
      <c r="AA1614" t="inlineStr">
        <is>
          <t>Leadership</t>
        </is>
      </c>
      <c r="AB1614" s="50" t="inlineStr">
        <is>
          <t>Y</t>
        </is>
      </c>
      <c r="AC1614" s="43">
        <f>HYPERLINK("https://projects.propublica.org/nonprofits/organizations/470379839/202421299349304612/full","view filing")</f>
        <v/>
      </c>
      <c r="AD1614" s="50" t="inlineStr"/>
    </row>
    <row r="1615">
      <c r="A1615" t="inlineStr">
        <is>
          <t>University Of Nebraska Foundation</t>
        </is>
      </c>
      <c r="B1615" s="50" t="inlineStr">
        <is>
          <t>NE</t>
        </is>
      </c>
      <c r="C1615" s="52" t="n">
        <v>2.72</v>
      </c>
      <c r="D1615" t="inlineStr">
        <is>
          <t>Endowment</t>
        </is>
      </c>
      <c r="E1615" s="50" t="n">
        <v>2022</v>
      </c>
      <c r="F1615" s="50" t="inlineStr">
        <is>
          <t>2023-05-04</t>
        </is>
      </c>
      <c r="G1615" s="50" t="inlineStr">
        <is>
          <t>2022-06-30</t>
        </is>
      </c>
      <c r="H1615" t="inlineStr">
        <is>
          <t>Brian Neale</t>
        </is>
      </c>
      <c r="I1615" t="inlineStr">
        <is>
          <t>CHIEF INVESTMENT OFFICER</t>
        </is>
      </c>
      <c r="J1615" t="inlineStr">
        <is>
          <t>CIO</t>
        </is>
      </c>
      <c r="K1615" t="inlineStr">
        <is>
          <t>CIO - Top Investment Executive</t>
        </is>
      </c>
      <c r="L1615" s="28" t="n">
        <v>251919</v>
      </c>
      <c r="M1615" s="28" t="n">
        <v>23467</v>
      </c>
      <c r="N1615" s="28" t="n">
        <v>906</v>
      </c>
      <c r="O1615" s="28" t="n">
        <v>21212</v>
      </c>
      <c r="P1615" s="28" t="n">
        <v>23063</v>
      </c>
      <c r="Q1615" s="28" t="n">
        <v>320567</v>
      </c>
      <c r="R1615" s="28" t="n">
        <v>0</v>
      </c>
      <c r="S1615" s="28">
        <f>Q1615-R1615</f>
        <v/>
      </c>
      <c r="T1615" s="28">
        <f>IF(S1615="","",S1615*(1+in_GrowthRate)^(YEARFRAC(DATE(2022,6,30),in_AgeToDate)*IF(in_AgeToDate&lt;DATE(2022,6,30),-1,1)+1))</f>
        <v/>
      </c>
      <c r="U1615" s="50">
        <f>IF(AND(AND(OR(in_Mode="All Funds",AND(C1615&gt;=in_BandFloor,C1615&lt;=in_BandCeiling,OR(in_Geography="National",COUNTIFS(lst_GeoPreset,in_Geography,lst_GeoState,B1615)&gt;0,AND(in_Geography="Custom",ISNUMBER(SEARCH(B1615,SUBSTITUTE(in_CustomStates," ",""))))),OR(AND(D1615="Endowment",Inputs!$B$14="Y"),AND(D1615="Foundation",Inputs!$B$15="Y"),AND(D1615="Healthcare",Inputs!$B$16="Y"),AND(D1615="Pension",Inputs!$B$17="Y"),AND(D1615="OCIO",Inputs!$B$18="Y"),AND(D1615="Other",Inputs!$B$19="Y")))),A1615&lt;&gt;in_ClientOrg,NOT(AND(in_ExclHarvard="Y",ISNUMBER(SEARCH("Harvard",A1615))))),$AD1615="Y",K1615&lt;&gt;"",S1615&gt;0),"Y","")</f>
        <v/>
      </c>
      <c r="V1615" s="30" t="n">
        <v>1</v>
      </c>
      <c r="W1615" t="inlineStr"/>
      <c r="X1615" s="28">
        <f>IF(L1615+M1615=0,"",L1615+M1615)</f>
        <v/>
      </c>
      <c r="Y1615" s="38">
        <f>IF(L1615=0,"",M1615/L1615)</f>
        <v/>
      </c>
      <c r="Z1615" t="inlineStr">
        <is>
          <t>CIO - Top Investment Executive</t>
        </is>
      </c>
      <c r="AA1615" t="inlineStr">
        <is>
          <t>Leadership</t>
        </is>
      </c>
      <c r="AB1615" s="50" t="inlineStr">
        <is>
          <t>Y</t>
        </is>
      </c>
      <c r="AC1615" s="43">
        <f>HYPERLINK("https://projects.propublica.org/nonprofits/organizations/470379839/202301249349301955/full","view filing")</f>
        <v/>
      </c>
      <c r="AD1615" s="50" t="inlineStr"/>
    </row>
    <row r="1616">
      <c r="A1616" t="inlineStr">
        <is>
          <t>University Of Notre Dame Du Lac</t>
        </is>
      </c>
      <c r="B1616" s="50" t="inlineStr">
        <is>
          <t>IN</t>
        </is>
      </c>
      <c r="C1616" s="52" t="n">
        <v>20.09</v>
      </c>
      <c r="D1616" t="inlineStr">
        <is>
          <t>Endowment</t>
        </is>
      </c>
      <c r="E1616" s="50" t="n">
        <v>2024</v>
      </c>
      <c r="F1616" s="50" t="inlineStr">
        <is>
          <t>2025-05-23</t>
        </is>
      </c>
      <c r="G1616" s="50" t="inlineStr">
        <is>
          <t>2024-06-30</t>
        </is>
      </c>
      <c r="H1616" t="inlineStr">
        <is>
          <t>Mark C Krcmaric Jd Mba</t>
        </is>
      </c>
      <c r="I1616" t="inlineStr">
        <is>
          <t>Managing Director &amp; Chief Operating Officer, Investment Office</t>
        </is>
      </c>
      <c r="J1616" t="inlineStr">
        <is>
          <t>Managing Director</t>
        </is>
      </c>
      <c r="K1616" t="inlineStr">
        <is>
          <t>Sr Investment Professional</t>
        </is>
      </c>
      <c r="L1616" s="28" t="n">
        <v>236986</v>
      </c>
      <c r="M1616" s="28" t="n">
        <v>1051552</v>
      </c>
      <c r="N1616" s="28" t="n">
        <v>62525</v>
      </c>
      <c r="O1616" s="28" t="n">
        <v>23776</v>
      </c>
      <c r="P1616" s="28" t="n">
        <v>10208</v>
      </c>
      <c r="Q1616" s="28" t="n">
        <v>1385047</v>
      </c>
      <c r="R1616" s="28" t="n">
        <v>0</v>
      </c>
      <c r="S1616" s="28">
        <f>Q1616-R1616</f>
        <v/>
      </c>
      <c r="T1616" s="28">
        <f>IF(S1616="","",S1616*(1+in_GrowthRate)^(YEARFRAC(DATE(2024,6,30),in_AgeToDate)*IF(in_AgeToDate&lt;DATE(2024,6,30),-1,1)+1))</f>
        <v/>
      </c>
      <c r="U1616" s="50">
        <f>IF(AND(AND(OR(in_Mode="All Funds",AND(C1616&gt;=in_BandFloor,C1616&lt;=in_BandCeiling,OR(in_Geography="National",COUNTIFS(lst_GeoPreset,in_Geography,lst_GeoState,B1616)&gt;0,AND(in_Geography="Custom",ISNUMBER(SEARCH(B1616,SUBSTITUTE(in_CustomStates," ",""))))),OR(AND(D1616="Endowment",Inputs!$B$14="Y"),AND(D1616="Foundation",Inputs!$B$15="Y"),AND(D1616="Healthcare",Inputs!$B$16="Y"),AND(D1616="Pension",Inputs!$B$17="Y"),AND(D1616="OCIO",Inputs!$B$18="Y"),AND(D1616="Other",Inputs!$B$19="Y")))),A1616&lt;&gt;in_ClientOrg,NOT(AND(in_ExclHarvard="Y",ISNUMBER(SEARCH("Harvard",A1616))))),$AD1616="Y",K1616&lt;&gt;"",S1616&gt;0),"Y","")</f>
        <v/>
      </c>
      <c r="V1616" s="30" t="n">
        <v>0.352420563665477</v>
      </c>
      <c r="W1616" t="inlineStr"/>
      <c r="X1616" s="28">
        <f>IF(L1616+M1616=0,"",L1616+M1616)</f>
        <v/>
      </c>
      <c r="Y1616" s="38">
        <f>IF(L1616=0,"",M1616/L1616)</f>
        <v/>
      </c>
      <c r="Z1616" t="inlineStr">
        <is>
          <t>Managing Director</t>
        </is>
      </c>
      <c r="AA1616" t="inlineStr">
        <is>
          <t>Investments</t>
        </is>
      </c>
      <c r="AB1616" s="50" t="inlineStr"/>
      <c r="AC1616" s="43">
        <f>HYPERLINK("https://projects.propublica.org/nonprofits/organizations/350868188/202511349349304776/full","view filing")</f>
        <v/>
      </c>
      <c r="AD1616" s="50" t="inlineStr"/>
    </row>
    <row r="1617">
      <c r="A1617" t="inlineStr">
        <is>
          <t>University Of Notre Dame Du Lac</t>
        </is>
      </c>
      <c r="B1617" s="50" t="inlineStr">
        <is>
          <t>IN</t>
        </is>
      </c>
      <c r="C1617" s="52" t="n">
        <v>20.09</v>
      </c>
      <c r="D1617" t="inlineStr">
        <is>
          <t>Endowment</t>
        </is>
      </c>
      <c r="E1617" s="50" t="n">
        <v>2024</v>
      </c>
      <c r="F1617" s="50" t="inlineStr">
        <is>
          <t>2025-05-23</t>
        </is>
      </c>
      <c r="G1617" s="50" t="inlineStr">
        <is>
          <t>2024-06-30</t>
        </is>
      </c>
      <c r="H1617" t="inlineStr">
        <is>
          <t>Michael D Donovan Jd Mba</t>
        </is>
      </c>
      <c r="I1617" t="inlineStr">
        <is>
          <t>VP &amp; Chief Investment Officer</t>
        </is>
      </c>
      <c r="J1617" t="inlineStr">
        <is>
          <t>CIO</t>
        </is>
      </c>
      <c r="K1617" t="inlineStr">
        <is>
          <t>CIO - Top Investment Executive</t>
        </is>
      </c>
      <c r="L1617" s="28" t="n">
        <v>779167</v>
      </c>
      <c r="M1617" s="28" t="n">
        <v>3063494</v>
      </c>
      <c r="N1617" s="28" t="n">
        <v>45069</v>
      </c>
      <c r="O1617" s="28" t="n">
        <v>33000</v>
      </c>
      <c r="P1617" s="28" t="n">
        <v>9367</v>
      </c>
      <c r="Q1617" s="28" t="n">
        <v>3930097</v>
      </c>
      <c r="R1617" s="28" t="n">
        <v>0</v>
      </c>
      <c r="S1617" s="28">
        <f>Q1617-R1617</f>
        <v/>
      </c>
      <c r="T1617" s="28">
        <f>IF(S1617="","",S1617*(1+in_GrowthRate)^(YEARFRAC(DATE(2024,6,30),in_AgeToDate)*IF(in_AgeToDate&lt;DATE(2024,6,30),-1,1)+1))</f>
        <v/>
      </c>
      <c r="U1617" s="50">
        <f>IF(AND(AND(OR(in_Mode="All Funds",AND(C1617&gt;=in_BandFloor,C1617&lt;=in_BandCeiling,OR(in_Geography="National",COUNTIFS(lst_GeoPreset,in_Geography,lst_GeoState,B1617)&gt;0,AND(in_Geography="Custom",ISNUMBER(SEARCH(B1617,SUBSTITUTE(in_CustomStates," ",""))))),OR(AND(D1617="Endowment",Inputs!$B$14="Y"),AND(D1617="Foundation",Inputs!$B$15="Y"),AND(D1617="Healthcare",Inputs!$B$16="Y"),AND(D1617="Pension",Inputs!$B$17="Y"),AND(D1617="OCIO",Inputs!$B$18="Y"),AND(D1617="Other",Inputs!$B$19="Y")))),A1617&lt;&gt;in_ClientOrg,NOT(AND(in_ExclHarvard="Y",ISNUMBER(SEARCH("Harvard",A1617))))),$AD1617="Y",K1617&lt;&gt;"",S1617&gt;0),"Y","")</f>
        <v/>
      </c>
      <c r="V1617" s="30" t="n">
        <v>1</v>
      </c>
      <c r="W1617" t="inlineStr"/>
      <c r="X1617" s="28">
        <f>IF(L1617+M1617=0,"",L1617+M1617)</f>
        <v/>
      </c>
      <c r="Y1617" s="38">
        <f>IF(L1617=0,"",M1617/L1617)</f>
        <v/>
      </c>
      <c r="Z1617" t="inlineStr">
        <is>
          <t>CIO - Top Investment Executive</t>
        </is>
      </c>
      <c r="AA1617" t="inlineStr">
        <is>
          <t>Leadership</t>
        </is>
      </c>
      <c r="AB1617" s="50" t="inlineStr">
        <is>
          <t>Y</t>
        </is>
      </c>
      <c r="AC1617" s="43">
        <f>HYPERLINK("https://projects.propublica.org/nonprofits/organizations/350868188/202511349349304776/full","view filing")</f>
        <v/>
      </c>
      <c r="AD1617" s="50" t="inlineStr"/>
    </row>
    <row r="1618">
      <c r="A1618" t="inlineStr">
        <is>
          <t>University Of Notre Dame Du Lac</t>
        </is>
      </c>
      <c r="B1618" s="50" t="inlineStr">
        <is>
          <t>IN</t>
        </is>
      </c>
      <c r="C1618" s="52" t="n">
        <v>20.09</v>
      </c>
      <c r="D1618" t="inlineStr">
        <is>
          <t>Endowment</t>
        </is>
      </c>
      <c r="E1618" s="50" t="n">
        <v>2024</v>
      </c>
      <c r="F1618" s="50" t="inlineStr">
        <is>
          <t>2025-05-23</t>
        </is>
      </c>
      <c r="G1618" s="50" t="inlineStr">
        <is>
          <t>2024-06-30</t>
        </is>
      </c>
      <c r="H1618" t="inlineStr">
        <is>
          <t>Timothy W Dolezal</t>
        </is>
      </c>
      <c r="I1618" t="inlineStr">
        <is>
          <t>Managing Director, Investment Office</t>
        </is>
      </c>
      <c r="J1618" t="inlineStr">
        <is>
          <t>Managing Director</t>
        </is>
      </c>
      <c r="K1618" t="inlineStr">
        <is>
          <t>Sr Investment Professional</t>
        </is>
      </c>
      <c r="L1618" s="28" t="n">
        <v>512558</v>
      </c>
      <c r="M1618" s="28" t="n">
        <v>1407233</v>
      </c>
      <c r="N1618" s="28" t="n">
        <v>23925</v>
      </c>
      <c r="O1618" s="28" t="n">
        <v>855000</v>
      </c>
      <c r="P1618" s="28" t="n">
        <v>28687</v>
      </c>
      <c r="Q1618" s="28" t="n">
        <v>2827403</v>
      </c>
      <c r="R1618" s="28" t="n">
        <v>123500</v>
      </c>
      <c r="S1618" s="28">
        <f>Q1618-R1618</f>
        <v/>
      </c>
      <c r="T1618" s="28">
        <f>IF(S1618="","",S1618*(1+in_GrowthRate)^(YEARFRAC(DATE(2024,6,30),in_AgeToDate)*IF(in_AgeToDate&lt;DATE(2024,6,30),-1,1)+1))</f>
        <v/>
      </c>
      <c r="U1618" s="50">
        <f>IF(AND(AND(OR(in_Mode="All Funds",AND(C1618&gt;=in_BandFloor,C1618&lt;=in_BandCeiling,OR(in_Geography="National",COUNTIFS(lst_GeoPreset,in_Geography,lst_GeoState,B1618)&gt;0,AND(in_Geography="Custom",ISNUMBER(SEARCH(B1618,SUBSTITUTE(in_CustomStates," ",""))))),OR(AND(D1618="Endowment",Inputs!$B$14="Y"),AND(D1618="Foundation",Inputs!$B$15="Y"),AND(D1618="Healthcare",Inputs!$B$16="Y"),AND(D1618="Pension",Inputs!$B$17="Y"),AND(D1618="OCIO",Inputs!$B$18="Y"),AND(D1618="Other",Inputs!$B$19="Y")))),A1618&lt;&gt;in_ClientOrg,NOT(AND(in_ExclHarvard="Y",ISNUMBER(SEARCH("Harvard",A1618))))),$AD1618="Y",K1618&lt;&gt;"",S1618&gt;0),"Y","")</f>
        <v/>
      </c>
      <c r="V1618" s="30" t="n">
        <v>0.6879990493873307</v>
      </c>
      <c r="W1618" t="inlineStr"/>
      <c r="X1618" s="28">
        <f>IF(L1618+M1618=0,"",L1618+M1618)</f>
        <v/>
      </c>
      <c r="Y1618" s="38">
        <f>IF(L1618=0,"",M1618/L1618)</f>
        <v/>
      </c>
      <c r="Z1618" t="inlineStr">
        <is>
          <t>Managing Director</t>
        </is>
      </c>
      <c r="AA1618" t="inlineStr">
        <is>
          <t>Investments</t>
        </is>
      </c>
      <c r="AB1618" s="50" t="inlineStr"/>
      <c r="AC1618" s="43">
        <f>HYPERLINK("https://projects.propublica.org/nonprofits/organizations/350868188/202511349349304776/full","view filing")</f>
        <v/>
      </c>
      <c r="AD1618" s="50" t="inlineStr"/>
    </row>
    <row r="1619">
      <c r="A1619" t="inlineStr">
        <is>
          <t>University Of Notre Dame Du Lac</t>
        </is>
      </c>
      <c r="B1619" s="50" t="inlineStr">
        <is>
          <t>IN</t>
        </is>
      </c>
      <c r="C1619" s="52" t="n">
        <v>20.09</v>
      </c>
      <c r="D1619" t="inlineStr">
        <is>
          <t>Endowment</t>
        </is>
      </c>
      <c r="E1619" s="50" t="n">
        <v>2023</v>
      </c>
      <c r="F1619" s="50" t="inlineStr">
        <is>
          <t>2024-05-13</t>
        </is>
      </c>
      <c r="G1619" s="50" t="inlineStr">
        <is>
          <t>2023-06-30</t>
        </is>
      </c>
      <c r="H1619" t="inlineStr">
        <is>
          <t>Mark C Krcmaric Jd Mba</t>
        </is>
      </c>
      <c r="I1619" t="inlineStr">
        <is>
          <t>Managing Director &amp; Chief Operating Officer, Investment Office</t>
        </is>
      </c>
      <c r="J1619" t="inlineStr">
        <is>
          <t>Managing Director</t>
        </is>
      </c>
      <c r="K1619" t="inlineStr">
        <is>
          <t>Sr Investment Professional</t>
        </is>
      </c>
      <c r="L1619" s="28" t="n">
        <v>431785</v>
      </c>
      <c r="M1619" s="28" t="n">
        <v>912004</v>
      </c>
      <c r="N1619" s="28" t="n">
        <v>20680</v>
      </c>
      <c r="O1619" s="28" t="n">
        <v>30500</v>
      </c>
      <c r="P1619" s="28" t="n">
        <v>19933</v>
      </c>
      <c r="Q1619" s="28" t="n">
        <v>1414902</v>
      </c>
      <c r="R1619" s="28" t="n">
        <v>0</v>
      </c>
      <c r="S1619" s="28">
        <f>Q1619-R1619</f>
        <v/>
      </c>
      <c r="T1619" s="28">
        <f>IF(S1619="","",S1619*(1+in_GrowthRate)^(YEARFRAC(DATE(2023,6,30),in_AgeToDate)*IF(in_AgeToDate&lt;DATE(2023,6,30),-1,1)+1))</f>
        <v/>
      </c>
      <c r="U1619" s="50">
        <f>IF(AND(AND(OR(in_Mode="All Funds",AND(C1619&gt;=in_BandFloor,C1619&lt;=in_BandCeiling,OR(in_Geography="National",COUNTIFS(lst_GeoPreset,in_Geography,lst_GeoState,B1619)&gt;0,AND(in_Geography="Custom",ISNUMBER(SEARCH(B1619,SUBSTITUTE(in_CustomStates," ",""))))),OR(AND(D1619="Endowment",Inputs!$B$14="Y"),AND(D1619="Foundation",Inputs!$B$15="Y"),AND(D1619="Healthcare",Inputs!$B$16="Y"),AND(D1619="Pension",Inputs!$B$17="Y"),AND(D1619="OCIO",Inputs!$B$18="Y"),AND(D1619="Other",Inputs!$B$19="Y")))),A1619&lt;&gt;in_ClientOrg,NOT(AND(in_ExclHarvard="Y",ISNUMBER(SEARCH("Harvard",A1619))))),$AD1619="Y",K1619&lt;&gt;"",S1619&gt;0),"Y","")</f>
        <v/>
      </c>
      <c r="V1619" s="30" t="n">
        <v>0.4398806302014047</v>
      </c>
      <c r="W1619" t="inlineStr"/>
      <c r="X1619" s="28">
        <f>IF(L1619+M1619=0,"",L1619+M1619)</f>
        <v/>
      </c>
      <c r="Y1619" s="38">
        <f>IF(L1619=0,"",M1619/L1619)</f>
        <v/>
      </c>
      <c r="Z1619" t="inlineStr">
        <is>
          <t>Managing Director</t>
        </is>
      </c>
      <c r="AA1619" t="inlineStr">
        <is>
          <t>Investments</t>
        </is>
      </c>
      <c r="AB1619" s="50" t="inlineStr"/>
      <c r="AC1619" s="43">
        <f>HYPERLINK("https://projects.propublica.org/nonprofits/organizations/350868188/202411349349301721/full","view filing")</f>
        <v/>
      </c>
      <c r="AD1619" s="50" t="inlineStr"/>
    </row>
    <row r="1620">
      <c r="A1620" t="inlineStr">
        <is>
          <t>University Of Notre Dame Du Lac</t>
        </is>
      </c>
      <c r="B1620" s="50" t="inlineStr">
        <is>
          <t>IN</t>
        </is>
      </c>
      <c r="C1620" s="52" t="n">
        <v>20.09</v>
      </c>
      <c r="D1620" t="inlineStr">
        <is>
          <t>Endowment</t>
        </is>
      </c>
      <c r="E1620" s="50" t="n">
        <v>2023</v>
      </c>
      <c r="F1620" s="50" t="inlineStr">
        <is>
          <t>2024-05-13</t>
        </is>
      </c>
      <c r="G1620" s="50" t="inlineStr">
        <is>
          <t>2023-06-30</t>
        </is>
      </c>
      <c r="H1620" t="inlineStr">
        <is>
          <t>Michael D Donovan Jd Mba</t>
        </is>
      </c>
      <c r="I1620" t="inlineStr">
        <is>
          <t>VP &amp; Chief Investment Officer</t>
        </is>
      </c>
      <c r="J1620" t="inlineStr">
        <is>
          <t>CIO</t>
        </is>
      </c>
      <c r="K1620" t="inlineStr">
        <is>
          <t>CIO - Top Investment Executive</t>
        </is>
      </c>
      <c r="L1620" s="28" t="n">
        <v>707343</v>
      </c>
      <c r="M1620" s="28" t="n">
        <v>2428770</v>
      </c>
      <c r="N1620" s="28" t="n">
        <v>40834</v>
      </c>
      <c r="O1620" s="28" t="n">
        <v>30500</v>
      </c>
      <c r="P1620" s="28" t="n">
        <v>9112</v>
      </c>
      <c r="Q1620" s="28" t="n">
        <v>3216559</v>
      </c>
      <c r="R1620" s="28" t="n">
        <v>0</v>
      </c>
      <c r="S1620" s="28">
        <f>Q1620-R1620</f>
        <v/>
      </c>
      <c r="T1620" s="28">
        <f>IF(S1620="","",S1620*(1+in_GrowthRate)^(YEARFRAC(DATE(2023,6,30),in_AgeToDate)*IF(in_AgeToDate&lt;DATE(2023,6,30),-1,1)+1))</f>
        <v/>
      </c>
      <c r="U1620" s="50">
        <f>IF(AND(AND(OR(in_Mode="All Funds",AND(C1620&gt;=in_BandFloor,C1620&lt;=in_BandCeiling,OR(in_Geography="National",COUNTIFS(lst_GeoPreset,in_Geography,lst_GeoState,B1620)&gt;0,AND(in_Geography="Custom",ISNUMBER(SEARCH(B1620,SUBSTITUTE(in_CustomStates," ",""))))),OR(AND(D1620="Endowment",Inputs!$B$14="Y"),AND(D1620="Foundation",Inputs!$B$15="Y"),AND(D1620="Healthcare",Inputs!$B$16="Y"),AND(D1620="Pension",Inputs!$B$17="Y"),AND(D1620="OCIO",Inputs!$B$18="Y"),AND(D1620="Other",Inputs!$B$19="Y")))),A1620&lt;&gt;in_ClientOrg,NOT(AND(in_ExclHarvard="Y",ISNUMBER(SEARCH("Harvard",A1620))))),$AD1620="Y",K1620&lt;&gt;"",S1620&gt;0),"Y","")</f>
        <v/>
      </c>
      <c r="V1620" s="30" t="n">
        <v>1</v>
      </c>
      <c r="W1620" t="inlineStr"/>
      <c r="X1620" s="28">
        <f>IF(L1620+M1620=0,"",L1620+M1620)</f>
        <v/>
      </c>
      <c r="Y1620" s="38">
        <f>IF(L1620=0,"",M1620/L1620)</f>
        <v/>
      </c>
      <c r="Z1620" t="inlineStr">
        <is>
          <t>CIO - Top Investment Executive</t>
        </is>
      </c>
      <c r="AA1620" t="inlineStr">
        <is>
          <t>Leadership</t>
        </is>
      </c>
      <c r="AB1620" s="50" t="inlineStr">
        <is>
          <t>Y</t>
        </is>
      </c>
      <c r="AC1620" s="43">
        <f>HYPERLINK("https://projects.propublica.org/nonprofits/organizations/350868188/202411349349301721/full","view filing")</f>
        <v/>
      </c>
      <c r="AD1620" s="50" t="inlineStr"/>
    </row>
    <row r="1621">
      <c r="A1621" t="inlineStr">
        <is>
          <t>University Of Notre Dame Du Lac</t>
        </is>
      </c>
      <c r="B1621" s="50" t="inlineStr">
        <is>
          <t>IN</t>
        </is>
      </c>
      <c r="C1621" s="52" t="n">
        <v>20.09</v>
      </c>
      <c r="D1621" t="inlineStr">
        <is>
          <t>Endowment</t>
        </is>
      </c>
      <c r="E1621" s="50" t="n">
        <v>2023</v>
      </c>
      <c r="F1621" s="50" t="inlineStr">
        <is>
          <t>2024-05-13</t>
        </is>
      </c>
      <c r="G1621" s="50" t="inlineStr">
        <is>
          <t>2023-06-30</t>
        </is>
      </c>
      <c r="H1621" t="inlineStr">
        <is>
          <t>Timothy W Dolezal</t>
        </is>
      </c>
      <c r="I1621" t="inlineStr">
        <is>
          <t>Managing Director, Investment Office</t>
        </is>
      </c>
      <c r="J1621" t="inlineStr">
        <is>
          <t>Managing Director</t>
        </is>
      </c>
      <c r="K1621" t="inlineStr">
        <is>
          <t>Sr Investment Professional</t>
        </is>
      </c>
      <c r="L1621" s="28" t="n">
        <v>499243</v>
      </c>
      <c r="M1621" s="28" t="n">
        <v>1188468</v>
      </c>
      <c r="N1621" s="28" t="n">
        <v>20500</v>
      </c>
      <c r="O1621" s="28" t="n">
        <v>648000</v>
      </c>
      <c r="P1621" s="28" t="n">
        <v>28389</v>
      </c>
      <c r="Q1621" s="28" t="n">
        <v>2384600</v>
      </c>
      <c r="R1621" s="28" t="n">
        <v>0</v>
      </c>
      <c r="S1621" s="28">
        <f>Q1621-R1621</f>
        <v/>
      </c>
      <c r="T1621" s="28">
        <f>IF(S1621="","",S1621*(1+in_GrowthRate)^(YEARFRAC(DATE(2023,6,30),in_AgeToDate)*IF(in_AgeToDate&lt;DATE(2023,6,30),-1,1)+1))</f>
        <v/>
      </c>
      <c r="U1621" s="50">
        <f>IF(AND(AND(OR(in_Mode="All Funds",AND(C1621&gt;=in_BandFloor,C1621&lt;=in_BandCeiling,OR(in_Geography="National",COUNTIFS(lst_GeoPreset,in_Geography,lst_GeoState,B1621)&gt;0,AND(in_Geography="Custom",ISNUMBER(SEARCH(B1621,SUBSTITUTE(in_CustomStates," ",""))))),OR(AND(D1621="Endowment",Inputs!$B$14="Y"),AND(D1621="Foundation",Inputs!$B$15="Y"),AND(D1621="Healthcare",Inputs!$B$16="Y"),AND(D1621="Pension",Inputs!$B$17="Y"),AND(D1621="OCIO",Inputs!$B$18="Y"),AND(D1621="Other",Inputs!$B$19="Y")))),A1621&lt;&gt;in_ClientOrg,NOT(AND(in_ExclHarvard="Y",ISNUMBER(SEARCH("Harvard",A1621))))),$AD1621="Y",K1621&lt;&gt;"",S1621&gt;0),"Y","")</f>
        <v/>
      </c>
      <c r="V1621" s="30" t="n">
        <v>0.7413512390103835</v>
      </c>
      <c r="W1621" t="inlineStr"/>
      <c r="X1621" s="28">
        <f>IF(L1621+M1621=0,"",L1621+M1621)</f>
        <v/>
      </c>
      <c r="Y1621" s="38">
        <f>IF(L1621=0,"",M1621/L1621)</f>
        <v/>
      </c>
      <c r="Z1621" t="inlineStr">
        <is>
          <t>Managing Director</t>
        </is>
      </c>
      <c r="AA1621" t="inlineStr">
        <is>
          <t>Investments</t>
        </is>
      </c>
      <c r="AB1621" s="50" t="inlineStr"/>
      <c r="AC1621" s="43">
        <f>HYPERLINK("https://projects.propublica.org/nonprofits/organizations/350868188/202411349349301721/full","view filing")</f>
        <v/>
      </c>
      <c r="AD1621" s="50" t="inlineStr"/>
    </row>
    <row r="1622">
      <c r="A1622" t="inlineStr">
        <is>
          <t>University Of Notre Dame Du Lac</t>
        </is>
      </c>
      <c r="B1622" s="50" t="inlineStr">
        <is>
          <t>IN</t>
        </is>
      </c>
      <c r="C1622" s="52" t="n">
        <v>20.09</v>
      </c>
      <c r="D1622" t="inlineStr">
        <is>
          <t>Endowment</t>
        </is>
      </c>
      <c r="E1622" s="50" t="n">
        <v>2022</v>
      </c>
      <c r="F1622" s="50" t="inlineStr">
        <is>
          <t>2023-05-12</t>
        </is>
      </c>
      <c r="G1622" s="50" t="inlineStr">
        <is>
          <t>2022-06-30</t>
        </is>
      </c>
      <c r="H1622" t="inlineStr">
        <is>
          <t>Mark C Krcmaric Jd Mba</t>
        </is>
      </c>
      <c r="I1622" t="inlineStr">
        <is>
          <t>Managing Director &amp; Chief Operating Officer, Investment Office</t>
        </is>
      </c>
      <c r="J1622" t="inlineStr">
        <is>
          <t>Managing Director</t>
        </is>
      </c>
      <c r="K1622" t="inlineStr">
        <is>
          <t>Sr Investment Professional</t>
        </is>
      </c>
      <c r="L1622" s="28" t="n">
        <v>409463</v>
      </c>
      <c r="M1622" s="28" t="n">
        <v>1284535</v>
      </c>
      <c r="N1622" s="28" t="n">
        <v>19776</v>
      </c>
      <c r="O1622" s="28" t="n">
        <v>29000</v>
      </c>
      <c r="P1622" s="28" t="n">
        <v>19383</v>
      </c>
      <c r="Q1622" s="28" t="n">
        <v>1762157</v>
      </c>
      <c r="R1622" s="28" t="n">
        <v>0</v>
      </c>
      <c r="S1622" s="28">
        <f>Q1622-R1622</f>
        <v/>
      </c>
      <c r="T1622" s="28">
        <f>IF(S1622="","",S1622*(1+in_GrowthRate)^(YEARFRAC(DATE(2022,6,30),in_AgeToDate)*IF(in_AgeToDate&lt;DATE(2022,6,30),-1,1)+1))</f>
        <v/>
      </c>
      <c r="U1622" s="50">
        <f>IF(AND(AND(OR(in_Mode="All Funds",AND(C1622&gt;=in_BandFloor,C1622&lt;=in_BandCeiling,OR(in_Geography="National",COUNTIFS(lst_GeoPreset,in_Geography,lst_GeoState,B1622)&gt;0,AND(in_Geography="Custom",ISNUMBER(SEARCH(B1622,SUBSTITUTE(in_CustomStates," ",""))))),OR(AND(D1622="Endowment",Inputs!$B$14="Y"),AND(D1622="Foundation",Inputs!$B$15="Y"),AND(D1622="Healthcare",Inputs!$B$16="Y"),AND(D1622="Pension",Inputs!$B$17="Y"),AND(D1622="OCIO",Inputs!$B$18="Y"),AND(D1622="Other",Inputs!$B$19="Y")))),A1622&lt;&gt;in_ClientOrg,NOT(AND(in_ExclHarvard="Y",ISNUMBER(SEARCH("Harvard",A1622))))),$AD1622="Y",K1622&lt;&gt;"",S1622&gt;0),"Y","")</f>
        <v/>
      </c>
      <c r="V1622" s="30" t="n">
        <v>0.5624620363971803</v>
      </c>
      <c r="W1622" t="inlineStr"/>
      <c r="X1622" s="28">
        <f>IF(L1622+M1622=0,"",L1622+M1622)</f>
        <v/>
      </c>
      <c r="Y1622" s="38">
        <f>IF(L1622=0,"",M1622/L1622)</f>
        <v/>
      </c>
      <c r="Z1622" t="inlineStr">
        <is>
          <t>Managing Director</t>
        </is>
      </c>
      <c r="AA1622" t="inlineStr">
        <is>
          <t>Investments</t>
        </is>
      </c>
      <c r="AB1622" s="50" t="inlineStr"/>
      <c r="AC1622" s="43">
        <f>HYPERLINK("https://projects.propublica.org/nonprofits/organizations/350868188/202341329349307024/full","view filing")</f>
        <v/>
      </c>
      <c r="AD1622" s="50" t="inlineStr"/>
    </row>
    <row r="1623">
      <c r="A1623" t="inlineStr">
        <is>
          <t>University Of Notre Dame Du Lac</t>
        </is>
      </c>
      <c r="B1623" s="50" t="inlineStr">
        <is>
          <t>IN</t>
        </is>
      </c>
      <c r="C1623" s="52" t="n">
        <v>20.09</v>
      </c>
      <c r="D1623" t="inlineStr">
        <is>
          <t>Endowment</t>
        </is>
      </c>
      <c r="E1623" s="50" t="n">
        <v>2022</v>
      </c>
      <c r="F1623" s="50" t="inlineStr">
        <is>
          <t>2023-05-12</t>
        </is>
      </c>
      <c r="G1623" s="50" t="inlineStr">
        <is>
          <t>2022-06-30</t>
        </is>
      </c>
      <c r="H1623" t="inlineStr">
        <is>
          <t>Michael D Donovan Jd Mba</t>
        </is>
      </c>
      <c r="I1623" t="inlineStr">
        <is>
          <t>VP &amp; Chief Investment Officer</t>
        </is>
      </c>
      <c r="J1623" t="inlineStr">
        <is>
          <t>CIO</t>
        </is>
      </c>
      <c r="K1623" t="inlineStr">
        <is>
          <t>CIO - Top Investment Executive</t>
        </is>
      </c>
      <c r="L1623" s="28" t="n">
        <v>652512</v>
      </c>
      <c r="M1623" s="28" t="n">
        <v>2405689</v>
      </c>
      <c r="N1623" s="28" t="n">
        <v>36527</v>
      </c>
      <c r="O1623" s="28" t="n">
        <v>29000</v>
      </c>
      <c r="P1623" s="28" t="n">
        <v>9207</v>
      </c>
      <c r="Q1623" s="28" t="n">
        <v>3132935</v>
      </c>
      <c r="R1623" s="28" t="n">
        <v>0</v>
      </c>
      <c r="S1623" s="28">
        <f>Q1623-R1623</f>
        <v/>
      </c>
      <c r="T1623" s="28">
        <f>IF(S1623="","",S1623*(1+in_GrowthRate)^(YEARFRAC(DATE(2022,6,30),in_AgeToDate)*IF(in_AgeToDate&lt;DATE(2022,6,30),-1,1)+1))</f>
        <v/>
      </c>
      <c r="U1623" s="50">
        <f>IF(AND(AND(OR(in_Mode="All Funds",AND(C1623&gt;=in_BandFloor,C1623&lt;=in_BandCeiling,OR(in_Geography="National",COUNTIFS(lst_GeoPreset,in_Geography,lst_GeoState,B1623)&gt;0,AND(in_Geography="Custom",ISNUMBER(SEARCH(B1623,SUBSTITUTE(in_CustomStates," ",""))))),OR(AND(D1623="Endowment",Inputs!$B$14="Y"),AND(D1623="Foundation",Inputs!$B$15="Y"),AND(D1623="Healthcare",Inputs!$B$16="Y"),AND(D1623="Pension",Inputs!$B$17="Y"),AND(D1623="OCIO",Inputs!$B$18="Y"),AND(D1623="Other",Inputs!$B$19="Y")))),A1623&lt;&gt;in_ClientOrg,NOT(AND(in_ExclHarvard="Y",ISNUMBER(SEARCH("Harvard",A1623))))),$AD1623="Y",K1623&lt;&gt;"",S1623&gt;0),"Y","")</f>
        <v/>
      </c>
      <c r="V1623" s="30" t="n">
        <v>1</v>
      </c>
      <c r="W1623" t="inlineStr"/>
      <c r="X1623" s="28">
        <f>IF(L1623+M1623=0,"",L1623+M1623)</f>
        <v/>
      </c>
      <c r="Y1623" s="38">
        <f>IF(L1623=0,"",M1623/L1623)</f>
        <v/>
      </c>
      <c r="Z1623" t="inlineStr">
        <is>
          <t>CIO - Top Investment Executive</t>
        </is>
      </c>
      <c r="AA1623" t="inlineStr">
        <is>
          <t>Leadership</t>
        </is>
      </c>
      <c r="AB1623" s="50" t="inlineStr">
        <is>
          <t>Y</t>
        </is>
      </c>
      <c r="AC1623" s="43">
        <f>HYPERLINK("https://projects.propublica.org/nonprofits/organizations/350868188/202341329349307024/full","view filing")</f>
        <v/>
      </c>
      <c r="AD1623" s="50" t="inlineStr"/>
    </row>
    <row r="1624">
      <c r="A1624" t="inlineStr">
        <is>
          <t>University Of Oklahoma Foundation Inc</t>
        </is>
      </c>
      <c r="B1624" s="50" t="inlineStr">
        <is>
          <t>OK</t>
        </is>
      </c>
      <c r="C1624" s="52" t="n">
        <v>2.74</v>
      </c>
      <c r="D1624" t="inlineStr">
        <is>
          <t>Endowment</t>
        </is>
      </c>
      <c r="E1624" s="50" t="n">
        <v>2025</v>
      </c>
      <c r="F1624" s="50" t="inlineStr">
        <is>
          <t>2026-05-14</t>
        </is>
      </c>
      <c r="G1624" s="50" t="inlineStr">
        <is>
          <t>2025-06-30</t>
        </is>
      </c>
      <c r="H1624" t="inlineStr">
        <is>
          <t>Aaron Weisberg</t>
        </is>
      </c>
      <c r="I1624" t="inlineStr">
        <is>
          <t>INVESTMENT DIRECTOR</t>
        </is>
      </c>
      <c r="J1624" t="inlineStr">
        <is>
          <t>Director of Investments</t>
        </is>
      </c>
      <c r="K1624" t="inlineStr">
        <is>
          <t>Sr Investment Professional</t>
        </is>
      </c>
      <c r="L1624" s="28" t="n">
        <v>196598</v>
      </c>
      <c r="M1624" s="28" t="n">
        <v>68042</v>
      </c>
      <c r="N1624" s="28" t="n">
        <v>0</v>
      </c>
      <c r="O1624" s="28" t="n">
        <v>26625</v>
      </c>
      <c r="P1624" s="28" t="n">
        <v>5137</v>
      </c>
      <c r="Q1624" s="28" t="n">
        <v>296402</v>
      </c>
      <c r="R1624" s="28" t="n">
        <v>0</v>
      </c>
      <c r="S1624" s="28">
        <f>Q1624-R1624</f>
        <v/>
      </c>
      <c r="T1624" s="28">
        <f>IF(S1624="","",S1624*(1+in_GrowthRate)^(YEARFRAC(DATE(2025,6,30),in_AgeToDate)*IF(in_AgeToDate&lt;DATE(2025,6,30),-1,1)+1))</f>
        <v/>
      </c>
      <c r="U1624" s="50">
        <f>IF(AND(AND(OR(in_Mode="All Funds",AND(C1624&gt;=in_BandFloor,C1624&lt;=in_BandCeiling,OR(in_Geography="National",COUNTIFS(lst_GeoPreset,in_Geography,lst_GeoState,B1624)&gt;0,AND(in_Geography="Custom",ISNUMBER(SEARCH(B1624,SUBSTITUTE(in_CustomStates," ",""))))),OR(AND(D1624="Endowment",Inputs!$B$14="Y"),AND(D1624="Foundation",Inputs!$B$15="Y"),AND(D1624="Healthcare",Inputs!$B$16="Y"),AND(D1624="Pension",Inputs!$B$17="Y"),AND(D1624="OCIO",Inputs!$B$18="Y"),AND(D1624="Other",Inputs!$B$19="Y")))),A1624&lt;&gt;in_ClientOrg,NOT(AND(in_ExclHarvard="Y",ISNUMBER(SEARCH("Harvard",A1624))))),$AD1624="Y",K1624&lt;&gt;"",S1624&gt;0),"Y","")</f>
        <v/>
      </c>
      <c r="V1624" s="30" t="n">
        <v>0.3213057674212893</v>
      </c>
      <c r="W1624" t="inlineStr"/>
      <c r="X1624" s="28">
        <f>IF(L1624+M1624=0,"",L1624+M1624)</f>
        <v/>
      </c>
      <c r="Y1624" s="38">
        <f>IF(L1624=0,"",M1624/L1624)</f>
        <v/>
      </c>
      <c r="Z1624" t="inlineStr">
        <is>
          <t>Director &amp; Investment Officer</t>
        </is>
      </c>
      <c r="AA1624" t="inlineStr">
        <is>
          <t>Investments</t>
        </is>
      </c>
      <c r="AB1624" s="50" t="inlineStr"/>
      <c r="AC1624" s="43">
        <f>HYPERLINK("https://projects.propublica.org/nonprofits/organizations/736091755/202641349349309284/full","view filing")</f>
        <v/>
      </c>
      <c r="AD1624" s="50" t="inlineStr">
        <is>
          <t>Y</t>
        </is>
      </c>
    </row>
    <row r="1625">
      <c r="A1625" t="inlineStr">
        <is>
          <t>University Of Oklahoma Foundation Inc</t>
        </is>
      </c>
      <c r="B1625" s="50" t="inlineStr">
        <is>
          <t>OK</t>
        </is>
      </c>
      <c r="C1625" s="52" t="n">
        <v>2.74</v>
      </c>
      <c r="D1625" t="inlineStr">
        <is>
          <t>Endowment</t>
        </is>
      </c>
      <c r="E1625" s="50" t="n">
        <v>2025</v>
      </c>
      <c r="F1625" s="50" t="inlineStr">
        <is>
          <t>2026-05-14</t>
        </is>
      </c>
      <c r="G1625" s="50" t="inlineStr">
        <is>
          <t>2025-06-30</t>
        </is>
      </c>
      <c r="H1625" t="inlineStr">
        <is>
          <t>Brad Johnson</t>
        </is>
      </c>
      <c r="I1625" t="inlineStr">
        <is>
          <t>VICE PRESIDENT AND CIO</t>
        </is>
      </c>
      <c r="J1625" t="inlineStr">
        <is>
          <t>CIO</t>
        </is>
      </c>
      <c r="K1625" t="inlineStr">
        <is>
          <t>CIO - Top Investment Executive</t>
        </is>
      </c>
      <c r="L1625" s="28" t="n">
        <v>522042</v>
      </c>
      <c r="M1625" s="28" t="n">
        <v>344916</v>
      </c>
      <c r="N1625" s="28" t="n">
        <v>0</v>
      </c>
      <c r="O1625" s="28" t="n">
        <v>45450</v>
      </c>
      <c r="P1625" s="28" t="n">
        <v>10084</v>
      </c>
      <c r="Q1625" s="28" t="n">
        <v>922492</v>
      </c>
      <c r="R1625" s="28" t="n">
        <v>0</v>
      </c>
      <c r="S1625" s="28">
        <f>Q1625-R1625</f>
        <v/>
      </c>
      <c r="T1625" s="28">
        <f>IF(S1625="","",S1625*(1+in_GrowthRate)^(YEARFRAC(DATE(2025,6,30),in_AgeToDate)*IF(in_AgeToDate&lt;DATE(2025,6,30),-1,1)+1))</f>
        <v/>
      </c>
      <c r="U1625" s="50">
        <f>IF(AND(AND(OR(in_Mode="All Funds",AND(C1625&gt;=in_BandFloor,C1625&lt;=in_BandCeiling,OR(in_Geography="National",COUNTIFS(lst_GeoPreset,in_Geography,lst_GeoState,B1625)&gt;0,AND(in_Geography="Custom",ISNUMBER(SEARCH(B1625,SUBSTITUTE(in_CustomStates," ",""))))),OR(AND(D1625="Endowment",Inputs!$B$14="Y"),AND(D1625="Foundation",Inputs!$B$15="Y"),AND(D1625="Healthcare",Inputs!$B$16="Y"),AND(D1625="Pension",Inputs!$B$17="Y"),AND(D1625="OCIO",Inputs!$B$18="Y"),AND(D1625="Other",Inputs!$B$19="Y")))),A1625&lt;&gt;in_ClientOrg,NOT(AND(in_ExclHarvard="Y",ISNUMBER(SEARCH("Harvard",A1625))))),$AD1625="Y",K1625&lt;&gt;"",S1625&gt;0),"Y","")</f>
        <v/>
      </c>
      <c r="V1625" s="30" t="n">
        <v>1</v>
      </c>
      <c r="W1625" t="inlineStr"/>
      <c r="X1625" s="28">
        <f>IF(L1625+M1625=0,"",L1625+M1625)</f>
        <v/>
      </c>
      <c r="Y1625" s="38">
        <f>IF(L1625=0,"",M1625/L1625)</f>
        <v/>
      </c>
      <c r="Z1625" t="inlineStr">
        <is>
          <t>CIO - Top Investment Executive</t>
        </is>
      </c>
      <c r="AA1625" t="inlineStr">
        <is>
          <t>Leadership</t>
        </is>
      </c>
      <c r="AB1625" s="50" t="inlineStr">
        <is>
          <t>Y</t>
        </is>
      </c>
      <c r="AC1625" s="43">
        <f>HYPERLINK("https://projects.propublica.org/nonprofits/organizations/736091755/202641349349309284/full","view filing")</f>
        <v/>
      </c>
      <c r="AD1625" s="50" t="inlineStr">
        <is>
          <t>Y</t>
        </is>
      </c>
    </row>
    <row r="1626">
      <c r="A1626" t="inlineStr">
        <is>
          <t>University Of Oklahoma Foundation Inc</t>
        </is>
      </c>
      <c r="B1626" s="50" t="inlineStr">
        <is>
          <t>OK</t>
        </is>
      </c>
      <c r="C1626" s="52" t="n">
        <v>2.74</v>
      </c>
      <c r="D1626" t="inlineStr">
        <is>
          <t>Endowment</t>
        </is>
      </c>
      <c r="E1626" s="50" t="n">
        <v>2025</v>
      </c>
      <c r="F1626" s="50" t="inlineStr">
        <is>
          <t>2026-05-14</t>
        </is>
      </c>
      <c r="G1626" s="50" t="inlineStr">
        <is>
          <t>2025-06-30</t>
        </is>
      </c>
      <c r="H1626" t="inlineStr">
        <is>
          <t>Eugene Lohmeyer</t>
        </is>
      </c>
      <c r="I1626" t="inlineStr">
        <is>
          <t>DEPUTY CHIEF INVESTMENT OFFICER</t>
        </is>
      </c>
      <c r="J1626" t="inlineStr">
        <is>
          <t>Deputy CIO</t>
        </is>
      </c>
      <c r="K1626" t="inlineStr">
        <is>
          <t>Sr Investment Professional</t>
        </is>
      </c>
      <c r="L1626" s="28" t="n">
        <v>395992</v>
      </c>
      <c r="M1626" s="28" t="n">
        <v>235673</v>
      </c>
      <c r="N1626" s="28" t="n">
        <v>0</v>
      </c>
      <c r="O1626" s="28" t="n">
        <v>45150</v>
      </c>
      <c r="P1626" s="28" t="n">
        <v>12314</v>
      </c>
      <c r="Q1626" s="28" t="n">
        <v>689129</v>
      </c>
      <c r="R1626" s="28" t="n">
        <v>0</v>
      </c>
      <c r="S1626" s="28">
        <f>Q1626-R1626</f>
        <v/>
      </c>
      <c r="T1626" s="28">
        <f>IF(S1626="","",S1626*(1+in_GrowthRate)^(YEARFRAC(DATE(2025,6,30),in_AgeToDate)*IF(in_AgeToDate&lt;DATE(2025,6,30),-1,1)+1))</f>
        <v/>
      </c>
      <c r="U1626" s="50">
        <f>IF(AND(AND(OR(in_Mode="All Funds",AND(C1626&gt;=in_BandFloor,C1626&lt;=in_BandCeiling,OR(in_Geography="National",COUNTIFS(lst_GeoPreset,in_Geography,lst_GeoState,B1626)&gt;0,AND(in_Geography="Custom",ISNUMBER(SEARCH(B1626,SUBSTITUTE(in_CustomStates," ",""))))),OR(AND(D1626="Endowment",Inputs!$B$14="Y"),AND(D1626="Foundation",Inputs!$B$15="Y"),AND(D1626="Healthcare",Inputs!$B$16="Y"),AND(D1626="Pension",Inputs!$B$17="Y"),AND(D1626="OCIO",Inputs!$B$18="Y"),AND(D1626="Other",Inputs!$B$19="Y")))),A1626&lt;&gt;in_ClientOrg,NOT(AND(in_ExclHarvard="Y",ISNUMBER(SEARCH("Harvard",A1626))))),$AD1626="Y",K1626&lt;&gt;"",S1626&gt;0),"Y","")</f>
        <v/>
      </c>
      <c r="V1626" s="30" t="n">
        <v>0.7470297845401369</v>
      </c>
      <c r="W1626" t="inlineStr"/>
      <c r="X1626" s="28">
        <f>IF(L1626+M1626=0,"",L1626+M1626)</f>
        <v/>
      </c>
      <c r="Y1626" s="38">
        <f>IF(L1626=0,"",M1626/L1626)</f>
        <v/>
      </c>
      <c r="Z1626" t="inlineStr">
        <is>
          <t>Deputy CIO</t>
        </is>
      </c>
      <c r="AA1626" t="inlineStr">
        <is>
          <t>Leadership</t>
        </is>
      </c>
      <c r="AB1626" s="50" t="inlineStr"/>
      <c r="AC1626" s="43">
        <f>HYPERLINK("https://projects.propublica.org/nonprofits/organizations/736091755/202641349349309284/full","view filing")</f>
        <v/>
      </c>
      <c r="AD1626" s="50" t="inlineStr">
        <is>
          <t>Y</t>
        </is>
      </c>
    </row>
    <row r="1627">
      <c r="A1627" t="inlineStr">
        <is>
          <t>University Of Oklahoma Foundation Inc</t>
        </is>
      </c>
      <c r="B1627" s="50" t="inlineStr">
        <is>
          <t>OK</t>
        </is>
      </c>
      <c r="C1627" s="52" t="n">
        <v>2.74</v>
      </c>
      <c r="D1627" t="inlineStr">
        <is>
          <t>Endowment</t>
        </is>
      </c>
      <c r="E1627" s="50" t="n">
        <v>2024</v>
      </c>
      <c r="F1627" s="50" t="inlineStr">
        <is>
          <t>2025-05-14</t>
        </is>
      </c>
      <c r="G1627" s="50" t="inlineStr">
        <is>
          <t>2024-06-30</t>
        </is>
      </c>
      <c r="H1627" t="inlineStr">
        <is>
          <t>Brad Johnson</t>
        </is>
      </c>
      <c r="I1627" t="inlineStr">
        <is>
          <t>VICE PRESIDENT AND CIO</t>
        </is>
      </c>
      <c r="J1627" t="inlineStr">
        <is>
          <t>CIO</t>
        </is>
      </c>
      <c r="K1627" t="inlineStr">
        <is>
          <t>CIO - Top Investment Executive</t>
        </is>
      </c>
      <c r="L1627" s="28" t="n">
        <v>460868</v>
      </c>
      <c r="M1627" s="28" t="n">
        <v>256412</v>
      </c>
      <c r="N1627" s="28" t="n">
        <v>16346</v>
      </c>
      <c r="O1627" s="28" t="n">
        <v>42900</v>
      </c>
      <c r="P1627" s="28" t="n">
        <v>9116</v>
      </c>
      <c r="Q1627" s="28" t="n">
        <v>785642</v>
      </c>
      <c r="R1627" s="28" t="n">
        <v>0</v>
      </c>
      <c r="S1627" s="28">
        <f>Q1627-R1627</f>
        <v/>
      </c>
      <c r="T1627" s="28">
        <f>IF(S1627="","",S1627*(1+in_GrowthRate)^(YEARFRAC(DATE(2024,6,30),in_AgeToDate)*IF(in_AgeToDate&lt;DATE(2024,6,30),-1,1)+1))</f>
        <v/>
      </c>
      <c r="U1627" s="50">
        <f>IF(AND(AND(OR(in_Mode="All Funds",AND(C1627&gt;=in_BandFloor,C1627&lt;=in_BandCeiling,OR(in_Geography="National",COUNTIFS(lst_GeoPreset,in_Geography,lst_GeoState,B1627)&gt;0,AND(in_Geography="Custom",ISNUMBER(SEARCH(B1627,SUBSTITUTE(in_CustomStates," ",""))))),OR(AND(D1627="Endowment",Inputs!$B$14="Y"),AND(D1627="Foundation",Inputs!$B$15="Y"),AND(D1627="Healthcare",Inputs!$B$16="Y"),AND(D1627="Pension",Inputs!$B$17="Y"),AND(D1627="OCIO",Inputs!$B$18="Y"),AND(D1627="Other",Inputs!$B$19="Y")))),A1627&lt;&gt;in_ClientOrg,NOT(AND(in_ExclHarvard="Y",ISNUMBER(SEARCH("Harvard",A1627))))),$AD1627="Y",K1627&lt;&gt;"",S1627&gt;0),"Y","")</f>
        <v/>
      </c>
      <c r="V1627" s="30" t="n">
        <v>1</v>
      </c>
      <c r="W1627" t="inlineStr"/>
      <c r="X1627" s="28">
        <f>IF(L1627+M1627=0,"",L1627+M1627)</f>
        <v/>
      </c>
      <c r="Y1627" s="38">
        <f>IF(L1627=0,"",M1627/L1627)</f>
        <v/>
      </c>
      <c r="Z1627" t="inlineStr">
        <is>
          <t>CIO - Top Investment Executive</t>
        </is>
      </c>
      <c r="AA1627" t="inlineStr">
        <is>
          <t>Leadership</t>
        </is>
      </c>
      <c r="AB1627" s="50" t="inlineStr">
        <is>
          <t>Y</t>
        </is>
      </c>
      <c r="AC1627" s="43">
        <f>HYPERLINK("https://projects.propublica.org/nonprofits/organizations/736091755/202531349349311293/full","view filing")</f>
        <v/>
      </c>
      <c r="AD1627" s="50" t="inlineStr"/>
    </row>
    <row r="1628">
      <c r="A1628" t="inlineStr">
        <is>
          <t>University Of Oklahoma Foundation Inc</t>
        </is>
      </c>
      <c r="B1628" s="50" t="inlineStr">
        <is>
          <t>OK</t>
        </is>
      </c>
      <c r="C1628" s="52" t="n">
        <v>2.74</v>
      </c>
      <c r="D1628" t="inlineStr">
        <is>
          <t>Endowment</t>
        </is>
      </c>
      <c r="E1628" s="50" t="n">
        <v>2024</v>
      </c>
      <c r="F1628" s="50" t="inlineStr">
        <is>
          <t>2025-05-14</t>
        </is>
      </c>
      <c r="G1628" s="50" t="inlineStr">
        <is>
          <t>2024-06-30</t>
        </is>
      </c>
      <c r="H1628" t="inlineStr">
        <is>
          <t>Eugene Lohmeyer</t>
        </is>
      </c>
      <c r="I1628" t="inlineStr">
        <is>
          <t>DEPUTY CHIEF INVESTMENT OFFICER</t>
        </is>
      </c>
      <c r="J1628" t="inlineStr">
        <is>
          <t>Deputy CIO</t>
        </is>
      </c>
      <c r="K1628" t="inlineStr">
        <is>
          <t>Sr Investment Professional</t>
        </is>
      </c>
      <c r="L1628" s="28" t="n">
        <v>271025</v>
      </c>
      <c r="M1628" s="28" t="n">
        <v>105907</v>
      </c>
      <c r="N1628" s="28" t="n">
        <v>0</v>
      </c>
      <c r="O1628" s="28" t="n">
        <v>36750</v>
      </c>
      <c r="P1628" s="28" t="n">
        <v>9297</v>
      </c>
      <c r="Q1628" s="28" t="n">
        <v>422979</v>
      </c>
      <c r="R1628" s="28" t="n">
        <v>0</v>
      </c>
      <c r="S1628" s="28">
        <f>Q1628-R1628</f>
        <v/>
      </c>
      <c r="T1628" s="28">
        <f>IF(S1628="","",S1628*(1+in_GrowthRate)^(YEARFRAC(DATE(2024,6,30),in_AgeToDate)*IF(in_AgeToDate&lt;DATE(2024,6,30),-1,1)+1))</f>
        <v/>
      </c>
      <c r="U1628" s="50">
        <f>IF(AND(AND(OR(in_Mode="All Funds",AND(C1628&gt;=in_BandFloor,C1628&lt;=in_BandCeiling,OR(in_Geography="National",COUNTIFS(lst_GeoPreset,in_Geography,lst_GeoState,B1628)&gt;0,AND(in_Geography="Custom",ISNUMBER(SEARCH(B1628,SUBSTITUTE(in_CustomStates," ",""))))),OR(AND(D1628="Endowment",Inputs!$B$14="Y"),AND(D1628="Foundation",Inputs!$B$15="Y"),AND(D1628="Healthcare",Inputs!$B$16="Y"),AND(D1628="Pension",Inputs!$B$17="Y"),AND(D1628="OCIO",Inputs!$B$18="Y"),AND(D1628="Other",Inputs!$B$19="Y")))),A1628&lt;&gt;in_ClientOrg,NOT(AND(in_ExclHarvard="Y",ISNUMBER(SEARCH("Harvard",A1628))))),$AD1628="Y",K1628&lt;&gt;"",S1628&gt;0),"Y","")</f>
        <v/>
      </c>
      <c r="V1628" s="30" t="n">
        <v>0.5383864406434483</v>
      </c>
      <c r="W1628" t="inlineStr"/>
      <c r="X1628" s="28">
        <f>IF(L1628+M1628=0,"",L1628+M1628)</f>
        <v/>
      </c>
      <c r="Y1628" s="38">
        <f>IF(L1628=0,"",M1628/L1628)</f>
        <v/>
      </c>
      <c r="Z1628" t="inlineStr">
        <is>
          <t>Deputy CIO</t>
        </is>
      </c>
      <c r="AA1628" t="inlineStr">
        <is>
          <t>Leadership</t>
        </is>
      </c>
      <c r="AB1628" s="50" t="inlineStr"/>
      <c r="AC1628" s="43">
        <f>HYPERLINK("https://projects.propublica.org/nonprofits/organizations/736091755/202531349349311293/full","view filing")</f>
        <v/>
      </c>
      <c r="AD1628" s="50" t="inlineStr"/>
    </row>
    <row r="1629">
      <c r="A1629" t="inlineStr">
        <is>
          <t>University Of Oklahoma Foundation Inc</t>
        </is>
      </c>
      <c r="B1629" s="50" t="inlineStr">
        <is>
          <t>OK</t>
        </is>
      </c>
      <c r="C1629" s="52" t="n">
        <v>2.74</v>
      </c>
      <c r="D1629" t="inlineStr">
        <is>
          <t>Endowment</t>
        </is>
      </c>
      <c r="E1629" s="50" t="n">
        <v>2023</v>
      </c>
      <c r="F1629" s="50" t="inlineStr">
        <is>
          <t>2024-05-15</t>
        </is>
      </c>
      <c r="G1629" s="50" t="inlineStr">
        <is>
          <t>2023-06-30</t>
        </is>
      </c>
      <c r="H1629" t="inlineStr">
        <is>
          <t>Brad Johnson</t>
        </is>
      </c>
      <c r="I1629" t="inlineStr">
        <is>
          <t>VICE PRESIDENT AND CIO</t>
        </is>
      </c>
      <c r="J1629" t="inlineStr">
        <is>
          <t>CIO</t>
        </is>
      </c>
      <c r="K1629" t="inlineStr">
        <is>
          <t>CIO - Top Investment Executive</t>
        </is>
      </c>
      <c r="L1629" s="28" t="n">
        <v>390448</v>
      </c>
      <c r="M1629" s="28" t="n">
        <v>277586</v>
      </c>
      <c r="N1629" s="28" t="n">
        <v>14808</v>
      </c>
      <c r="O1629" s="28" t="n">
        <v>40250</v>
      </c>
      <c r="P1629" s="28" t="n">
        <v>10011</v>
      </c>
      <c r="Q1629" s="28" t="n">
        <v>733103</v>
      </c>
      <c r="R1629" s="28" t="n">
        <v>0</v>
      </c>
      <c r="S1629" s="28">
        <f>Q1629-R1629</f>
        <v/>
      </c>
      <c r="T1629" s="28">
        <f>IF(S1629="","",S1629*(1+in_GrowthRate)^(YEARFRAC(DATE(2023,6,30),in_AgeToDate)*IF(in_AgeToDate&lt;DATE(2023,6,30),-1,1)+1))</f>
        <v/>
      </c>
      <c r="U1629" s="50">
        <f>IF(AND(AND(OR(in_Mode="All Funds",AND(C1629&gt;=in_BandFloor,C1629&lt;=in_BandCeiling,OR(in_Geography="National",COUNTIFS(lst_GeoPreset,in_Geography,lst_GeoState,B1629)&gt;0,AND(in_Geography="Custom",ISNUMBER(SEARCH(B1629,SUBSTITUTE(in_CustomStates," ",""))))),OR(AND(D1629="Endowment",Inputs!$B$14="Y"),AND(D1629="Foundation",Inputs!$B$15="Y"),AND(D1629="Healthcare",Inputs!$B$16="Y"),AND(D1629="Pension",Inputs!$B$17="Y"),AND(D1629="OCIO",Inputs!$B$18="Y"),AND(D1629="Other",Inputs!$B$19="Y")))),A1629&lt;&gt;in_ClientOrg,NOT(AND(in_ExclHarvard="Y",ISNUMBER(SEARCH("Harvard",A1629))))),$AD1629="Y",K1629&lt;&gt;"",S1629&gt;0),"Y","")</f>
        <v/>
      </c>
      <c r="V1629" s="30" t="n">
        <v>1</v>
      </c>
      <c r="W1629" t="inlineStr"/>
      <c r="X1629" s="28">
        <f>IF(L1629+M1629=0,"",L1629+M1629)</f>
        <v/>
      </c>
      <c r="Y1629" s="38">
        <f>IF(L1629=0,"",M1629/L1629)</f>
        <v/>
      </c>
      <c r="Z1629" t="inlineStr">
        <is>
          <t>CIO - Top Investment Executive</t>
        </is>
      </c>
      <c r="AA1629" t="inlineStr">
        <is>
          <t>Leadership</t>
        </is>
      </c>
      <c r="AB1629" s="50" t="inlineStr">
        <is>
          <t>Y</t>
        </is>
      </c>
      <c r="AC1629" s="43">
        <f>HYPERLINK("https://projects.propublica.org/nonprofits/organizations/736091755/202431369349315558/full","view filing")</f>
        <v/>
      </c>
      <c r="AD1629" s="50" t="inlineStr"/>
    </row>
    <row r="1630">
      <c r="A1630" t="inlineStr">
        <is>
          <t>University Of Oklahoma Foundation Inc</t>
        </is>
      </c>
      <c r="B1630" s="50" t="inlineStr">
        <is>
          <t>OK</t>
        </is>
      </c>
      <c r="C1630" s="52" t="n">
        <v>2.74</v>
      </c>
      <c r="D1630" t="inlineStr">
        <is>
          <t>Endowment</t>
        </is>
      </c>
      <c r="E1630" s="50" t="n">
        <v>2023</v>
      </c>
      <c r="F1630" s="50" t="inlineStr">
        <is>
          <t>2024-05-15</t>
        </is>
      </c>
      <c r="G1630" s="50" t="inlineStr">
        <is>
          <t>2023-06-30</t>
        </is>
      </c>
      <c r="H1630" t="inlineStr">
        <is>
          <t>Eugene Lohmeyer</t>
        </is>
      </c>
      <c r="I1630" t="inlineStr">
        <is>
          <t>DEPUTY CHIEF INVESTMENT OFFICER</t>
        </is>
      </c>
      <c r="J1630" t="inlineStr">
        <is>
          <t>Deputy CIO</t>
        </is>
      </c>
      <c r="K1630" t="inlineStr">
        <is>
          <t>Sr Investment Professional</t>
        </is>
      </c>
      <c r="L1630" s="28" t="n">
        <v>174923</v>
      </c>
      <c r="M1630" s="28" t="n">
        <v>200000</v>
      </c>
      <c r="N1630" s="28" t="n">
        <v>66898</v>
      </c>
      <c r="O1630" s="28" t="n">
        <v>23565</v>
      </c>
      <c r="P1630" s="28" t="n">
        <v>6934</v>
      </c>
      <c r="Q1630" s="28" t="n">
        <v>472320</v>
      </c>
      <c r="R1630" s="28" t="n">
        <v>0</v>
      </c>
      <c r="S1630" s="28">
        <f>Q1630-R1630</f>
        <v/>
      </c>
      <c r="T1630" s="28">
        <f>IF(S1630="","",S1630*(1+in_GrowthRate)^(YEARFRAC(DATE(2023,6,30),in_AgeToDate)*IF(in_AgeToDate&lt;DATE(2023,6,30),-1,1)+1))</f>
        <v/>
      </c>
      <c r="U1630" s="50">
        <f>IF(AND(AND(OR(in_Mode="All Funds",AND(C1630&gt;=in_BandFloor,C1630&lt;=in_BandCeiling,OR(in_Geography="National",COUNTIFS(lst_GeoPreset,in_Geography,lst_GeoState,B1630)&gt;0,AND(in_Geography="Custom",ISNUMBER(SEARCH(B1630,SUBSTITUTE(in_CustomStates," ",""))))),OR(AND(D1630="Endowment",Inputs!$B$14="Y"),AND(D1630="Foundation",Inputs!$B$15="Y"),AND(D1630="Healthcare",Inputs!$B$16="Y"),AND(D1630="Pension",Inputs!$B$17="Y"),AND(D1630="OCIO",Inputs!$B$18="Y"),AND(D1630="Other",Inputs!$B$19="Y")))),A1630&lt;&gt;in_ClientOrg,NOT(AND(in_ExclHarvard="Y",ISNUMBER(SEARCH("Harvard",A1630))))),$AD1630="Y",K1630&lt;&gt;"",S1630&gt;0),"Y","")</f>
        <v/>
      </c>
      <c r="V1630" s="30" t="n">
        <v>0.6442750882208912</v>
      </c>
      <c r="W1630" t="inlineStr"/>
      <c r="X1630" s="28">
        <f>IF(L1630+M1630=0,"",L1630+M1630)</f>
        <v/>
      </c>
      <c r="Y1630" s="38">
        <f>IF(L1630=0,"",M1630/L1630)</f>
        <v/>
      </c>
      <c r="Z1630" t="inlineStr">
        <is>
          <t>Deputy CIO</t>
        </is>
      </c>
      <c r="AA1630" t="inlineStr">
        <is>
          <t>Leadership</t>
        </is>
      </c>
      <c r="AB1630" s="50" t="inlineStr"/>
      <c r="AC1630" s="43">
        <f>HYPERLINK("https://projects.propublica.org/nonprofits/organizations/736091755/202431369349315558/full","view filing")</f>
        <v/>
      </c>
      <c r="AD1630" s="50" t="inlineStr"/>
    </row>
    <row r="1631">
      <c r="A1631" t="inlineStr">
        <is>
          <t>University Of Oklahoma Foundation Inc</t>
        </is>
      </c>
      <c r="B1631" s="50" t="inlineStr">
        <is>
          <t>OK</t>
        </is>
      </c>
      <c r="C1631" s="52" t="n">
        <v>2.74</v>
      </c>
      <c r="D1631" t="inlineStr">
        <is>
          <t>Endowment</t>
        </is>
      </c>
      <c r="E1631" s="50" t="n">
        <v>2022</v>
      </c>
      <c r="F1631" s="50" t="inlineStr">
        <is>
          <t>2023-05-12</t>
        </is>
      </c>
      <c r="G1631" s="50" t="inlineStr">
        <is>
          <t>2022-06-30</t>
        </is>
      </c>
      <c r="H1631" t="inlineStr">
        <is>
          <t>Brad Johnson</t>
        </is>
      </c>
      <c r="I1631" t="inlineStr">
        <is>
          <t>VICE PRESIDENT AND CIO</t>
        </is>
      </c>
      <c r="J1631" t="inlineStr">
        <is>
          <t>CIO</t>
        </is>
      </c>
      <c r="K1631" t="inlineStr">
        <is>
          <t>CIO - Top Investment Executive</t>
        </is>
      </c>
      <c r="L1631" s="28" t="n">
        <v>354765</v>
      </c>
      <c r="M1631" s="28" t="n">
        <v>276723</v>
      </c>
      <c r="N1631" s="28" t="n">
        <v>0</v>
      </c>
      <c r="O1631" s="28" t="n">
        <v>38300</v>
      </c>
      <c r="P1631" s="28" t="n">
        <v>11887</v>
      </c>
      <c r="Q1631" s="28" t="n">
        <v>681675</v>
      </c>
      <c r="R1631" s="28" t="n">
        <v>0</v>
      </c>
      <c r="S1631" s="28">
        <f>Q1631-R1631</f>
        <v/>
      </c>
      <c r="T1631" s="28">
        <f>IF(S1631="","",S1631*(1+in_GrowthRate)^(YEARFRAC(DATE(2022,6,30),in_AgeToDate)*IF(in_AgeToDate&lt;DATE(2022,6,30),-1,1)+1))</f>
        <v/>
      </c>
      <c r="U1631" s="50">
        <f>IF(AND(AND(OR(in_Mode="All Funds",AND(C1631&gt;=in_BandFloor,C1631&lt;=in_BandCeiling,OR(in_Geography="National",COUNTIFS(lst_GeoPreset,in_Geography,lst_GeoState,B1631)&gt;0,AND(in_Geography="Custom",ISNUMBER(SEARCH(B1631,SUBSTITUTE(in_CustomStates," ",""))))),OR(AND(D1631="Endowment",Inputs!$B$14="Y"),AND(D1631="Foundation",Inputs!$B$15="Y"),AND(D1631="Healthcare",Inputs!$B$16="Y"),AND(D1631="Pension",Inputs!$B$17="Y"),AND(D1631="OCIO",Inputs!$B$18="Y"),AND(D1631="Other",Inputs!$B$19="Y")))),A1631&lt;&gt;in_ClientOrg,NOT(AND(in_ExclHarvard="Y",ISNUMBER(SEARCH("Harvard",A1631))))),$AD1631="Y",K1631&lt;&gt;"",S1631&gt;0),"Y","")</f>
        <v/>
      </c>
      <c r="V1631" s="30" t="n">
        <v>1</v>
      </c>
      <c r="W1631" t="inlineStr"/>
      <c r="X1631" s="28">
        <f>IF(L1631+M1631=0,"",L1631+M1631)</f>
        <v/>
      </c>
      <c r="Y1631" s="38">
        <f>IF(L1631=0,"",M1631/L1631)</f>
        <v/>
      </c>
      <c r="Z1631" t="inlineStr">
        <is>
          <t>CIO - Top Investment Executive</t>
        </is>
      </c>
      <c r="AA1631" t="inlineStr">
        <is>
          <t>Leadership</t>
        </is>
      </c>
      <c r="AB1631" s="50" t="inlineStr">
        <is>
          <t>Y</t>
        </is>
      </c>
      <c r="AC1631" s="43">
        <f>HYPERLINK("https://projects.propublica.org/nonprofits/organizations/736091755/202341329349300124/full","view filing")</f>
        <v/>
      </c>
      <c r="AD1631" s="50" t="inlineStr"/>
    </row>
    <row r="1632">
      <c r="A1632" t="inlineStr">
        <is>
          <t>University Of Oklahoma Foundation Inc</t>
        </is>
      </c>
      <c r="B1632" s="50" t="inlineStr">
        <is>
          <t>OK</t>
        </is>
      </c>
      <c r="C1632" s="52" t="n">
        <v>2.74</v>
      </c>
      <c r="D1632" t="inlineStr">
        <is>
          <t>Endowment</t>
        </is>
      </c>
      <c r="E1632" s="50" t="n">
        <v>2022</v>
      </c>
      <c r="F1632" s="50" t="inlineStr">
        <is>
          <t>2023-05-12</t>
        </is>
      </c>
      <c r="G1632" s="50" t="inlineStr">
        <is>
          <t>2022-06-30</t>
        </is>
      </c>
      <c r="H1632" t="inlineStr">
        <is>
          <t>Eugene Lohmeyer</t>
        </is>
      </c>
      <c r="I1632" t="inlineStr">
        <is>
          <t>DEPUTY CHIEF INVESTMENT OFFICER</t>
        </is>
      </c>
      <c r="J1632" t="inlineStr">
        <is>
          <t>Deputy CIO</t>
        </is>
      </c>
      <c r="K1632" t="inlineStr">
        <is>
          <t>Sr Investment Professional</t>
        </is>
      </c>
      <c r="L1632" s="28" t="n">
        <v>312950</v>
      </c>
      <c r="M1632" s="28" t="n">
        <v>194835</v>
      </c>
      <c r="N1632" s="28" t="n">
        <v>11923</v>
      </c>
      <c r="O1632" s="28" t="n">
        <v>38000</v>
      </c>
      <c r="P1632" s="28" t="n">
        <v>12931</v>
      </c>
      <c r="Q1632" s="28" t="n">
        <v>570639</v>
      </c>
      <c r="R1632" s="28" t="n">
        <v>0</v>
      </c>
      <c r="S1632" s="28">
        <f>Q1632-R1632</f>
        <v/>
      </c>
      <c r="T1632" s="28">
        <f>IF(S1632="","",S1632*(1+in_GrowthRate)^(YEARFRAC(DATE(2022,6,30),in_AgeToDate)*IF(in_AgeToDate&lt;DATE(2022,6,30),-1,1)+1))</f>
        <v/>
      </c>
      <c r="U1632" s="50">
        <f>IF(AND(AND(OR(in_Mode="All Funds",AND(C1632&gt;=in_BandFloor,C1632&lt;=in_BandCeiling,OR(in_Geography="National",COUNTIFS(lst_GeoPreset,in_Geography,lst_GeoState,B1632)&gt;0,AND(in_Geography="Custom",ISNUMBER(SEARCH(B1632,SUBSTITUTE(in_CustomStates," ",""))))),OR(AND(D1632="Endowment",Inputs!$B$14="Y"),AND(D1632="Foundation",Inputs!$B$15="Y"),AND(D1632="Healthcare",Inputs!$B$16="Y"),AND(D1632="Pension",Inputs!$B$17="Y"),AND(D1632="OCIO",Inputs!$B$18="Y"),AND(D1632="Other",Inputs!$B$19="Y")))),A1632&lt;&gt;in_ClientOrg,NOT(AND(in_ExclHarvard="Y",ISNUMBER(SEARCH("Harvard",A1632))))),$AD1632="Y",K1632&lt;&gt;"",S1632&gt;0),"Y","")</f>
        <v/>
      </c>
      <c r="V1632" s="30" t="n">
        <v>0.837112993728683</v>
      </c>
      <c r="W1632" t="inlineStr"/>
      <c r="X1632" s="28">
        <f>IF(L1632+M1632=0,"",L1632+M1632)</f>
        <v/>
      </c>
      <c r="Y1632" s="38">
        <f>IF(L1632=0,"",M1632/L1632)</f>
        <v/>
      </c>
      <c r="Z1632" t="inlineStr">
        <is>
          <t>Deputy CIO</t>
        </is>
      </c>
      <c r="AA1632" t="inlineStr">
        <is>
          <t>Leadership</t>
        </is>
      </c>
      <c r="AB1632" s="50" t="inlineStr"/>
      <c r="AC1632" s="43">
        <f>HYPERLINK("https://projects.propublica.org/nonprofits/organizations/736091755/202341329349300124/full","view filing")</f>
        <v/>
      </c>
      <c r="AD1632" s="50" t="inlineStr"/>
    </row>
    <row r="1633">
      <c r="A1633" t="inlineStr">
        <is>
          <t>University Of Pittsburgh</t>
        </is>
      </c>
      <c r="B1633" s="50" t="inlineStr">
        <is>
          <t>PA</t>
        </is>
      </c>
      <c r="C1633" s="52" t="n">
        <v>6.15</v>
      </c>
      <c r="D1633" t="inlineStr">
        <is>
          <t>Endowment</t>
        </is>
      </c>
      <c r="E1633" s="50" t="n">
        <v>2025</v>
      </c>
      <c r="F1633" s="50" t="inlineStr">
        <is>
          <t>2026-05-14</t>
        </is>
      </c>
      <c r="G1633" s="50" t="inlineStr">
        <is>
          <t>2025-06-30</t>
        </is>
      </c>
      <c r="H1633" t="inlineStr">
        <is>
          <t>Jeffer Choudhry</t>
        </is>
      </c>
      <c r="I1633" t="inlineStr">
        <is>
          <t>CHIEF INVESTMENT OFFICER</t>
        </is>
      </c>
      <c r="J1633" t="inlineStr">
        <is>
          <t>CIO</t>
        </is>
      </c>
      <c r="K1633" t="inlineStr">
        <is>
          <t>CIO - Top Investment Executive</t>
        </is>
      </c>
      <c r="L1633" s="28" t="n">
        <v>756464</v>
      </c>
      <c r="M1633" s="28" t="n">
        <v>1272060</v>
      </c>
      <c r="N1633" s="28" t="n">
        <v>9676</v>
      </c>
      <c r="O1633" s="28" t="n">
        <v>29409</v>
      </c>
      <c r="P1633" s="28" t="n">
        <v>11600</v>
      </c>
      <c r="Q1633" s="28" t="n">
        <v>2079209</v>
      </c>
      <c r="R1633" s="28" t="n">
        <v>0</v>
      </c>
      <c r="S1633" s="28">
        <f>Q1633-R1633</f>
        <v/>
      </c>
      <c r="T1633" s="28">
        <f>IF(S1633="","",S1633*(1+in_GrowthRate)^(YEARFRAC(DATE(2025,6,30),in_AgeToDate)*IF(in_AgeToDate&lt;DATE(2025,6,30),-1,1)+1))</f>
        <v/>
      </c>
      <c r="U1633" s="50">
        <f>IF(AND(AND(OR(in_Mode="All Funds",AND(C1633&gt;=in_BandFloor,C1633&lt;=in_BandCeiling,OR(in_Geography="National",COUNTIFS(lst_GeoPreset,in_Geography,lst_GeoState,B1633)&gt;0,AND(in_Geography="Custom",ISNUMBER(SEARCH(B1633,SUBSTITUTE(in_CustomStates," ",""))))),OR(AND(D1633="Endowment",Inputs!$B$14="Y"),AND(D1633="Foundation",Inputs!$B$15="Y"),AND(D1633="Healthcare",Inputs!$B$16="Y"),AND(D1633="Pension",Inputs!$B$17="Y"),AND(D1633="OCIO",Inputs!$B$18="Y"),AND(D1633="Other",Inputs!$B$19="Y")))),A1633&lt;&gt;in_ClientOrg,NOT(AND(in_ExclHarvard="Y",ISNUMBER(SEARCH("Harvard",A1633))))),$AD1633="Y",K1633&lt;&gt;"",S1633&gt;0),"Y","")</f>
        <v/>
      </c>
      <c r="V1633" s="30" t="n">
        <v>1</v>
      </c>
      <c r="W1633" t="inlineStr"/>
      <c r="X1633" s="28">
        <f>IF(L1633+M1633=0,"",L1633+M1633)</f>
        <v/>
      </c>
      <c r="Y1633" s="38">
        <f>IF(L1633=0,"",M1633/L1633)</f>
        <v/>
      </c>
      <c r="Z1633" t="inlineStr">
        <is>
          <t>CIO - Top Investment Executive</t>
        </is>
      </c>
      <c r="AA1633" t="inlineStr">
        <is>
          <t>Leadership</t>
        </is>
      </c>
      <c r="AB1633" s="50" t="inlineStr">
        <is>
          <t>Y</t>
        </is>
      </c>
      <c r="AC1633" s="43">
        <f>HYPERLINK("https://projects.propublica.org/nonprofits/organizations/250965591/202641349349307379/full","view filing")</f>
        <v/>
      </c>
      <c r="AD1633" s="50" t="inlineStr">
        <is>
          <t>Y</t>
        </is>
      </c>
    </row>
    <row r="1634">
      <c r="A1634" t="inlineStr">
        <is>
          <t>University Of Pittsburgh</t>
        </is>
      </c>
      <c r="B1634" s="50" t="inlineStr">
        <is>
          <t>PA</t>
        </is>
      </c>
      <c r="C1634" s="52" t="n">
        <v>6.15</v>
      </c>
      <c r="D1634" t="inlineStr">
        <is>
          <t>Endowment</t>
        </is>
      </c>
      <c r="E1634" s="50" t="n">
        <v>2024</v>
      </c>
      <c r="F1634" s="50" t="inlineStr">
        <is>
          <t>2025-05-15</t>
        </is>
      </c>
      <c r="G1634" s="50" t="inlineStr">
        <is>
          <t>2024-06-30</t>
        </is>
      </c>
      <c r="H1634" t="inlineStr">
        <is>
          <t>Jeffer Choudhry</t>
        </is>
      </c>
      <c r="I1634" t="inlineStr">
        <is>
          <t>CHIEF INVESTMENT OFFICER</t>
        </is>
      </c>
      <c r="J1634" t="inlineStr">
        <is>
          <t>CIO</t>
        </is>
      </c>
      <c r="K1634" t="inlineStr">
        <is>
          <t>CIO - Top Investment Executive</t>
        </is>
      </c>
      <c r="L1634" s="28" t="n">
        <v>727469</v>
      </c>
      <c r="M1634" s="28" t="n">
        <v>0</v>
      </c>
      <c r="N1634" s="28" t="n">
        <v>9413</v>
      </c>
      <c r="O1634" s="28" t="n">
        <v>21893</v>
      </c>
      <c r="P1634" s="28" t="n">
        <v>10466</v>
      </c>
      <c r="Q1634" s="28" t="n">
        <v>769241</v>
      </c>
      <c r="R1634" s="28" t="n">
        <v>0</v>
      </c>
      <c r="S1634" s="28">
        <f>Q1634-R1634</f>
        <v/>
      </c>
      <c r="T1634" s="28">
        <f>IF(S1634="","",S1634*(1+in_GrowthRate)^(YEARFRAC(DATE(2024,6,30),in_AgeToDate)*IF(in_AgeToDate&lt;DATE(2024,6,30),-1,1)+1))</f>
        <v/>
      </c>
      <c r="U1634" s="50">
        <f>IF(AND(AND(OR(in_Mode="All Funds",AND(C1634&gt;=in_BandFloor,C1634&lt;=in_BandCeiling,OR(in_Geography="National",COUNTIFS(lst_GeoPreset,in_Geography,lst_GeoState,B1634)&gt;0,AND(in_Geography="Custom",ISNUMBER(SEARCH(B1634,SUBSTITUTE(in_CustomStates," ",""))))),OR(AND(D1634="Endowment",Inputs!$B$14="Y"),AND(D1634="Foundation",Inputs!$B$15="Y"),AND(D1634="Healthcare",Inputs!$B$16="Y"),AND(D1634="Pension",Inputs!$B$17="Y"),AND(D1634="OCIO",Inputs!$B$18="Y"),AND(D1634="Other",Inputs!$B$19="Y")))),A1634&lt;&gt;in_ClientOrg,NOT(AND(in_ExclHarvard="Y",ISNUMBER(SEARCH("Harvard",A1634))))),$AD1634="Y",K1634&lt;&gt;"",S1634&gt;0),"Y","")</f>
        <v/>
      </c>
      <c r="V1634" s="30" t="n">
        <v>1</v>
      </c>
      <c r="W1634" t="inlineStr"/>
      <c r="X1634" s="28">
        <f>IF(L1634+M1634=0,"",L1634+M1634)</f>
        <v/>
      </c>
      <c r="Y1634" s="38">
        <f>IF(L1634=0,"",M1634/L1634)</f>
        <v/>
      </c>
      <c r="Z1634" t="inlineStr">
        <is>
          <t>CIO - Top Investment Executive</t>
        </is>
      </c>
      <c r="AA1634" t="inlineStr">
        <is>
          <t>Leadership</t>
        </is>
      </c>
      <c r="AB1634" s="50" t="inlineStr">
        <is>
          <t>Y</t>
        </is>
      </c>
      <c r="AC1634" s="43">
        <f>HYPERLINK("https://projects.propublica.org/nonprofits/organizations/250965591/202521359349308187/full","view filing")</f>
        <v/>
      </c>
      <c r="AD1634" s="50" t="inlineStr"/>
    </row>
    <row r="1635">
      <c r="A1635" t="inlineStr">
        <is>
          <t>University Of Pittsburgh</t>
        </is>
      </c>
      <c r="B1635" s="50" t="inlineStr">
        <is>
          <t>PA</t>
        </is>
      </c>
      <c r="C1635" s="52" t="n">
        <v>6.15</v>
      </c>
      <c r="D1635" t="inlineStr">
        <is>
          <t>Endowment</t>
        </is>
      </c>
      <c r="E1635" s="50" t="n">
        <v>2023</v>
      </c>
      <c r="F1635" s="50" t="inlineStr">
        <is>
          <t>2024-05-14</t>
        </is>
      </c>
      <c r="G1635" s="50" t="inlineStr">
        <is>
          <t>2023-06-30</t>
        </is>
      </c>
      <c r="H1635" t="inlineStr">
        <is>
          <t>Jeffer Choudhry</t>
        </is>
      </c>
      <c r="I1635" t="inlineStr">
        <is>
          <t>CHIEF INVESTMENT OFFICER</t>
        </is>
      </c>
      <c r="J1635" t="inlineStr">
        <is>
          <t>CIO</t>
        </is>
      </c>
      <c r="K1635" t="inlineStr">
        <is>
          <t>CIO - Top Investment Executive</t>
        </is>
      </c>
      <c r="L1635" s="28" t="n">
        <v>598854</v>
      </c>
      <c r="M1635" s="28" t="n">
        <v>740000</v>
      </c>
      <c r="N1635" s="28" t="n">
        <v>2050</v>
      </c>
      <c r="O1635" s="28" t="n">
        <v>14000</v>
      </c>
      <c r="P1635" s="28" t="n">
        <v>8475</v>
      </c>
      <c r="Q1635" s="28" t="n">
        <v>1363379</v>
      </c>
      <c r="R1635" s="28" t="n">
        <v>0</v>
      </c>
      <c r="S1635" s="28">
        <f>Q1635-R1635</f>
        <v/>
      </c>
      <c r="T1635" s="28">
        <f>IF(S1635="","",S1635*(1+in_GrowthRate)^(YEARFRAC(DATE(2023,6,30),in_AgeToDate)*IF(in_AgeToDate&lt;DATE(2023,6,30),-1,1)+1))</f>
        <v/>
      </c>
      <c r="U1635" s="50">
        <f>IF(AND(AND(OR(in_Mode="All Funds",AND(C1635&gt;=in_BandFloor,C1635&lt;=in_BandCeiling,OR(in_Geography="National",COUNTIFS(lst_GeoPreset,in_Geography,lst_GeoState,B1635)&gt;0,AND(in_Geography="Custom",ISNUMBER(SEARCH(B1635,SUBSTITUTE(in_CustomStates," ",""))))),OR(AND(D1635="Endowment",Inputs!$B$14="Y"),AND(D1635="Foundation",Inputs!$B$15="Y"),AND(D1635="Healthcare",Inputs!$B$16="Y"),AND(D1635="Pension",Inputs!$B$17="Y"),AND(D1635="OCIO",Inputs!$B$18="Y"),AND(D1635="Other",Inputs!$B$19="Y")))),A1635&lt;&gt;in_ClientOrg,NOT(AND(in_ExclHarvard="Y",ISNUMBER(SEARCH("Harvard",A1635))))),$AD1635="Y",K1635&lt;&gt;"",S1635&gt;0),"Y","")</f>
        <v/>
      </c>
      <c r="V1635" s="30" t="n">
        <v>1</v>
      </c>
      <c r="W1635" t="inlineStr"/>
      <c r="X1635" s="28">
        <f>IF(L1635+M1635=0,"",L1635+M1635)</f>
        <v/>
      </c>
      <c r="Y1635" s="38">
        <f>IF(L1635=0,"",M1635/L1635)</f>
        <v/>
      </c>
      <c r="Z1635" t="inlineStr">
        <is>
          <t>CIO - Top Investment Executive</t>
        </is>
      </c>
      <c r="AA1635" t="inlineStr">
        <is>
          <t>Leadership</t>
        </is>
      </c>
      <c r="AB1635" s="50" t="inlineStr">
        <is>
          <t>Y</t>
        </is>
      </c>
      <c r="AC1635" s="43">
        <f>HYPERLINK("https://projects.propublica.org/nonprofits/organizations/250965591/202421359349308157/full","view filing")</f>
        <v/>
      </c>
      <c r="AD1635" s="50" t="inlineStr"/>
    </row>
    <row r="1636">
      <c r="A1636" t="inlineStr">
        <is>
          <t>University Of Richmond</t>
        </is>
      </c>
      <c r="B1636" s="50" t="inlineStr">
        <is>
          <t>VA</t>
        </is>
      </c>
      <c r="C1636" s="52" t="n">
        <v>5.9</v>
      </c>
      <c r="D1636" t="inlineStr">
        <is>
          <t>Endowment</t>
        </is>
      </c>
      <c r="E1636" s="50" t="n">
        <v>2025</v>
      </c>
      <c r="F1636" s="50" t="inlineStr">
        <is>
          <t>2026-05-14</t>
        </is>
      </c>
      <c r="G1636" s="50" t="inlineStr">
        <is>
          <t>2025-06-30</t>
        </is>
      </c>
      <c r="H1636" t="inlineStr">
        <is>
          <t>Gregory Ciaverelli</t>
        </is>
      </c>
      <c r="I1636" t="inlineStr">
        <is>
          <t>CHIEF OPERATING OFFICER, SMC</t>
        </is>
      </c>
      <c r="J1636" t="inlineStr">
        <is>
          <t>COO (Inv Entity)</t>
        </is>
      </c>
      <c r="K1636" t="inlineStr">
        <is>
          <t>COO (Investment Office)</t>
        </is>
      </c>
      <c r="L1636" s="28" t="n">
        <v>336214</v>
      </c>
      <c r="M1636" s="28" t="n">
        <v>360000</v>
      </c>
      <c r="N1636" s="28" t="n">
        <v>3615</v>
      </c>
      <c r="O1636" s="28" t="n">
        <v>14479</v>
      </c>
      <c r="P1636" s="28" t="n">
        <v>21649</v>
      </c>
      <c r="Q1636" s="28" t="n">
        <v>735957</v>
      </c>
      <c r="R1636" s="28" t="n">
        <v>0</v>
      </c>
      <c r="S1636" s="28">
        <f>Q1636-R1636</f>
        <v/>
      </c>
      <c r="T1636" s="28">
        <f>IF(S1636="","",S1636*(1+in_GrowthRate)^(YEARFRAC(DATE(2025,6,30),in_AgeToDate)*IF(in_AgeToDate&lt;DATE(2025,6,30),-1,1)+1))</f>
        <v/>
      </c>
      <c r="U1636" s="50">
        <f>IF(AND(AND(OR(in_Mode="All Funds",AND(C1636&gt;=in_BandFloor,C1636&lt;=in_BandCeiling,OR(in_Geography="National",COUNTIFS(lst_GeoPreset,in_Geography,lst_GeoState,B1636)&gt;0,AND(in_Geography="Custom",ISNUMBER(SEARCH(B1636,SUBSTITUTE(in_CustomStates," ",""))))),OR(AND(D1636="Endowment",Inputs!$B$14="Y"),AND(D1636="Foundation",Inputs!$B$15="Y"),AND(D1636="Healthcare",Inputs!$B$16="Y"),AND(D1636="Pension",Inputs!$B$17="Y"),AND(D1636="OCIO",Inputs!$B$18="Y"),AND(D1636="Other",Inputs!$B$19="Y")))),A1636&lt;&gt;in_ClientOrg,NOT(AND(in_ExclHarvard="Y",ISNUMBER(SEARCH("Harvard",A1636))))),$AD1636="Y",K1636&lt;&gt;"",S1636&gt;0),"Y","")</f>
        <v/>
      </c>
      <c r="V1636" s="30" t="n">
        <v>0.4015029964457271</v>
      </c>
      <c r="W1636" t="inlineStr"/>
      <c r="X1636" s="28">
        <f>IF(L1636+M1636=0,"",L1636+M1636)</f>
        <v/>
      </c>
      <c r="Y1636" s="38">
        <f>IF(L1636=0,"",M1636/L1636)</f>
        <v/>
      </c>
      <c r="Z1636" t="inlineStr">
        <is>
          <t>COO (Investment Office)</t>
        </is>
      </c>
      <c r="AA1636" t="inlineStr">
        <is>
          <t>Operations &amp; Control</t>
        </is>
      </c>
      <c r="AB1636" s="50" t="inlineStr"/>
      <c r="AC1636" s="43">
        <f>HYPERLINK("https://projects.propublica.org/nonprofits/organizations/540505965/202621349349310067/full","view filing")</f>
        <v/>
      </c>
      <c r="AD1636" s="50" t="inlineStr">
        <is>
          <t>Y</t>
        </is>
      </c>
    </row>
    <row r="1637">
      <c r="A1637" t="inlineStr">
        <is>
          <t>University Of Richmond</t>
        </is>
      </c>
      <c r="B1637" s="50" t="inlineStr">
        <is>
          <t>VA</t>
        </is>
      </c>
      <c r="C1637" s="52" t="n">
        <v>5.9</v>
      </c>
      <c r="D1637" t="inlineStr">
        <is>
          <t>Endowment</t>
        </is>
      </c>
      <c r="E1637" s="50" t="n">
        <v>2025</v>
      </c>
      <c r="F1637" s="50" t="inlineStr">
        <is>
          <t>2026-05-14</t>
        </is>
      </c>
      <c r="G1637" s="50" t="inlineStr">
        <is>
          <t>2025-06-30</t>
        </is>
      </c>
      <c r="H1637" t="inlineStr">
        <is>
          <t>Jonathan Moore</t>
        </is>
      </c>
      <c r="I1637" t="inlineStr">
        <is>
          <t>Chief Administrative Off, SMC</t>
        </is>
      </c>
      <c r="J1637" t="inlineStr">
        <is>
          <t>COO (Inv Entity)</t>
        </is>
      </c>
      <c r="K1637" t="inlineStr">
        <is>
          <t>Other disclosed professionals</t>
        </is>
      </c>
      <c r="L1637" s="28" t="n">
        <v>393333</v>
      </c>
      <c r="M1637" s="28" t="n">
        <v>301432</v>
      </c>
      <c r="N1637" s="28" t="n">
        <v>1453</v>
      </c>
      <c r="O1637" s="28" t="n">
        <v>34500</v>
      </c>
      <c r="P1637" s="28" t="n">
        <v>1028</v>
      </c>
      <c r="Q1637" s="28" t="n">
        <v>731746</v>
      </c>
      <c r="R1637" s="28" t="n">
        <v>0</v>
      </c>
      <c r="S1637" s="28">
        <f>Q1637-R1637</f>
        <v/>
      </c>
      <c r="T1637" s="28">
        <f>IF(S1637="","",S1637*(1+in_GrowthRate)^(YEARFRAC(DATE(2025,6,30),in_AgeToDate)*IF(in_AgeToDate&lt;DATE(2025,6,30),-1,1)+1))</f>
        <v/>
      </c>
      <c r="U1637" s="50">
        <f>IF(AND(AND(OR(in_Mode="All Funds",AND(C1637&gt;=in_BandFloor,C1637&lt;=in_BandCeiling,OR(in_Geography="National",COUNTIFS(lst_GeoPreset,in_Geography,lst_GeoState,B1637)&gt;0,AND(in_Geography="Custom",ISNUMBER(SEARCH(B1637,SUBSTITUTE(in_CustomStates," ",""))))),OR(AND(D1637="Endowment",Inputs!$B$14="Y"),AND(D1637="Foundation",Inputs!$B$15="Y"),AND(D1637="Healthcare",Inputs!$B$16="Y"),AND(D1637="Pension",Inputs!$B$17="Y"),AND(D1637="OCIO",Inputs!$B$18="Y"),AND(D1637="Other",Inputs!$B$19="Y")))),A1637&lt;&gt;in_ClientOrg,NOT(AND(in_ExclHarvard="Y",ISNUMBER(SEARCH("Harvard",A1637))))),$AD1637="Y",K1637&lt;&gt;"",S1637&gt;0),"Y","")</f>
        <v/>
      </c>
      <c r="V1637" s="30" t="n">
        <v>0.3992056759255976</v>
      </c>
      <c r="W1637" t="inlineStr">
        <is>
          <t>Other disclosed professionals</t>
        </is>
      </c>
      <c r="X1637" s="28">
        <f>IF(L1637+M1637=0,"",L1637+M1637)</f>
        <v/>
      </c>
      <c r="Y1637" s="38">
        <f>IF(L1637=0,"",M1637/L1637)</f>
        <v/>
      </c>
      <c r="Z1637" t="inlineStr">
        <is>
          <t>Other disclosed professionals</t>
        </is>
      </c>
      <c r="AA1637" t="inlineStr">
        <is>
          <t>Operations &amp; Control</t>
        </is>
      </c>
      <c r="AB1637" s="50" t="inlineStr"/>
      <c r="AC1637" s="43">
        <f>HYPERLINK("https://projects.propublica.org/nonprofits/organizations/540505965/202621349349310067/full","view filing")</f>
        <v/>
      </c>
      <c r="AD1637" s="50" t="inlineStr">
        <is>
          <t>Y</t>
        </is>
      </c>
    </row>
    <row r="1638">
      <c r="A1638" t="inlineStr">
        <is>
          <t>University Of Richmond</t>
        </is>
      </c>
      <c r="B1638" s="50" t="inlineStr">
        <is>
          <t>VA</t>
        </is>
      </c>
      <c r="C1638" s="52" t="n">
        <v>5.9</v>
      </c>
      <c r="D1638" t="inlineStr">
        <is>
          <t>Endowment</t>
        </is>
      </c>
      <c r="E1638" s="50" t="n">
        <v>2025</v>
      </c>
      <c r="F1638" s="50" t="inlineStr">
        <is>
          <t>2026-05-14</t>
        </is>
      </c>
      <c r="G1638" s="50" t="inlineStr">
        <is>
          <t>2025-06-30</t>
        </is>
      </c>
      <c r="H1638" t="inlineStr">
        <is>
          <t>Karen Welch</t>
        </is>
      </c>
      <c r="I1638" t="inlineStr">
        <is>
          <t>DEPUTY CIO, SMC</t>
        </is>
      </c>
      <c r="J1638" t="inlineStr">
        <is>
          <t>Deputy CIO</t>
        </is>
      </c>
      <c r="K1638" t="inlineStr">
        <is>
          <t>Sr Investment Professional</t>
        </is>
      </c>
      <c r="L1638" s="28" t="n">
        <v>514446</v>
      </c>
      <c r="M1638" s="28" t="n">
        <v>413688</v>
      </c>
      <c r="N1638" s="28" t="n">
        <v>6948</v>
      </c>
      <c r="O1638" s="28" t="n">
        <v>34500</v>
      </c>
      <c r="P1638" s="28" t="n">
        <v>32750</v>
      </c>
      <c r="Q1638" s="28" t="n">
        <v>1002332</v>
      </c>
      <c r="R1638" s="28" t="n">
        <v>0</v>
      </c>
      <c r="S1638" s="28">
        <f>Q1638-R1638</f>
        <v/>
      </c>
      <c r="T1638" s="28">
        <f>IF(S1638="","",S1638*(1+in_GrowthRate)^(YEARFRAC(DATE(2025,6,30),in_AgeToDate)*IF(in_AgeToDate&lt;DATE(2025,6,30),-1,1)+1))</f>
        <v/>
      </c>
      <c r="U1638" s="50">
        <f>IF(AND(AND(OR(in_Mode="All Funds",AND(C1638&gt;=in_BandFloor,C1638&lt;=in_BandCeiling,OR(in_Geography="National",COUNTIFS(lst_GeoPreset,in_Geography,lst_GeoState,B1638)&gt;0,AND(in_Geography="Custom",ISNUMBER(SEARCH(B1638,SUBSTITUTE(in_CustomStates," ",""))))),OR(AND(D1638="Endowment",Inputs!$B$14="Y"),AND(D1638="Foundation",Inputs!$B$15="Y"),AND(D1638="Healthcare",Inputs!$B$16="Y"),AND(D1638="Pension",Inputs!$B$17="Y"),AND(D1638="OCIO",Inputs!$B$18="Y"),AND(D1638="Other",Inputs!$B$19="Y")))),A1638&lt;&gt;in_ClientOrg,NOT(AND(in_ExclHarvard="Y",ISNUMBER(SEARCH("Harvard",A1638))))),$AD1638="Y",K1638&lt;&gt;"",S1638&gt;0),"Y","")</f>
        <v/>
      </c>
      <c r="V1638" s="30" t="n">
        <v>0.5468244767471993</v>
      </c>
      <c r="W1638" t="inlineStr"/>
      <c r="X1638" s="28">
        <f>IF(L1638+M1638=0,"",L1638+M1638)</f>
        <v/>
      </c>
      <c r="Y1638" s="38">
        <f>IF(L1638=0,"",M1638/L1638)</f>
        <v/>
      </c>
      <c r="Z1638" t="inlineStr">
        <is>
          <t>Deputy CIO</t>
        </is>
      </c>
      <c r="AA1638" t="inlineStr">
        <is>
          <t>Leadership</t>
        </is>
      </c>
      <c r="AB1638" s="50" t="inlineStr"/>
      <c r="AC1638" s="43">
        <f>HYPERLINK("https://projects.propublica.org/nonprofits/organizations/540505965/202621349349310067/full","view filing")</f>
        <v/>
      </c>
      <c r="AD1638" s="50" t="inlineStr">
        <is>
          <t>Y</t>
        </is>
      </c>
    </row>
    <row r="1639">
      <c r="A1639" t="inlineStr">
        <is>
          <t>University Of Richmond</t>
        </is>
      </c>
      <c r="B1639" s="50" t="inlineStr">
        <is>
          <t>VA</t>
        </is>
      </c>
      <c r="C1639" s="52" t="n">
        <v>5.9</v>
      </c>
      <c r="D1639" t="inlineStr">
        <is>
          <t>Endowment</t>
        </is>
      </c>
      <c r="E1639" s="50" t="n">
        <v>2025</v>
      </c>
      <c r="F1639" s="50" t="inlineStr">
        <is>
          <t>2026-05-14</t>
        </is>
      </c>
      <c r="G1639" s="50" t="inlineStr">
        <is>
          <t>2025-06-30</t>
        </is>
      </c>
      <c r="H1639" t="inlineStr">
        <is>
          <t>Samuel Taliaferro</t>
        </is>
      </c>
      <c r="I1639" t="inlineStr">
        <is>
          <t>DIRECTOR, SMC</t>
        </is>
      </c>
      <c r="J1639" t="inlineStr">
        <is>
          <t>Director of Investments</t>
        </is>
      </c>
      <c r="K1639" t="inlineStr">
        <is>
          <t>Sr Investment Professional</t>
        </is>
      </c>
      <c r="L1639" s="28" t="n">
        <v>421614</v>
      </c>
      <c r="M1639" s="28" t="n">
        <v>361495</v>
      </c>
      <c r="N1639" s="28" t="n">
        <v>1900</v>
      </c>
      <c r="O1639" s="28" t="n">
        <v>34500</v>
      </c>
      <c r="P1639" s="28" t="n">
        <v>26582</v>
      </c>
      <c r="Q1639" s="28" t="n">
        <v>846091</v>
      </c>
      <c r="R1639" s="28" t="n">
        <v>0</v>
      </c>
      <c r="S1639" s="28">
        <f>Q1639-R1639</f>
        <v/>
      </c>
      <c r="T1639" s="28">
        <f>IF(S1639="","",S1639*(1+in_GrowthRate)^(YEARFRAC(DATE(2025,6,30),in_AgeToDate)*IF(in_AgeToDate&lt;DATE(2025,6,30),-1,1)+1))</f>
        <v/>
      </c>
      <c r="U1639" s="50">
        <f>IF(AND(AND(OR(in_Mode="All Funds",AND(C1639&gt;=in_BandFloor,C1639&lt;=in_BandCeiling,OR(in_Geography="National",COUNTIFS(lst_GeoPreset,in_Geography,lst_GeoState,B1639)&gt;0,AND(in_Geography="Custom",ISNUMBER(SEARCH(B1639,SUBSTITUTE(in_CustomStates," ",""))))),OR(AND(D1639="Endowment",Inputs!$B$14="Y"),AND(D1639="Foundation",Inputs!$B$15="Y"),AND(D1639="Healthcare",Inputs!$B$16="Y"),AND(D1639="Pension",Inputs!$B$17="Y"),AND(D1639="OCIO",Inputs!$B$18="Y"),AND(D1639="Other",Inputs!$B$19="Y")))),A1639&lt;&gt;in_ClientOrg,NOT(AND(in_ExclHarvard="Y",ISNUMBER(SEARCH("Harvard",A1639))))),$AD1639="Y",K1639&lt;&gt;"",S1639&gt;0),"Y","")</f>
        <v/>
      </c>
      <c r="V1639" s="30" t="n">
        <v>0.4615868478263834</v>
      </c>
      <c r="W1639" t="inlineStr"/>
      <c r="X1639" s="28">
        <f>IF(L1639+M1639=0,"",L1639+M1639)</f>
        <v/>
      </c>
      <c r="Y1639" s="38">
        <f>IF(L1639=0,"",M1639/L1639)</f>
        <v/>
      </c>
      <c r="Z1639" t="inlineStr">
        <is>
          <t>Director &amp; Investment Officer</t>
        </is>
      </c>
      <c r="AA1639" t="inlineStr">
        <is>
          <t>Investments</t>
        </is>
      </c>
      <c r="AB1639" s="50" t="inlineStr"/>
      <c r="AC1639" s="43">
        <f>HYPERLINK("https://projects.propublica.org/nonprofits/organizations/540505965/202621349349310067/full","view filing")</f>
        <v/>
      </c>
      <c r="AD1639" s="50" t="inlineStr">
        <is>
          <t>Y</t>
        </is>
      </c>
    </row>
    <row r="1640">
      <c r="A1640" t="inlineStr">
        <is>
          <t>University Of Richmond</t>
        </is>
      </c>
      <c r="B1640" s="50" t="inlineStr">
        <is>
          <t>VA</t>
        </is>
      </c>
      <c r="C1640" s="52" t="n">
        <v>5.9</v>
      </c>
      <c r="D1640" t="inlineStr">
        <is>
          <t>Endowment</t>
        </is>
      </c>
      <c r="E1640" s="50" t="n">
        <v>2025</v>
      </c>
      <c r="F1640" s="50" t="inlineStr">
        <is>
          <t>2026-05-14</t>
        </is>
      </c>
      <c r="G1640" s="50" t="inlineStr">
        <is>
          <t>2025-06-30</t>
        </is>
      </c>
      <c r="H1640" t="inlineStr">
        <is>
          <t>William Mclean</t>
        </is>
      </c>
      <c r="I1640" t="inlineStr">
        <is>
          <t>PRESIDENT AND CIO, SMC</t>
        </is>
      </c>
      <c r="J1640" t="inlineStr">
        <is>
          <t>CIO</t>
        </is>
      </c>
      <c r="K1640" t="inlineStr">
        <is>
          <t>CIO - Top Investment Executive</t>
        </is>
      </c>
      <c r="L1640" s="28" t="n">
        <v>994643</v>
      </c>
      <c r="M1640" s="28" t="n">
        <v>325000</v>
      </c>
      <c r="N1640" s="28" t="n">
        <v>1058637</v>
      </c>
      <c r="O1640" s="28" t="n">
        <v>469955</v>
      </c>
      <c r="P1640" s="28" t="n">
        <v>19618</v>
      </c>
      <c r="Q1640" s="28" t="n">
        <v>2867853</v>
      </c>
      <c r="R1640" s="28" t="n">
        <v>1034848</v>
      </c>
      <c r="S1640" s="28">
        <f>Q1640-R1640</f>
        <v/>
      </c>
      <c r="T1640" s="28">
        <f>IF(S1640="","",S1640*(1+in_GrowthRate)^(YEARFRAC(DATE(2025,6,30),in_AgeToDate)*IF(in_AgeToDate&lt;DATE(2025,6,30),-1,1)+1))</f>
        <v/>
      </c>
      <c r="U1640" s="50">
        <f>IF(AND(AND(OR(in_Mode="All Funds",AND(C1640&gt;=in_BandFloor,C1640&lt;=in_BandCeiling,OR(in_Geography="National",COUNTIFS(lst_GeoPreset,in_Geography,lst_GeoState,B1640)&gt;0,AND(in_Geography="Custom",ISNUMBER(SEARCH(B1640,SUBSTITUTE(in_CustomStates," ",""))))),OR(AND(D1640="Endowment",Inputs!$B$14="Y"),AND(D1640="Foundation",Inputs!$B$15="Y"),AND(D1640="Healthcare",Inputs!$B$16="Y"),AND(D1640="Pension",Inputs!$B$17="Y"),AND(D1640="OCIO",Inputs!$B$18="Y"),AND(D1640="Other",Inputs!$B$19="Y")))),A1640&lt;&gt;in_ClientOrg,NOT(AND(in_ExclHarvard="Y",ISNUMBER(SEARCH("Harvard",A1640))))),$AD1640="Y",K1640&lt;&gt;"",S1640&gt;0),"Y","")</f>
        <v/>
      </c>
      <c r="V1640" s="30" t="n">
        <v>1</v>
      </c>
      <c r="W1640" t="inlineStr"/>
      <c r="X1640" s="28">
        <f>IF(L1640+M1640=0,"",L1640+M1640)</f>
        <v/>
      </c>
      <c r="Y1640" s="38">
        <f>IF(L1640=0,"",M1640/L1640)</f>
        <v/>
      </c>
      <c r="Z1640" t="inlineStr">
        <is>
          <t>CIO - Top Investment Executive</t>
        </is>
      </c>
      <c r="AA1640" t="inlineStr">
        <is>
          <t>Leadership</t>
        </is>
      </c>
      <c r="AB1640" s="50" t="inlineStr">
        <is>
          <t>Y</t>
        </is>
      </c>
      <c r="AC1640" s="43">
        <f>HYPERLINK("https://projects.propublica.org/nonprofits/organizations/540505965/202621349349310067/full","view filing")</f>
        <v/>
      </c>
      <c r="AD1640" s="50" t="inlineStr">
        <is>
          <t>Y</t>
        </is>
      </c>
    </row>
    <row r="1641">
      <c r="A1641" t="inlineStr">
        <is>
          <t>University Of Richmond</t>
        </is>
      </c>
      <c r="B1641" s="50" t="inlineStr">
        <is>
          <t>VA</t>
        </is>
      </c>
      <c r="C1641" s="52" t="n">
        <v>5.9</v>
      </c>
      <c r="D1641" t="inlineStr">
        <is>
          <t>Endowment</t>
        </is>
      </c>
      <c r="E1641" s="50" t="n">
        <v>2024</v>
      </c>
      <c r="F1641" s="50" t="inlineStr">
        <is>
          <t>2025-05-13</t>
        </is>
      </c>
      <c r="G1641" s="50" t="inlineStr">
        <is>
          <t>2024-06-30</t>
        </is>
      </c>
      <c r="H1641" t="inlineStr">
        <is>
          <t>Jeffrey Hires</t>
        </is>
      </c>
      <c r="I1641" t="inlineStr">
        <is>
          <t>Managing Director, SMC</t>
        </is>
      </c>
      <c r="J1641" t="inlineStr">
        <is>
          <t>Managing Director</t>
        </is>
      </c>
      <c r="K1641" t="inlineStr">
        <is>
          <t>Sr Investment Professional</t>
        </is>
      </c>
      <c r="L1641" s="28" t="n">
        <v>400181</v>
      </c>
      <c r="M1641" s="28" t="n">
        <v>459250</v>
      </c>
      <c r="N1641" s="28" t="n">
        <v>2173</v>
      </c>
      <c r="O1641" s="28" t="n">
        <v>33000</v>
      </c>
      <c r="P1641" s="28" t="n">
        <v>25384</v>
      </c>
      <c r="Q1641" s="28" t="n">
        <v>919988</v>
      </c>
      <c r="R1641" s="28" t="n">
        <v>0</v>
      </c>
      <c r="S1641" s="28">
        <f>Q1641-R1641</f>
        <v/>
      </c>
      <c r="T1641" s="28">
        <f>IF(S1641="","",S1641*(1+in_GrowthRate)^(YEARFRAC(DATE(2024,6,30),in_AgeToDate)*IF(in_AgeToDate&lt;DATE(2024,6,30),-1,1)+1))</f>
        <v/>
      </c>
      <c r="U1641" s="50">
        <f>IF(AND(AND(OR(in_Mode="All Funds",AND(C1641&gt;=in_BandFloor,C1641&lt;=in_BandCeiling,OR(in_Geography="National",COUNTIFS(lst_GeoPreset,in_Geography,lst_GeoState,B1641)&gt;0,AND(in_Geography="Custom",ISNUMBER(SEARCH(B1641,SUBSTITUTE(in_CustomStates," ",""))))),OR(AND(D1641="Endowment",Inputs!$B$14="Y"),AND(D1641="Foundation",Inputs!$B$15="Y"),AND(D1641="Healthcare",Inputs!$B$16="Y"),AND(D1641="Pension",Inputs!$B$17="Y"),AND(D1641="OCIO",Inputs!$B$18="Y"),AND(D1641="Other",Inputs!$B$19="Y")))),A1641&lt;&gt;in_ClientOrg,NOT(AND(in_ExclHarvard="Y",ISNUMBER(SEARCH("Harvard",A1641))))),$AD1641="Y",K1641&lt;&gt;"",S1641&gt;0),"Y","")</f>
        <v/>
      </c>
      <c r="V1641" s="30" t="n">
        <v>0.3396836543939577</v>
      </c>
      <c r="W1641" t="inlineStr"/>
      <c r="X1641" s="28">
        <f>IF(L1641+M1641=0,"",L1641+M1641)</f>
        <v/>
      </c>
      <c r="Y1641" s="38">
        <f>IF(L1641=0,"",M1641/L1641)</f>
        <v/>
      </c>
      <c r="Z1641" t="inlineStr">
        <is>
          <t>Managing Director</t>
        </is>
      </c>
      <c r="AA1641" t="inlineStr">
        <is>
          <t>Investments</t>
        </is>
      </c>
      <c r="AB1641" s="50" t="inlineStr"/>
      <c r="AC1641" s="43">
        <f>HYPERLINK("https://projects.propublica.org/nonprofits/organizations/540505965/202511339349306036/full","view filing")</f>
        <v/>
      </c>
      <c r="AD1641" s="50" t="inlineStr"/>
    </row>
    <row r="1642">
      <c r="A1642" t="inlineStr">
        <is>
          <t>University Of Richmond</t>
        </is>
      </c>
      <c r="B1642" s="50" t="inlineStr">
        <is>
          <t>VA</t>
        </is>
      </c>
      <c r="C1642" s="52" t="n">
        <v>5.9</v>
      </c>
      <c r="D1642" t="inlineStr">
        <is>
          <t>Endowment</t>
        </is>
      </c>
      <c r="E1642" s="50" t="n">
        <v>2024</v>
      </c>
      <c r="F1642" s="50" t="inlineStr">
        <is>
          <t>2025-05-13</t>
        </is>
      </c>
      <c r="G1642" s="50" t="inlineStr">
        <is>
          <t>2024-06-30</t>
        </is>
      </c>
      <c r="H1642" t="inlineStr">
        <is>
          <t>Jonathan Moore</t>
        </is>
      </c>
      <c r="I1642" t="inlineStr">
        <is>
          <t>Chief Administrative Off, SMC</t>
        </is>
      </c>
      <c r="J1642" t="inlineStr">
        <is>
          <t>COO (Inv Entity)</t>
        </is>
      </c>
      <c r="K1642" t="inlineStr">
        <is>
          <t>COO (Investment Office)</t>
        </is>
      </c>
      <c r="L1642" s="28" t="n">
        <v>370000</v>
      </c>
      <c r="M1642" s="28" t="n">
        <v>375840</v>
      </c>
      <c r="N1642" s="28" t="n">
        <v>2560</v>
      </c>
      <c r="O1642" s="28" t="n">
        <v>33000</v>
      </c>
      <c r="P1642" s="28" t="n">
        <v>1028</v>
      </c>
      <c r="Q1642" s="28" t="n">
        <v>782428</v>
      </c>
      <c r="R1642" s="28" t="n">
        <v>0</v>
      </c>
      <c r="S1642" s="28">
        <f>Q1642-R1642</f>
        <v/>
      </c>
      <c r="T1642" s="28">
        <f>IF(S1642="","",S1642*(1+in_GrowthRate)^(YEARFRAC(DATE(2024,6,30),in_AgeToDate)*IF(in_AgeToDate&lt;DATE(2024,6,30),-1,1)+1))</f>
        <v/>
      </c>
      <c r="U1642" s="50">
        <f>IF(AND(AND(OR(in_Mode="All Funds",AND(C1642&gt;=in_BandFloor,C1642&lt;=in_BandCeiling,OR(in_Geography="National",COUNTIFS(lst_GeoPreset,in_Geography,lst_GeoState,B1642)&gt;0,AND(in_Geography="Custom",ISNUMBER(SEARCH(B1642,SUBSTITUTE(in_CustomStates," ",""))))),OR(AND(D1642="Endowment",Inputs!$B$14="Y"),AND(D1642="Foundation",Inputs!$B$15="Y"),AND(D1642="Healthcare",Inputs!$B$16="Y"),AND(D1642="Pension",Inputs!$B$17="Y"),AND(D1642="OCIO",Inputs!$B$18="Y"),AND(D1642="Other",Inputs!$B$19="Y")))),A1642&lt;&gt;in_ClientOrg,NOT(AND(in_ExclHarvard="Y",ISNUMBER(SEARCH("Harvard",A1642))))),$AD1642="Y",K1642&lt;&gt;"",S1642&gt;0),"Y","")</f>
        <v/>
      </c>
      <c r="V1642" s="30" t="n">
        <v>0.2888929011467057</v>
      </c>
      <c r="W1642" t="inlineStr"/>
      <c r="X1642" s="28">
        <f>IF(L1642+M1642=0,"",L1642+M1642)</f>
        <v/>
      </c>
      <c r="Y1642" s="38">
        <f>IF(L1642=0,"",M1642/L1642)</f>
        <v/>
      </c>
      <c r="Z1642" t="inlineStr">
        <is>
          <t>COO (Investment Office)</t>
        </is>
      </c>
      <c r="AA1642" t="inlineStr">
        <is>
          <t>Operations &amp; Control</t>
        </is>
      </c>
      <c r="AB1642" s="50" t="inlineStr"/>
      <c r="AC1642" s="43">
        <f>HYPERLINK("https://projects.propublica.org/nonprofits/organizations/540505965/202511339349306036/full","view filing")</f>
        <v/>
      </c>
      <c r="AD1642" s="50" t="inlineStr"/>
    </row>
    <row r="1643">
      <c r="A1643" t="inlineStr">
        <is>
          <t>University Of Richmond</t>
        </is>
      </c>
      <c r="B1643" s="50" t="inlineStr">
        <is>
          <t>VA</t>
        </is>
      </c>
      <c r="C1643" s="52" t="n">
        <v>5.9</v>
      </c>
      <c r="D1643" t="inlineStr">
        <is>
          <t>Endowment</t>
        </is>
      </c>
      <c r="E1643" s="50" t="n">
        <v>2024</v>
      </c>
      <c r="F1643" s="50" t="inlineStr">
        <is>
          <t>2025-05-13</t>
        </is>
      </c>
      <c r="G1643" s="50" t="inlineStr">
        <is>
          <t>2024-06-30</t>
        </is>
      </c>
      <c r="H1643" t="inlineStr">
        <is>
          <t>Karen Welch</t>
        </is>
      </c>
      <c r="I1643" t="inlineStr">
        <is>
          <t>DEPUTY CIO, SMC</t>
        </is>
      </c>
      <c r="J1643" t="inlineStr">
        <is>
          <t>Deputy CIO</t>
        </is>
      </c>
      <c r="K1643" t="inlineStr">
        <is>
          <t>Sr Investment Professional</t>
        </is>
      </c>
      <c r="L1643" s="28" t="n">
        <v>473181</v>
      </c>
      <c r="M1643" s="28" t="n">
        <v>792581</v>
      </c>
      <c r="N1643" s="28" t="n">
        <v>6863</v>
      </c>
      <c r="O1643" s="28" t="n">
        <v>33000</v>
      </c>
      <c r="P1643" s="28" t="n">
        <v>27384</v>
      </c>
      <c r="Q1643" s="28" t="n">
        <v>1333009</v>
      </c>
      <c r="R1643" s="28" t="n">
        <v>0</v>
      </c>
      <c r="S1643" s="28">
        <f>Q1643-R1643</f>
        <v/>
      </c>
      <c r="T1643" s="28">
        <f>IF(S1643="","",S1643*(1+in_GrowthRate)^(YEARFRAC(DATE(2024,6,30),in_AgeToDate)*IF(in_AgeToDate&lt;DATE(2024,6,30),-1,1)+1))</f>
        <v/>
      </c>
      <c r="U1643" s="50">
        <f>IF(AND(AND(OR(in_Mode="All Funds",AND(C1643&gt;=in_BandFloor,C1643&lt;=in_BandCeiling,OR(in_Geography="National",COUNTIFS(lst_GeoPreset,in_Geography,lst_GeoState,B1643)&gt;0,AND(in_Geography="Custom",ISNUMBER(SEARCH(B1643,SUBSTITUTE(in_CustomStates," ",""))))),OR(AND(D1643="Endowment",Inputs!$B$14="Y"),AND(D1643="Foundation",Inputs!$B$15="Y"),AND(D1643="Healthcare",Inputs!$B$16="Y"),AND(D1643="Pension",Inputs!$B$17="Y"),AND(D1643="OCIO",Inputs!$B$18="Y"),AND(D1643="Other",Inputs!$B$19="Y")))),A1643&lt;&gt;in_ClientOrg,NOT(AND(in_ExclHarvard="Y",ISNUMBER(SEARCH("Harvard",A1643))))),$AD1643="Y",K1643&lt;&gt;"",S1643&gt;0),"Y","")</f>
        <v/>
      </c>
      <c r="V1643" s="30" t="n">
        <v>0.4921818202629112</v>
      </c>
      <c r="W1643" t="inlineStr"/>
      <c r="X1643" s="28">
        <f>IF(L1643+M1643=0,"",L1643+M1643)</f>
        <v/>
      </c>
      <c r="Y1643" s="38">
        <f>IF(L1643=0,"",M1643/L1643)</f>
        <v/>
      </c>
      <c r="Z1643" t="inlineStr">
        <is>
          <t>Deputy CIO</t>
        </is>
      </c>
      <c r="AA1643" t="inlineStr">
        <is>
          <t>Leadership</t>
        </is>
      </c>
      <c r="AB1643" s="50" t="inlineStr"/>
      <c r="AC1643" s="43">
        <f>HYPERLINK("https://projects.propublica.org/nonprofits/organizations/540505965/202511339349306036/full","view filing")</f>
        <v/>
      </c>
      <c r="AD1643" s="50" t="inlineStr"/>
    </row>
    <row r="1644">
      <c r="A1644" t="inlineStr">
        <is>
          <t>University Of Richmond</t>
        </is>
      </c>
      <c r="B1644" s="50" t="inlineStr">
        <is>
          <t>VA</t>
        </is>
      </c>
      <c r="C1644" s="52" t="n">
        <v>5.9</v>
      </c>
      <c r="D1644" t="inlineStr">
        <is>
          <t>Endowment</t>
        </is>
      </c>
      <c r="E1644" s="50" t="n">
        <v>2024</v>
      </c>
      <c r="F1644" s="50" t="inlineStr">
        <is>
          <t>2025-05-13</t>
        </is>
      </c>
      <c r="G1644" s="50" t="inlineStr">
        <is>
          <t>2024-06-30</t>
        </is>
      </c>
      <c r="H1644" t="inlineStr">
        <is>
          <t>William Mclean</t>
        </is>
      </c>
      <c r="I1644" t="inlineStr">
        <is>
          <t>PRESIDENT AND CIO, SMC</t>
        </is>
      </c>
      <c r="J1644" t="inlineStr">
        <is>
          <t>CIO</t>
        </is>
      </c>
      <c r="K1644" t="inlineStr">
        <is>
          <t>CIO - Top Investment Executive</t>
        </is>
      </c>
      <c r="L1644" s="28" t="n">
        <v>994898</v>
      </c>
      <c r="M1644" s="28" t="n">
        <v>1300000</v>
      </c>
      <c r="N1644" s="28" t="n">
        <v>229</v>
      </c>
      <c r="O1644" s="28" t="n">
        <v>394623</v>
      </c>
      <c r="P1644" s="28" t="n">
        <v>18617</v>
      </c>
      <c r="Q1644" s="28" t="n">
        <v>2708367</v>
      </c>
      <c r="R1644" s="28" t="n">
        <v>0</v>
      </c>
      <c r="S1644" s="28">
        <f>Q1644-R1644</f>
        <v/>
      </c>
      <c r="T1644" s="28">
        <f>IF(S1644="","",S1644*(1+in_GrowthRate)^(YEARFRAC(DATE(2024,6,30),in_AgeToDate)*IF(in_AgeToDate&lt;DATE(2024,6,30),-1,1)+1))</f>
        <v/>
      </c>
      <c r="U1644" s="50">
        <f>IF(AND(AND(OR(in_Mode="All Funds",AND(C1644&gt;=in_BandFloor,C1644&lt;=in_BandCeiling,OR(in_Geography="National",COUNTIFS(lst_GeoPreset,in_Geography,lst_GeoState,B1644)&gt;0,AND(in_Geography="Custom",ISNUMBER(SEARCH(B1644,SUBSTITUTE(in_CustomStates," ",""))))),OR(AND(D1644="Endowment",Inputs!$B$14="Y"),AND(D1644="Foundation",Inputs!$B$15="Y"),AND(D1644="Healthcare",Inputs!$B$16="Y"),AND(D1644="Pension",Inputs!$B$17="Y"),AND(D1644="OCIO",Inputs!$B$18="Y"),AND(D1644="Other",Inputs!$B$19="Y")))),A1644&lt;&gt;in_ClientOrg,NOT(AND(in_ExclHarvard="Y",ISNUMBER(SEARCH("Harvard",A1644))))),$AD1644="Y",K1644&lt;&gt;"",S1644&gt;0),"Y","")</f>
        <v/>
      </c>
      <c r="V1644" s="30" t="n">
        <v>1</v>
      </c>
      <c r="W1644" t="inlineStr"/>
      <c r="X1644" s="28">
        <f>IF(L1644+M1644=0,"",L1644+M1644)</f>
        <v/>
      </c>
      <c r="Y1644" s="38">
        <f>IF(L1644=0,"",M1644/L1644)</f>
        <v/>
      </c>
      <c r="Z1644" t="inlineStr">
        <is>
          <t>CIO - Top Investment Executive</t>
        </is>
      </c>
      <c r="AA1644" t="inlineStr">
        <is>
          <t>Leadership</t>
        </is>
      </c>
      <c r="AB1644" s="50" t="inlineStr">
        <is>
          <t>Y</t>
        </is>
      </c>
      <c r="AC1644" s="43">
        <f>HYPERLINK("https://projects.propublica.org/nonprofits/organizations/540505965/202511339349306036/full","view filing")</f>
        <v/>
      </c>
      <c r="AD1644" s="50" t="inlineStr"/>
    </row>
    <row r="1645">
      <c r="A1645" t="inlineStr">
        <is>
          <t>University Of Richmond</t>
        </is>
      </c>
      <c r="B1645" s="50" t="inlineStr">
        <is>
          <t>VA</t>
        </is>
      </c>
      <c r="C1645" s="52" t="n">
        <v>5.9</v>
      </c>
      <c r="D1645" t="inlineStr">
        <is>
          <t>Endowment</t>
        </is>
      </c>
      <c r="E1645" s="50" t="n">
        <v>2023</v>
      </c>
      <c r="F1645" s="50" t="inlineStr">
        <is>
          <t>2024-05-13</t>
        </is>
      </c>
      <c r="G1645" s="50" t="inlineStr">
        <is>
          <t>2023-06-30</t>
        </is>
      </c>
      <c r="H1645" t="inlineStr">
        <is>
          <t>Karen Welch</t>
        </is>
      </c>
      <c r="I1645" t="inlineStr">
        <is>
          <t>DIRECTOR, SMC</t>
        </is>
      </c>
      <c r="J1645" t="inlineStr">
        <is>
          <t>Director of Investments</t>
        </is>
      </c>
      <c r="K1645" t="inlineStr">
        <is>
          <t>Sr Investment Professional</t>
        </is>
      </c>
      <c r="L1645" s="28" t="n">
        <v>379058</v>
      </c>
      <c r="M1645" s="28" t="n">
        <v>551579</v>
      </c>
      <c r="N1645" s="28" t="n">
        <v>19257</v>
      </c>
      <c r="O1645" s="28" t="n">
        <v>30500</v>
      </c>
      <c r="P1645" s="28" t="n">
        <v>25851</v>
      </c>
      <c r="Q1645" s="28" t="n">
        <v>1006245</v>
      </c>
      <c r="R1645" s="28" t="n">
        <v>0</v>
      </c>
      <c r="S1645" s="28">
        <f>Q1645-R1645</f>
        <v/>
      </c>
      <c r="T1645" s="28">
        <f>IF(S1645="","",S1645*(1+in_GrowthRate)^(YEARFRAC(DATE(2023,6,30),in_AgeToDate)*IF(in_AgeToDate&lt;DATE(2023,6,30),-1,1)+1))</f>
        <v/>
      </c>
      <c r="U1645" s="50">
        <f>IF(AND(AND(OR(in_Mode="All Funds",AND(C1645&gt;=in_BandFloor,C1645&lt;=in_BandCeiling,OR(in_Geography="National",COUNTIFS(lst_GeoPreset,in_Geography,lst_GeoState,B1645)&gt;0,AND(in_Geography="Custom",ISNUMBER(SEARCH(B1645,SUBSTITUTE(in_CustomStates," ",""))))),OR(AND(D1645="Endowment",Inputs!$B$14="Y"),AND(D1645="Foundation",Inputs!$B$15="Y"),AND(D1645="Healthcare",Inputs!$B$16="Y"),AND(D1645="Pension",Inputs!$B$17="Y"),AND(D1645="OCIO",Inputs!$B$18="Y"),AND(D1645="Other",Inputs!$B$19="Y")))),A1645&lt;&gt;in_ClientOrg,NOT(AND(in_ExclHarvard="Y",ISNUMBER(SEARCH("Harvard",A1645))))),$AD1645="Y",K1645&lt;&gt;"",S1645&gt;0),"Y","")</f>
        <v/>
      </c>
      <c r="V1645" s="30" t="n">
        <v>0.3046792608451974</v>
      </c>
      <c r="W1645" t="inlineStr"/>
      <c r="X1645" s="28">
        <f>IF(L1645+M1645=0,"",L1645+M1645)</f>
        <v/>
      </c>
      <c r="Y1645" s="38">
        <f>IF(L1645=0,"",M1645/L1645)</f>
        <v/>
      </c>
      <c r="Z1645" t="inlineStr">
        <is>
          <t>Director &amp; Investment Officer</t>
        </is>
      </c>
      <c r="AA1645" t="inlineStr">
        <is>
          <t>Investments</t>
        </is>
      </c>
      <c r="AB1645" s="50" t="inlineStr"/>
      <c r="AC1645" s="43">
        <f>HYPERLINK("https://projects.propublica.org/nonprofits/organizations/540505965/202431349349307603/full","view filing")</f>
        <v/>
      </c>
      <c r="AD1645" s="50" t="inlineStr"/>
    </row>
    <row r="1646">
      <c r="A1646" t="inlineStr">
        <is>
          <t>University Of Richmond</t>
        </is>
      </c>
      <c r="B1646" s="50" t="inlineStr">
        <is>
          <t>VA</t>
        </is>
      </c>
      <c r="C1646" s="52" t="n">
        <v>5.9</v>
      </c>
      <c r="D1646" t="inlineStr">
        <is>
          <t>Endowment</t>
        </is>
      </c>
      <c r="E1646" s="50" t="n">
        <v>2023</v>
      </c>
      <c r="F1646" s="50" t="inlineStr">
        <is>
          <t>2024-05-13</t>
        </is>
      </c>
      <c r="G1646" s="50" t="inlineStr">
        <is>
          <t>2023-06-30</t>
        </is>
      </c>
      <c r="H1646" t="inlineStr">
        <is>
          <t>Kevin Stoudt</t>
        </is>
      </c>
      <c r="I1646" t="inlineStr">
        <is>
          <t>DIRECTOR, SMC</t>
        </is>
      </c>
      <c r="J1646" t="inlineStr">
        <is>
          <t>Director of Investments</t>
        </is>
      </c>
      <c r="K1646" t="inlineStr">
        <is>
          <t>Sr Investment Professional</t>
        </is>
      </c>
      <c r="L1646" s="28" t="n">
        <v>324205</v>
      </c>
      <c r="M1646" s="28" t="n">
        <v>398932</v>
      </c>
      <c r="N1646" s="28" t="n">
        <v>3471</v>
      </c>
      <c r="O1646" s="28" t="n">
        <v>24525</v>
      </c>
      <c r="P1646" s="28" t="n">
        <v>30612</v>
      </c>
      <c r="Q1646" s="28" t="n">
        <v>781745</v>
      </c>
      <c r="R1646" s="28" t="n">
        <v>0</v>
      </c>
      <c r="S1646" s="28">
        <f>Q1646-R1646</f>
        <v/>
      </c>
      <c r="T1646" s="28">
        <f>IF(S1646="","",S1646*(1+in_GrowthRate)^(YEARFRAC(DATE(2023,6,30),in_AgeToDate)*IF(in_AgeToDate&lt;DATE(2023,6,30),-1,1)+1))</f>
        <v/>
      </c>
      <c r="U1646" s="50">
        <f>IF(AND(AND(OR(in_Mode="All Funds",AND(C1646&gt;=in_BandFloor,C1646&lt;=in_BandCeiling,OR(in_Geography="National",COUNTIFS(lst_GeoPreset,in_Geography,lst_GeoState,B1646)&gt;0,AND(in_Geography="Custom",ISNUMBER(SEARCH(B1646,SUBSTITUTE(in_CustomStates," ",""))))),OR(AND(D1646="Endowment",Inputs!$B$14="Y"),AND(D1646="Foundation",Inputs!$B$15="Y"),AND(D1646="Healthcare",Inputs!$B$16="Y"),AND(D1646="Pension",Inputs!$B$17="Y"),AND(D1646="OCIO",Inputs!$B$18="Y"),AND(D1646="Other",Inputs!$B$19="Y")))),A1646&lt;&gt;in_ClientOrg,NOT(AND(in_ExclHarvard="Y",ISNUMBER(SEARCH("Harvard",A1646))))),$AD1646="Y",K1646&lt;&gt;"",S1646&gt;0),"Y","")</f>
        <v/>
      </c>
      <c r="V1646" s="30" t="n">
        <v>0.2367032768057767</v>
      </c>
      <c r="W1646" t="inlineStr"/>
      <c r="X1646" s="28">
        <f>IF(L1646+M1646=0,"",L1646+M1646)</f>
        <v/>
      </c>
      <c r="Y1646" s="38">
        <f>IF(L1646=0,"",M1646/L1646)</f>
        <v/>
      </c>
      <c r="Z1646" t="inlineStr">
        <is>
          <t>Director &amp; Investment Officer</t>
        </is>
      </c>
      <c r="AA1646" t="inlineStr">
        <is>
          <t>Investments</t>
        </is>
      </c>
      <c r="AB1646" s="50" t="inlineStr"/>
      <c r="AC1646" s="43">
        <f>HYPERLINK("https://projects.propublica.org/nonprofits/organizations/540505965/202431349349307603/full","view filing")</f>
        <v/>
      </c>
      <c r="AD1646" s="50" t="inlineStr"/>
    </row>
    <row r="1647">
      <c r="A1647" t="inlineStr">
        <is>
          <t>University Of Richmond</t>
        </is>
      </c>
      <c r="B1647" s="50" t="inlineStr">
        <is>
          <t>VA</t>
        </is>
      </c>
      <c r="C1647" s="52" t="n">
        <v>5.9</v>
      </c>
      <c r="D1647" t="inlineStr">
        <is>
          <t>Endowment</t>
        </is>
      </c>
      <c r="E1647" s="50" t="n">
        <v>2023</v>
      </c>
      <c r="F1647" s="50" t="inlineStr">
        <is>
          <t>2024-05-13</t>
        </is>
      </c>
      <c r="G1647" s="50" t="inlineStr">
        <is>
          <t>2023-06-30</t>
        </is>
      </c>
      <c r="H1647" t="inlineStr">
        <is>
          <t>Steven Henderson</t>
        </is>
      </c>
      <c r="I1647" t="inlineStr">
        <is>
          <t>DIRECTOR, SMC</t>
        </is>
      </c>
      <c r="J1647" t="inlineStr">
        <is>
          <t>Director of Investments</t>
        </is>
      </c>
      <c r="K1647" t="inlineStr">
        <is>
          <t>Sr Investment Professional</t>
        </is>
      </c>
      <c r="L1647" s="28" t="n">
        <v>175649</v>
      </c>
      <c r="M1647" s="28" t="n">
        <v>591501</v>
      </c>
      <c r="N1647" s="28" t="n">
        <v>32011</v>
      </c>
      <c r="O1647" s="28" t="n">
        <v>21185</v>
      </c>
      <c r="P1647" s="28" t="n">
        <v>31117</v>
      </c>
      <c r="Q1647" s="28" t="n">
        <v>851463</v>
      </c>
      <c r="R1647" s="28" t="n">
        <v>0</v>
      </c>
      <c r="S1647" s="28">
        <f>Q1647-R1647</f>
        <v/>
      </c>
      <c r="T1647" s="28">
        <f>IF(S1647="","",S1647*(1+in_GrowthRate)^(YEARFRAC(DATE(2023,6,30),in_AgeToDate)*IF(in_AgeToDate&lt;DATE(2023,6,30),-1,1)+1))</f>
        <v/>
      </c>
      <c r="U1647" s="50">
        <f>IF(AND(AND(OR(in_Mode="All Funds",AND(C1647&gt;=in_BandFloor,C1647&lt;=in_BandCeiling,OR(in_Geography="National",COUNTIFS(lst_GeoPreset,in_Geography,lst_GeoState,B1647)&gt;0,AND(in_Geography="Custom",ISNUMBER(SEARCH(B1647,SUBSTITUTE(in_CustomStates," ",""))))),OR(AND(D1647="Endowment",Inputs!$B$14="Y"),AND(D1647="Foundation",Inputs!$B$15="Y"),AND(D1647="Healthcare",Inputs!$B$16="Y"),AND(D1647="Pension",Inputs!$B$17="Y"),AND(D1647="OCIO",Inputs!$B$18="Y"),AND(D1647="Other",Inputs!$B$19="Y")))),A1647&lt;&gt;in_ClientOrg,NOT(AND(in_ExclHarvard="Y",ISNUMBER(SEARCH("Harvard",A1647))))),$AD1647="Y",K1647&lt;&gt;"",S1647&gt;0),"Y","")</f>
        <v/>
      </c>
      <c r="V1647" s="30" t="n">
        <v>0.2578130748247537</v>
      </c>
      <c r="W1647" t="inlineStr"/>
      <c r="X1647" s="28">
        <f>IF(L1647+M1647=0,"",L1647+M1647)</f>
        <v/>
      </c>
      <c r="Y1647" s="38">
        <f>IF(L1647=0,"",M1647/L1647)</f>
        <v/>
      </c>
      <c r="Z1647" t="inlineStr">
        <is>
          <t>Director &amp; Investment Officer</t>
        </is>
      </c>
      <c r="AA1647" t="inlineStr">
        <is>
          <t>Investments</t>
        </is>
      </c>
      <c r="AB1647" s="50" t="inlineStr"/>
      <c r="AC1647" s="43">
        <f>HYPERLINK("https://projects.propublica.org/nonprofits/organizations/540505965/202431349349307603/full","view filing")</f>
        <v/>
      </c>
      <c r="AD1647" s="50" t="inlineStr"/>
    </row>
    <row r="1648">
      <c r="A1648" t="inlineStr">
        <is>
          <t>University Of Richmond</t>
        </is>
      </c>
      <c r="B1648" s="50" t="inlineStr">
        <is>
          <t>VA</t>
        </is>
      </c>
      <c r="C1648" s="52" t="n">
        <v>5.9</v>
      </c>
      <c r="D1648" t="inlineStr">
        <is>
          <t>Endowment</t>
        </is>
      </c>
      <c r="E1648" s="50" t="n">
        <v>2023</v>
      </c>
      <c r="F1648" s="50" t="inlineStr">
        <is>
          <t>2024-05-13</t>
        </is>
      </c>
      <c r="G1648" s="50" t="inlineStr">
        <is>
          <t>2023-06-30</t>
        </is>
      </c>
      <c r="H1648" t="inlineStr">
        <is>
          <t>William Mclean</t>
        </is>
      </c>
      <c r="I1648" t="inlineStr">
        <is>
          <t>PRESIDENT AND CIO, SMC</t>
        </is>
      </c>
      <c r="J1648" t="inlineStr">
        <is>
          <t>CIO</t>
        </is>
      </c>
      <c r="K1648" t="inlineStr">
        <is>
          <t>CIO - Top Investment Executive</t>
        </is>
      </c>
      <c r="L1648" s="28" t="n">
        <v>995187</v>
      </c>
      <c r="M1648" s="28" t="n">
        <v>1250000</v>
      </c>
      <c r="N1648" s="28" t="n">
        <v>229</v>
      </c>
      <c r="O1648" s="28" t="n">
        <v>1039710</v>
      </c>
      <c r="P1648" s="28" t="n">
        <v>17511</v>
      </c>
      <c r="Q1648" s="28" t="n">
        <v>3302637</v>
      </c>
      <c r="R1648" s="28" t="n">
        <v>0</v>
      </c>
      <c r="S1648" s="28">
        <f>Q1648-R1648</f>
        <v/>
      </c>
      <c r="T1648" s="28">
        <f>IF(S1648="","",S1648*(1+in_GrowthRate)^(YEARFRAC(DATE(2023,6,30),in_AgeToDate)*IF(in_AgeToDate&lt;DATE(2023,6,30),-1,1)+1))</f>
        <v/>
      </c>
      <c r="U1648" s="50">
        <f>IF(AND(AND(OR(in_Mode="All Funds",AND(C1648&gt;=in_BandFloor,C1648&lt;=in_BandCeiling,OR(in_Geography="National",COUNTIFS(lst_GeoPreset,in_Geography,lst_GeoState,B1648)&gt;0,AND(in_Geography="Custom",ISNUMBER(SEARCH(B1648,SUBSTITUTE(in_CustomStates," ",""))))),OR(AND(D1648="Endowment",Inputs!$B$14="Y"),AND(D1648="Foundation",Inputs!$B$15="Y"),AND(D1648="Healthcare",Inputs!$B$16="Y"),AND(D1648="Pension",Inputs!$B$17="Y"),AND(D1648="OCIO",Inputs!$B$18="Y"),AND(D1648="Other",Inputs!$B$19="Y")))),A1648&lt;&gt;in_ClientOrg,NOT(AND(in_ExclHarvard="Y",ISNUMBER(SEARCH("Harvard",A1648))))),$AD1648="Y",K1648&lt;&gt;"",S1648&gt;0),"Y","")</f>
        <v/>
      </c>
      <c r="V1648" s="30" t="n">
        <v>1</v>
      </c>
      <c r="W1648" t="inlineStr"/>
      <c r="X1648" s="28">
        <f>IF(L1648+M1648=0,"",L1648+M1648)</f>
        <v/>
      </c>
      <c r="Y1648" s="38">
        <f>IF(L1648=0,"",M1648/L1648)</f>
        <v/>
      </c>
      <c r="Z1648" t="inlineStr">
        <is>
          <t>CIO - Top Investment Executive</t>
        </is>
      </c>
      <c r="AA1648" t="inlineStr">
        <is>
          <t>Leadership</t>
        </is>
      </c>
      <c r="AB1648" s="50" t="inlineStr">
        <is>
          <t>Y</t>
        </is>
      </c>
      <c r="AC1648" s="43">
        <f>HYPERLINK("https://projects.propublica.org/nonprofits/organizations/540505965/202431349349307603/full","view filing")</f>
        <v/>
      </c>
      <c r="AD1648" s="50" t="inlineStr"/>
    </row>
    <row r="1649">
      <c r="A1649" t="inlineStr">
        <is>
          <t>University Of Richmond</t>
        </is>
      </c>
      <c r="B1649" s="50" t="inlineStr">
        <is>
          <t>VA</t>
        </is>
      </c>
      <c r="C1649" s="52" t="n">
        <v>5.9</v>
      </c>
      <c r="D1649" t="inlineStr">
        <is>
          <t>Endowment</t>
        </is>
      </c>
      <c r="E1649" s="50" t="n">
        <v>2022</v>
      </c>
      <c r="F1649" s="50" t="inlineStr">
        <is>
          <t>2023-05-15</t>
        </is>
      </c>
      <c r="G1649" s="50" t="inlineStr">
        <is>
          <t>2022-06-30</t>
        </is>
      </c>
      <c r="H1649" t="inlineStr">
        <is>
          <t>Jeffrey Hires</t>
        </is>
      </c>
      <c r="I1649" t="inlineStr">
        <is>
          <t>DIRECTOR, SMC</t>
        </is>
      </c>
      <c r="J1649" t="inlineStr">
        <is>
          <t>Director of Investments</t>
        </is>
      </c>
      <c r="K1649" t="inlineStr">
        <is>
          <t>Sr Investment Professional</t>
        </is>
      </c>
      <c r="L1649" s="28" t="n">
        <v>361316</v>
      </c>
      <c r="M1649" s="28" t="n">
        <v>306170</v>
      </c>
      <c r="N1649" s="28" t="n">
        <v>18423</v>
      </c>
      <c r="O1649" s="28" t="n">
        <v>14669</v>
      </c>
      <c r="P1649" s="28" t="n">
        <v>17041</v>
      </c>
      <c r="Q1649" s="28" t="n">
        <v>717619</v>
      </c>
      <c r="R1649" s="28" t="n">
        <v>0</v>
      </c>
      <c r="S1649" s="28">
        <f>Q1649-R1649</f>
        <v/>
      </c>
      <c r="T1649" s="28">
        <f>IF(S1649="","",S1649*(1+in_GrowthRate)^(YEARFRAC(DATE(2022,6,30),in_AgeToDate)*IF(in_AgeToDate&lt;DATE(2022,6,30),-1,1)+1))</f>
        <v/>
      </c>
      <c r="U1649" s="50">
        <f>IF(AND(AND(OR(in_Mode="All Funds",AND(C1649&gt;=in_BandFloor,C1649&lt;=in_BandCeiling,OR(in_Geography="National",COUNTIFS(lst_GeoPreset,in_Geography,lst_GeoState,B1649)&gt;0,AND(in_Geography="Custom",ISNUMBER(SEARCH(B1649,SUBSTITUTE(in_CustomStates," ",""))))),OR(AND(D1649="Endowment",Inputs!$B$14="Y"),AND(D1649="Foundation",Inputs!$B$15="Y"),AND(D1649="Healthcare",Inputs!$B$16="Y"),AND(D1649="Pension",Inputs!$B$17="Y"),AND(D1649="OCIO",Inputs!$B$18="Y"),AND(D1649="Other",Inputs!$B$19="Y")))),A1649&lt;&gt;in_ClientOrg,NOT(AND(in_ExclHarvard="Y",ISNUMBER(SEARCH("Harvard",A1649))))),$AD1649="Y",K1649&lt;&gt;"",S1649&gt;0),"Y","")</f>
        <v/>
      </c>
      <c r="V1649" s="30" t="n">
        <v>0.3810628057289598</v>
      </c>
      <c r="W1649" t="inlineStr"/>
      <c r="X1649" s="28">
        <f>IF(L1649+M1649=0,"",L1649+M1649)</f>
        <v/>
      </c>
      <c r="Y1649" s="38">
        <f>IF(L1649=0,"",M1649/L1649)</f>
        <v/>
      </c>
      <c r="Z1649" t="inlineStr">
        <is>
          <t>Director &amp; Investment Officer</t>
        </is>
      </c>
      <c r="AA1649" t="inlineStr">
        <is>
          <t>Investments</t>
        </is>
      </c>
      <c r="AB1649" s="50" t="inlineStr"/>
      <c r="AC1649" s="43">
        <f>HYPERLINK("https://projects.propublica.org/nonprofits/organizations/540505965/202331359349300218/full","view filing")</f>
        <v/>
      </c>
      <c r="AD1649" s="50" t="inlineStr"/>
    </row>
    <row r="1650">
      <c r="A1650" t="inlineStr">
        <is>
          <t>University Of Richmond</t>
        </is>
      </c>
      <c r="B1650" s="50" t="inlineStr">
        <is>
          <t>VA</t>
        </is>
      </c>
      <c r="C1650" s="52" t="n">
        <v>5.9</v>
      </c>
      <c r="D1650" t="inlineStr">
        <is>
          <t>Endowment</t>
        </is>
      </c>
      <c r="E1650" s="50" t="n">
        <v>2022</v>
      </c>
      <c r="F1650" s="50" t="inlineStr">
        <is>
          <t>2023-05-15</t>
        </is>
      </c>
      <c r="G1650" s="50" t="inlineStr">
        <is>
          <t>2022-06-30</t>
        </is>
      </c>
      <c r="H1650" t="inlineStr">
        <is>
          <t>Karen Welch</t>
        </is>
      </c>
      <c r="I1650" t="inlineStr">
        <is>
          <t>MANAGING DIRECTOR, SMC</t>
        </is>
      </c>
      <c r="J1650" t="inlineStr">
        <is>
          <t>Managing Director</t>
        </is>
      </c>
      <c r="K1650" t="inlineStr">
        <is>
          <t>Sr Investment Professional</t>
        </is>
      </c>
      <c r="L1650" s="28" t="n">
        <v>279787</v>
      </c>
      <c r="M1650" s="28" t="n">
        <v>511409</v>
      </c>
      <c r="N1650" s="28" t="n">
        <v>14257</v>
      </c>
      <c r="O1650" s="28" t="n">
        <v>14669</v>
      </c>
      <c r="P1650" s="28" t="n">
        <v>25444</v>
      </c>
      <c r="Q1650" s="28" t="n">
        <v>845566</v>
      </c>
      <c r="R1650" s="28" t="n">
        <v>0</v>
      </c>
      <c r="S1650" s="28">
        <f>Q1650-R1650</f>
        <v/>
      </c>
      <c r="T1650" s="28">
        <f>IF(S1650="","",S1650*(1+in_GrowthRate)^(YEARFRAC(DATE(2022,6,30),in_AgeToDate)*IF(in_AgeToDate&lt;DATE(2022,6,30),-1,1)+1))</f>
        <v/>
      </c>
      <c r="U1650" s="50">
        <f>IF(AND(AND(OR(in_Mode="All Funds",AND(C1650&gt;=in_BandFloor,C1650&lt;=in_BandCeiling,OR(in_Geography="National",COUNTIFS(lst_GeoPreset,in_Geography,lst_GeoState,B1650)&gt;0,AND(in_Geography="Custom",ISNUMBER(SEARCH(B1650,SUBSTITUTE(in_CustomStates," ",""))))),OR(AND(D1650="Endowment",Inputs!$B$14="Y"),AND(D1650="Foundation",Inputs!$B$15="Y"),AND(D1650="Healthcare",Inputs!$B$16="Y"),AND(D1650="Pension",Inputs!$B$17="Y"),AND(D1650="OCIO",Inputs!$B$18="Y"),AND(D1650="Other",Inputs!$B$19="Y")))),A1650&lt;&gt;in_ClientOrg,NOT(AND(in_ExclHarvard="Y",ISNUMBER(SEARCH("Harvard",A1650))))),$AD1650="Y",K1650&lt;&gt;"",S1650&gt;0),"Y","")</f>
        <v/>
      </c>
      <c r="V1650" s="30" t="n">
        <v>0.4490039315974265</v>
      </c>
      <c r="W1650" t="inlineStr"/>
      <c r="X1650" s="28">
        <f>IF(L1650+M1650=0,"",L1650+M1650)</f>
        <v/>
      </c>
      <c r="Y1650" s="38">
        <f>IF(L1650=0,"",M1650/L1650)</f>
        <v/>
      </c>
      <c r="Z1650" t="inlineStr">
        <is>
          <t>Managing Director</t>
        </is>
      </c>
      <c r="AA1650" t="inlineStr">
        <is>
          <t>Investments</t>
        </is>
      </c>
      <c r="AB1650" s="50" t="inlineStr"/>
      <c r="AC1650" s="43">
        <f>HYPERLINK("https://projects.propublica.org/nonprofits/organizations/540505965/202331359349300218/full","view filing")</f>
        <v/>
      </c>
      <c r="AD1650" s="50" t="inlineStr"/>
    </row>
    <row r="1651">
      <c r="A1651" t="inlineStr">
        <is>
          <t>University Of Richmond</t>
        </is>
      </c>
      <c r="B1651" s="50" t="inlineStr">
        <is>
          <t>VA</t>
        </is>
      </c>
      <c r="C1651" s="52" t="n">
        <v>5.9</v>
      </c>
      <c r="D1651" t="inlineStr">
        <is>
          <t>Endowment</t>
        </is>
      </c>
      <c r="E1651" s="50" t="n">
        <v>2022</v>
      </c>
      <c r="F1651" s="50" t="inlineStr">
        <is>
          <t>2023-05-15</t>
        </is>
      </c>
      <c r="G1651" s="50" t="inlineStr">
        <is>
          <t>2022-06-30</t>
        </is>
      </c>
      <c r="H1651" t="inlineStr">
        <is>
          <t>Kevin Stoudt</t>
        </is>
      </c>
      <c r="I1651" t="inlineStr">
        <is>
          <t>DIRECTOR, SMC</t>
        </is>
      </c>
      <c r="J1651" t="inlineStr">
        <is>
          <t>Director of Investments</t>
        </is>
      </c>
      <c r="K1651" t="inlineStr">
        <is>
          <t>Sr Investment Professional</t>
        </is>
      </c>
      <c r="L1651" s="28" t="n">
        <v>325088</v>
      </c>
      <c r="M1651" s="28" t="n">
        <v>398932</v>
      </c>
      <c r="N1651" s="28" t="n">
        <v>3471</v>
      </c>
      <c r="O1651" s="28" t="n">
        <v>23499</v>
      </c>
      <c r="P1651" s="28" t="n">
        <v>29205</v>
      </c>
      <c r="Q1651" s="28" t="n">
        <v>780195</v>
      </c>
      <c r="R1651" s="28" t="n">
        <v>0</v>
      </c>
      <c r="S1651" s="28">
        <f>Q1651-R1651</f>
        <v/>
      </c>
      <c r="T1651" s="28">
        <f>IF(S1651="","",S1651*(1+in_GrowthRate)^(YEARFRAC(DATE(2022,6,30),in_AgeToDate)*IF(in_AgeToDate&lt;DATE(2022,6,30),-1,1)+1))</f>
        <v/>
      </c>
      <c r="U1651" s="50">
        <f>IF(AND(AND(OR(in_Mode="All Funds",AND(C1651&gt;=in_BandFloor,C1651&lt;=in_BandCeiling,OR(in_Geography="National",COUNTIFS(lst_GeoPreset,in_Geography,lst_GeoState,B1651)&gt;0,AND(in_Geography="Custom",ISNUMBER(SEARCH(B1651,SUBSTITUTE(in_CustomStates," ",""))))),OR(AND(D1651="Endowment",Inputs!$B$14="Y"),AND(D1651="Foundation",Inputs!$B$15="Y"),AND(D1651="Healthcare",Inputs!$B$16="Y"),AND(D1651="Pension",Inputs!$B$17="Y"),AND(D1651="OCIO",Inputs!$B$18="Y"),AND(D1651="Other",Inputs!$B$19="Y")))),A1651&lt;&gt;in_ClientOrg,NOT(AND(in_ExclHarvard="Y",ISNUMBER(SEARCH("Harvard",A1651))))),$AD1651="Y",K1651&lt;&gt;"",S1651&gt;0),"Y","")</f>
        <v/>
      </c>
      <c r="V1651" s="30" t="n">
        <v>0.4142912823039883</v>
      </c>
      <c r="W1651" t="inlineStr"/>
      <c r="X1651" s="28">
        <f>IF(L1651+M1651=0,"",L1651+M1651)</f>
        <v/>
      </c>
      <c r="Y1651" s="38">
        <f>IF(L1651=0,"",M1651/L1651)</f>
        <v/>
      </c>
      <c r="Z1651" t="inlineStr">
        <is>
          <t>Director &amp; Investment Officer</t>
        </is>
      </c>
      <c r="AA1651" t="inlineStr">
        <is>
          <t>Investments</t>
        </is>
      </c>
      <c r="AB1651" s="50" t="inlineStr"/>
      <c r="AC1651" s="43">
        <f>HYPERLINK("https://projects.propublica.org/nonprofits/organizations/540505965/202331359349300218/full","view filing")</f>
        <v/>
      </c>
      <c r="AD1651" s="50" t="inlineStr"/>
    </row>
    <row r="1652">
      <c r="A1652" t="inlineStr">
        <is>
          <t>University Of Richmond</t>
        </is>
      </c>
      <c r="B1652" s="50" t="inlineStr">
        <is>
          <t>VA</t>
        </is>
      </c>
      <c r="C1652" s="52" t="n">
        <v>5.9</v>
      </c>
      <c r="D1652" t="inlineStr">
        <is>
          <t>Endowment</t>
        </is>
      </c>
      <c r="E1652" s="50" t="n">
        <v>2022</v>
      </c>
      <c r="F1652" s="50" t="inlineStr">
        <is>
          <t>2023-05-15</t>
        </is>
      </c>
      <c r="G1652" s="50" t="inlineStr">
        <is>
          <t>2022-06-30</t>
        </is>
      </c>
      <c r="H1652" t="inlineStr">
        <is>
          <t>Robin Blandford</t>
        </is>
      </c>
      <c r="I1652" t="inlineStr">
        <is>
          <t>CEO, SMC</t>
        </is>
      </c>
      <c r="J1652" t="inlineStr">
        <is>
          <t>CEO (Inv Entity)</t>
        </is>
      </c>
      <c r="K1652" t="inlineStr">
        <is>
          <t>CIO - Top Investment Executive</t>
        </is>
      </c>
      <c r="L1652" s="28" t="n">
        <v>681832</v>
      </c>
      <c r="M1652" s="28" t="n">
        <v>1151620</v>
      </c>
      <c r="N1652" s="28" t="n">
        <v>396</v>
      </c>
      <c r="O1652" s="28" t="n">
        <v>29169</v>
      </c>
      <c r="P1652" s="28" t="n">
        <v>20187</v>
      </c>
      <c r="Q1652" s="28" t="n">
        <v>1883204</v>
      </c>
      <c r="R1652" s="28" t="n">
        <v>0</v>
      </c>
      <c r="S1652" s="28">
        <f>Q1652-R1652</f>
        <v/>
      </c>
      <c r="T1652" s="28">
        <f>IF(S1652="","",S1652*(1+in_GrowthRate)^(YEARFRAC(DATE(2022,6,30),in_AgeToDate)*IF(in_AgeToDate&lt;DATE(2022,6,30),-1,1)+1))</f>
        <v/>
      </c>
      <c r="U1652" s="50">
        <f>IF(AND(AND(OR(in_Mode="All Funds",AND(C1652&gt;=in_BandFloor,C1652&lt;=in_BandCeiling,OR(in_Geography="National",COUNTIFS(lst_GeoPreset,in_Geography,lst_GeoState,B1652)&gt;0,AND(in_Geography="Custom",ISNUMBER(SEARCH(B1652,SUBSTITUTE(in_CustomStates," ",""))))),OR(AND(D1652="Endowment",Inputs!$B$14="Y"),AND(D1652="Foundation",Inputs!$B$15="Y"),AND(D1652="Healthcare",Inputs!$B$16="Y"),AND(D1652="Pension",Inputs!$B$17="Y"),AND(D1652="OCIO",Inputs!$B$18="Y"),AND(D1652="Other",Inputs!$B$19="Y")))),A1652&lt;&gt;in_ClientOrg,NOT(AND(in_ExclHarvard="Y",ISNUMBER(SEARCH("Harvard",A1652))))),$AD1652="Y",K1652&lt;&gt;"",S1652&gt;0),"Y","")</f>
        <v/>
      </c>
      <c r="V1652" s="30" t="n">
        <v>1</v>
      </c>
      <c r="W1652" t="inlineStr"/>
      <c r="X1652" s="28">
        <f>IF(L1652+M1652=0,"",L1652+M1652)</f>
        <v/>
      </c>
      <c r="Y1652" s="38">
        <f>IF(L1652=0,"",M1652/L1652)</f>
        <v/>
      </c>
      <c r="Z1652" t="inlineStr">
        <is>
          <t>CIO - Top Investment Executive</t>
        </is>
      </c>
      <c r="AA1652" t="inlineStr">
        <is>
          <t>Leadership</t>
        </is>
      </c>
      <c r="AB1652" s="50" t="inlineStr">
        <is>
          <t>Y</t>
        </is>
      </c>
      <c r="AC1652" s="43">
        <f>HYPERLINK("https://projects.propublica.org/nonprofits/organizations/540505965/202331359349300218/full","view filing")</f>
        <v/>
      </c>
      <c r="AD1652" s="50" t="inlineStr"/>
    </row>
    <row r="1653">
      <c r="A1653" t="inlineStr">
        <is>
          <t>University Of Richmond</t>
        </is>
      </c>
      <c r="B1653" s="50" t="inlineStr">
        <is>
          <t>VA</t>
        </is>
      </c>
      <c r="C1653" s="52" t="n">
        <v>5.9</v>
      </c>
      <c r="D1653" t="inlineStr">
        <is>
          <t>Endowment</t>
        </is>
      </c>
      <c r="E1653" s="50" t="n">
        <v>2022</v>
      </c>
      <c r="F1653" s="50" t="inlineStr">
        <is>
          <t>2023-05-15</t>
        </is>
      </c>
      <c r="G1653" s="50" t="inlineStr">
        <is>
          <t>2022-06-30</t>
        </is>
      </c>
      <c r="H1653" t="inlineStr">
        <is>
          <t>Steven Henderson</t>
        </is>
      </c>
      <c r="I1653" t="inlineStr">
        <is>
          <t>MANAGING DIRECTOR, SMC</t>
        </is>
      </c>
      <c r="J1653" t="inlineStr">
        <is>
          <t>Managing Director</t>
        </is>
      </c>
      <c r="K1653" t="inlineStr">
        <is>
          <t>Sr Investment Professional</t>
        </is>
      </c>
      <c r="L1653" s="28" t="n">
        <v>160971</v>
      </c>
      <c r="M1653" s="28" t="n">
        <v>591501</v>
      </c>
      <c r="N1653" s="28" t="n">
        <v>32011</v>
      </c>
      <c r="O1653" s="28" t="n">
        <v>29169</v>
      </c>
      <c r="P1653" s="28" t="n">
        <v>73886</v>
      </c>
      <c r="Q1653" s="28" t="n">
        <v>887538</v>
      </c>
      <c r="R1653" s="28" t="n">
        <v>0</v>
      </c>
      <c r="S1653" s="28">
        <f>Q1653-R1653</f>
        <v/>
      </c>
      <c r="T1653" s="28">
        <f>IF(S1653="","",S1653*(1+in_GrowthRate)^(YEARFRAC(DATE(2022,6,30),in_AgeToDate)*IF(in_AgeToDate&lt;DATE(2022,6,30),-1,1)+1))</f>
        <v/>
      </c>
      <c r="U1653" s="50">
        <f>IF(AND(AND(OR(in_Mode="All Funds",AND(C1653&gt;=in_BandFloor,C1653&lt;=in_BandCeiling,OR(in_Geography="National",COUNTIFS(lst_GeoPreset,in_Geography,lst_GeoState,B1653)&gt;0,AND(in_Geography="Custom",ISNUMBER(SEARCH(B1653,SUBSTITUTE(in_CustomStates," ",""))))),OR(AND(D1653="Endowment",Inputs!$B$14="Y"),AND(D1653="Foundation",Inputs!$B$15="Y"),AND(D1653="Healthcare",Inputs!$B$16="Y"),AND(D1653="Pension",Inputs!$B$17="Y"),AND(D1653="OCIO",Inputs!$B$18="Y"),AND(D1653="Other",Inputs!$B$19="Y")))),A1653&lt;&gt;in_ClientOrg,NOT(AND(in_ExclHarvard="Y",ISNUMBER(SEARCH("Harvard",A1653))))),$AD1653="Y",K1653&lt;&gt;"",S1653&gt;0),"Y","")</f>
        <v/>
      </c>
      <c r="V1653" s="30" t="n">
        <v>0.4712914798396775</v>
      </c>
      <c r="W1653" t="inlineStr"/>
      <c r="X1653" s="28">
        <f>IF(L1653+M1653=0,"",L1653+M1653)</f>
        <v/>
      </c>
      <c r="Y1653" s="38">
        <f>IF(L1653=0,"",M1653/L1653)</f>
        <v/>
      </c>
      <c r="Z1653" t="inlineStr">
        <is>
          <t>Managing Director</t>
        </is>
      </c>
      <c r="AA1653" t="inlineStr">
        <is>
          <t>Investments</t>
        </is>
      </c>
      <c r="AB1653" s="50" t="inlineStr"/>
      <c r="AC1653" s="43">
        <f>HYPERLINK("https://projects.propublica.org/nonprofits/organizations/540505965/202331359349300218/full","view filing")</f>
        <v/>
      </c>
      <c r="AD1653" s="50" t="inlineStr"/>
    </row>
    <row r="1654">
      <c r="A1654" t="inlineStr">
        <is>
          <t>University Of Richmond</t>
        </is>
      </c>
      <c r="B1654" s="50" t="inlineStr">
        <is>
          <t>VA</t>
        </is>
      </c>
      <c r="C1654" s="52" t="n">
        <v>5.9</v>
      </c>
      <c r="D1654" t="inlineStr">
        <is>
          <t>Endowment</t>
        </is>
      </c>
      <c r="E1654" s="50" t="n">
        <v>2022</v>
      </c>
      <c r="F1654" s="50" t="inlineStr">
        <is>
          <t>2023-05-15</t>
        </is>
      </c>
      <c r="G1654" s="50" t="inlineStr">
        <is>
          <t>2022-06-30</t>
        </is>
      </c>
      <c r="H1654" t="inlineStr">
        <is>
          <t>William Mclean</t>
        </is>
      </c>
      <c r="I1654" t="inlineStr">
        <is>
          <t>PRESIDENT AND CIO, SMC</t>
        </is>
      </c>
      <c r="J1654" t="inlineStr">
        <is>
          <t>CIO</t>
        </is>
      </c>
      <c r="K1654" t="inlineStr">
        <is>
          <t>Sr Investment Professional</t>
        </is>
      </c>
      <c r="L1654" s="28" t="n">
        <v>895248</v>
      </c>
      <c r="M1654" s="28" t="n">
        <v>0</v>
      </c>
      <c r="N1654" s="28" t="n">
        <v>15210</v>
      </c>
      <c r="O1654" s="28" t="n">
        <v>29101</v>
      </c>
      <c r="P1654" s="28" t="n">
        <v>17139</v>
      </c>
      <c r="Q1654" s="28" t="n">
        <v>956698</v>
      </c>
      <c r="R1654" s="28" t="n">
        <v>0</v>
      </c>
      <c r="S1654" s="28">
        <f>Q1654-R1654</f>
        <v/>
      </c>
      <c r="T1654" s="28">
        <f>IF(S1654="","",S1654*(1+in_GrowthRate)^(YEARFRAC(DATE(2022,6,30),in_AgeToDate)*IF(in_AgeToDate&lt;DATE(2022,6,30),-1,1)+1))</f>
        <v/>
      </c>
      <c r="U1654" s="50">
        <f>IF(AND(AND(OR(in_Mode="All Funds",AND(C1654&gt;=in_BandFloor,C1654&lt;=in_BandCeiling,OR(in_Geography="National",COUNTIFS(lst_GeoPreset,in_Geography,lst_GeoState,B1654)&gt;0,AND(in_Geography="Custom",ISNUMBER(SEARCH(B1654,SUBSTITUTE(in_CustomStates," ",""))))),OR(AND(D1654="Endowment",Inputs!$B$14="Y"),AND(D1654="Foundation",Inputs!$B$15="Y"),AND(D1654="Healthcare",Inputs!$B$16="Y"),AND(D1654="Pension",Inputs!$B$17="Y"),AND(D1654="OCIO",Inputs!$B$18="Y"),AND(D1654="Other",Inputs!$B$19="Y")))),A1654&lt;&gt;in_ClientOrg,NOT(AND(in_ExclHarvard="Y",ISNUMBER(SEARCH("Harvard",A1654))))),$AD1654="Y",K1654&lt;&gt;"",S1654&gt;0),"Y","")</f>
        <v/>
      </c>
      <c r="V1654" s="30" t="n">
        <v>0.5080161257091638</v>
      </c>
      <c r="W1654" t="inlineStr"/>
      <c r="X1654" s="28">
        <f>IF(L1654+M1654=0,"",L1654+M1654)</f>
        <v/>
      </c>
      <c r="Y1654" s="38">
        <f>IF(L1654=0,"",M1654/L1654)</f>
        <v/>
      </c>
      <c r="Z1654" t="inlineStr">
        <is>
          <t>Deputy CIO</t>
        </is>
      </c>
      <c r="AA1654" t="inlineStr">
        <is>
          <t>Leadership</t>
        </is>
      </c>
      <c r="AB1654" s="50" t="inlineStr"/>
      <c r="AC1654" s="43">
        <f>HYPERLINK("https://projects.propublica.org/nonprofits/organizations/540505965/202331359349300218/full","view filing")</f>
        <v/>
      </c>
      <c r="AD1654" s="50" t="inlineStr"/>
    </row>
    <row r="1655">
      <c r="A1655" t="inlineStr">
        <is>
          <t>University Of Rochester</t>
        </is>
      </c>
      <c r="B1655" s="50" t="inlineStr">
        <is>
          <t>NY</t>
        </is>
      </c>
      <c r="C1655" s="52" t="n">
        <v>3.24</v>
      </c>
      <c r="D1655" t="inlineStr">
        <is>
          <t>Endowment</t>
        </is>
      </c>
      <c r="E1655" s="50" t="n">
        <v>2025</v>
      </c>
      <c r="F1655" s="50" t="inlineStr">
        <is>
          <t>2026-05-14</t>
        </is>
      </c>
      <c r="G1655" s="50" t="inlineStr">
        <is>
          <t>2025-06-30</t>
        </is>
      </c>
      <c r="H1655" t="inlineStr">
        <is>
          <t>Douglas W Phillips</t>
        </is>
      </c>
      <c r="I1655" t="inlineStr">
        <is>
          <t>SRVP &amp; CHIEF INVESTMENT OFFICER</t>
        </is>
      </c>
      <c r="J1655" t="inlineStr">
        <is>
          <t>CIO</t>
        </is>
      </c>
      <c r="K1655" t="inlineStr">
        <is>
          <t>CIO - Top Investment Executive</t>
        </is>
      </c>
      <c r="L1655" s="28" t="n">
        <v>1012248</v>
      </c>
      <c r="M1655" s="28" t="n">
        <v>0</v>
      </c>
      <c r="N1655" s="28" t="n">
        <v>23000</v>
      </c>
      <c r="O1655" s="28" t="n">
        <v>33430</v>
      </c>
      <c r="P1655" s="28" t="n">
        <v>28861</v>
      </c>
      <c r="Q1655" s="28" t="n">
        <v>1097539</v>
      </c>
      <c r="R1655" s="28" t="n">
        <v>0</v>
      </c>
      <c r="S1655" s="28">
        <f>Q1655-R1655</f>
        <v/>
      </c>
      <c r="T1655" s="28">
        <f>IF(S1655="","",S1655*(1+in_GrowthRate)^(YEARFRAC(DATE(2025,6,30),in_AgeToDate)*IF(in_AgeToDate&lt;DATE(2025,6,30),-1,1)+1))</f>
        <v/>
      </c>
      <c r="U1655" s="50">
        <f>IF(AND(AND(OR(in_Mode="All Funds",AND(C1655&gt;=in_BandFloor,C1655&lt;=in_BandCeiling,OR(in_Geography="National",COUNTIFS(lst_GeoPreset,in_Geography,lst_GeoState,B1655)&gt;0,AND(in_Geography="Custom",ISNUMBER(SEARCH(B1655,SUBSTITUTE(in_CustomStates," ",""))))),OR(AND(D1655="Endowment",Inputs!$B$14="Y"),AND(D1655="Foundation",Inputs!$B$15="Y"),AND(D1655="Healthcare",Inputs!$B$16="Y"),AND(D1655="Pension",Inputs!$B$17="Y"),AND(D1655="OCIO",Inputs!$B$18="Y"),AND(D1655="Other",Inputs!$B$19="Y")))),A1655&lt;&gt;in_ClientOrg,NOT(AND(in_ExclHarvard="Y",ISNUMBER(SEARCH("Harvard",A1655))))),$AD1655="Y",K1655&lt;&gt;"",S1655&gt;0),"Y","")</f>
        <v/>
      </c>
      <c r="V1655" s="30" t="n">
        <v>1</v>
      </c>
      <c r="W1655" t="inlineStr"/>
      <c r="X1655" s="28">
        <f>IF(L1655+M1655=0,"",L1655+M1655)</f>
        <v/>
      </c>
      <c r="Y1655" s="38">
        <f>IF(L1655=0,"",M1655/L1655)</f>
        <v/>
      </c>
      <c r="Z1655" t="inlineStr">
        <is>
          <t>CIO - Top Investment Executive</t>
        </is>
      </c>
      <c r="AA1655" t="inlineStr">
        <is>
          <t>Leadership</t>
        </is>
      </c>
      <c r="AB1655" s="50" t="inlineStr">
        <is>
          <t>Y</t>
        </is>
      </c>
      <c r="AC1655" s="43">
        <f>HYPERLINK("https://projects.propublica.org/nonprofits/organizations/160743209/202621349349307382/full","view filing")</f>
        <v/>
      </c>
      <c r="AD1655" s="50" t="inlineStr">
        <is>
          <t>Y</t>
        </is>
      </c>
    </row>
    <row r="1656">
      <c r="A1656" t="inlineStr">
        <is>
          <t>University Of Rochester</t>
        </is>
      </c>
      <c r="B1656" s="50" t="inlineStr">
        <is>
          <t>NY</t>
        </is>
      </c>
      <c r="C1656" s="52" t="n">
        <v>3.24</v>
      </c>
      <c r="D1656" t="inlineStr">
        <is>
          <t>Endowment</t>
        </is>
      </c>
      <c r="E1656" s="50" t="n">
        <v>2024</v>
      </c>
      <c r="F1656" s="50" t="inlineStr">
        <is>
          <t>2025-05-15</t>
        </is>
      </c>
      <c r="G1656" s="50" t="inlineStr">
        <is>
          <t>2024-06-30</t>
        </is>
      </c>
      <c r="H1656" t="inlineStr">
        <is>
          <t>Douglas W Phillips</t>
        </is>
      </c>
      <c r="I1656" t="inlineStr">
        <is>
          <t>SRVP &amp; CHIEF INVESTMENT OFCR</t>
        </is>
      </c>
      <c r="J1656" t="inlineStr">
        <is>
          <t>CIO</t>
        </is>
      </c>
      <c r="K1656" t="inlineStr">
        <is>
          <t>CIO - Top Investment Executive</t>
        </is>
      </c>
      <c r="L1656" s="28" t="n">
        <v>983353</v>
      </c>
      <c r="M1656" s="28" t="n">
        <v>0</v>
      </c>
      <c r="N1656" s="28" t="n">
        <v>22500</v>
      </c>
      <c r="O1656" s="28" t="n">
        <v>31937</v>
      </c>
      <c r="P1656" s="28" t="n">
        <v>28039</v>
      </c>
      <c r="Q1656" s="28" t="n">
        <v>1065829</v>
      </c>
      <c r="R1656" s="28" t="n">
        <v>0</v>
      </c>
      <c r="S1656" s="28">
        <f>Q1656-R1656</f>
        <v/>
      </c>
      <c r="T1656" s="28">
        <f>IF(S1656="","",S1656*(1+in_GrowthRate)^(YEARFRAC(DATE(2024,6,30),in_AgeToDate)*IF(in_AgeToDate&lt;DATE(2024,6,30),-1,1)+1))</f>
        <v/>
      </c>
      <c r="U1656" s="50">
        <f>IF(AND(AND(OR(in_Mode="All Funds",AND(C1656&gt;=in_BandFloor,C1656&lt;=in_BandCeiling,OR(in_Geography="National",COUNTIFS(lst_GeoPreset,in_Geography,lst_GeoState,B1656)&gt;0,AND(in_Geography="Custom",ISNUMBER(SEARCH(B1656,SUBSTITUTE(in_CustomStates," ",""))))),OR(AND(D1656="Endowment",Inputs!$B$14="Y"),AND(D1656="Foundation",Inputs!$B$15="Y"),AND(D1656="Healthcare",Inputs!$B$16="Y"),AND(D1656="Pension",Inputs!$B$17="Y"),AND(D1656="OCIO",Inputs!$B$18="Y"),AND(D1656="Other",Inputs!$B$19="Y")))),A1656&lt;&gt;in_ClientOrg,NOT(AND(in_ExclHarvard="Y",ISNUMBER(SEARCH("Harvard",A1656))))),$AD1656="Y",K1656&lt;&gt;"",S1656&gt;0),"Y","")</f>
        <v/>
      </c>
      <c r="V1656" s="30" t="n">
        <v>1</v>
      </c>
      <c r="W1656" t="inlineStr"/>
      <c r="X1656" s="28">
        <f>IF(L1656+M1656=0,"",L1656+M1656)</f>
        <v/>
      </c>
      <c r="Y1656" s="38">
        <f>IF(L1656=0,"",M1656/L1656)</f>
        <v/>
      </c>
      <c r="Z1656" t="inlineStr">
        <is>
          <t>CIO - Top Investment Executive</t>
        </is>
      </c>
      <c r="AA1656" t="inlineStr">
        <is>
          <t>Leadership</t>
        </is>
      </c>
      <c r="AB1656" s="50" t="inlineStr">
        <is>
          <t>Y</t>
        </is>
      </c>
      <c r="AC1656" s="43">
        <f>HYPERLINK("https://projects.propublica.org/nonprofits/organizations/160743209/202521359349317402/full","view filing")</f>
        <v/>
      </c>
      <c r="AD1656" s="50" t="inlineStr"/>
    </row>
    <row r="1657">
      <c r="A1657" t="inlineStr">
        <is>
          <t>University Of Rochester</t>
        </is>
      </c>
      <c r="B1657" s="50" t="inlineStr">
        <is>
          <t>NY</t>
        </is>
      </c>
      <c r="C1657" s="52" t="n">
        <v>3.24</v>
      </c>
      <c r="D1657" t="inlineStr">
        <is>
          <t>Endowment</t>
        </is>
      </c>
      <c r="E1657" s="50" t="n">
        <v>2023</v>
      </c>
      <c r="F1657" s="50" t="inlineStr">
        <is>
          <t>2024-05-15</t>
        </is>
      </c>
      <c r="G1657" s="50" t="inlineStr">
        <is>
          <t>2023-06-30</t>
        </is>
      </c>
      <c r="H1657" t="inlineStr">
        <is>
          <t>Douglas W Phillips</t>
        </is>
      </c>
      <c r="I1657" t="inlineStr">
        <is>
          <t>SRVP &amp; CHIEF INVESTMENT OFCR</t>
        </is>
      </c>
      <c r="J1657" t="inlineStr">
        <is>
          <t>CIO</t>
        </is>
      </c>
      <c r="K1657" t="inlineStr">
        <is>
          <t>CIO - Top Investment Executive</t>
        </is>
      </c>
      <c r="L1657" s="28" t="n">
        <v>883976</v>
      </c>
      <c r="M1657" s="28" t="n">
        <v>0</v>
      </c>
      <c r="N1657" s="28" t="n">
        <v>20500</v>
      </c>
      <c r="O1657" s="28" t="n">
        <v>29312</v>
      </c>
      <c r="P1657" s="28" t="n">
        <v>26252</v>
      </c>
      <c r="Q1657" s="28" t="n">
        <v>960040</v>
      </c>
      <c r="R1657" s="28" t="n">
        <v>0</v>
      </c>
      <c r="S1657" s="28">
        <f>Q1657-R1657</f>
        <v/>
      </c>
      <c r="T1657" s="28">
        <f>IF(S1657="","",S1657*(1+in_GrowthRate)^(YEARFRAC(DATE(2023,6,30),in_AgeToDate)*IF(in_AgeToDate&lt;DATE(2023,6,30),-1,1)+1))</f>
        <v/>
      </c>
      <c r="U1657" s="50">
        <f>IF(AND(AND(OR(in_Mode="All Funds",AND(C1657&gt;=in_BandFloor,C1657&lt;=in_BandCeiling,OR(in_Geography="National",COUNTIFS(lst_GeoPreset,in_Geography,lst_GeoState,B1657)&gt;0,AND(in_Geography="Custom",ISNUMBER(SEARCH(B1657,SUBSTITUTE(in_CustomStates," ",""))))),OR(AND(D1657="Endowment",Inputs!$B$14="Y"),AND(D1657="Foundation",Inputs!$B$15="Y"),AND(D1657="Healthcare",Inputs!$B$16="Y"),AND(D1657="Pension",Inputs!$B$17="Y"),AND(D1657="OCIO",Inputs!$B$18="Y"),AND(D1657="Other",Inputs!$B$19="Y")))),A1657&lt;&gt;in_ClientOrg,NOT(AND(in_ExclHarvard="Y",ISNUMBER(SEARCH("Harvard",A1657))))),$AD1657="Y",K1657&lt;&gt;"",S1657&gt;0),"Y","")</f>
        <v/>
      </c>
      <c r="V1657" s="30" t="n">
        <v>1</v>
      </c>
      <c r="W1657" t="inlineStr"/>
      <c r="X1657" s="28">
        <f>IF(L1657+M1657=0,"",L1657+M1657)</f>
        <v/>
      </c>
      <c r="Y1657" s="38">
        <f>IF(L1657=0,"",M1657/L1657)</f>
        <v/>
      </c>
      <c r="Z1657" t="inlineStr">
        <is>
          <t>CIO - Top Investment Executive</t>
        </is>
      </c>
      <c r="AA1657" t="inlineStr">
        <is>
          <t>Leadership</t>
        </is>
      </c>
      <c r="AB1657" s="50" t="inlineStr">
        <is>
          <t>Y</t>
        </is>
      </c>
      <c r="AC1657" s="43">
        <f>HYPERLINK("https://projects.propublica.org/nonprofits/organizations/160743209/202411369349308096/full","view filing")</f>
        <v/>
      </c>
      <c r="AD1657" s="50" t="inlineStr"/>
    </row>
    <row r="1658">
      <c r="A1658" t="inlineStr">
        <is>
          <t>University Of Rochester</t>
        </is>
      </c>
      <c r="B1658" s="50" t="inlineStr">
        <is>
          <t>NY</t>
        </is>
      </c>
      <c r="C1658" s="52" t="n">
        <v>3.24</v>
      </c>
      <c r="D1658" t="inlineStr">
        <is>
          <t>Endowment</t>
        </is>
      </c>
      <c r="E1658" s="50" t="n">
        <v>2022</v>
      </c>
      <c r="F1658" s="50" t="inlineStr">
        <is>
          <t>2023-05-12</t>
        </is>
      </c>
      <c r="G1658" s="50" t="inlineStr">
        <is>
          <t>2022-06-30</t>
        </is>
      </c>
      <c r="H1658" t="inlineStr">
        <is>
          <t>Douglas W Phillips</t>
        </is>
      </c>
      <c r="I1658" t="inlineStr">
        <is>
          <t>SRVP &amp; CHIEF INVESTMENT OFCR</t>
        </is>
      </c>
      <c r="J1658" t="inlineStr">
        <is>
          <t>CIO</t>
        </is>
      </c>
      <c r="K1658" t="inlineStr">
        <is>
          <t>CIO - Top Investment Executive</t>
        </is>
      </c>
      <c r="L1658" s="28" t="n">
        <v>819537</v>
      </c>
      <c r="M1658" s="28" t="n">
        <v>0</v>
      </c>
      <c r="N1658" s="28" t="n">
        <v>19500</v>
      </c>
      <c r="O1658" s="28" t="n">
        <v>33601</v>
      </c>
      <c r="P1658" s="28" t="n">
        <v>25285</v>
      </c>
      <c r="Q1658" s="28" t="n">
        <v>897923</v>
      </c>
      <c r="R1658" s="28" t="n">
        <v>0</v>
      </c>
      <c r="S1658" s="28">
        <f>Q1658-R1658</f>
        <v/>
      </c>
      <c r="T1658" s="28">
        <f>IF(S1658="","",S1658*(1+in_GrowthRate)^(YEARFRAC(DATE(2022,6,30),in_AgeToDate)*IF(in_AgeToDate&lt;DATE(2022,6,30),-1,1)+1))</f>
        <v/>
      </c>
      <c r="U1658" s="50">
        <f>IF(AND(AND(OR(in_Mode="All Funds",AND(C1658&gt;=in_BandFloor,C1658&lt;=in_BandCeiling,OR(in_Geography="National",COUNTIFS(lst_GeoPreset,in_Geography,lst_GeoState,B1658)&gt;0,AND(in_Geography="Custom",ISNUMBER(SEARCH(B1658,SUBSTITUTE(in_CustomStates," ",""))))),OR(AND(D1658="Endowment",Inputs!$B$14="Y"),AND(D1658="Foundation",Inputs!$B$15="Y"),AND(D1658="Healthcare",Inputs!$B$16="Y"),AND(D1658="Pension",Inputs!$B$17="Y"),AND(D1658="OCIO",Inputs!$B$18="Y"),AND(D1658="Other",Inputs!$B$19="Y")))),A1658&lt;&gt;in_ClientOrg,NOT(AND(in_ExclHarvard="Y",ISNUMBER(SEARCH("Harvard",A1658))))),$AD1658="Y",K1658&lt;&gt;"",S1658&gt;0),"Y","")</f>
        <v/>
      </c>
      <c r="V1658" s="30" t="n">
        <v>1</v>
      </c>
      <c r="W1658" t="inlineStr"/>
      <c r="X1658" s="28">
        <f>IF(L1658+M1658=0,"",L1658+M1658)</f>
        <v/>
      </c>
      <c r="Y1658" s="38">
        <f>IF(L1658=0,"",M1658/L1658)</f>
        <v/>
      </c>
      <c r="Z1658" t="inlineStr">
        <is>
          <t>CIO - Top Investment Executive</t>
        </is>
      </c>
      <c r="AA1658" t="inlineStr">
        <is>
          <t>Leadership</t>
        </is>
      </c>
      <c r="AB1658" s="50" t="inlineStr">
        <is>
          <t>Y</t>
        </is>
      </c>
      <c r="AC1658" s="43">
        <f>HYPERLINK("https://projects.propublica.org/nonprofits/organizations/160743209/202331329349307748/full","view filing")</f>
        <v/>
      </c>
      <c r="AD1658" s="50" t="inlineStr"/>
    </row>
    <row r="1659">
      <c r="A1659" t="inlineStr">
        <is>
          <t>University Of South Carolina Educational Foundation</t>
        </is>
      </c>
      <c r="B1659" s="50" t="inlineStr">
        <is>
          <t>SC</t>
        </is>
      </c>
      <c r="C1659" s="52" t="n">
        <v>0.74</v>
      </c>
      <c r="D1659" t="inlineStr">
        <is>
          <t>Endowment</t>
        </is>
      </c>
      <c r="E1659" s="50" t="n">
        <v>2025</v>
      </c>
      <c r="F1659" s="50" t="inlineStr">
        <is>
          <t>2026-05-05</t>
        </is>
      </c>
      <c r="G1659" s="50" t="inlineStr">
        <is>
          <t>2025-06-30</t>
        </is>
      </c>
      <c r="H1659" t="inlineStr">
        <is>
          <t>Jennifer Muir</t>
        </is>
      </c>
      <c r="I1659" t="inlineStr">
        <is>
          <t>Director of Investments</t>
        </is>
      </c>
      <c r="J1659" t="inlineStr">
        <is>
          <t>Director of Investments</t>
        </is>
      </c>
      <c r="K1659" t="inlineStr">
        <is>
          <t>Sr Investment Professional</t>
        </is>
      </c>
      <c r="L1659" s="28" t="n">
        <v>159364</v>
      </c>
      <c r="M1659" s="28" t="n">
        <v>3000</v>
      </c>
      <c r="N1659" s="28" t="n">
        <v>0</v>
      </c>
      <c r="O1659" s="28" t="n">
        <v>12081</v>
      </c>
      <c r="P1659" s="28" t="n">
        <v>51157</v>
      </c>
      <c r="Q1659" s="28" t="n">
        <v>225602</v>
      </c>
      <c r="R1659" s="28" t="n">
        <v>0</v>
      </c>
      <c r="S1659" s="28">
        <f>Q1659-R1659</f>
        <v/>
      </c>
      <c r="T1659" s="28">
        <f>IF(S1659="","",S1659*(1+in_GrowthRate)^(YEARFRAC(DATE(2025,6,30),in_AgeToDate)*IF(in_AgeToDate&lt;DATE(2025,6,30),-1,1)+1))</f>
        <v/>
      </c>
      <c r="U1659" s="50">
        <f>IF(AND(AND(OR(in_Mode="All Funds",AND(C1659&gt;=in_BandFloor,C1659&lt;=in_BandCeiling,OR(in_Geography="National",COUNTIFS(lst_GeoPreset,in_Geography,lst_GeoState,B1659)&gt;0,AND(in_Geography="Custom",ISNUMBER(SEARCH(B1659,SUBSTITUTE(in_CustomStates," ",""))))),OR(AND(D1659="Endowment",Inputs!$B$14="Y"),AND(D1659="Foundation",Inputs!$B$15="Y"),AND(D1659="Healthcare",Inputs!$B$16="Y"),AND(D1659="Pension",Inputs!$B$17="Y"),AND(D1659="OCIO",Inputs!$B$18="Y"),AND(D1659="Other",Inputs!$B$19="Y")))),A1659&lt;&gt;in_ClientOrg,NOT(AND(in_ExclHarvard="Y",ISNUMBER(SEARCH("Harvard",A1659))))),$AD1659="Y",K1659&lt;&gt;"",S1659&gt;0),"Y","")</f>
        <v/>
      </c>
      <c r="V1659" s="30" t="n"/>
      <c r="W1659" t="inlineStr"/>
      <c r="X1659" s="28">
        <f>IF(L1659+M1659=0,"",L1659+M1659)</f>
        <v/>
      </c>
      <c r="Y1659" s="38">
        <f>IF(L1659=0,"",M1659/L1659)</f>
        <v/>
      </c>
      <c r="Z1659" t="inlineStr">
        <is>
          <t>Director &amp; Investment Officer</t>
        </is>
      </c>
      <c r="AA1659" t="inlineStr">
        <is>
          <t>Investments</t>
        </is>
      </c>
      <c r="AB1659" s="50" t="inlineStr"/>
      <c r="AC1659" s="43">
        <f>HYPERLINK("https://projects.propublica.org/nonprofits/organizations/576017985/202641259349303504/full","view filing")</f>
        <v/>
      </c>
      <c r="AD1659" s="50" t="inlineStr">
        <is>
          <t>Y</t>
        </is>
      </c>
    </row>
    <row r="1660">
      <c r="A1660" t="inlineStr">
        <is>
          <t>University Of South Carolina Educational Foundation</t>
        </is>
      </c>
      <c r="B1660" s="50" t="inlineStr">
        <is>
          <t>SC</t>
        </is>
      </c>
      <c r="C1660" s="52" t="n">
        <v>0.74</v>
      </c>
      <c r="D1660" t="inlineStr">
        <is>
          <t>Endowment</t>
        </is>
      </c>
      <c r="E1660" s="50" t="n">
        <v>2024</v>
      </c>
      <c r="F1660" s="50" t="inlineStr">
        <is>
          <t>2025-05-09</t>
        </is>
      </c>
      <c r="G1660" s="50" t="inlineStr">
        <is>
          <t>2024-06-30</t>
        </is>
      </c>
      <c r="H1660" t="inlineStr">
        <is>
          <t>Jennifer Muir</t>
        </is>
      </c>
      <c r="I1660" t="inlineStr">
        <is>
          <t>Director of Investments</t>
        </is>
      </c>
      <c r="J1660" t="inlineStr">
        <is>
          <t>Director of Investments</t>
        </is>
      </c>
      <c r="K1660" t="inlineStr">
        <is>
          <t>Sr Investment Professional</t>
        </is>
      </c>
      <c r="L1660" s="28" t="n">
        <v>156707</v>
      </c>
      <c r="M1660" s="28" t="n">
        <v>500</v>
      </c>
      <c r="N1660" s="28" t="n">
        <v>0</v>
      </c>
      <c r="O1660" s="28" t="n">
        <v>9544</v>
      </c>
      <c r="P1660" s="28" t="n">
        <v>47370</v>
      </c>
      <c r="Q1660" s="28" t="n">
        <v>214121</v>
      </c>
      <c r="R1660" s="28" t="n">
        <v>0</v>
      </c>
      <c r="S1660" s="28">
        <f>Q1660-R1660</f>
        <v/>
      </c>
      <c r="T1660" s="28">
        <f>IF(S1660="","",S1660*(1+in_GrowthRate)^(YEARFRAC(DATE(2024,6,30),in_AgeToDate)*IF(in_AgeToDate&lt;DATE(2024,6,30),-1,1)+1))</f>
        <v/>
      </c>
      <c r="U1660" s="50">
        <f>IF(AND(AND(OR(in_Mode="All Funds",AND(C1660&gt;=in_BandFloor,C1660&lt;=in_BandCeiling,OR(in_Geography="National",COUNTIFS(lst_GeoPreset,in_Geography,lst_GeoState,B1660)&gt;0,AND(in_Geography="Custom",ISNUMBER(SEARCH(B1660,SUBSTITUTE(in_CustomStates," ",""))))),OR(AND(D1660="Endowment",Inputs!$B$14="Y"),AND(D1660="Foundation",Inputs!$B$15="Y"),AND(D1660="Healthcare",Inputs!$B$16="Y"),AND(D1660="Pension",Inputs!$B$17="Y"),AND(D1660="OCIO",Inputs!$B$18="Y"),AND(D1660="Other",Inputs!$B$19="Y")))),A1660&lt;&gt;in_ClientOrg,NOT(AND(in_ExclHarvard="Y",ISNUMBER(SEARCH("Harvard",A1660))))),$AD1660="Y",K1660&lt;&gt;"",S1660&gt;0),"Y","")</f>
        <v/>
      </c>
      <c r="V1660" s="30" t="n"/>
      <c r="W1660" t="inlineStr"/>
      <c r="X1660" s="28">
        <f>IF(L1660+M1660=0,"",L1660+M1660)</f>
        <v/>
      </c>
      <c r="Y1660" s="38">
        <f>IF(L1660=0,"",M1660/L1660)</f>
        <v/>
      </c>
      <c r="Z1660" t="inlineStr">
        <is>
          <t>Director &amp; Investment Officer</t>
        </is>
      </c>
      <c r="AA1660" t="inlineStr">
        <is>
          <t>Investments</t>
        </is>
      </c>
      <c r="AB1660" s="50" t="inlineStr"/>
      <c r="AC1660" s="43">
        <f>HYPERLINK("https://projects.propublica.org/nonprofits/organizations/576017985/202511299349303036/full","view filing")</f>
        <v/>
      </c>
      <c r="AD1660" s="50" t="inlineStr"/>
    </row>
    <row r="1661">
      <c r="A1661" t="inlineStr">
        <is>
          <t>University Of South Carolina Educational Foundation</t>
        </is>
      </c>
      <c r="B1661" s="50" t="inlineStr">
        <is>
          <t>SC</t>
        </is>
      </c>
      <c r="C1661" s="52" t="n">
        <v>0.74</v>
      </c>
      <c r="D1661" t="inlineStr">
        <is>
          <t>Endowment</t>
        </is>
      </c>
      <c r="E1661" s="50" t="n">
        <v>2023</v>
      </c>
      <c r="F1661" s="50" t="inlineStr">
        <is>
          <t>2024-04-19</t>
        </is>
      </c>
      <c r="G1661" s="50" t="inlineStr">
        <is>
          <t>2023-06-30</t>
        </is>
      </c>
      <c r="H1661" t="inlineStr">
        <is>
          <t>Jennifer Muir</t>
        </is>
      </c>
      <c r="I1661" t="inlineStr">
        <is>
          <t>DIRECTOR OF INVESTMENTS</t>
        </is>
      </c>
      <c r="J1661" t="inlineStr">
        <is>
          <t>Director of Investments</t>
        </is>
      </c>
      <c r="K1661" t="inlineStr">
        <is>
          <t>Sr Investment Professional</t>
        </is>
      </c>
      <c r="L1661" s="28" t="n">
        <v>156564</v>
      </c>
      <c r="M1661" s="28" t="n">
        <v>3000</v>
      </c>
      <c r="N1661" s="28" t="n">
        <v>0</v>
      </c>
      <c r="O1661" s="28" t="n">
        <v>9506</v>
      </c>
      <c r="P1661" s="28" t="n">
        <v>42014</v>
      </c>
      <c r="Q1661" s="28" t="n">
        <v>211084</v>
      </c>
      <c r="R1661" s="28" t="n">
        <v>0</v>
      </c>
      <c r="S1661" s="28">
        <f>Q1661-R1661</f>
        <v/>
      </c>
      <c r="T1661" s="28">
        <f>IF(S1661="","",S1661*(1+in_GrowthRate)^(YEARFRAC(DATE(2023,6,30),in_AgeToDate)*IF(in_AgeToDate&lt;DATE(2023,6,30),-1,1)+1))</f>
        <v/>
      </c>
      <c r="U1661" s="50">
        <f>IF(AND(AND(OR(in_Mode="All Funds",AND(C1661&gt;=in_BandFloor,C1661&lt;=in_BandCeiling,OR(in_Geography="National",COUNTIFS(lst_GeoPreset,in_Geography,lst_GeoState,B1661)&gt;0,AND(in_Geography="Custom",ISNUMBER(SEARCH(B1661,SUBSTITUTE(in_CustomStates," ",""))))),OR(AND(D1661="Endowment",Inputs!$B$14="Y"),AND(D1661="Foundation",Inputs!$B$15="Y"),AND(D1661="Healthcare",Inputs!$B$16="Y"),AND(D1661="Pension",Inputs!$B$17="Y"),AND(D1661="OCIO",Inputs!$B$18="Y"),AND(D1661="Other",Inputs!$B$19="Y")))),A1661&lt;&gt;in_ClientOrg,NOT(AND(in_ExclHarvard="Y",ISNUMBER(SEARCH("Harvard",A1661))))),$AD1661="Y",K1661&lt;&gt;"",S1661&gt;0),"Y","")</f>
        <v/>
      </c>
      <c r="V1661" s="30" t="n"/>
      <c r="W1661" t="inlineStr"/>
      <c r="X1661" s="28">
        <f>IF(L1661+M1661=0,"",L1661+M1661)</f>
        <v/>
      </c>
      <c r="Y1661" s="38">
        <f>IF(L1661=0,"",M1661/L1661)</f>
        <v/>
      </c>
      <c r="Z1661" t="inlineStr">
        <is>
          <t>Director &amp; Investment Officer</t>
        </is>
      </c>
      <c r="AA1661" t="inlineStr">
        <is>
          <t>Investments</t>
        </is>
      </c>
      <c r="AB1661" s="50" t="inlineStr"/>
      <c r="AC1661" s="43">
        <f>HYPERLINK("https://projects.propublica.org/nonprofits/organizations/576017985/202401109349301100/full","view filing")</f>
        <v/>
      </c>
      <c r="AD1661" s="50" t="inlineStr"/>
    </row>
    <row r="1662">
      <c r="A1662" t="inlineStr">
        <is>
          <t>University Of South Carolina Educational Foundation</t>
        </is>
      </c>
      <c r="B1662" s="50" t="inlineStr">
        <is>
          <t>SC</t>
        </is>
      </c>
      <c r="C1662" s="52" t="n">
        <v>0.74</v>
      </c>
      <c r="D1662" t="inlineStr">
        <is>
          <t>Endowment</t>
        </is>
      </c>
      <c r="E1662" s="50" t="n">
        <v>2022</v>
      </c>
      <c r="F1662" s="50" t="inlineStr">
        <is>
          <t>2023-04-17</t>
        </is>
      </c>
      <c r="G1662" s="50" t="inlineStr">
        <is>
          <t>2022-06-30</t>
        </is>
      </c>
      <c r="H1662" t="inlineStr">
        <is>
          <t>Jennifer Muir</t>
        </is>
      </c>
      <c r="I1662" t="inlineStr">
        <is>
          <t>DIRECTOR OF INVESTMENTS</t>
        </is>
      </c>
      <c r="J1662" t="inlineStr">
        <is>
          <t>Director of Investments</t>
        </is>
      </c>
      <c r="K1662" t="inlineStr">
        <is>
          <t>Sr Investment Professional</t>
        </is>
      </c>
      <c r="L1662" s="28" t="n">
        <v>154397</v>
      </c>
      <c r="M1662" s="28" t="n">
        <v>0</v>
      </c>
      <c r="N1662" s="28" t="n">
        <v>0</v>
      </c>
      <c r="O1662" s="28" t="n">
        <v>9103</v>
      </c>
      <c r="P1662" s="28" t="n">
        <v>40400</v>
      </c>
      <c r="Q1662" s="28" t="n">
        <v>203900</v>
      </c>
      <c r="R1662" s="28" t="n">
        <v>0</v>
      </c>
      <c r="S1662" s="28">
        <f>Q1662-R1662</f>
        <v/>
      </c>
      <c r="T1662" s="28">
        <f>IF(S1662="","",S1662*(1+in_GrowthRate)^(YEARFRAC(DATE(2022,6,30),in_AgeToDate)*IF(in_AgeToDate&lt;DATE(2022,6,30),-1,1)+1))</f>
        <v/>
      </c>
      <c r="U1662" s="50">
        <f>IF(AND(AND(OR(in_Mode="All Funds",AND(C1662&gt;=in_BandFloor,C1662&lt;=in_BandCeiling,OR(in_Geography="National",COUNTIFS(lst_GeoPreset,in_Geography,lst_GeoState,B1662)&gt;0,AND(in_Geography="Custom",ISNUMBER(SEARCH(B1662,SUBSTITUTE(in_CustomStates," ",""))))),OR(AND(D1662="Endowment",Inputs!$B$14="Y"),AND(D1662="Foundation",Inputs!$B$15="Y"),AND(D1662="Healthcare",Inputs!$B$16="Y"),AND(D1662="Pension",Inputs!$B$17="Y"),AND(D1662="OCIO",Inputs!$B$18="Y"),AND(D1662="Other",Inputs!$B$19="Y")))),A1662&lt;&gt;in_ClientOrg,NOT(AND(in_ExclHarvard="Y",ISNUMBER(SEARCH("Harvard",A1662))))),$AD1662="Y",K1662&lt;&gt;"",S1662&gt;0),"Y","")</f>
        <v/>
      </c>
      <c r="V1662" s="30" t="n"/>
      <c r="W1662" t="inlineStr"/>
      <c r="X1662" s="28">
        <f>IF(L1662+M1662=0,"",L1662+M1662)</f>
        <v/>
      </c>
      <c r="Y1662" s="38">
        <f>IF(L1662=0,"",M1662/L1662)</f>
        <v/>
      </c>
      <c r="Z1662" t="inlineStr">
        <is>
          <t>Director &amp; Investment Officer</t>
        </is>
      </c>
      <c r="AA1662" t="inlineStr">
        <is>
          <t>Investments</t>
        </is>
      </c>
      <c r="AB1662" s="50" t="inlineStr"/>
      <c r="AC1662" s="43">
        <f>HYPERLINK("https://projects.propublica.org/nonprofits/organizations/576017985/202341079349301724/full","view filing")</f>
        <v/>
      </c>
      <c r="AD1662" s="50" t="inlineStr"/>
    </row>
    <row r="1663">
      <c r="A1663" t="inlineStr">
        <is>
          <t>University Of Southern California</t>
        </is>
      </c>
      <c r="B1663" s="50" t="inlineStr">
        <is>
          <t>CA</t>
        </is>
      </c>
      <c r="C1663" s="52" t="n">
        <v>9.029999999999999</v>
      </c>
      <c r="D1663" t="inlineStr">
        <is>
          <t>Endowment</t>
        </is>
      </c>
      <c r="E1663" s="50" t="n">
        <v>2025</v>
      </c>
      <c r="F1663" s="50" t="inlineStr">
        <is>
          <t>2026-05-15</t>
        </is>
      </c>
      <c r="G1663" s="50" t="inlineStr">
        <is>
          <t>2025-06-30</t>
        </is>
      </c>
      <c r="H1663" t="inlineStr">
        <is>
          <t>Amy Diamond</t>
        </is>
      </c>
      <c r="I1663" t="inlineStr">
        <is>
          <t>CHIEF INVESTMENT OFFICER</t>
        </is>
      </c>
      <c r="J1663" t="inlineStr">
        <is>
          <t>CIO</t>
        </is>
      </c>
      <c r="K1663" t="inlineStr">
        <is>
          <t>CIO - Top Investment Executive</t>
        </is>
      </c>
      <c r="L1663" s="28" t="n">
        <v>981008</v>
      </c>
      <c r="M1663" s="28" t="n">
        <v>693334</v>
      </c>
      <c r="N1663" s="28" t="n">
        <v>283607</v>
      </c>
      <c r="O1663" s="28" t="n">
        <v>284500</v>
      </c>
      <c r="P1663" s="28" t="n">
        <v>58413</v>
      </c>
      <c r="Q1663" s="28" t="n">
        <v>2300862</v>
      </c>
      <c r="R1663" s="28" t="n">
        <v>382969</v>
      </c>
      <c r="S1663" s="28">
        <f>Q1663-R1663</f>
        <v/>
      </c>
      <c r="T1663" s="28">
        <f>IF(S1663="","",S1663*(1+in_GrowthRate)^(YEARFRAC(DATE(2025,6,30),in_AgeToDate)*IF(in_AgeToDate&lt;DATE(2025,6,30),-1,1)+1))</f>
        <v/>
      </c>
      <c r="U1663" s="50">
        <f>IF(AND(AND(OR(in_Mode="All Funds",AND(C1663&gt;=in_BandFloor,C1663&lt;=in_BandCeiling,OR(in_Geography="National",COUNTIFS(lst_GeoPreset,in_Geography,lst_GeoState,B1663)&gt;0,AND(in_Geography="Custom",ISNUMBER(SEARCH(B1663,SUBSTITUTE(in_CustomStates," ",""))))),OR(AND(D1663="Endowment",Inputs!$B$14="Y"),AND(D1663="Foundation",Inputs!$B$15="Y"),AND(D1663="Healthcare",Inputs!$B$16="Y"),AND(D1663="Pension",Inputs!$B$17="Y"),AND(D1663="OCIO",Inputs!$B$18="Y"),AND(D1663="Other",Inputs!$B$19="Y")))),A1663&lt;&gt;in_ClientOrg,NOT(AND(in_ExclHarvard="Y",ISNUMBER(SEARCH("Harvard",A1663))))),$AD1663="Y",K1663&lt;&gt;"",S1663&gt;0),"Y","")</f>
        <v/>
      </c>
      <c r="V1663" s="30" t="n">
        <v>1</v>
      </c>
      <c r="W1663" t="inlineStr"/>
      <c r="X1663" s="28">
        <f>IF(L1663+M1663=0,"",L1663+M1663)</f>
        <v/>
      </c>
      <c r="Y1663" s="38">
        <f>IF(L1663=0,"",M1663/L1663)</f>
        <v/>
      </c>
      <c r="Z1663" t="inlineStr">
        <is>
          <t>CIO - Top Investment Executive</t>
        </is>
      </c>
      <c r="AA1663" t="inlineStr">
        <is>
          <t>Leadership</t>
        </is>
      </c>
      <c r="AB1663" s="50" t="inlineStr">
        <is>
          <t>Y</t>
        </is>
      </c>
      <c r="AC1663" s="43">
        <f>HYPERLINK("https://projects.propublica.org/nonprofits/organizations/951642394/202641359349304574/full","view filing")</f>
        <v/>
      </c>
      <c r="AD1663" s="50" t="inlineStr">
        <is>
          <t>Y</t>
        </is>
      </c>
    </row>
    <row r="1664">
      <c r="A1664" t="inlineStr">
        <is>
          <t>University Of Southern California</t>
        </is>
      </c>
      <c r="B1664" s="50" t="inlineStr">
        <is>
          <t>CA</t>
        </is>
      </c>
      <c r="C1664" s="52" t="n">
        <v>9.029999999999999</v>
      </c>
      <c r="D1664" t="inlineStr">
        <is>
          <t>Endowment</t>
        </is>
      </c>
      <c r="E1664" s="50" t="n">
        <v>2024</v>
      </c>
      <c r="F1664" s="50" t="inlineStr">
        <is>
          <t>2025-05-15</t>
        </is>
      </c>
      <c r="G1664" s="50" t="inlineStr">
        <is>
          <t>2024-06-30</t>
        </is>
      </c>
      <c r="H1664" t="inlineStr">
        <is>
          <t>Amy Diamond</t>
        </is>
      </c>
      <c r="I1664" t="inlineStr">
        <is>
          <t>CHIEF INVESTMENT OFFICER</t>
        </is>
      </c>
      <c r="J1664" t="inlineStr">
        <is>
          <t>CIO</t>
        </is>
      </c>
      <c r="K1664" t="inlineStr">
        <is>
          <t>CIO - Top Investment Executive</t>
        </is>
      </c>
      <c r="L1664" s="28" t="n">
        <v>926150</v>
      </c>
      <c r="M1664" s="28" t="n">
        <v>440225</v>
      </c>
      <c r="N1664" s="28" t="n">
        <v>251624</v>
      </c>
      <c r="O1664" s="28" t="n">
        <v>322750</v>
      </c>
      <c r="P1664" s="28" t="n">
        <v>35153</v>
      </c>
      <c r="Q1664" s="28" t="n">
        <v>1975902</v>
      </c>
      <c r="R1664" s="28" t="n">
        <v>0</v>
      </c>
      <c r="S1664" s="28">
        <f>Q1664-R1664</f>
        <v/>
      </c>
      <c r="T1664" s="28">
        <f>IF(S1664="","",S1664*(1+in_GrowthRate)^(YEARFRAC(DATE(2024,6,30),in_AgeToDate)*IF(in_AgeToDate&lt;DATE(2024,6,30),-1,1)+1))</f>
        <v/>
      </c>
      <c r="U1664" s="50">
        <f>IF(AND(AND(OR(in_Mode="All Funds",AND(C1664&gt;=in_BandFloor,C1664&lt;=in_BandCeiling,OR(in_Geography="National",COUNTIFS(lst_GeoPreset,in_Geography,lst_GeoState,B1664)&gt;0,AND(in_Geography="Custom",ISNUMBER(SEARCH(B1664,SUBSTITUTE(in_CustomStates," ",""))))),OR(AND(D1664="Endowment",Inputs!$B$14="Y"),AND(D1664="Foundation",Inputs!$B$15="Y"),AND(D1664="Healthcare",Inputs!$B$16="Y"),AND(D1664="Pension",Inputs!$B$17="Y"),AND(D1664="OCIO",Inputs!$B$18="Y"),AND(D1664="Other",Inputs!$B$19="Y")))),A1664&lt;&gt;in_ClientOrg,NOT(AND(in_ExclHarvard="Y",ISNUMBER(SEARCH("Harvard",A1664))))),$AD1664="Y",K1664&lt;&gt;"",S1664&gt;0),"Y","")</f>
        <v/>
      </c>
      <c r="V1664" s="30" t="n">
        <v>1</v>
      </c>
      <c r="W1664" t="inlineStr"/>
      <c r="X1664" s="28">
        <f>IF(L1664+M1664=0,"",L1664+M1664)</f>
        <v/>
      </c>
      <c r="Y1664" s="38">
        <f>IF(L1664=0,"",M1664/L1664)</f>
        <v/>
      </c>
      <c r="Z1664" t="inlineStr">
        <is>
          <t>CIO - Top Investment Executive</t>
        </is>
      </c>
      <c r="AA1664" t="inlineStr">
        <is>
          <t>Leadership</t>
        </is>
      </c>
      <c r="AB1664" s="50" t="inlineStr">
        <is>
          <t>Y</t>
        </is>
      </c>
      <c r="AC1664" s="43">
        <f>HYPERLINK("https://projects.propublica.org/nonprofits/organizations/951642394/202521359349301822/full","view filing")</f>
        <v/>
      </c>
      <c r="AD1664" s="50" t="inlineStr"/>
    </row>
    <row r="1665">
      <c r="A1665" t="inlineStr">
        <is>
          <t>University Of Southern California</t>
        </is>
      </c>
      <c r="B1665" s="50" t="inlineStr">
        <is>
          <t>CA</t>
        </is>
      </c>
      <c r="C1665" s="52" t="n">
        <v>9.029999999999999</v>
      </c>
      <c r="D1665" t="inlineStr">
        <is>
          <t>Endowment</t>
        </is>
      </c>
      <c r="E1665" s="50" t="n">
        <v>2023</v>
      </c>
      <c r="F1665" s="50" t="inlineStr">
        <is>
          <t>2024-05-15</t>
        </is>
      </c>
      <c r="G1665" s="50" t="inlineStr">
        <is>
          <t>2023-06-30</t>
        </is>
      </c>
      <c r="H1665" t="inlineStr">
        <is>
          <t>Amy Diamond</t>
        </is>
      </c>
      <c r="I1665" t="inlineStr">
        <is>
          <t>CHIEF INVESTMENT OFFICER</t>
        </is>
      </c>
      <c r="J1665" t="inlineStr">
        <is>
          <t>CIO</t>
        </is>
      </c>
      <c r="K1665" t="inlineStr">
        <is>
          <t>CIO - Top Investment Executive</t>
        </is>
      </c>
      <c r="L1665" s="28" t="n">
        <v>849541</v>
      </c>
      <c r="M1665" s="28" t="n">
        <v>382969</v>
      </c>
      <c r="N1665" s="28" t="n">
        <v>150784</v>
      </c>
      <c r="O1665" s="28" t="n">
        <v>413469</v>
      </c>
      <c r="P1665" s="28" t="n">
        <v>33059</v>
      </c>
      <c r="Q1665" s="28" t="n">
        <v>1829822</v>
      </c>
      <c r="R1665" s="28" t="n">
        <v>237500</v>
      </c>
      <c r="S1665" s="28">
        <f>Q1665-R1665</f>
        <v/>
      </c>
      <c r="T1665" s="28">
        <f>IF(S1665="","",S1665*(1+in_GrowthRate)^(YEARFRAC(DATE(2023,6,30),in_AgeToDate)*IF(in_AgeToDate&lt;DATE(2023,6,30),-1,1)+1))</f>
        <v/>
      </c>
      <c r="U1665" s="50">
        <f>IF(AND(AND(OR(in_Mode="All Funds",AND(C1665&gt;=in_BandFloor,C1665&lt;=in_BandCeiling,OR(in_Geography="National",COUNTIFS(lst_GeoPreset,in_Geography,lst_GeoState,B1665)&gt;0,AND(in_Geography="Custom",ISNUMBER(SEARCH(B1665,SUBSTITUTE(in_CustomStates," ",""))))),OR(AND(D1665="Endowment",Inputs!$B$14="Y"),AND(D1665="Foundation",Inputs!$B$15="Y"),AND(D1665="Healthcare",Inputs!$B$16="Y"),AND(D1665="Pension",Inputs!$B$17="Y"),AND(D1665="OCIO",Inputs!$B$18="Y"),AND(D1665="Other",Inputs!$B$19="Y")))),A1665&lt;&gt;in_ClientOrg,NOT(AND(in_ExclHarvard="Y",ISNUMBER(SEARCH("Harvard",A1665))))),$AD1665="Y",K1665&lt;&gt;"",S1665&gt;0),"Y","")</f>
        <v/>
      </c>
      <c r="V1665" s="30" t="n">
        <v>1</v>
      </c>
      <c r="W1665" t="inlineStr"/>
      <c r="X1665" s="28">
        <f>IF(L1665+M1665=0,"",L1665+M1665)</f>
        <v/>
      </c>
      <c r="Y1665" s="38">
        <f>IF(L1665=0,"",M1665/L1665)</f>
        <v/>
      </c>
      <c r="Z1665" t="inlineStr">
        <is>
          <t>CIO - Top Investment Executive</t>
        </is>
      </c>
      <c r="AA1665" t="inlineStr">
        <is>
          <t>Leadership</t>
        </is>
      </c>
      <c r="AB1665" s="50" t="inlineStr">
        <is>
          <t>Y</t>
        </is>
      </c>
      <c r="AC1665" s="43">
        <f>HYPERLINK("https://projects.propublica.org/nonprofits/organizations/951642394/202421369349305377/full","view filing")</f>
        <v/>
      </c>
      <c r="AD1665" s="50" t="inlineStr"/>
    </row>
    <row r="1666">
      <c r="A1666" t="inlineStr">
        <is>
          <t>University Of Southern California</t>
        </is>
      </c>
      <c r="B1666" s="50" t="inlineStr">
        <is>
          <t>CA</t>
        </is>
      </c>
      <c r="C1666" s="52" t="n">
        <v>9.029999999999999</v>
      </c>
      <c r="D1666" t="inlineStr">
        <is>
          <t>Endowment</t>
        </is>
      </c>
      <c r="E1666" s="50" t="n">
        <v>2022</v>
      </c>
      <c r="F1666" s="50" t="inlineStr">
        <is>
          <t>2023-05-15</t>
        </is>
      </c>
      <c r="G1666" s="50" t="inlineStr">
        <is>
          <t>2022-06-30</t>
        </is>
      </c>
      <c r="H1666" t="inlineStr">
        <is>
          <t>Amy Diamond</t>
        </is>
      </c>
      <c r="I1666" t="inlineStr">
        <is>
          <t>CHIEF INVESTMENT OFFICER</t>
        </is>
      </c>
      <c r="J1666" t="inlineStr">
        <is>
          <t>CIO</t>
        </is>
      </c>
      <c r="K1666" t="inlineStr">
        <is>
          <t>CIO - Top Investment Executive</t>
        </is>
      </c>
      <c r="L1666" s="28" t="n">
        <v>808917</v>
      </c>
      <c r="M1666" s="28" t="n">
        <v>963280</v>
      </c>
      <c r="N1666" s="28" t="n">
        <v>69412</v>
      </c>
      <c r="O1666" s="28" t="n">
        <v>237500</v>
      </c>
      <c r="P1666" s="28" t="n">
        <v>20876</v>
      </c>
      <c r="Q1666" s="28" t="n">
        <v>2099985</v>
      </c>
      <c r="R1666" s="28" t="n">
        <v>0</v>
      </c>
      <c r="S1666" s="28">
        <f>Q1666-R1666</f>
        <v/>
      </c>
      <c r="T1666" s="28">
        <f>IF(S1666="","",S1666*(1+in_GrowthRate)^(YEARFRAC(DATE(2022,6,30),in_AgeToDate)*IF(in_AgeToDate&lt;DATE(2022,6,30),-1,1)+1))</f>
        <v/>
      </c>
      <c r="U1666" s="50">
        <f>IF(AND(AND(OR(in_Mode="All Funds",AND(C1666&gt;=in_BandFloor,C1666&lt;=in_BandCeiling,OR(in_Geography="National",COUNTIFS(lst_GeoPreset,in_Geography,lst_GeoState,B1666)&gt;0,AND(in_Geography="Custom",ISNUMBER(SEARCH(B1666,SUBSTITUTE(in_CustomStates," ",""))))),OR(AND(D1666="Endowment",Inputs!$B$14="Y"),AND(D1666="Foundation",Inputs!$B$15="Y"),AND(D1666="Healthcare",Inputs!$B$16="Y"),AND(D1666="Pension",Inputs!$B$17="Y"),AND(D1666="OCIO",Inputs!$B$18="Y"),AND(D1666="Other",Inputs!$B$19="Y")))),A1666&lt;&gt;in_ClientOrg,NOT(AND(in_ExclHarvard="Y",ISNUMBER(SEARCH("Harvard",A1666))))),$AD1666="Y",K1666&lt;&gt;"",S1666&gt;0),"Y","")</f>
        <v/>
      </c>
      <c r="V1666" s="30" t="n">
        <v>1</v>
      </c>
      <c r="W1666" t="inlineStr"/>
      <c r="X1666" s="28">
        <f>IF(L1666+M1666=0,"",L1666+M1666)</f>
        <v/>
      </c>
      <c r="Y1666" s="38">
        <f>IF(L1666=0,"",M1666/L1666)</f>
        <v/>
      </c>
      <c r="Z1666" t="inlineStr">
        <is>
          <t>CIO - Top Investment Executive</t>
        </is>
      </c>
      <c r="AA1666" t="inlineStr">
        <is>
          <t>Leadership</t>
        </is>
      </c>
      <c r="AB1666" s="50" t="inlineStr">
        <is>
          <t>Y</t>
        </is>
      </c>
      <c r="AC1666" s="43">
        <f>HYPERLINK("https://projects.propublica.org/nonprofits/organizations/951642394/202341359349303724/full","view filing")</f>
        <v/>
      </c>
      <c r="AD1666" s="50" t="inlineStr"/>
    </row>
    <row r="1667">
      <c r="A1667" t="inlineStr">
        <is>
          <t>University Of St Thomas</t>
        </is>
      </c>
      <c r="B1667" s="50" t="inlineStr">
        <is>
          <t>MN</t>
        </is>
      </c>
      <c r="C1667" s="52" t="n">
        <v>0.79</v>
      </c>
      <c r="D1667" t="inlineStr">
        <is>
          <t>Endowment</t>
        </is>
      </c>
      <c r="E1667" s="50" t="n">
        <v>2025</v>
      </c>
      <c r="F1667" s="50" t="inlineStr">
        <is>
          <t>2026-05-14</t>
        </is>
      </c>
      <c r="G1667" s="50" t="inlineStr">
        <is>
          <t>2025-06-30</t>
        </is>
      </c>
      <c r="H1667" t="inlineStr">
        <is>
          <t>Sonali Dalal</t>
        </is>
      </c>
      <c r="I1667" t="inlineStr">
        <is>
          <t>VICE PRESIDENT AND CHIEF INVESTMENT OFFICER</t>
        </is>
      </c>
      <c r="J1667" t="inlineStr">
        <is>
          <t>CIO</t>
        </is>
      </c>
      <c r="K1667" t="inlineStr">
        <is>
          <t>CIO - Top Investment Executive</t>
        </is>
      </c>
      <c r="L1667" s="28" t="n">
        <v>407253</v>
      </c>
      <c r="M1667" s="28" t="n">
        <v>280000</v>
      </c>
      <c r="N1667" s="28" t="n">
        <v>414</v>
      </c>
      <c r="O1667" s="28" t="n">
        <v>32430</v>
      </c>
      <c r="P1667" s="28" t="n">
        <v>14407</v>
      </c>
      <c r="Q1667" s="28" t="n">
        <v>734504</v>
      </c>
      <c r="R1667" s="28" t="n">
        <v>0</v>
      </c>
      <c r="S1667" s="28">
        <f>Q1667-R1667</f>
        <v/>
      </c>
      <c r="T1667" s="28">
        <f>IF(S1667="","",S1667*(1+in_GrowthRate)^(YEARFRAC(DATE(2025,6,30),in_AgeToDate)*IF(in_AgeToDate&lt;DATE(2025,6,30),-1,1)+1))</f>
        <v/>
      </c>
      <c r="U1667" s="50">
        <f>IF(AND(AND(OR(in_Mode="All Funds",AND(C1667&gt;=in_BandFloor,C1667&lt;=in_BandCeiling,OR(in_Geography="National",COUNTIFS(lst_GeoPreset,in_Geography,lst_GeoState,B1667)&gt;0,AND(in_Geography="Custom",ISNUMBER(SEARCH(B1667,SUBSTITUTE(in_CustomStates," ",""))))),OR(AND(D1667="Endowment",Inputs!$B$14="Y"),AND(D1667="Foundation",Inputs!$B$15="Y"),AND(D1667="Healthcare",Inputs!$B$16="Y"),AND(D1667="Pension",Inputs!$B$17="Y"),AND(D1667="OCIO",Inputs!$B$18="Y"),AND(D1667="Other",Inputs!$B$19="Y")))),A1667&lt;&gt;in_ClientOrg,NOT(AND(in_ExclHarvard="Y",ISNUMBER(SEARCH("Harvard",A1667))))),$AD1667="Y",K1667&lt;&gt;"",S1667&gt;0),"Y","")</f>
        <v/>
      </c>
      <c r="V1667" s="30" t="n">
        <v>1</v>
      </c>
      <c r="W1667" t="inlineStr"/>
      <c r="X1667" s="28">
        <f>IF(L1667+M1667=0,"",L1667+M1667)</f>
        <v/>
      </c>
      <c r="Y1667" s="38">
        <f>IF(L1667=0,"",M1667/L1667)</f>
        <v/>
      </c>
      <c r="Z1667" t="inlineStr">
        <is>
          <t>CIO - Top Investment Executive</t>
        </is>
      </c>
      <c r="AA1667" t="inlineStr">
        <is>
          <t>Leadership</t>
        </is>
      </c>
      <c r="AB1667" s="50" t="inlineStr">
        <is>
          <t>Y</t>
        </is>
      </c>
      <c r="AC1667" s="43">
        <f>HYPERLINK("https://projects.propublica.org/nonprofits/organizations/410693970/202611349349311061/full","view filing")</f>
        <v/>
      </c>
      <c r="AD1667" s="50" t="inlineStr">
        <is>
          <t>Y</t>
        </is>
      </c>
    </row>
    <row r="1668">
      <c r="A1668" t="inlineStr">
        <is>
          <t>University Of St Thomas</t>
        </is>
      </c>
      <c r="B1668" s="50" t="inlineStr">
        <is>
          <t>MN</t>
        </is>
      </c>
      <c r="C1668" s="52" t="n">
        <v>0.79</v>
      </c>
      <c r="D1668" t="inlineStr">
        <is>
          <t>Endowment</t>
        </is>
      </c>
      <c r="E1668" s="50" t="n">
        <v>2024</v>
      </c>
      <c r="F1668" s="50" t="inlineStr">
        <is>
          <t>2025-05-15</t>
        </is>
      </c>
      <c r="G1668" s="50" t="inlineStr">
        <is>
          <t>2024-06-30</t>
        </is>
      </c>
      <c r="H1668" t="inlineStr">
        <is>
          <t>Sonali Dalal</t>
        </is>
      </c>
      <c r="I1668" t="inlineStr">
        <is>
          <t>VICE PRESIDENT AND CHIEF INVESTMENT OFFICER</t>
        </is>
      </c>
      <c r="J1668" t="inlineStr">
        <is>
          <t>CIO</t>
        </is>
      </c>
      <c r="K1668" t="inlineStr">
        <is>
          <t>CIO - Top Investment Executive</t>
        </is>
      </c>
      <c r="L1668" s="28" t="n">
        <v>399551</v>
      </c>
      <c r="M1668" s="28" t="n">
        <v>300000</v>
      </c>
      <c r="N1668" s="28" t="n">
        <v>414</v>
      </c>
      <c r="O1668" s="28" t="n">
        <v>13406</v>
      </c>
      <c r="P1668" s="28" t="n">
        <v>14233</v>
      </c>
      <c r="Q1668" s="28" t="n">
        <v>727604</v>
      </c>
      <c r="R1668" s="28" t="n">
        <v>0</v>
      </c>
      <c r="S1668" s="28">
        <f>Q1668-R1668</f>
        <v/>
      </c>
      <c r="T1668" s="28">
        <f>IF(S1668="","",S1668*(1+in_GrowthRate)^(YEARFRAC(DATE(2024,6,30),in_AgeToDate)*IF(in_AgeToDate&lt;DATE(2024,6,30),-1,1)+1))</f>
        <v/>
      </c>
      <c r="U1668" s="50">
        <f>IF(AND(AND(OR(in_Mode="All Funds",AND(C1668&gt;=in_BandFloor,C1668&lt;=in_BandCeiling,OR(in_Geography="National",COUNTIFS(lst_GeoPreset,in_Geography,lst_GeoState,B1668)&gt;0,AND(in_Geography="Custom",ISNUMBER(SEARCH(B1668,SUBSTITUTE(in_CustomStates," ",""))))),OR(AND(D1668="Endowment",Inputs!$B$14="Y"),AND(D1668="Foundation",Inputs!$B$15="Y"),AND(D1668="Healthcare",Inputs!$B$16="Y"),AND(D1668="Pension",Inputs!$B$17="Y"),AND(D1668="OCIO",Inputs!$B$18="Y"),AND(D1668="Other",Inputs!$B$19="Y")))),A1668&lt;&gt;in_ClientOrg,NOT(AND(in_ExclHarvard="Y",ISNUMBER(SEARCH("Harvard",A1668))))),$AD1668="Y",K1668&lt;&gt;"",S1668&gt;0),"Y","")</f>
        <v/>
      </c>
      <c r="V1668" s="30" t="n">
        <v>1</v>
      </c>
      <c r="W1668" t="inlineStr"/>
      <c r="X1668" s="28">
        <f>IF(L1668+M1668=0,"",L1668+M1668)</f>
        <v/>
      </c>
      <c r="Y1668" s="38">
        <f>IF(L1668=0,"",M1668/L1668)</f>
        <v/>
      </c>
      <c r="Z1668" t="inlineStr">
        <is>
          <t>CIO - Top Investment Executive</t>
        </is>
      </c>
      <c r="AA1668" t="inlineStr">
        <is>
          <t>Leadership</t>
        </is>
      </c>
      <c r="AB1668" s="50" t="inlineStr">
        <is>
          <t>Y</t>
        </is>
      </c>
      <c r="AC1668" s="43">
        <f>HYPERLINK("https://projects.propublica.org/nonprofits/organizations/410693970/202521359349311627/full","view filing")</f>
        <v/>
      </c>
      <c r="AD1668" s="50" t="inlineStr"/>
    </row>
    <row r="1669">
      <c r="A1669" t="inlineStr">
        <is>
          <t>University Of Virginia Investment Management Company</t>
        </is>
      </c>
      <c r="B1669" s="50" t="inlineStr">
        <is>
          <t>VA</t>
        </is>
      </c>
      <c r="C1669" s="52" t="n">
        <v>15.5</v>
      </c>
      <c r="D1669" t="inlineStr">
        <is>
          <t>Endowment</t>
        </is>
      </c>
      <c r="E1669" s="50" t="n">
        <v>2025</v>
      </c>
      <c r="F1669" s="50" t="inlineStr">
        <is>
          <t>2026-05-15</t>
        </is>
      </c>
      <c r="G1669" s="50" t="inlineStr">
        <is>
          <t>2025-06-30</t>
        </is>
      </c>
      <c r="H1669" t="inlineStr">
        <is>
          <t>Adrienne C Clough</t>
        </is>
      </c>
      <c r="I1669" t="inlineStr">
        <is>
          <t>MANAGING DIRECTOR</t>
        </is>
      </c>
      <c r="J1669" t="inlineStr">
        <is>
          <t>Managing Director</t>
        </is>
      </c>
      <c r="K1669" t="inlineStr">
        <is>
          <t>Sr Investment Professional</t>
        </is>
      </c>
      <c r="L1669" s="28" t="n">
        <v>435000</v>
      </c>
      <c r="M1669" s="28" t="n">
        <v>408333</v>
      </c>
      <c r="N1669" s="28" t="n">
        <v>293457</v>
      </c>
      <c r="O1669" s="28" t="n">
        <v>352547</v>
      </c>
      <c r="P1669" s="28" t="n">
        <v>840</v>
      </c>
      <c r="Q1669" s="28" t="n">
        <v>1490177</v>
      </c>
      <c r="R1669" s="28" t="n">
        <v>272321</v>
      </c>
      <c r="S1669" s="28">
        <f>Q1669-R1669</f>
        <v/>
      </c>
      <c r="T1669" s="28">
        <f>IF(S1669="","",S1669*(1+in_GrowthRate)^(YEARFRAC(DATE(2025,6,30),in_AgeToDate)*IF(in_AgeToDate&lt;DATE(2025,6,30),-1,1)+1))</f>
        <v/>
      </c>
      <c r="U1669" s="50">
        <f>IF(AND(AND(OR(in_Mode="All Funds",AND(C1669&gt;=in_BandFloor,C1669&lt;=in_BandCeiling,OR(in_Geography="National",COUNTIFS(lst_GeoPreset,in_Geography,lst_GeoState,B1669)&gt;0,AND(in_Geography="Custom",ISNUMBER(SEARCH(B1669,SUBSTITUTE(in_CustomStates," ",""))))),OR(AND(D1669="Endowment",Inputs!$B$14="Y"),AND(D1669="Foundation",Inputs!$B$15="Y"),AND(D1669="Healthcare",Inputs!$B$16="Y"),AND(D1669="Pension",Inputs!$B$17="Y"),AND(D1669="OCIO",Inputs!$B$18="Y"),AND(D1669="Other",Inputs!$B$19="Y")))),A1669&lt;&gt;in_ClientOrg,NOT(AND(in_ExclHarvard="Y",ISNUMBER(SEARCH("Harvard",A1669))))),$AD1669="Y",K1669&lt;&gt;"",S1669&gt;0),"Y","")</f>
        <v/>
      </c>
      <c r="V1669" s="30" t="n">
        <v>0.4228822310821162</v>
      </c>
      <c r="W1669" t="inlineStr"/>
      <c r="X1669" s="28">
        <f>IF(L1669+M1669=0,"",L1669+M1669)</f>
        <v/>
      </c>
      <c r="Y1669" s="38">
        <f>IF(L1669=0,"",M1669/L1669)</f>
        <v/>
      </c>
      <c r="Z1669" t="inlineStr">
        <is>
          <t>Managing Director</t>
        </is>
      </c>
      <c r="AA1669" t="inlineStr">
        <is>
          <t>Investments</t>
        </is>
      </c>
      <c r="AB1669" s="50" t="inlineStr"/>
      <c r="AC1669" s="43">
        <f>HYPERLINK("https://projects.propublica.org/nonprofits/organizations/562462804/202611359349306486/full","view filing")</f>
        <v/>
      </c>
      <c r="AD1669" s="50" t="inlineStr">
        <is>
          <t>Y</t>
        </is>
      </c>
    </row>
    <row r="1670">
      <c r="A1670" t="inlineStr">
        <is>
          <t>University Of Virginia Investment Management Company</t>
        </is>
      </c>
      <c r="B1670" s="50" t="inlineStr">
        <is>
          <t>VA</t>
        </is>
      </c>
      <c r="C1670" s="52" t="n">
        <v>15.5</v>
      </c>
      <c r="D1670" t="inlineStr">
        <is>
          <t>Endowment</t>
        </is>
      </c>
      <c r="E1670" s="50" t="n">
        <v>2025</v>
      </c>
      <c r="F1670" s="50" t="inlineStr">
        <is>
          <t>2026-05-15</t>
        </is>
      </c>
      <c r="G1670" s="50" t="inlineStr">
        <is>
          <t>2025-06-30</t>
        </is>
      </c>
      <c r="H1670" t="inlineStr">
        <is>
          <t>Allison P Gillam</t>
        </is>
      </c>
      <c r="I1670" t="inlineStr">
        <is>
          <t>CHIEF FINANCIAL OFFICER</t>
        </is>
      </c>
      <c r="J1670" t="inlineStr">
        <is>
          <t>CFO (Inv Entity)</t>
        </is>
      </c>
      <c r="K1670" t="inlineStr">
        <is>
          <t>Other disclosed professionals</t>
        </is>
      </c>
      <c r="L1670" s="28" t="n">
        <v>351182</v>
      </c>
      <c r="M1670" s="28" t="n">
        <v>325000</v>
      </c>
      <c r="N1670" s="28" t="n">
        <v>297037</v>
      </c>
      <c r="O1670" s="28" t="n">
        <v>185880</v>
      </c>
      <c r="P1670" s="28" t="n">
        <v>34318</v>
      </c>
      <c r="Q1670" s="28" t="n">
        <v>1193417</v>
      </c>
      <c r="R1670" s="28" t="n">
        <v>281667</v>
      </c>
      <c r="S1670" s="28">
        <f>Q1670-R1670</f>
        <v/>
      </c>
      <c r="T1670" s="28">
        <f>IF(S1670="","",S1670*(1+in_GrowthRate)^(YEARFRAC(DATE(2025,6,30),in_AgeToDate)*IF(in_AgeToDate&lt;DATE(2025,6,30),-1,1)+1))</f>
        <v/>
      </c>
      <c r="U1670" s="50">
        <f>IF(AND(AND(OR(in_Mode="All Funds",AND(C1670&gt;=in_BandFloor,C1670&lt;=in_BandCeiling,OR(in_Geography="National",COUNTIFS(lst_GeoPreset,in_Geography,lst_GeoState,B1670)&gt;0,AND(in_Geography="Custom",ISNUMBER(SEARCH(B1670,SUBSTITUTE(in_CustomStates," ",""))))),OR(AND(D1670="Endowment",Inputs!$B$14="Y"),AND(D1670="Foundation",Inputs!$B$15="Y"),AND(D1670="Healthcare",Inputs!$B$16="Y"),AND(D1670="Pension",Inputs!$B$17="Y"),AND(D1670="OCIO",Inputs!$B$18="Y"),AND(D1670="Other",Inputs!$B$19="Y")))),A1670&lt;&gt;in_ClientOrg,NOT(AND(in_ExclHarvard="Y",ISNUMBER(SEARCH("Harvard",A1670))))),$AD1670="Y",K1670&lt;&gt;"",S1670&gt;0),"Y","")</f>
        <v/>
      </c>
      <c r="V1670" s="30" t="n">
        <v>0.3165915134376474</v>
      </c>
      <c r="W1670" t="inlineStr">
        <is>
          <t>Other disclosed professionals</t>
        </is>
      </c>
      <c r="X1670" s="28">
        <f>IF(L1670+M1670=0,"",L1670+M1670)</f>
        <v/>
      </c>
      <c r="Y1670" s="38">
        <f>IF(L1670=0,"",M1670/L1670)</f>
        <v/>
      </c>
      <c r="Z1670" t="inlineStr">
        <is>
          <t>Other disclosed professionals</t>
        </is>
      </c>
      <c r="AA1670" t="inlineStr">
        <is>
          <t>Operations &amp; Control</t>
        </is>
      </c>
      <c r="AB1670" s="50" t="inlineStr"/>
      <c r="AC1670" s="43">
        <f>HYPERLINK("https://projects.propublica.org/nonprofits/organizations/562462804/202611359349306486/full","view filing")</f>
        <v/>
      </c>
      <c r="AD1670" s="50" t="inlineStr">
        <is>
          <t>Y</t>
        </is>
      </c>
    </row>
    <row r="1671">
      <c r="A1671" t="inlineStr">
        <is>
          <t>University Of Virginia Investment Management Company</t>
        </is>
      </c>
      <c r="B1671" s="50" t="inlineStr">
        <is>
          <t>VA</t>
        </is>
      </c>
      <c r="C1671" s="52" t="n">
        <v>15.5</v>
      </c>
      <c r="D1671" t="inlineStr">
        <is>
          <t>Endowment</t>
        </is>
      </c>
      <c r="E1671" s="50" t="n">
        <v>2025</v>
      </c>
      <c r="F1671" s="50" t="inlineStr">
        <is>
          <t>2026-05-15</t>
        </is>
      </c>
      <c r="G1671" s="50" t="inlineStr">
        <is>
          <t>2025-06-30</t>
        </is>
      </c>
      <c r="H1671" t="inlineStr">
        <is>
          <t>Blake A Fischer</t>
        </is>
      </c>
      <c r="I1671" t="inlineStr">
        <is>
          <t>DIRECTOR OF TECHNOLOGY</t>
        </is>
      </c>
      <c r="J1671" t="inlineStr">
        <is>
          <t>Technology Staff (Inv Entity)</t>
        </is>
      </c>
      <c r="K1671" t="inlineStr">
        <is>
          <t>Other disclosed professionals</t>
        </is>
      </c>
      <c r="L1671" s="28" t="n">
        <v>276407</v>
      </c>
      <c r="M1671" s="28" t="n">
        <v>325000</v>
      </c>
      <c r="N1671" s="28" t="n">
        <v>1066</v>
      </c>
      <c r="O1671" s="28" t="n">
        <v>31255</v>
      </c>
      <c r="P1671" s="28" t="n">
        <v>29093</v>
      </c>
      <c r="Q1671" s="28" t="n">
        <v>662821</v>
      </c>
      <c r="R1671" s="28" t="n">
        <v>0</v>
      </c>
      <c r="S1671" s="28">
        <f>Q1671-R1671</f>
        <v/>
      </c>
      <c r="T1671" s="28">
        <f>IF(S1671="","",S1671*(1+in_GrowthRate)^(YEARFRAC(DATE(2025,6,30),in_AgeToDate)*IF(in_AgeToDate&lt;DATE(2025,6,30),-1,1)+1))</f>
        <v/>
      </c>
      <c r="U1671" s="50">
        <f>IF(AND(AND(OR(in_Mode="All Funds",AND(C1671&gt;=in_BandFloor,C1671&lt;=in_BandCeiling,OR(in_Geography="National",COUNTIFS(lst_GeoPreset,in_Geography,lst_GeoState,B1671)&gt;0,AND(in_Geography="Custom",ISNUMBER(SEARCH(B1671,SUBSTITUTE(in_CustomStates," ",""))))),OR(AND(D1671="Endowment",Inputs!$B$14="Y"),AND(D1671="Foundation",Inputs!$B$15="Y"),AND(D1671="Healthcare",Inputs!$B$16="Y"),AND(D1671="Pension",Inputs!$B$17="Y"),AND(D1671="OCIO",Inputs!$B$18="Y"),AND(D1671="Other",Inputs!$B$19="Y")))),A1671&lt;&gt;in_ClientOrg,NOT(AND(in_ExclHarvard="Y",ISNUMBER(SEARCH("Harvard",A1671))))),$AD1671="Y",K1671&lt;&gt;"",S1671&gt;0),"Y","")</f>
        <v/>
      </c>
      <c r="V1671" s="30" t="n">
        <v>0.2301546515253687</v>
      </c>
      <c r="W1671" t="inlineStr">
        <is>
          <t>Other disclosed professionals</t>
        </is>
      </c>
      <c r="X1671" s="28">
        <f>IF(L1671+M1671=0,"",L1671+M1671)</f>
        <v/>
      </c>
      <c r="Y1671" s="38">
        <f>IF(L1671=0,"",M1671/L1671)</f>
        <v/>
      </c>
      <c r="Z1671" t="inlineStr">
        <is>
          <t>Other disclosed professionals</t>
        </is>
      </c>
      <c r="AA1671" t="inlineStr">
        <is>
          <t>Operations &amp; Control</t>
        </is>
      </c>
      <c r="AB1671" s="50" t="inlineStr"/>
      <c r="AC1671" s="43">
        <f>HYPERLINK("https://projects.propublica.org/nonprofits/organizations/562462804/202611359349306486/full","view filing")</f>
        <v/>
      </c>
      <c r="AD1671" s="50" t="inlineStr">
        <is>
          <t>Y</t>
        </is>
      </c>
    </row>
    <row r="1672">
      <c r="A1672" t="inlineStr">
        <is>
          <t>University Of Virginia Investment Management Company</t>
        </is>
      </c>
      <c r="B1672" s="50" t="inlineStr">
        <is>
          <t>VA</t>
        </is>
      </c>
      <c r="C1672" s="52" t="n">
        <v>15.5</v>
      </c>
      <c r="D1672" t="inlineStr">
        <is>
          <t>Endowment</t>
        </is>
      </c>
      <c r="E1672" s="50" t="n">
        <v>2025</v>
      </c>
      <c r="F1672" s="50" t="inlineStr">
        <is>
          <t>2026-05-15</t>
        </is>
      </c>
      <c r="G1672" s="50" t="inlineStr">
        <is>
          <t>2025-06-30</t>
        </is>
      </c>
      <c r="H1672" t="inlineStr">
        <is>
          <t>Eric J Bundonis</t>
        </is>
      </c>
      <c r="I1672" t="inlineStr">
        <is>
          <t>MANAGING DIRECTOR</t>
        </is>
      </c>
      <c r="J1672" t="inlineStr">
        <is>
          <t>Managing Director</t>
        </is>
      </c>
      <c r="K1672" t="inlineStr">
        <is>
          <t>Sr Investment Professional</t>
        </is>
      </c>
      <c r="L1672" s="28" t="n">
        <v>438781</v>
      </c>
      <c r="M1672" s="28" t="n">
        <v>458333</v>
      </c>
      <c r="N1672" s="28" t="n">
        <v>652580</v>
      </c>
      <c r="O1672" s="28" t="n">
        <v>452547</v>
      </c>
      <c r="P1672" s="28" t="n">
        <v>26718</v>
      </c>
      <c r="Q1672" s="28" t="n">
        <v>2028959</v>
      </c>
      <c r="R1672" s="28" t="n">
        <v>603095</v>
      </c>
      <c r="S1672" s="28">
        <f>Q1672-R1672</f>
        <v/>
      </c>
      <c r="T1672" s="28">
        <f>IF(S1672="","",S1672*(1+in_GrowthRate)^(YEARFRAC(DATE(2025,6,30),in_AgeToDate)*IF(in_AgeToDate&lt;DATE(2025,6,30),-1,1)+1))</f>
        <v/>
      </c>
      <c r="U1672" s="50">
        <f>IF(AND(AND(OR(in_Mode="All Funds",AND(C1672&gt;=in_BandFloor,C1672&lt;=in_BandCeiling,OR(in_Geography="National",COUNTIFS(lst_GeoPreset,in_Geography,lst_GeoState,B1672)&gt;0,AND(in_Geography="Custom",ISNUMBER(SEARCH(B1672,SUBSTITUTE(in_CustomStates," ",""))))),OR(AND(D1672="Endowment",Inputs!$B$14="Y"),AND(D1672="Foundation",Inputs!$B$15="Y"),AND(D1672="Healthcare",Inputs!$B$16="Y"),AND(D1672="Pension",Inputs!$B$17="Y"),AND(D1672="OCIO",Inputs!$B$18="Y"),AND(D1672="Other",Inputs!$B$19="Y")))),A1672&lt;&gt;in_ClientOrg,NOT(AND(in_ExclHarvard="Y",ISNUMBER(SEARCH("Harvard",A1672))))),$AD1672="Y",K1672&lt;&gt;"",S1672&gt;0),"Y","")</f>
        <v/>
      </c>
      <c r="V1672" s="30" t="n">
        <v>0.4951098894612093</v>
      </c>
      <c r="W1672" t="inlineStr"/>
      <c r="X1672" s="28">
        <f>IF(L1672+M1672=0,"",L1672+M1672)</f>
        <v/>
      </c>
      <c r="Y1672" s="38">
        <f>IF(L1672=0,"",M1672/L1672)</f>
        <v/>
      </c>
      <c r="Z1672" t="inlineStr">
        <is>
          <t>Managing Director</t>
        </is>
      </c>
      <c r="AA1672" t="inlineStr">
        <is>
          <t>Investments</t>
        </is>
      </c>
      <c r="AB1672" s="50" t="inlineStr"/>
      <c r="AC1672" s="43">
        <f>HYPERLINK("https://projects.propublica.org/nonprofits/organizations/562462804/202611359349306486/full","view filing")</f>
        <v/>
      </c>
      <c r="AD1672" s="50" t="inlineStr">
        <is>
          <t>Y</t>
        </is>
      </c>
    </row>
    <row r="1673">
      <c r="A1673" t="inlineStr">
        <is>
          <t>University Of Virginia Investment Management Company</t>
        </is>
      </c>
      <c r="B1673" s="50" t="inlineStr">
        <is>
          <t>VA</t>
        </is>
      </c>
      <c r="C1673" s="52" t="n">
        <v>15.5</v>
      </c>
      <c r="D1673" t="inlineStr">
        <is>
          <t>Endowment</t>
        </is>
      </c>
      <c r="E1673" s="50" t="n">
        <v>2025</v>
      </c>
      <c r="F1673" s="50" t="inlineStr">
        <is>
          <t>2026-05-15</t>
        </is>
      </c>
      <c r="G1673" s="50" t="inlineStr">
        <is>
          <t>2025-06-30</t>
        </is>
      </c>
      <c r="H1673" t="inlineStr">
        <is>
          <t>J Matthew Dorchuck</t>
        </is>
      </c>
      <c r="I1673" t="inlineStr">
        <is>
          <t>MANAGING DIRECTOR</t>
        </is>
      </c>
      <c r="J1673" t="inlineStr">
        <is>
          <t>Managing Director</t>
        </is>
      </c>
      <c r="K1673" t="inlineStr">
        <is>
          <t>Sr Investment Professional</t>
        </is>
      </c>
      <c r="L1673" s="28" t="n">
        <v>398877</v>
      </c>
      <c r="M1673" s="28" t="n">
        <v>433333</v>
      </c>
      <c r="N1673" s="28" t="n">
        <v>603214</v>
      </c>
      <c r="O1673" s="28" t="n">
        <v>402547</v>
      </c>
      <c r="P1673" s="28" t="n">
        <v>27664</v>
      </c>
      <c r="Q1673" s="28" t="n">
        <v>1865635</v>
      </c>
      <c r="R1673" s="28" t="n">
        <v>557708</v>
      </c>
      <c r="S1673" s="28">
        <f>Q1673-R1673</f>
        <v/>
      </c>
      <c r="T1673" s="28">
        <f>IF(S1673="","",S1673*(1+in_GrowthRate)^(YEARFRAC(DATE(2025,6,30),in_AgeToDate)*IF(in_AgeToDate&lt;DATE(2025,6,30),-1,1)+1))</f>
        <v/>
      </c>
      <c r="U1673" s="50">
        <f>IF(AND(AND(OR(in_Mode="All Funds",AND(C1673&gt;=in_BandFloor,C1673&lt;=in_BandCeiling,OR(in_Geography="National",COUNTIFS(lst_GeoPreset,in_Geography,lst_GeoState,B1673)&gt;0,AND(in_Geography="Custom",ISNUMBER(SEARCH(B1673,SUBSTITUTE(in_CustomStates," ",""))))),OR(AND(D1673="Endowment",Inputs!$B$14="Y"),AND(D1673="Foundation",Inputs!$B$15="Y"),AND(D1673="Healthcare",Inputs!$B$16="Y"),AND(D1673="Pension",Inputs!$B$17="Y"),AND(D1673="OCIO",Inputs!$B$18="Y"),AND(D1673="Other",Inputs!$B$19="Y")))),A1673&lt;&gt;in_ClientOrg,NOT(AND(in_ExclHarvard="Y",ISNUMBER(SEARCH("Harvard",A1673))))),$AD1673="Y",K1673&lt;&gt;"",S1673&gt;0),"Y","")</f>
        <v/>
      </c>
      <c r="V1673" s="30" t="n">
        <v>0.454158034983232</v>
      </c>
      <c r="W1673" t="inlineStr"/>
      <c r="X1673" s="28">
        <f>IF(L1673+M1673=0,"",L1673+M1673)</f>
        <v/>
      </c>
      <c r="Y1673" s="38">
        <f>IF(L1673=0,"",M1673/L1673)</f>
        <v/>
      </c>
      <c r="Z1673" t="inlineStr">
        <is>
          <t>Managing Director</t>
        </is>
      </c>
      <c r="AA1673" t="inlineStr">
        <is>
          <t>Investments</t>
        </is>
      </c>
      <c r="AB1673" s="50" t="inlineStr"/>
      <c r="AC1673" s="43">
        <f>HYPERLINK("https://projects.propublica.org/nonprofits/organizations/562462804/202611359349306486/full","view filing")</f>
        <v/>
      </c>
      <c r="AD1673" s="50" t="inlineStr">
        <is>
          <t>Y</t>
        </is>
      </c>
    </row>
    <row r="1674">
      <c r="A1674" t="inlineStr">
        <is>
          <t>University Of Virginia Investment Management Company</t>
        </is>
      </c>
      <c r="B1674" s="50" t="inlineStr">
        <is>
          <t>VA</t>
        </is>
      </c>
      <c r="C1674" s="52" t="n">
        <v>15.5</v>
      </c>
      <c r="D1674" t="inlineStr">
        <is>
          <t>Endowment</t>
        </is>
      </c>
      <c r="E1674" s="50" t="n">
        <v>2025</v>
      </c>
      <c r="F1674" s="50" t="inlineStr">
        <is>
          <t>2026-05-15</t>
        </is>
      </c>
      <c r="G1674" s="50" t="inlineStr">
        <is>
          <t>2025-06-30</t>
        </is>
      </c>
      <c r="H1674" t="inlineStr">
        <is>
          <t>Jason M Love</t>
        </is>
      </c>
      <c r="I1674" t="inlineStr">
        <is>
          <t>MANAGING DIRECTOR</t>
        </is>
      </c>
      <c r="J1674" t="inlineStr">
        <is>
          <t>Managing Director</t>
        </is>
      </c>
      <c r="K1674" t="inlineStr">
        <is>
          <t>Sr Investment Professional</t>
        </is>
      </c>
      <c r="L1674" s="28" t="n">
        <v>445973</v>
      </c>
      <c r="M1674" s="28" t="n">
        <v>466667</v>
      </c>
      <c r="N1674" s="28" t="n">
        <v>740627</v>
      </c>
      <c r="O1674" s="28" t="n">
        <v>469213</v>
      </c>
      <c r="P1674" s="28" t="n">
        <v>32027</v>
      </c>
      <c r="Q1674" s="28" t="n">
        <v>2154507</v>
      </c>
      <c r="R1674" s="28" t="n">
        <v>683095</v>
      </c>
      <c r="S1674" s="28">
        <f>Q1674-R1674</f>
        <v/>
      </c>
      <c r="T1674" s="28">
        <f>IF(S1674="","",S1674*(1+in_GrowthRate)^(YEARFRAC(DATE(2025,6,30),in_AgeToDate)*IF(in_AgeToDate&lt;DATE(2025,6,30),-1,1)+1))</f>
        <v/>
      </c>
      <c r="U1674" s="50">
        <f>IF(AND(AND(OR(in_Mode="All Funds",AND(C1674&gt;=in_BandFloor,C1674&lt;=in_BandCeiling,OR(in_Geography="National",COUNTIFS(lst_GeoPreset,in_Geography,lst_GeoState,B1674)&gt;0,AND(in_Geography="Custom",ISNUMBER(SEARCH(B1674,SUBSTITUTE(in_CustomStates," ",""))))),OR(AND(D1674="Endowment",Inputs!$B$14="Y"),AND(D1674="Foundation",Inputs!$B$15="Y"),AND(D1674="Healthcare",Inputs!$B$16="Y"),AND(D1674="Pension",Inputs!$B$17="Y"),AND(D1674="OCIO",Inputs!$B$18="Y"),AND(D1674="Other",Inputs!$B$19="Y")))),A1674&lt;&gt;in_ClientOrg,NOT(AND(in_ExclHarvard="Y",ISNUMBER(SEARCH("Harvard",A1674))))),$AD1674="Y",K1674&lt;&gt;"",S1674&gt;0),"Y","")</f>
        <v/>
      </c>
      <c r="V1674" s="30" t="n">
        <v>0.5109257493504969</v>
      </c>
      <c r="W1674" t="inlineStr"/>
      <c r="X1674" s="28">
        <f>IF(L1674+M1674=0,"",L1674+M1674)</f>
        <v/>
      </c>
      <c r="Y1674" s="38">
        <f>IF(L1674=0,"",M1674/L1674)</f>
        <v/>
      </c>
      <c r="Z1674" t="inlineStr">
        <is>
          <t>Managing Director</t>
        </is>
      </c>
      <c r="AA1674" t="inlineStr">
        <is>
          <t>Investments</t>
        </is>
      </c>
      <c r="AB1674" s="50" t="inlineStr"/>
      <c r="AC1674" s="43">
        <f>HYPERLINK("https://projects.propublica.org/nonprofits/organizations/562462804/202611359349306486/full","view filing")</f>
        <v/>
      </c>
      <c r="AD1674" s="50" t="inlineStr">
        <is>
          <t>Y</t>
        </is>
      </c>
    </row>
    <row r="1675">
      <c r="A1675" t="inlineStr">
        <is>
          <t>University Of Virginia Investment Management Company</t>
        </is>
      </c>
      <c r="B1675" s="50" t="inlineStr">
        <is>
          <t>VA</t>
        </is>
      </c>
      <c r="C1675" s="52" t="n">
        <v>15.5</v>
      </c>
      <c r="D1675" t="inlineStr">
        <is>
          <t>Endowment</t>
        </is>
      </c>
      <c r="E1675" s="50" t="n">
        <v>2025</v>
      </c>
      <c r="F1675" s="50" t="inlineStr">
        <is>
          <t>2026-05-15</t>
        </is>
      </c>
      <c r="G1675" s="50" t="inlineStr">
        <is>
          <t>2025-06-30</t>
        </is>
      </c>
      <c r="H1675" t="inlineStr">
        <is>
          <t>John M Winn</t>
        </is>
      </c>
      <c r="I1675" t="inlineStr">
        <is>
          <t>GEN CNSL/CCO &amp; SECRETARY</t>
        </is>
      </c>
      <c r="J1675" t="inlineStr">
        <is>
          <t>General Counsel (Inv Entity)</t>
        </is>
      </c>
      <c r="K1675" t="inlineStr">
        <is>
          <t>Other disclosed professionals</t>
        </is>
      </c>
      <c r="L1675" s="28" t="n">
        <v>410062</v>
      </c>
      <c r="M1675" s="28" t="n">
        <v>319167</v>
      </c>
      <c r="N1675" s="28" t="n">
        <v>571869</v>
      </c>
      <c r="O1675" s="28" t="n">
        <v>169213</v>
      </c>
      <c r="P1675" s="28" t="n">
        <v>32938</v>
      </c>
      <c r="Q1675" s="28" t="n">
        <v>1503249</v>
      </c>
      <c r="R1675" s="28" t="n">
        <v>550000</v>
      </c>
      <c r="S1675" s="28">
        <f>Q1675-R1675</f>
        <v/>
      </c>
      <c r="T1675" s="28">
        <f>IF(S1675="","",S1675*(1+in_GrowthRate)^(YEARFRAC(DATE(2025,6,30),in_AgeToDate)*IF(in_AgeToDate&lt;DATE(2025,6,30),-1,1)+1))</f>
        <v/>
      </c>
      <c r="U1675" s="50">
        <f>IF(AND(AND(OR(in_Mode="All Funds",AND(C1675&gt;=in_BandFloor,C1675&lt;=in_BandCeiling,OR(in_Geography="National",COUNTIFS(lst_GeoPreset,in_Geography,lst_GeoState,B1675)&gt;0,AND(in_Geography="Custom",ISNUMBER(SEARCH(B1675,SUBSTITUTE(in_CustomStates," ",""))))),OR(AND(D1675="Endowment",Inputs!$B$14="Y"),AND(D1675="Foundation",Inputs!$B$15="Y"),AND(D1675="Healthcare",Inputs!$B$16="Y"),AND(D1675="Pension",Inputs!$B$17="Y"),AND(D1675="OCIO",Inputs!$B$18="Y"),AND(D1675="Other",Inputs!$B$19="Y")))),A1675&lt;&gt;in_ClientOrg,NOT(AND(in_ExclHarvard="Y",ISNUMBER(SEARCH("Harvard",A1675))))),$AD1675="Y",K1675&lt;&gt;"",S1675&gt;0),"Y","")</f>
        <v/>
      </c>
      <c r="V1675" s="30" t="n">
        <v>0.3310014188022198</v>
      </c>
      <c r="W1675" t="inlineStr">
        <is>
          <t>Other disclosed professionals</t>
        </is>
      </c>
      <c r="X1675" s="28">
        <f>IF(L1675+M1675=0,"",L1675+M1675)</f>
        <v/>
      </c>
      <c r="Y1675" s="38">
        <f>IF(L1675=0,"",M1675/L1675)</f>
        <v/>
      </c>
      <c r="Z1675" t="inlineStr">
        <is>
          <t>Other disclosed professionals</t>
        </is>
      </c>
      <c r="AA1675" t="inlineStr">
        <is>
          <t>Operations &amp; Control</t>
        </is>
      </c>
      <c r="AB1675" s="50" t="inlineStr"/>
      <c r="AC1675" s="43">
        <f>HYPERLINK("https://projects.propublica.org/nonprofits/organizations/562462804/202611359349306486/full","view filing")</f>
        <v/>
      </c>
      <c r="AD1675" s="50" t="inlineStr">
        <is>
          <t>Y</t>
        </is>
      </c>
    </row>
    <row r="1676">
      <c r="A1676" t="inlineStr">
        <is>
          <t>University Of Virginia Investment Management Company</t>
        </is>
      </c>
      <c r="B1676" s="50" t="inlineStr">
        <is>
          <t>VA</t>
        </is>
      </c>
      <c r="C1676" s="52" t="n">
        <v>15.5</v>
      </c>
      <c r="D1676" t="inlineStr">
        <is>
          <t>Endowment</t>
        </is>
      </c>
      <c r="E1676" s="50" t="n">
        <v>2025</v>
      </c>
      <c r="F1676" s="50" t="inlineStr">
        <is>
          <t>2026-05-15</t>
        </is>
      </c>
      <c r="G1676" s="50" t="inlineStr">
        <is>
          <t>2025-06-30</t>
        </is>
      </c>
      <c r="H1676" t="inlineStr">
        <is>
          <t>Kristina M Alimard</t>
        </is>
      </c>
      <c r="I1676" t="inlineStr">
        <is>
          <t>CHIEF OPERATING OFFICER</t>
        </is>
      </c>
      <c r="J1676" t="inlineStr">
        <is>
          <t>COO (Inv Entity)</t>
        </is>
      </c>
      <c r="K1676" t="inlineStr">
        <is>
          <t>COO (Investment Office)</t>
        </is>
      </c>
      <c r="L1676" s="28" t="n">
        <v>591837</v>
      </c>
      <c r="M1676" s="28" t="n">
        <v>850000</v>
      </c>
      <c r="N1676" s="28" t="n">
        <v>65039</v>
      </c>
      <c r="O1676" s="28" t="n">
        <v>35880</v>
      </c>
      <c r="P1676" s="28" t="n">
        <v>33163</v>
      </c>
      <c r="Q1676" s="28" t="n">
        <v>1575919</v>
      </c>
      <c r="R1676" s="28" t="n">
        <v>0</v>
      </c>
      <c r="S1676" s="28">
        <f>Q1676-R1676</f>
        <v/>
      </c>
      <c r="T1676" s="28">
        <f>IF(S1676="","",S1676*(1+in_GrowthRate)^(YEARFRAC(DATE(2025,6,30),in_AgeToDate)*IF(in_AgeToDate&lt;DATE(2025,6,30),-1,1)+1))</f>
        <v/>
      </c>
      <c r="U1676" s="50">
        <f>IF(AND(AND(OR(in_Mode="All Funds",AND(C1676&gt;=in_BandFloor,C1676&lt;=in_BandCeiling,OR(in_Geography="National",COUNTIFS(lst_GeoPreset,in_Geography,lst_GeoState,B1676)&gt;0,AND(in_Geography="Custom",ISNUMBER(SEARCH(B1676,SUBSTITUTE(in_CustomStates," ",""))))),OR(AND(D1676="Endowment",Inputs!$B$14="Y"),AND(D1676="Foundation",Inputs!$B$15="Y"),AND(D1676="Healthcare",Inputs!$B$16="Y"),AND(D1676="Pension",Inputs!$B$17="Y"),AND(D1676="OCIO",Inputs!$B$18="Y"),AND(D1676="Other",Inputs!$B$19="Y")))),A1676&lt;&gt;in_ClientOrg,NOT(AND(in_ExclHarvard="Y",ISNUMBER(SEARCH("Harvard",A1676))))),$AD1676="Y",K1676&lt;&gt;"",S1676&gt;0),"Y","")</f>
        <v/>
      </c>
      <c r="V1676" s="30" t="n">
        <v>0.5472142377462503</v>
      </c>
      <c r="W1676" t="inlineStr"/>
      <c r="X1676" s="28">
        <f>IF(L1676+M1676=0,"",L1676+M1676)</f>
        <v/>
      </c>
      <c r="Y1676" s="38">
        <f>IF(L1676=0,"",M1676/L1676)</f>
        <v/>
      </c>
      <c r="Z1676" t="inlineStr">
        <is>
          <t>COO (Investment Office)</t>
        </is>
      </c>
      <c r="AA1676" t="inlineStr">
        <is>
          <t>Operations &amp; Control</t>
        </is>
      </c>
      <c r="AB1676" s="50" t="inlineStr"/>
      <c r="AC1676" s="43">
        <f>HYPERLINK("https://projects.propublica.org/nonprofits/organizations/562462804/202611359349306486/full","view filing")</f>
        <v/>
      </c>
      <c r="AD1676" s="50" t="inlineStr">
        <is>
          <t>Y</t>
        </is>
      </c>
    </row>
    <row r="1677">
      <c r="A1677" t="inlineStr">
        <is>
          <t>University Of Virginia Investment Management Company</t>
        </is>
      </c>
      <c r="B1677" s="50" t="inlineStr">
        <is>
          <t>VA</t>
        </is>
      </c>
      <c r="C1677" s="52" t="n">
        <v>15.5</v>
      </c>
      <c r="D1677" t="inlineStr">
        <is>
          <t>Endowment</t>
        </is>
      </c>
      <c r="E1677" s="50" t="n">
        <v>2025</v>
      </c>
      <c r="F1677" s="50" t="inlineStr">
        <is>
          <t>2026-05-15</t>
        </is>
      </c>
      <c r="G1677" s="50" t="inlineStr">
        <is>
          <t>2025-06-30</t>
        </is>
      </c>
      <c r="H1677" t="inlineStr">
        <is>
          <t>Lindsay R Larsen</t>
        </is>
      </c>
      <c r="I1677" t="inlineStr">
        <is>
          <t>MANAGING DIRECTOR</t>
        </is>
      </c>
      <c r="J1677" t="inlineStr">
        <is>
          <t>Managing Director</t>
        </is>
      </c>
      <c r="K1677" t="inlineStr">
        <is>
          <t>Sr Investment Professional</t>
        </is>
      </c>
      <c r="L1677" s="28" t="n">
        <v>575884</v>
      </c>
      <c r="M1677" s="28" t="n">
        <v>441667</v>
      </c>
      <c r="N1677" s="28" t="n">
        <v>924046</v>
      </c>
      <c r="O1677" s="28" t="n">
        <v>419213</v>
      </c>
      <c r="P1677" s="28" t="n">
        <v>15643</v>
      </c>
      <c r="Q1677" s="28" t="n">
        <v>2376453</v>
      </c>
      <c r="R1677" s="28" t="n">
        <v>853869</v>
      </c>
      <c r="S1677" s="28">
        <f>Q1677-R1677</f>
        <v/>
      </c>
      <c r="T1677" s="28">
        <f>IF(S1677="","",S1677*(1+in_GrowthRate)^(YEARFRAC(DATE(2025,6,30),in_AgeToDate)*IF(in_AgeToDate&lt;DATE(2025,6,30),-1,1)+1))</f>
        <v/>
      </c>
      <c r="U1677" s="50">
        <f>IF(AND(AND(OR(in_Mode="All Funds",AND(C1677&gt;=in_BandFloor,C1677&lt;=in_BandCeiling,OR(in_Geography="National",COUNTIFS(lst_GeoPreset,in_Geography,lst_GeoState,B1677)&gt;0,AND(in_Geography="Custom",ISNUMBER(SEARCH(B1677,SUBSTITUTE(in_CustomStates," ",""))))),OR(AND(D1677="Endowment",Inputs!$B$14="Y"),AND(D1677="Foundation",Inputs!$B$15="Y"),AND(D1677="Healthcare",Inputs!$B$16="Y"),AND(D1677="Pension",Inputs!$B$17="Y"),AND(D1677="OCIO",Inputs!$B$18="Y"),AND(D1677="Other",Inputs!$B$19="Y")))),A1677&lt;&gt;in_ClientOrg,NOT(AND(in_ExclHarvard="Y",ISNUMBER(SEARCH("Harvard",A1677))))),$AD1677="Y",K1677&lt;&gt;"",S1677&gt;0),"Y","")</f>
        <v/>
      </c>
      <c r="V1677" s="30" t="n">
        <v>0.5286944588932787</v>
      </c>
      <c r="W1677" t="inlineStr"/>
      <c r="X1677" s="28">
        <f>IF(L1677+M1677=0,"",L1677+M1677)</f>
        <v/>
      </c>
      <c r="Y1677" s="38">
        <f>IF(L1677=0,"",M1677/L1677)</f>
        <v/>
      </c>
      <c r="Z1677" t="inlineStr">
        <is>
          <t>Managing Director</t>
        </is>
      </c>
      <c r="AA1677" t="inlineStr">
        <is>
          <t>Investments</t>
        </is>
      </c>
      <c r="AB1677" s="50" t="inlineStr"/>
      <c r="AC1677" s="43">
        <f>HYPERLINK("https://projects.propublica.org/nonprofits/organizations/562462804/202611359349306486/full","view filing")</f>
        <v/>
      </c>
      <c r="AD1677" s="50" t="inlineStr">
        <is>
          <t>Y</t>
        </is>
      </c>
    </row>
    <row r="1678">
      <c r="A1678" t="inlineStr">
        <is>
          <t>University Of Virginia Investment Management Company</t>
        </is>
      </c>
      <c r="B1678" s="50" t="inlineStr">
        <is>
          <t>VA</t>
        </is>
      </c>
      <c r="C1678" s="52" t="n">
        <v>15.5</v>
      </c>
      <c r="D1678" t="inlineStr">
        <is>
          <t>Endowment</t>
        </is>
      </c>
      <c r="E1678" s="50" t="n">
        <v>2025</v>
      </c>
      <c r="F1678" s="50" t="inlineStr">
        <is>
          <t>2026-05-15</t>
        </is>
      </c>
      <c r="G1678" s="50" t="inlineStr">
        <is>
          <t>2025-06-30</t>
        </is>
      </c>
      <c r="H1678" t="inlineStr">
        <is>
          <t>Robert W Durden</t>
        </is>
      </c>
      <c r="I1678" t="inlineStr">
        <is>
          <t>CEO/CIO</t>
        </is>
      </c>
      <c r="J1678" t="inlineStr">
        <is>
          <t>CIO</t>
        </is>
      </c>
      <c r="K1678" t="inlineStr">
        <is>
          <t>CIO - Top Investment Executive</t>
        </is>
      </c>
      <c r="L1678" s="28" t="n">
        <v>838545</v>
      </c>
      <c r="M1678" s="28" t="n">
        <v>766767</v>
      </c>
      <c r="N1678" s="28" t="n">
        <v>2310588</v>
      </c>
      <c r="O1678" s="28" t="n">
        <v>1069213</v>
      </c>
      <c r="P1678" s="28" t="n">
        <v>29454</v>
      </c>
      <c r="Q1678" s="28" t="n">
        <v>5014567</v>
      </c>
      <c r="R1678" s="28" t="n">
        <v>2134673</v>
      </c>
      <c r="S1678" s="28">
        <f>Q1678-R1678</f>
        <v/>
      </c>
      <c r="T1678" s="28">
        <f>IF(S1678="","",S1678*(1+in_GrowthRate)^(YEARFRAC(DATE(2025,6,30),in_AgeToDate)*IF(in_AgeToDate&lt;DATE(2025,6,30),-1,1)+1))</f>
        <v/>
      </c>
      <c r="U1678" s="50">
        <f>IF(AND(AND(OR(in_Mode="All Funds",AND(C1678&gt;=in_BandFloor,C1678&lt;=in_BandCeiling,OR(in_Geography="National",COUNTIFS(lst_GeoPreset,in_Geography,lst_GeoState,B1678)&gt;0,AND(in_Geography="Custom",ISNUMBER(SEARCH(B1678,SUBSTITUTE(in_CustomStates," ",""))))),OR(AND(D1678="Endowment",Inputs!$B$14="Y"),AND(D1678="Foundation",Inputs!$B$15="Y"),AND(D1678="Healthcare",Inputs!$B$16="Y"),AND(D1678="Pension",Inputs!$B$17="Y"),AND(D1678="OCIO",Inputs!$B$18="Y"),AND(D1678="Other",Inputs!$B$19="Y")))),A1678&lt;&gt;in_ClientOrg,NOT(AND(in_ExclHarvard="Y",ISNUMBER(SEARCH("Harvard",A1678))))),$AD1678="Y",K1678&lt;&gt;"",S1678&gt;0),"Y","")</f>
        <v/>
      </c>
      <c r="V1678" s="30" t="n">
        <v>1</v>
      </c>
      <c r="W1678" t="inlineStr"/>
      <c r="X1678" s="28">
        <f>IF(L1678+M1678=0,"",L1678+M1678)</f>
        <v/>
      </c>
      <c r="Y1678" s="38">
        <f>IF(L1678=0,"",M1678/L1678)</f>
        <v/>
      </c>
      <c r="Z1678" t="inlineStr">
        <is>
          <t>CIO - Top Investment Executive</t>
        </is>
      </c>
      <c r="AA1678" t="inlineStr">
        <is>
          <t>Leadership</t>
        </is>
      </c>
      <c r="AB1678" s="50" t="inlineStr">
        <is>
          <t>Y</t>
        </is>
      </c>
      <c r="AC1678" s="43">
        <f>HYPERLINK("https://projects.propublica.org/nonprofits/organizations/562462804/202611359349306486/full","view filing")</f>
        <v/>
      </c>
      <c r="AD1678" s="50" t="inlineStr">
        <is>
          <t>Y</t>
        </is>
      </c>
    </row>
    <row r="1679">
      <c r="A1679" t="inlineStr">
        <is>
          <t>University Of Virginia Investment Management Company</t>
        </is>
      </c>
      <c r="B1679" s="50" t="inlineStr">
        <is>
          <t>VA</t>
        </is>
      </c>
      <c r="C1679" s="52" t="n">
        <v>15.5</v>
      </c>
      <c r="D1679" t="inlineStr">
        <is>
          <t>Endowment</t>
        </is>
      </c>
      <c r="E1679" s="50" t="n">
        <v>2024</v>
      </c>
      <c r="F1679" s="50" t="inlineStr">
        <is>
          <t>2025-05-15</t>
        </is>
      </c>
      <c r="G1679" s="50" t="inlineStr">
        <is>
          <t>2024-06-30</t>
        </is>
      </c>
      <c r="H1679" t="inlineStr">
        <is>
          <t>Adrienne C Clough</t>
        </is>
      </c>
      <c r="I1679" t="inlineStr">
        <is>
          <t>MANAGING DIRECTOR</t>
        </is>
      </c>
      <c r="J1679" t="inlineStr">
        <is>
          <t>Managing Director</t>
        </is>
      </c>
      <c r="K1679" t="inlineStr">
        <is>
          <t>Sr Investment Professional</t>
        </is>
      </c>
      <c r="L1679" s="28" t="n">
        <v>412500</v>
      </c>
      <c r="M1679" s="28" t="n">
        <v>220000</v>
      </c>
      <c r="N1679" s="28" t="n">
        <v>273441</v>
      </c>
      <c r="O1679" s="28" t="n">
        <v>578963</v>
      </c>
      <c r="P1679" s="28" t="n">
        <v>840</v>
      </c>
      <c r="Q1679" s="28" t="n">
        <v>1485744</v>
      </c>
      <c r="R1679" s="28" t="n">
        <v>0</v>
      </c>
      <c r="S1679" s="28">
        <f>Q1679-R1679</f>
        <v/>
      </c>
      <c r="T1679" s="28">
        <f>IF(S1679="","",S1679*(1+in_GrowthRate)^(YEARFRAC(DATE(2024,6,30),in_AgeToDate)*IF(in_AgeToDate&lt;DATE(2024,6,30),-1,1)+1))</f>
        <v/>
      </c>
      <c r="U1679" s="50">
        <f>IF(AND(AND(OR(in_Mode="All Funds",AND(C1679&gt;=in_BandFloor,C1679&lt;=in_BandCeiling,OR(in_Geography="National",COUNTIFS(lst_GeoPreset,in_Geography,lst_GeoState,B1679)&gt;0,AND(in_Geography="Custom",ISNUMBER(SEARCH(B1679,SUBSTITUTE(in_CustomStates," ",""))))),OR(AND(D1679="Endowment",Inputs!$B$14="Y"),AND(D1679="Foundation",Inputs!$B$15="Y"),AND(D1679="Healthcare",Inputs!$B$16="Y"),AND(D1679="Pension",Inputs!$B$17="Y"),AND(D1679="OCIO",Inputs!$B$18="Y"),AND(D1679="Other",Inputs!$B$19="Y")))),A1679&lt;&gt;in_ClientOrg,NOT(AND(in_ExclHarvard="Y",ISNUMBER(SEARCH("Harvard",A1679))))),$AD1679="Y",K1679&lt;&gt;"",S1679&gt;0),"Y","")</f>
        <v/>
      </c>
      <c r="V1679" s="30" t="n">
        <v>0.3333936956192464</v>
      </c>
      <c r="W1679" t="inlineStr"/>
      <c r="X1679" s="28">
        <f>IF(L1679+M1679=0,"",L1679+M1679)</f>
        <v/>
      </c>
      <c r="Y1679" s="38">
        <f>IF(L1679=0,"",M1679/L1679)</f>
        <v/>
      </c>
      <c r="Z1679" t="inlineStr">
        <is>
          <t>Managing Director</t>
        </is>
      </c>
      <c r="AA1679" t="inlineStr">
        <is>
          <t>Investments</t>
        </is>
      </c>
      <c r="AB1679" s="50" t="inlineStr"/>
      <c r="AC1679" s="43">
        <f>HYPERLINK("https://projects.propublica.org/nonprofits/organizations/562462804/202521359349304017/full","view filing")</f>
        <v/>
      </c>
      <c r="AD1679" s="50" t="inlineStr"/>
    </row>
    <row r="1680">
      <c r="A1680" t="inlineStr">
        <is>
          <t>University Of Virginia Investment Management Company</t>
        </is>
      </c>
      <c r="B1680" s="50" t="inlineStr">
        <is>
          <t>VA</t>
        </is>
      </c>
      <c r="C1680" s="52" t="n">
        <v>15.5</v>
      </c>
      <c r="D1680" t="inlineStr">
        <is>
          <t>Endowment</t>
        </is>
      </c>
      <c r="E1680" s="50" t="n">
        <v>2024</v>
      </c>
      <c r="F1680" s="50" t="inlineStr">
        <is>
          <t>2025-05-15</t>
        </is>
      </c>
      <c r="G1680" s="50" t="inlineStr">
        <is>
          <t>2024-06-30</t>
        </is>
      </c>
      <c r="H1680" t="inlineStr">
        <is>
          <t>Allison P Gillam</t>
        </is>
      </c>
      <c r="I1680" t="inlineStr">
        <is>
          <t>CHIEF FINANCIAL OFFICER</t>
        </is>
      </c>
      <c r="J1680" t="inlineStr">
        <is>
          <t>CFO (Inv Entity)</t>
        </is>
      </c>
      <c r="K1680" t="inlineStr">
        <is>
          <t>Other disclosed professionals</t>
        </is>
      </c>
      <c r="L1680" s="28" t="n">
        <v>326740</v>
      </c>
      <c r="M1680" s="28" t="n">
        <v>356667</v>
      </c>
      <c r="N1680" s="28" t="n">
        <v>87462</v>
      </c>
      <c r="O1680" s="28" t="n">
        <v>247653</v>
      </c>
      <c r="P1680" s="28" t="n">
        <v>32825</v>
      </c>
      <c r="Q1680" s="28" t="n">
        <v>1051347</v>
      </c>
      <c r="R1680" s="28" t="n">
        <v>60000</v>
      </c>
      <c r="S1680" s="28">
        <f>Q1680-R1680</f>
        <v/>
      </c>
      <c r="T1680" s="28">
        <f>IF(S1680="","",S1680*(1+in_GrowthRate)^(YEARFRAC(DATE(2024,6,30),in_AgeToDate)*IF(in_AgeToDate&lt;DATE(2024,6,30),-1,1)+1))</f>
        <v/>
      </c>
      <c r="U1680" s="50">
        <f>IF(AND(AND(OR(in_Mode="All Funds",AND(C1680&gt;=in_BandFloor,C1680&lt;=in_BandCeiling,OR(in_Geography="National",COUNTIFS(lst_GeoPreset,in_Geography,lst_GeoState,B1680)&gt;0,AND(in_Geography="Custom",ISNUMBER(SEARCH(B1680,SUBSTITUTE(in_CustomStates," ",""))))),OR(AND(D1680="Endowment",Inputs!$B$14="Y"),AND(D1680="Foundation",Inputs!$B$15="Y"),AND(D1680="Healthcare",Inputs!$B$16="Y"),AND(D1680="Pension",Inputs!$B$17="Y"),AND(D1680="OCIO",Inputs!$B$18="Y"),AND(D1680="Other",Inputs!$B$19="Y")))),A1680&lt;&gt;in_ClientOrg,NOT(AND(in_ExclHarvard="Y",ISNUMBER(SEARCH("Harvard",A1680))))),$AD1680="Y",K1680&lt;&gt;"",S1680&gt;0),"Y","")</f>
        <v/>
      </c>
      <c r="V1680" s="30" t="n">
        <v>0.2224534239889598</v>
      </c>
      <c r="W1680" t="inlineStr">
        <is>
          <t>Other disclosed professionals</t>
        </is>
      </c>
      <c r="X1680" s="28">
        <f>IF(L1680+M1680=0,"",L1680+M1680)</f>
        <v/>
      </c>
      <c r="Y1680" s="38">
        <f>IF(L1680=0,"",M1680/L1680)</f>
        <v/>
      </c>
      <c r="Z1680" t="inlineStr">
        <is>
          <t>Other disclosed professionals</t>
        </is>
      </c>
      <c r="AA1680" t="inlineStr">
        <is>
          <t>Operations &amp; Control</t>
        </is>
      </c>
      <c r="AB1680" s="50" t="inlineStr"/>
      <c r="AC1680" s="43">
        <f>HYPERLINK("https://projects.propublica.org/nonprofits/organizations/562462804/202521359349304017/full","view filing")</f>
        <v/>
      </c>
      <c r="AD1680" s="50" t="inlineStr"/>
    </row>
    <row r="1681">
      <c r="A1681" t="inlineStr">
        <is>
          <t>University Of Virginia Investment Management Company</t>
        </is>
      </c>
      <c r="B1681" s="50" t="inlineStr">
        <is>
          <t>VA</t>
        </is>
      </c>
      <c r="C1681" s="52" t="n">
        <v>15.5</v>
      </c>
      <c r="D1681" t="inlineStr">
        <is>
          <t>Endowment</t>
        </is>
      </c>
      <c r="E1681" s="50" t="n">
        <v>2024</v>
      </c>
      <c r="F1681" s="50" t="inlineStr">
        <is>
          <t>2025-05-15</t>
        </is>
      </c>
      <c r="G1681" s="50" t="inlineStr">
        <is>
          <t>2024-06-30</t>
        </is>
      </c>
      <c r="H1681" t="inlineStr">
        <is>
          <t>Blake A Fischer</t>
        </is>
      </c>
      <c r="I1681" t="inlineStr">
        <is>
          <t>DIRECTOR OF TECHNOLOGY</t>
        </is>
      </c>
      <c r="J1681" t="inlineStr">
        <is>
          <t>Technology Staff (Inv Entity)</t>
        </is>
      </c>
      <c r="K1681" t="inlineStr">
        <is>
          <t>Other disclosed professionals</t>
        </is>
      </c>
      <c r="L1681" s="28" t="n">
        <v>261965</v>
      </c>
      <c r="M1681" s="28" t="n">
        <v>300100</v>
      </c>
      <c r="N1681" s="28" t="n">
        <v>1066</v>
      </c>
      <c r="O1681" s="28" t="n">
        <v>29695</v>
      </c>
      <c r="P1681" s="28" t="n">
        <v>27600</v>
      </c>
      <c r="Q1681" s="28" t="n">
        <v>620426</v>
      </c>
      <c r="R1681" s="28" t="n">
        <v>0</v>
      </c>
      <c r="S1681" s="28">
        <f>Q1681-R1681</f>
        <v/>
      </c>
      <c r="T1681" s="28">
        <f>IF(S1681="","",S1681*(1+in_GrowthRate)^(YEARFRAC(DATE(2024,6,30),in_AgeToDate)*IF(in_AgeToDate&lt;DATE(2024,6,30),-1,1)+1))</f>
        <v/>
      </c>
      <c r="U1681" s="50">
        <f>IF(AND(AND(OR(in_Mode="All Funds",AND(C1681&gt;=in_BandFloor,C1681&lt;=in_BandCeiling,OR(in_Geography="National",COUNTIFS(lst_GeoPreset,in_Geography,lst_GeoState,B1681)&gt;0,AND(in_Geography="Custom",ISNUMBER(SEARCH(B1681,SUBSTITUTE(in_CustomStates," ",""))))),OR(AND(D1681="Endowment",Inputs!$B$14="Y"),AND(D1681="Foundation",Inputs!$B$15="Y"),AND(D1681="Healthcare",Inputs!$B$16="Y"),AND(D1681="Pension",Inputs!$B$17="Y"),AND(D1681="OCIO",Inputs!$B$18="Y"),AND(D1681="Other",Inputs!$B$19="Y")))),A1681&lt;&gt;in_ClientOrg,NOT(AND(in_ExclHarvard="Y",ISNUMBER(SEARCH("Harvard",A1681))))),$AD1681="Y",K1681&lt;&gt;"",S1681&gt;0),"Y","")</f>
        <v/>
      </c>
      <c r="V1681" s="30" t="n">
        <v>0.1392205635683311</v>
      </c>
      <c r="W1681" t="inlineStr">
        <is>
          <t>Other disclosed professionals</t>
        </is>
      </c>
      <c r="X1681" s="28">
        <f>IF(L1681+M1681=0,"",L1681+M1681)</f>
        <v/>
      </c>
      <c r="Y1681" s="38">
        <f>IF(L1681=0,"",M1681/L1681)</f>
        <v/>
      </c>
      <c r="Z1681" t="inlineStr">
        <is>
          <t>Other disclosed professionals</t>
        </is>
      </c>
      <c r="AA1681" t="inlineStr">
        <is>
          <t>Operations &amp; Control</t>
        </is>
      </c>
      <c r="AB1681" s="50" t="inlineStr"/>
      <c r="AC1681" s="43">
        <f>HYPERLINK("https://projects.propublica.org/nonprofits/organizations/562462804/202521359349304017/full","view filing")</f>
        <v/>
      </c>
      <c r="AD1681" s="50" t="inlineStr"/>
    </row>
    <row r="1682">
      <c r="A1682" t="inlineStr">
        <is>
          <t>University Of Virginia Investment Management Company</t>
        </is>
      </c>
      <c r="B1682" s="50" t="inlineStr">
        <is>
          <t>VA</t>
        </is>
      </c>
      <c r="C1682" s="52" t="n">
        <v>15.5</v>
      </c>
      <c r="D1682" t="inlineStr">
        <is>
          <t>Endowment</t>
        </is>
      </c>
      <c r="E1682" s="50" t="n">
        <v>2024</v>
      </c>
      <c r="F1682" s="50" t="inlineStr">
        <is>
          <t>2025-05-15</t>
        </is>
      </c>
      <c r="G1682" s="50" t="inlineStr">
        <is>
          <t>2024-06-30</t>
        </is>
      </c>
      <c r="H1682" t="inlineStr">
        <is>
          <t>E Sargent Mcgowan</t>
        </is>
      </c>
      <c r="I1682" t="inlineStr">
        <is>
          <t>MANAGING DIRECTOR</t>
        </is>
      </c>
      <c r="J1682" t="inlineStr">
        <is>
          <t>Managing Director</t>
        </is>
      </c>
      <c r="K1682" t="inlineStr">
        <is>
          <t>Sr Investment Professional</t>
        </is>
      </c>
      <c r="L1682" s="28" t="n">
        <v>474473</v>
      </c>
      <c r="M1682" s="28" t="n">
        <v>100000</v>
      </c>
      <c r="N1682" s="28" t="n">
        <v>1575030</v>
      </c>
      <c r="O1682" s="28" t="n">
        <v>1123606</v>
      </c>
      <c r="P1682" s="28" t="n">
        <v>25256</v>
      </c>
      <c r="Q1682" s="28" t="n">
        <v>3298365</v>
      </c>
      <c r="R1682" s="28" t="n">
        <v>1037173</v>
      </c>
      <c r="S1682" s="28">
        <f>Q1682-R1682</f>
        <v/>
      </c>
      <c r="T1682" s="28">
        <f>IF(S1682="","",S1682*(1+in_GrowthRate)^(YEARFRAC(DATE(2024,6,30),in_AgeToDate)*IF(in_AgeToDate&lt;DATE(2024,6,30),-1,1)+1))</f>
        <v/>
      </c>
      <c r="U1682" s="50">
        <f>IF(AND(AND(OR(in_Mode="All Funds",AND(C1682&gt;=in_BandFloor,C1682&lt;=in_BandCeiling,OR(in_Geography="National",COUNTIFS(lst_GeoPreset,in_Geography,lst_GeoState,B1682)&gt;0,AND(in_Geography="Custom",ISNUMBER(SEARCH(B1682,SUBSTITUTE(in_CustomStates," ",""))))),OR(AND(D1682="Endowment",Inputs!$B$14="Y"),AND(D1682="Foundation",Inputs!$B$15="Y"),AND(D1682="Healthcare",Inputs!$B$16="Y"),AND(D1682="Pension",Inputs!$B$17="Y"),AND(D1682="OCIO",Inputs!$B$18="Y"),AND(D1682="Other",Inputs!$B$19="Y")))),A1682&lt;&gt;in_ClientOrg,NOT(AND(in_ExclHarvard="Y",ISNUMBER(SEARCH("Harvard",A1682))))),$AD1682="Y",K1682&lt;&gt;"",S1682&gt;0),"Y","")</f>
        <v/>
      </c>
      <c r="V1682" s="30" t="n">
        <v>0.5074004386924497</v>
      </c>
      <c r="W1682" t="inlineStr"/>
      <c r="X1682" s="28">
        <f>IF(L1682+M1682=0,"",L1682+M1682)</f>
        <v/>
      </c>
      <c r="Y1682" s="38">
        <f>IF(L1682=0,"",M1682/L1682)</f>
        <v/>
      </c>
      <c r="Z1682" t="inlineStr">
        <is>
          <t>Managing Director</t>
        </is>
      </c>
      <c r="AA1682" t="inlineStr">
        <is>
          <t>Investments</t>
        </is>
      </c>
      <c r="AB1682" s="50" t="inlineStr"/>
      <c r="AC1682" s="43">
        <f>HYPERLINK("https://projects.propublica.org/nonprofits/organizations/562462804/202521359349304017/full","view filing")</f>
        <v/>
      </c>
      <c r="AD1682" s="50" t="inlineStr"/>
    </row>
    <row r="1683">
      <c r="A1683" t="inlineStr">
        <is>
          <t>University Of Virginia Investment Management Company</t>
        </is>
      </c>
      <c r="B1683" s="50" t="inlineStr">
        <is>
          <t>VA</t>
        </is>
      </c>
      <c r="C1683" s="52" t="n">
        <v>15.5</v>
      </c>
      <c r="D1683" t="inlineStr">
        <is>
          <t>Endowment</t>
        </is>
      </c>
      <c r="E1683" s="50" t="n">
        <v>2024</v>
      </c>
      <c r="F1683" s="50" t="inlineStr">
        <is>
          <t>2025-05-15</t>
        </is>
      </c>
      <c r="G1683" s="50" t="inlineStr">
        <is>
          <t>2024-06-30</t>
        </is>
      </c>
      <c r="H1683" t="inlineStr">
        <is>
          <t>Eric J Bundonis</t>
        </is>
      </c>
      <c r="I1683" t="inlineStr">
        <is>
          <t>MANAGING DIRECTOR</t>
        </is>
      </c>
      <c r="J1683" t="inlineStr">
        <is>
          <t>Managing Director</t>
        </is>
      </c>
      <c r="K1683" t="inlineStr">
        <is>
          <t>Sr Investment Professional</t>
        </is>
      </c>
      <c r="L1683" s="28" t="n">
        <v>408789</v>
      </c>
      <c r="M1683" s="28" t="n">
        <v>120000</v>
      </c>
      <c r="N1683" s="28" t="n">
        <v>608785</v>
      </c>
      <c r="O1683" s="28" t="n">
        <v>760511</v>
      </c>
      <c r="P1683" s="28" t="n">
        <v>25775</v>
      </c>
      <c r="Q1683" s="28" t="n">
        <v>1923860</v>
      </c>
      <c r="R1683" s="28" t="n">
        <v>240000</v>
      </c>
      <c r="S1683" s="28">
        <f>Q1683-R1683</f>
        <v/>
      </c>
      <c r="T1683" s="28">
        <f>IF(S1683="","",S1683*(1+in_GrowthRate)^(YEARFRAC(DATE(2024,6,30),in_AgeToDate)*IF(in_AgeToDate&lt;DATE(2024,6,30),-1,1)+1))</f>
        <v/>
      </c>
      <c r="U1683" s="50">
        <f>IF(AND(AND(OR(in_Mode="All Funds",AND(C1683&gt;=in_BandFloor,C1683&lt;=in_BandCeiling,OR(in_Geography="National",COUNTIFS(lst_GeoPreset,in_Geography,lst_GeoState,B1683)&gt;0,AND(in_Geography="Custom",ISNUMBER(SEARCH(B1683,SUBSTITUTE(in_CustomStates," ",""))))),OR(AND(D1683="Endowment",Inputs!$B$14="Y"),AND(D1683="Foundation",Inputs!$B$15="Y"),AND(D1683="Healthcare",Inputs!$B$16="Y"),AND(D1683="Pension",Inputs!$B$17="Y"),AND(D1683="OCIO",Inputs!$B$18="Y"),AND(D1683="Other",Inputs!$B$19="Y")))),A1683&lt;&gt;in_ClientOrg,NOT(AND(in_ExclHarvard="Y",ISNUMBER(SEARCH("Harvard",A1683))))),$AD1683="Y",K1683&lt;&gt;"",S1683&gt;0),"Y","")</f>
        <v/>
      </c>
      <c r="V1683" s="30" t="n">
        <v>0.3778499582064098</v>
      </c>
      <c r="W1683" t="inlineStr"/>
      <c r="X1683" s="28">
        <f>IF(L1683+M1683=0,"",L1683+M1683)</f>
        <v/>
      </c>
      <c r="Y1683" s="38">
        <f>IF(L1683=0,"",M1683/L1683)</f>
        <v/>
      </c>
      <c r="Z1683" t="inlineStr">
        <is>
          <t>Managing Director</t>
        </is>
      </c>
      <c r="AA1683" t="inlineStr">
        <is>
          <t>Investments</t>
        </is>
      </c>
      <c r="AB1683" s="50" t="inlineStr"/>
      <c r="AC1683" s="43">
        <f>HYPERLINK("https://projects.propublica.org/nonprofits/organizations/562462804/202521359349304017/full","view filing")</f>
        <v/>
      </c>
      <c r="AD1683" s="50" t="inlineStr"/>
    </row>
    <row r="1684">
      <c r="A1684" t="inlineStr">
        <is>
          <t>University Of Virginia Investment Management Company</t>
        </is>
      </c>
      <c r="B1684" s="50" t="inlineStr">
        <is>
          <t>VA</t>
        </is>
      </c>
      <c r="C1684" s="52" t="n">
        <v>15.5</v>
      </c>
      <c r="D1684" t="inlineStr">
        <is>
          <t>Endowment</t>
        </is>
      </c>
      <c r="E1684" s="50" t="n">
        <v>2024</v>
      </c>
      <c r="F1684" s="50" t="inlineStr">
        <is>
          <t>2025-05-15</t>
        </is>
      </c>
      <c r="G1684" s="50" t="inlineStr">
        <is>
          <t>2024-06-30</t>
        </is>
      </c>
      <c r="H1684" t="inlineStr">
        <is>
          <t>J Matthew Dorchuck</t>
        </is>
      </c>
      <c r="I1684" t="inlineStr">
        <is>
          <t>MANAGING DIRECTOR BEG 7/23</t>
        </is>
      </c>
      <c r="J1684" t="inlineStr">
        <is>
          <t>Managing Director</t>
        </is>
      </c>
      <c r="K1684" t="inlineStr">
        <is>
          <t>Sr Investment Professional</t>
        </is>
      </c>
      <c r="L1684" s="28" t="n">
        <v>346363</v>
      </c>
      <c r="M1684" s="28" t="n">
        <v>132000</v>
      </c>
      <c r="N1684" s="28" t="n">
        <v>678301</v>
      </c>
      <c r="O1684" s="28" t="n">
        <v>669737</v>
      </c>
      <c r="P1684" s="28" t="n">
        <v>20573</v>
      </c>
      <c r="Q1684" s="28" t="n">
        <v>1846974</v>
      </c>
      <c r="R1684" s="28" t="n">
        <v>359394</v>
      </c>
      <c r="S1684" s="28">
        <f>Q1684-R1684</f>
        <v/>
      </c>
      <c r="T1684" s="28">
        <f>IF(S1684="","",S1684*(1+in_GrowthRate)^(YEARFRAC(DATE(2024,6,30),in_AgeToDate)*IF(in_AgeToDate&lt;DATE(2024,6,30),-1,1)+1))</f>
        <v/>
      </c>
      <c r="U1684" s="50">
        <f>IF(AND(AND(OR(in_Mode="All Funds",AND(C1684&gt;=in_BandFloor,C1684&lt;=in_BandCeiling,OR(in_Geography="National",COUNTIFS(lst_GeoPreset,in_Geography,lst_GeoState,B1684)&gt;0,AND(in_Geography="Custom",ISNUMBER(SEARCH(B1684,SUBSTITUTE(in_CustomStates," ",""))))),OR(AND(D1684="Endowment",Inputs!$B$14="Y"),AND(D1684="Foundation",Inputs!$B$15="Y"),AND(D1684="Healthcare",Inputs!$B$16="Y"),AND(D1684="Pension",Inputs!$B$17="Y"),AND(D1684="OCIO",Inputs!$B$18="Y"),AND(D1684="Other",Inputs!$B$19="Y")))),A1684&lt;&gt;in_ClientOrg,NOT(AND(in_ExclHarvard="Y",ISNUMBER(SEARCH("Harvard",A1684))))),$AD1684="Y",K1684&lt;&gt;"",S1684&gt;0),"Y","")</f>
        <v/>
      </c>
      <c r="V1684" s="30" t="n">
        <v>0.3338056850502364</v>
      </c>
      <c r="W1684" t="inlineStr"/>
      <c r="X1684" s="28">
        <f>IF(L1684+M1684=0,"",L1684+M1684)</f>
        <v/>
      </c>
      <c r="Y1684" s="38">
        <f>IF(L1684=0,"",M1684/L1684)</f>
        <v/>
      </c>
      <c r="Z1684" t="inlineStr">
        <is>
          <t>Managing Director</t>
        </is>
      </c>
      <c r="AA1684" t="inlineStr">
        <is>
          <t>Investments</t>
        </is>
      </c>
      <c r="AB1684" s="50" t="inlineStr"/>
      <c r="AC1684" s="43">
        <f>HYPERLINK("https://projects.propublica.org/nonprofits/organizations/562462804/202521359349304017/full","view filing")</f>
        <v/>
      </c>
      <c r="AD1684" s="50" t="inlineStr"/>
    </row>
    <row r="1685">
      <c r="A1685" t="inlineStr">
        <is>
          <t>University Of Virginia Investment Management Company</t>
        </is>
      </c>
      <c r="B1685" s="50" t="inlineStr">
        <is>
          <t>VA</t>
        </is>
      </c>
      <c r="C1685" s="52" t="n">
        <v>15.5</v>
      </c>
      <c r="D1685" t="inlineStr">
        <is>
          <t>Endowment</t>
        </is>
      </c>
      <c r="E1685" s="50" t="n">
        <v>2024</v>
      </c>
      <c r="F1685" s="50" t="inlineStr">
        <is>
          <t>2025-05-15</t>
        </is>
      </c>
      <c r="G1685" s="50" t="inlineStr">
        <is>
          <t>2024-06-30</t>
        </is>
      </c>
      <c r="H1685" t="inlineStr">
        <is>
          <t>Jason M Love</t>
        </is>
      </c>
      <c r="I1685" t="inlineStr">
        <is>
          <t>MANAGING DIRECTOR</t>
        </is>
      </c>
      <c r="J1685" t="inlineStr">
        <is>
          <t>Managing Director</t>
        </is>
      </c>
      <c r="K1685" t="inlineStr">
        <is>
          <t>Sr Investment Professional</t>
        </is>
      </c>
      <c r="L1685" s="28" t="n">
        <v>421180</v>
      </c>
      <c r="M1685" s="28" t="n">
        <v>100000</v>
      </c>
      <c r="N1685" s="28" t="n">
        <v>1076315</v>
      </c>
      <c r="O1685" s="28" t="n">
        <v>760511</v>
      </c>
      <c r="P1685" s="28" t="n">
        <v>30884</v>
      </c>
      <c r="Q1685" s="28" t="n">
        <v>2388890</v>
      </c>
      <c r="R1685" s="28" t="n">
        <v>717981</v>
      </c>
      <c r="S1685" s="28">
        <f>Q1685-R1685</f>
        <v/>
      </c>
      <c r="T1685" s="28">
        <f>IF(S1685="","",S1685*(1+in_GrowthRate)^(YEARFRAC(DATE(2024,6,30),in_AgeToDate)*IF(in_AgeToDate&lt;DATE(2024,6,30),-1,1)+1))</f>
        <v/>
      </c>
      <c r="U1685" s="50">
        <f>IF(AND(AND(OR(in_Mode="All Funds",AND(C1685&gt;=in_BandFloor,C1685&lt;=in_BandCeiling,OR(in_Geography="National",COUNTIFS(lst_GeoPreset,in_Geography,lst_GeoState,B1685)&gt;0,AND(in_Geography="Custom",ISNUMBER(SEARCH(B1685,SUBSTITUTE(in_CustomStates," ",""))))),OR(AND(D1685="Endowment",Inputs!$B$14="Y"),AND(D1685="Foundation",Inputs!$B$15="Y"),AND(D1685="Healthcare",Inputs!$B$16="Y"),AND(D1685="Pension",Inputs!$B$17="Y"),AND(D1685="OCIO",Inputs!$B$18="Y"),AND(D1685="Other",Inputs!$B$19="Y")))),A1685&lt;&gt;in_ClientOrg,NOT(AND(in_ExclHarvard="Y",ISNUMBER(SEARCH("Harvard",A1685))))),$AD1685="Y",K1685&lt;&gt;"",S1685&gt;0),"Y","")</f>
        <v/>
      </c>
      <c r="V1685" s="30" t="n">
        <v>0.3749438170731023</v>
      </c>
      <c r="W1685" t="inlineStr"/>
      <c r="X1685" s="28">
        <f>IF(L1685+M1685=0,"",L1685+M1685)</f>
        <v/>
      </c>
      <c r="Y1685" s="38">
        <f>IF(L1685=0,"",M1685/L1685)</f>
        <v/>
      </c>
      <c r="Z1685" t="inlineStr">
        <is>
          <t>Managing Director</t>
        </is>
      </c>
      <c r="AA1685" t="inlineStr">
        <is>
          <t>Investments</t>
        </is>
      </c>
      <c r="AB1685" s="50" t="inlineStr"/>
      <c r="AC1685" s="43">
        <f>HYPERLINK("https://projects.propublica.org/nonprofits/organizations/562462804/202521359349304017/full","view filing")</f>
        <v/>
      </c>
      <c r="AD1685" s="50" t="inlineStr"/>
    </row>
    <row r="1686">
      <c r="A1686" t="inlineStr">
        <is>
          <t>University Of Virginia Investment Management Company</t>
        </is>
      </c>
      <c r="B1686" s="50" t="inlineStr">
        <is>
          <t>VA</t>
        </is>
      </c>
      <c r="C1686" s="52" t="n">
        <v>15.5</v>
      </c>
      <c r="D1686" t="inlineStr">
        <is>
          <t>Endowment</t>
        </is>
      </c>
      <c r="E1686" s="50" t="n">
        <v>2024</v>
      </c>
      <c r="F1686" s="50" t="inlineStr">
        <is>
          <t>2025-05-15</t>
        </is>
      </c>
      <c r="G1686" s="50" t="inlineStr">
        <is>
          <t>2024-06-30</t>
        </is>
      </c>
      <c r="H1686" t="inlineStr">
        <is>
          <t>John M Winn</t>
        </is>
      </c>
      <c r="I1686" t="inlineStr">
        <is>
          <t>GEN CNSL/CCO &amp; SECRETARY</t>
        </is>
      </c>
      <c r="J1686" t="inlineStr">
        <is>
          <t>General Counsel (Inv Entity)</t>
        </is>
      </c>
      <c r="K1686" t="inlineStr">
        <is>
          <t>Other disclosed professionals</t>
        </is>
      </c>
      <c r="L1686" s="28" t="n">
        <v>385819</v>
      </c>
      <c r="M1686" s="28" t="n">
        <v>0</v>
      </c>
      <c r="N1686" s="28" t="n">
        <v>598965</v>
      </c>
      <c r="O1686" s="28" t="n">
        <v>554320</v>
      </c>
      <c r="P1686" s="28" t="n">
        <v>31246</v>
      </c>
      <c r="Q1686" s="28" t="n">
        <v>1570350</v>
      </c>
      <c r="R1686" s="28" t="n">
        <v>415000</v>
      </c>
      <c r="S1686" s="28">
        <f>Q1686-R1686</f>
        <v/>
      </c>
      <c r="T1686" s="28">
        <f>IF(S1686="","",S1686*(1+in_GrowthRate)^(YEARFRAC(DATE(2024,6,30),in_AgeToDate)*IF(in_AgeToDate&lt;DATE(2024,6,30),-1,1)+1))</f>
        <v/>
      </c>
      <c r="U1686" s="50">
        <f>IF(AND(AND(OR(in_Mode="All Funds",AND(C1686&gt;=in_BandFloor,C1686&lt;=in_BandCeiling,OR(in_Geography="National",COUNTIFS(lst_GeoPreset,in_Geography,lst_GeoState,B1686)&gt;0,AND(in_Geography="Custom",ISNUMBER(SEARCH(B1686,SUBSTITUTE(in_CustomStates," ",""))))),OR(AND(D1686="Endowment",Inputs!$B$14="Y"),AND(D1686="Foundation",Inputs!$B$15="Y"),AND(D1686="Healthcare",Inputs!$B$16="Y"),AND(D1686="Pension",Inputs!$B$17="Y"),AND(D1686="OCIO",Inputs!$B$18="Y"),AND(D1686="Other",Inputs!$B$19="Y")))),A1686&lt;&gt;in_ClientOrg,NOT(AND(in_ExclHarvard="Y",ISNUMBER(SEARCH("Harvard",A1686))))),$AD1686="Y",K1686&lt;&gt;"",S1686&gt;0),"Y","")</f>
        <v/>
      </c>
      <c r="V1686" s="30" t="n">
        <v>0.2592548960209136</v>
      </c>
      <c r="W1686" t="inlineStr">
        <is>
          <t>Other disclosed professionals</t>
        </is>
      </c>
      <c r="X1686" s="28">
        <f>IF(L1686+M1686=0,"",L1686+M1686)</f>
        <v/>
      </c>
      <c r="Y1686" s="38">
        <f>IF(L1686=0,"",M1686/L1686)</f>
        <v/>
      </c>
      <c r="Z1686" t="inlineStr">
        <is>
          <t>Other disclosed professionals</t>
        </is>
      </c>
      <c r="AA1686" t="inlineStr">
        <is>
          <t>Operations &amp; Control</t>
        </is>
      </c>
      <c r="AB1686" s="50" t="inlineStr"/>
      <c r="AC1686" s="43">
        <f>HYPERLINK("https://projects.propublica.org/nonprofits/organizations/562462804/202521359349304017/full","view filing")</f>
        <v/>
      </c>
      <c r="AD1686" s="50" t="inlineStr"/>
    </row>
    <row r="1687">
      <c r="A1687" t="inlineStr">
        <is>
          <t>University Of Virginia Investment Management Company</t>
        </is>
      </c>
      <c r="B1687" s="50" t="inlineStr">
        <is>
          <t>VA</t>
        </is>
      </c>
      <c r="C1687" s="52" t="n">
        <v>15.5</v>
      </c>
      <c r="D1687" t="inlineStr">
        <is>
          <t>Endowment</t>
        </is>
      </c>
      <c r="E1687" s="50" t="n">
        <v>2024</v>
      </c>
      <c r="F1687" s="50" t="inlineStr">
        <is>
          <t>2025-05-15</t>
        </is>
      </c>
      <c r="G1687" s="50" t="inlineStr">
        <is>
          <t>2024-06-30</t>
        </is>
      </c>
      <c r="H1687" t="inlineStr">
        <is>
          <t>Kristina M Alimard</t>
        </is>
      </c>
      <c r="I1687" t="inlineStr">
        <is>
          <t>CHIEF OPERATING OFFICER</t>
        </is>
      </c>
      <c r="J1687" t="inlineStr">
        <is>
          <t>COO (Inv Entity)</t>
        </is>
      </c>
      <c r="K1687" t="inlineStr">
        <is>
          <t>COO (Investment Office)</t>
        </is>
      </c>
      <c r="L1687" s="28" t="n">
        <v>580595</v>
      </c>
      <c r="M1687" s="28" t="n">
        <v>1006000</v>
      </c>
      <c r="N1687" s="28" t="n">
        <v>2467670</v>
      </c>
      <c r="O1687" s="28" t="n">
        <v>34320</v>
      </c>
      <c r="P1687" s="28" t="n">
        <v>31470</v>
      </c>
      <c r="Q1687" s="28" t="n">
        <v>4120055</v>
      </c>
      <c r="R1687" s="28" t="n">
        <v>2269000</v>
      </c>
      <c r="S1687" s="28">
        <f>Q1687-R1687</f>
        <v/>
      </c>
      <c r="T1687" s="28">
        <f>IF(S1687="","",S1687*(1+in_GrowthRate)^(YEARFRAC(DATE(2024,6,30),in_AgeToDate)*IF(in_AgeToDate&lt;DATE(2024,6,30),-1,1)+1))</f>
        <v/>
      </c>
      <c r="U1687" s="50">
        <f>IF(AND(AND(OR(in_Mode="All Funds",AND(C1687&gt;=in_BandFloor,C1687&lt;=in_BandCeiling,OR(in_Geography="National",COUNTIFS(lst_GeoPreset,in_Geography,lst_GeoState,B1687)&gt;0,AND(in_Geography="Custom",ISNUMBER(SEARCH(B1687,SUBSTITUTE(in_CustomStates," ",""))))),OR(AND(D1687="Endowment",Inputs!$B$14="Y"),AND(D1687="Foundation",Inputs!$B$15="Y"),AND(D1687="Healthcare",Inputs!$B$16="Y"),AND(D1687="Pension",Inputs!$B$17="Y"),AND(D1687="OCIO",Inputs!$B$18="Y"),AND(D1687="Other",Inputs!$B$19="Y")))),A1687&lt;&gt;in_ClientOrg,NOT(AND(in_ExclHarvard="Y",ISNUMBER(SEARCH("Harvard",A1687))))),$AD1687="Y",K1687&lt;&gt;"",S1687&gt;0),"Y","")</f>
        <v/>
      </c>
      <c r="V1687" s="30" t="n">
        <v>0.4153676994451831</v>
      </c>
      <c r="W1687" t="inlineStr"/>
      <c r="X1687" s="28">
        <f>IF(L1687+M1687=0,"",L1687+M1687)</f>
        <v/>
      </c>
      <c r="Y1687" s="38">
        <f>IF(L1687=0,"",M1687/L1687)</f>
        <v/>
      </c>
      <c r="Z1687" t="inlineStr">
        <is>
          <t>COO (Investment Office)</t>
        </is>
      </c>
      <c r="AA1687" t="inlineStr">
        <is>
          <t>Operations &amp; Control</t>
        </is>
      </c>
      <c r="AB1687" s="50" t="inlineStr"/>
      <c r="AC1687" s="43">
        <f>HYPERLINK("https://projects.propublica.org/nonprofits/organizations/562462804/202521359349304017/full","view filing")</f>
        <v/>
      </c>
      <c r="AD1687" s="50" t="inlineStr"/>
    </row>
    <row r="1688">
      <c r="A1688" t="inlineStr">
        <is>
          <t>University Of Virginia Investment Management Company</t>
        </is>
      </c>
      <c r="B1688" s="50" t="inlineStr">
        <is>
          <t>VA</t>
        </is>
      </c>
      <c r="C1688" s="52" t="n">
        <v>15.5</v>
      </c>
      <c r="D1688" t="inlineStr">
        <is>
          <t>Endowment</t>
        </is>
      </c>
      <c r="E1688" s="50" t="n">
        <v>2024</v>
      </c>
      <c r="F1688" s="50" t="inlineStr">
        <is>
          <t>2025-05-15</t>
        </is>
      </c>
      <c r="G1688" s="50" t="inlineStr">
        <is>
          <t>2024-06-30</t>
        </is>
      </c>
      <c r="H1688" t="inlineStr">
        <is>
          <t>Lindsay R Larsen</t>
        </is>
      </c>
      <c r="I1688" t="inlineStr">
        <is>
          <t>MANAGING DIRECTOR</t>
        </is>
      </c>
      <c r="J1688" t="inlineStr">
        <is>
          <t>Managing Director</t>
        </is>
      </c>
      <c r="K1688" t="inlineStr">
        <is>
          <t>Sr Investment Professional</t>
        </is>
      </c>
      <c r="L1688" s="28" t="n">
        <v>422280</v>
      </c>
      <c r="M1688" s="28" t="n">
        <v>100000</v>
      </c>
      <c r="N1688" s="28" t="n">
        <v>1398360</v>
      </c>
      <c r="O1688" s="28" t="n">
        <v>942058</v>
      </c>
      <c r="P1688" s="28" t="n">
        <v>26554</v>
      </c>
      <c r="Q1688" s="28" t="n">
        <v>2889252</v>
      </c>
      <c r="R1688" s="28" t="n">
        <v>837779</v>
      </c>
      <c r="S1688" s="28">
        <f>Q1688-R1688</f>
        <v/>
      </c>
      <c r="T1688" s="28">
        <f>IF(S1688="","",S1688*(1+in_GrowthRate)^(YEARFRAC(DATE(2024,6,30),in_AgeToDate)*IF(in_AgeToDate&lt;DATE(2024,6,30),-1,1)+1))</f>
        <v/>
      </c>
      <c r="U1688" s="50">
        <f>IF(AND(AND(OR(in_Mode="All Funds",AND(C1688&gt;=in_BandFloor,C1688&lt;=in_BandCeiling,OR(in_Geography="National",COUNTIFS(lst_GeoPreset,in_Geography,lst_GeoState,B1688)&gt;0,AND(in_Geography="Custom",ISNUMBER(SEARCH(B1688,SUBSTITUTE(in_CustomStates," ",""))))),OR(AND(D1688="Endowment",Inputs!$B$14="Y"),AND(D1688="Foundation",Inputs!$B$15="Y"),AND(D1688="Healthcare",Inputs!$B$16="Y"),AND(D1688="Pension",Inputs!$B$17="Y"),AND(D1688="OCIO",Inputs!$B$18="Y"),AND(D1688="Other",Inputs!$B$19="Y")))),A1688&lt;&gt;in_ClientOrg,NOT(AND(in_ExclHarvard="Y",ISNUMBER(SEARCH("Harvard",A1688))))),$AD1688="Y",K1688&lt;&gt;"",S1688&gt;0),"Y","")</f>
        <v/>
      </c>
      <c r="V1688" s="30" t="n">
        <v>0.4603405195868886</v>
      </c>
      <c r="W1688" t="inlineStr"/>
      <c r="X1688" s="28">
        <f>IF(L1688+M1688=0,"",L1688+M1688)</f>
        <v/>
      </c>
      <c r="Y1688" s="38">
        <f>IF(L1688=0,"",M1688/L1688)</f>
        <v/>
      </c>
      <c r="Z1688" t="inlineStr">
        <is>
          <t>Managing Director</t>
        </is>
      </c>
      <c r="AA1688" t="inlineStr">
        <is>
          <t>Investments</t>
        </is>
      </c>
      <c r="AB1688" s="50" t="inlineStr"/>
      <c r="AC1688" s="43">
        <f>HYPERLINK("https://projects.propublica.org/nonprofits/organizations/562462804/202521359349304017/full","view filing")</f>
        <v/>
      </c>
      <c r="AD1688" s="50" t="inlineStr"/>
    </row>
    <row r="1689">
      <c r="A1689" t="inlineStr">
        <is>
          <t>University Of Virginia Investment Management Company</t>
        </is>
      </c>
      <c r="B1689" s="50" t="inlineStr">
        <is>
          <t>VA</t>
        </is>
      </c>
      <c r="C1689" s="52" t="n">
        <v>15.5</v>
      </c>
      <c r="D1689" t="inlineStr">
        <is>
          <t>Endowment</t>
        </is>
      </c>
      <c r="E1689" s="50" t="n">
        <v>2024</v>
      </c>
      <c r="F1689" s="50" t="inlineStr">
        <is>
          <t>2025-05-15</t>
        </is>
      </c>
      <c r="G1689" s="50" t="inlineStr">
        <is>
          <t>2024-06-30</t>
        </is>
      </c>
      <c r="H1689" t="inlineStr">
        <is>
          <t>Robert W Durden</t>
        </is>
      </c>
      <c r="I1689" t="inlineStr">
        <is>
          <t>CEO/CIO</t>
        </is>
      </c>
      <c r="J1689" t="inlineStr">
        <is>
          <t>CIO</t>
        </is>
      </c>
      <c r="K1689" t="inlineStr">
        <is>
          <t>CIO - Top Investment Executive</t>
        </is>
      </c>
      <c r="L1689" s="28" t="n">
        <v>789103</v>
      </c>
      <c r="M1689" s="28" t="n">
        <v>150000</v>
      </c>
      <c r="N1689" s="28" t="n">
        <v>3534639</v>
      </c>
      <c r="O1689" s="28" t="n">
        <v>2303665</v>
      </c>
      <c r="P1689" s="28" t="n">
        <v>27961</v>
      </c>
      <c r="Q1689" s="28" t="n">
        <v>6805368</v>
      </c>
      <c r="R1689" s="28" t="n">
        <v>2348943</v>
      </c>
      <c r="S1689" s="28">
        <f>Q1689-R1689</f>
        <v/>
      </c>
      <c r="T1689" s="28">
        <f>IF(S1689="","",S1689*(1+in_GrowthRate)^(YEARFRAC(DATE(2024,6,30),in_AgeToDate)*IF(in_AgeToDate&lt;DATE(2024,6,30),-1,1)+1))</f>
        <v/>
      </c>
      <c r="U1689" s="50">
        <f>IF(AND(AND(OR(in_Mode="All Funds",AND(C1689&gt;=in_BandFloor,C1689&lt;=in_BandCeiling,OR(in_Geography="National",COUNTIFS(lst_GeoPreset,in_Geography,lst_GeoState,B1689)&gt;0,AND(in_Geography="Custom",ISNUMBER(SEARCH(B1689,SUBSTITUTE(in_CustomStates," ",""))))),OR(AND(D1689="Endowment",Inputs!$B$14="Y"),AND(D1689="Foundation",Inputs!$B$15="Y"),AND(D1689="Healthcare",Inputs!$B$16="Y"),AND(D1689="Pension",Inputs!$B$17="Y"),AND(D1689="OCIO",Inputs!$B$18="Y"),AND(D1689="Other",Inputs!$B$19="Y")))),A1689&lt;&gt;in_ClientOrg,NOT(AND(in_ExclHarvard="Y",ISNUMBER(SEARCH("Harvard",A1689))))),$AD1689="Y",K1689&lt;&gt;"",S1689&gt;0),"Y","")</f>
        <v/>
      </c>
      <c r="V1689" s="30" t="n">
        <v>1</v>
      </c>
      <c r="W1689" t="inlineStr"/>
      <c r="X1689" s="28">
        <f>IF(L1689+M1689=0,"",L1689+M1689)</f>
        <v/>
      </c>
      <c r="Y1689" s="38">
        <f>IF(L1689=0,"",M1689/L1689)</f>
        <v/>
      </c>
      <c r="Z1689" t="inlineStr">
        <is>
          <t>CIO - Top Investment Executive</t>
        </is>
      </c>
      <c r="AA1689" t="inlineStr">
        <is>
          <t>Leadership</t>
        </is>
      </c>
      <c r="AB1689" s="50" t="inlineStr">
        <is>
          <t>Y</t>
        </is>
      </c>
      <c r="AC1689" s="43">
        <f>HYPERLINK("https://projects.propublica.org/nonprofits/organizations/562462804/202521359349304017/full","view filing")</f>
        <v/>
      </c>
      <c r="AD1689" s="50" t="inlineStr"/>
    </row>
    <row r="1690">
      <c r="A1690" t="inlineStr">
        <is>
          <t>University Of Virginia Investment Management Company</t>
        </is>
      </c>
      <c r="B1690" s="50" t="inlineStr">
        <is>
          <t>VA</t>
        </is>
      </c>
      <c r="C1690" s="52" t="n">
        <v>15.5</v>
      </c>
      <c r="D1690" t="inlineStr">
        <is>
          <t>Endowment</t>
        </is>
      </c>
      <c r="E1690" s="50" t="n">
        <v>2023</v>
      </c>
      <c r="F1690" s="50" t="inlineStr">
        <is>
          <t>2024-05-15</t>
        </is>
      </c>
      <c r="G1690" s="50" t="inlineStr">
        <is>
          <t>2023-06-30</t>
        </is>
      </c>
      <c r="H1690" t="inlineStr">
        <is>
          <t>Adrienne C Clough</t>
        </is>
      </c>
      <c r="I1690" t="inlineStr">
        <is>
          <t>MANAGING DIRECTOR BEG 8/22</t>
        </is>
      </c>
      <c r="J1690" t="inlineStr">
        <is>
          <t>Managing Director</t>
        </is>
      </c>
      <c r="K1690" t="inlineStr">
        <is>
          <t>Sr Investment Professional</t>
        </is>
      </c>
      <c r="L1690" s="28" t="n">
        <v>159091</v>
      </c>
      <c r="M1690" s="28" t="n">
        <v>250000</v>
      </c>
      <c r="N1690" s="28" t="n">
        <v>373</v>
      </c>
      <c r="O1690" s="28" t="n">
        <v>20923</v>
      </c>
      <c r="P1690" s="28" t="n">
        <v>280</v>
      </c>
      <c r="Q1690" s="28" t="n">
        <v>430667</v>
      </c>
      <c r="R1690" s="28" t="n">
        <v>0</v>
      </c>
      <c r="S1690" s="28">
        <f>Q1690-R1690</f>
        <v/>
      </c>
      <c r="T1690" s="28">
        <f>IF(S1690="","",S1690*(1+in_GrowthRate)^(YEARFRAC(DATE(2023,6,30),in_AgeToDate)*IF(in_AgeToDate&lt;DATE(2023,6,30),-1,1)+1))</f>
        <v/>
      </c>
      <c r="U1690" s="50">
        <f>IF(AND(AND(OR(in_Mode="All Funds",AND(C1690&gt;=in_BandFloor,C1690&lt;=in_BandCeiling,OR(in_Geography="National",COUNTIFS(lst_GeoPreset,in_Geography,lst_GeoState,B1690)&gt;0,AND(in_Geography="Custom",ISNUMBER(SEARCH(B1690,SUBSTITUTE(in_CustomStates," ",""))))),OR(AND(D1690="Endowment",Inputs!$B$14="Y"),AND(D1690="Foundation",Inputs!$B$15="Y"),AND(D1690="Healthcare",Inputs!$B$16="Y"),AND(D1690="Pension",Inputs!$B$17="Y"),AND(D1690="OCIO",Inputs!$B$18="Y"),AND(D1690="Other",Inputs!$B$19="Y")))),A1690&lt;&gt;in_ClientOrg,NOT(AND(in_ExclHarvard="Y",ISNUMBER(SEARCH("Harvard",A1690))))),$AD1690="Y",K1690&lt;&gt;"",S1690&gt;0),"Y","")</f>
        <v/>
      </c>
      <c r="V1690" s="30" t="n">
        <v>0.09931988226451924</v>
      </c>
      <c r="W1690" t="inlineStr"/>
      <c r="X1690" s="28">
        <f>IF(L1690+M1690=0,"",L1690+M1690)</f>
        <v/>
      </c>
      <c r="Y1690" s="38">
        <f>IF(L1690=0,"",M1690/L1690)</f>
        <v/>
      </c>
      <c r="Z1690" t="inlineStr">
        <is>
          <t>Managing Director</t>
        </is>
      </c>
      <c r="AA1690" t="inlineStr">
        <is>
          <t>Investments</t>
        </is>
      </c>
      <c r="AB1690" s="50" t="inlineStr"/>
      <c r="AC1690" s="43">
        <f>HYPERLINK("https://projects.propublica.org/nonprofits/organizations/562462804/202401359349311605/full","view filing")</f>
        <v/>
      </c>
      <c r="AD1690" s="50" t="inlineStr"/>
    </row>
    <row r="1691">
      <c r="A1691" t="inlineStr">
        <is>
          <t>University Of Virginia Investment Management Company</t>
        </is>
      </c>
      <c r="B1691" s="50" t="inlineStr">
        <is>
          <t>VA</t>
        </is>
      </c>
      <c r="C1691" s="52" t="n">
        <v>15.5</v>
      </c>
      <c r="D1691" t="inlineStr">
        <is>
          <t>Endowment</t>
        </is>
      </c>
      <c r="E1691" s="50" t="n">
        <v>2023</v>
      </c>
      <c r="F1691" s="50" t="inlineStr">
        <is>
          <t>2024-05-15</t>
        </is>
      </c>
      <c r="G1691" s="50" t="inlineStr">
        <is>
          <t>2023-06-30</t>
        </is>
      </c>
      <c r="H1691" t="inlineStr">
        <is>
          <t>Allison P Gillam</t>
        </is>
      </c>
      <c r="I1691" t="inlineStr">
        <is>
          <t>CHIEF FINANCIAL OFFICER</t>
        </is>
      </c>
      <c r="J1691" t="inlineStr">
        <is>
          <t>CFO (Inv Entity)</t>
        </is>
      </c>
      <c r="K1691" t="inlineStr">
        <is>
          <t>Other disclosed professionals</t>
        </is>
      </c>
      <c r="L1691" s="28" t="n">
        <v>287189</v>
      </c>
      <c r="M1691" s="28" t="n">
        <v>250000</v>
      </c>
      <c r="N1691" s="28" t="n">
        <v>1066</v>
      </c>
      <c r="O1691" s="28" t="n">
        <v>281165</v>
      </c>
      <c r="P1691" s="28" t="n">
        <v>31229</v>
      </c>
      <c r="Q1691" s="28" t="n">
        <v>850649</v>
      </c>
      <c r="R1691" s="28" t="n">
        <v>0</v>
      </c>
      <c r="S1691" s="28">
        <f>Q1691-R1691</f>
        <v/>
      </c>
      <c r="T1691" s="28">
        <f>IF(S1691="","",S1691*(1+in_GrowthRate)^(YEARFRAC(DATE(2023,6,30),in_AgeToDate)*IF(in_AgeToDate&lt;DATE(2023,6,30),-1,1)+1))</f>
        <v/>
      </c>
      <c r="U1691" s="50">
        <f>IF(AND(AND(OR(in_Mode="All Funds",AND(C1691&gt;=in_BandFloor,C1691&lt;=in_BandCeiling,OR(in_Geography="National",COUNTIFS(lst_GeoPreset,in_Geography,lst_GeoState,B1691)&gt;0,AND(in_Geography="Custom",ISNUMBER(SEARCH(B1691,SUBSTITUTE(in_CustomStates," ",""))))),OR(AND(D1691="Endowment",Inputs!$B$14="Y"),AND(D1691="Foundation",Inputs!$B$15="Y"),AND(D1691="Healthcare",Inputs!$B$16="Y"),AND(D1691="Pension",Inputs!$B$17="Y"),AND(D1691="OCIO",Inputs!$B$18="Y"),AND(D1691="Other",Inputs!$B$19="Y")))),A1691&lt;&gt;in_ClientOrg,NOT(AND(in_ExclHarvard="Y",ISNUMBER(SEARCH("Harvard",A1691))))),$AD1691="Y",K1691&lt;&gt;"",S1691&gt;0),"Y","")</f>
        <v/>
      </c>
      <c r="V1691" s="30" t="n">
        <v>0.1961756032582739</v>
      </c>
      <c r="W1691" t="inlineStr">
        <is>
          <t>Other disclosed professionals</t>
        </is>
      </c>
      <c r="X1691" s="28">
        <f>IF(L1691+M1691=0,"",L1691+M1691)</f>
        <v/>
      </c>
      <c r="Y1691" s="38">
        <f>IF(L1691=0,"",M1691/L1691)</f>
        <v/>
      </c>
      <c r="Z1691" t="inlineStr">
        <is>
          <t>Other disclosed professionals</t>
        </is>
      </c>
      <c r="AA1691" t="inlineStr">
        <is>
          <t>Operations &amp; Control</t>
        </is>
      </c>
      <c r="AB1691" s="50" t="inlineStr"/>
      <c r="AC1691" s="43">
        <f>HYPERLINK("https://projects.propublica.org/nonprofits/organizations/562462804/202401359349311605/full","view filing")</f>
        <v/>
      </c>
      <c r="AD1691" s="50" t="inlineStr"/>
    </row>
    <row r="1692">
      <c r="A1692" t="inlineStr">
        <is>
          <t>University Of Virginia Investment Management Company</t>
        </is>
      </c>
      <c r="B1692" s="50" t="inlineStr">
        <is>
          <t>VA</t>
        </is>
      </c>
      <c r="C1692" s="52" t="n">
        <v>15.5</v>
      </c>
      <c r="D1692" t="inlineStr">
        <is>
          <t>Endowment</t>
        </is>
      </c>
      <c r="E1692" s="50" t="n">
        <v>2023</v>
      </c>
      <c r="F1692" s="50" t="inlineStr">
        <is>
          <t>2024-05-15</t>
        </is>
      </c>
      <c r="G1692" s="50" t="inlineStr">
        <is>
          <t>2023-06-30</t>
        </is>
      </c>
      <c r="H1692" t="inlineStr">
        <is>
          <t>Blake A Fischer</t>
        </is>
      </c>
      <c r="I1692" t="inlineStr">
        <is>
          <t>DIRECTOR OF TECHNOLOGY</t>
        </is>
      </c>
      <c r="J1692" t="inlineStr">
        <is>
          <t>Technology Staff (Inv Entity)</t>
        </is>
      </c>
      <c r="K1692" t="inlineStr">
        <is>
          <t>Other disclosed professionals</t>
        </is>
      </c>
      <c r="L1692" s="28" t="n">
        <v>247415</v>
      </c>
      <c r="M1692" s="28" t="n">
        <v>255000</v>
      </c>
      <c r="N1692" s="28" t="n">
        <v>1060</v>
      </c>
      <c r="O1692" s="28" t="n">
        <v>27835</v>
      </c>
      <c r="P1692" s="28" t="n">
        <v>25995</v>
      </c>
      <c r="Q1692" s="28" t="n">
        <v>557305</v>
      </c>
      <c r="R1692" s="28" t="n">
        <v>0</v>
      </c>
      <c r="S1692" s="28">
        <f>Q1692-R1692</f>
        <v/>
      </c>
      <c r="T1692" s="28">
        <f>IF(S1692="","",S1692*(1+in_GrowthRate)^(YEARFRAC(DATE(2023,6,30),in_AgeToDate)*IF(in_AgeToDate&lt;DATE(2023,6,30),-1,1)+1))</f>
        <v/>
      </c>
      <c r="U1692" s="50">
        <f>IF(AND(AND(OR(in_Mode="All Funds",AND(C1692&gt;=in_BandFloor,C1692&lt;=in_BandCeiling,OR(in_Geography="National",COUNTIFS(lst_GeoPreset,in_Geography,lst_GeoState,B1692)&gt;0,AND(in_Geography="Custom",ISNUMBER(SEARCH(B1692,SUBSTITUTE(in_CustomStates," ",""))))),OR(AND(D1692="Endowment",Inputs!$B$14="Y"),AND(D1692="Foundation",Inputs!$B$15="Y"),AND(D1692="Healthcare",Inputs!$B$16="Y"),AND(D1692="Pension",Inputs!$B$17="Y"),AND(D1692="OCIO",Inputs!$B$18="Y"),AND(D1692="Other",Inputs!$B$19="Y")))),A1692&lt;&gt;in_ClientOrg,NOT(AND(in_ExclHarvard="Y",ISNUMBER(SEARCH("Harvard",A1692))))),$AD1692="Y",K1692&lt;&gt;"",S1692&gt;0),"Y","")</f>
        <v/>
      </c>
      <c r="V1692" s="30" t="n">
        <v>0.1285249786620008</v>
      </c>
      <c r="W1692" t="inlineStr">
        <is>
          <t>Other disclosed professionals</t>
        </is>
      </c>
      <c r="X1692" s="28">
        <f>IF(L1692+M1692=0,"",L1692+M1692)</f>
        <v/>
      </c>
      <c r="Y1692" s="38">
        <f>IF(L1692=0,"",M1692/L1692)</f>
        <v/>
      </c>
      <c r="Z1692" t="inlineStr">
        <is>
          <t>Other disclosed professionals</t>
        </is>
      </c>
      <c r="AA1692" t="inlineStr">
        <is>
          <t>Operations &amp; Control</t>
        </is>
      </c>
      <c r="AB1692" s="50" t="inlineStr"/>
      <c r="AC1692" s="43">
        <f>HYPERLINK("https://projects.propublica.org/nonprofits/organizations/562462804/202401359349311605/full","view filing")</f>
        <v/>
      </c>
      <c r="AD1692" s="50" t="inlineStr"/>
    </row>
    <row r="1693">
      <c r="A1693" t="inlineStr">
        <is>
          <t>University Of Virginia Investment Management Company</t>
        </is>
      </c>
      <c r="B1693" s="50" t="inlineStr">
        <is>
          <t>VA</t>
        </is>
      </c>
      <c r="C1693" s="52" t="n">
        <v>15.5</v>
      </c>
      <c r="D1693" t="inlineStr">
        <is>
          <t>Endowment</t>
        </is>
      </c>
      <c r="E1693" s="50" t="n">
        <v>2023</v>
      </c>
      <c r="F1693" s="50" t="inlineStr">
        <is>
          <t>2024-05-15</t>
        </is>
      </c>
      <c r="G1693" s="50" t="inlineStr">
        <is>
          <t>2023-06-30</t>
        </is>
      </c>
      <c r="H1693" t="inlineStr">
        <is>
          <t>E Sargent Mcgowan</t>
        </is>
      </c>
      <c r="I1693" t="inlineStr">
        <is>
          <t>MANAGING DIRECTOR</t>
        </is>
      </c>
      <c r="J1693" t="inlineStr">
        <is>
          <t>Managing Director</t>
        </is>
      </c>
      <c r="K1693" t="inlineStr">
        <is>
          <t>Sr Investment Professional</t>
        </is>
      </c>
      <c r="L1693" s="28" t="n">
        <v>450302</v>
      </c>
      <c r="M1693" s="28" t="n">
        <v>132000</v>
      </c>
      <c r="N1693" s="28" t="n">
        <v>1899808</v>
      </c>
      <c r="O1693" s="28" t="n">
        <v>991720</v>
      </c>
      <c r="P1693" s="28" t="n">
        <v>23602</v>
      </c>
      <c r="Q1693" s="28" t="n">
        <v>3497432</v>
      </c>
      <c r="R1693" s="28" t="n">
        <v>1168394</v>
      </c>
      <c r="S1693" s="28">
        <f>Q1693-R1693</f>
        <v/>
      </c>
      <c r="T1693" s="28">
        <f>IF(S1693="","",S1693*(1+in_GrowthRate)^(YEARFRAC(DATE(2023,6,30),in_AgeToDate)*IF(in_AgeToDate&lt;DATE(2023,6,30),-1,1)+1))</f>
        <v/>
      </c>
      <c r="U1693" s="50">
        <f>IF(AND(AND(OR(in_Mode="All Funds",AND(C1693&gt;=in_BandFloor,C1693&lt;=in_BandCeiling,OR(in_Geography="National",COUNTIFS(lst_GeoPreset,in_Geography,lst_GeoState,B1693)&gt;0,AND(in_Geography="Custom",ISNUMBER(SEARCH(B1693,SUBSTITUTE(in_CustomStates," ",""))))),OR(AND(D1693="Endowment",Inputs!$B$14="Y"),AND(D1693="Foundation",Inputs!$B$15="Y"),AND(D1693="Healthcare",Inputs!$B$16="Y"),AND(D1693="Pension",Inputs!$B$17="Y"),AND(D1693="OCIO",Inputs!$B$18="Y"),AND(D1693="Other",Inputs!$B$19="Y")))),A1693&lt;&gt;in_ClientOrg,NOT(AND(in_ExclHarvard="Y",ISNUMBER(SEARCH("Harvard",A1693))))),$AD1693="Y",K1693&lt;&gt;"",S1693&gt;0),"Y","")</f>
        <v/>
      </c>
      <c r="V1693" s="30" t="n">
        <v>0.5371198163536824</v>
      </c>
      <c r="W1693" t="inlineStr"/>
      <c r="X1693" s="28">
        <f>IF(L1693+M1693=0,"",L1693+M1693)</f>
        <v/>
      </c>
      <c r="Y1693" s="38">
        <f>IF(L1693=0,"",M1693/L1693)</f>
        <v/>
      </c>
      <c r="Z1693" t="inlineStr">
        <is>
          <t>Managing Director</t>
        </is>
      </c>
      <c r="AA1693" t="inlineStr">
        <is>
          <t>Investments</t>
        </is>
      </c>
      <c r="AB1693" s="50" t="inlineStr"/>
      <c r="AC1693" s="43">
        <f>HYPERLINK("https://projects.propublica.org/nonprofits/organizations/562462804/202401359349311605/full","view filing")</f>
        <v/>
      </c>
      <c r="AD1693" s="50" t="inlineStr"/>
    </row>
    <row r="1694">
      <c r="A1694" t="inlineStr">
        <is>
          <t>University Of Virginia Investment Management Company</t>
        </is>
      </c>
      <c r="B1694" s="50" t="inlineStr">
        <is>
          <t>VA</t>
        </is>
      </c>
      <c r="C1694" s="52" t="n">
        <v>15.5</v>
      </c>
      <c r="D1694" t="inlineStr">
        <is>
          <t>Endowment</t>
        </is>
      </c>
      <c r="E1694" s="50" t="n">
        <v>2023</v>
      </c>
      <c r="F1694" s="50" t="inlineStr">
        <is>
          <t>2024-05-15</t>
        </is>
      </c>
      <c r="G1694" s="50" t="inlineStr">
        <is>
          <t>2023-06-30</t>
        </is>
      </c>
      <c r="H1694" t="inlineStr">
        <is>
          <t>Eric J Bundonis</t>
        </is>
      </c>
      <c r="I1694" t="inlineStr">
        <is>
          <t>MANAGING DIRECTOR</t>
        </is>
      </c>
      <c r="J1694" t="inlineStr">
        <is>
          <t>Managing Director</t>
        </is>
      </c>
      <c r="K1694" t="inlineStr">
        <is>
          <t>Sr Investment Professional</t>
        </is>
      </c>
      <c r="L1694" s="28" t="n">
        <v>376289</v>
      </c>
      <c r="M1694" s="28" t="n">
        <v>218500</v>
      </c>
      <c r="N1694" s="28" t="n">
        <v>241120</v>
      </c>
      <c r="O1694" s="28" t="n">
        <v>511720</v>
      </c>
      <c r="P1694" s="28" t="n">
        <v>24629</v>
      </c>
      <c r="Q1694" s="28" t="n">
        <v>1372258</v>
      </c>
      <c r="R1694" s="28" t="n">
        <v>0</v>
      </c>
      <c r="S1694" s="28">
        <f>Q1694-R1694</f>
        <v/>
      </c>
      <c r="T1694" s="28">
        <f>IF(S1694="","",S1694*(1+in_GrowthRate)^(YEARFRAC(DATE(2023,6,30),in_AgeToDate)*IF(in_AgeToDate&lt;DATE(2023,6,30),-1,1)+1))</f>
        <v/>
      </c>
      <c r="U1694" s="50">
        <f>IF(AND(AND(OR(in_Mode="All Funds",AND(C1694&gt;=in_BandFloor,C1694&lt;=in_BandCeiling,OR(in_Geography="National",COUNTIFS(lst_GeoPreset,in_Geography,lst_GeoState,B1694)&gt;0,AND(in_Geography="Custom",ISNUMBER(SEARCH(B1694,SUBSTITUTE(in_CustomStates," ",""))))),OR(AND(D1694="Endowment",Inputs!$B$14="Y"),AND(D1694="Foundation",Inputs!$B$15="Y"),AND(D1694="Healthcare",Inputs!$B$16="Y"),AND(D1694="Pension",Inputs!$B$17="Y"),AND(D1694="OCIO",Inputs!$B$18="Y"),AND(D1694="Other",Inputs!$B$19="Y")))),A1694&lt;&gt;in_ClientOrg,NOT(AND(in_ExclHarvard="Y",ISNUMBER(SEARCH("Harvard",A1694))))),$AD1694="Y",K1694&lt;&gt;"",S1694&gt;0),"Y","")</f>
        <v/>
      </c>
      <c r="V1694" s="30" t="n">
        <v>0.3164684152641011</v>
      </c>
      <c r="W1694" t="inlineStr"/>
      <c r="X1694" s="28">
        <f>IF(L1694+M1694=0,"",L1694+M1694)</f>
        <v/>
      </c>
      <c r="Y1694" s="38">
        <f>IF(L1694=0,"",M1694/L1694)</f>
        <v/>
      </c>
      <c r="Z1694" t="inlineStr">
        <is>
          <t>Managing Director</t>
        </is>
      </c>
      <c r="AA1694" t="inlineStr">
        <is>
          <t>Investments</t>
        </is>
      </c>
      <c r="AB1694" s="50" t="inlineStr"/>
      <c r="AC1694" s="43">
        <f>HYPERLINK("https://projects.propublica.org/nonprofits/organizations/562462804/202401359349311605/full","view filing")</f>
        <v/>
      </c>
      <c r="AD1694" s="50" t="inlineStr"/>
    </row>
    <row r="1695">
      <c r="A1695" t="inlineStr">
        <is>
          <t>University Of Virginia Investment Management Company</t>
        </is>
      </c>
      <c r="B1695" s="50" t="inlineStr">
        <is>
          <t>VA</t>
        </is>
      </c>
      <c r="C1695" s="52" t="n">
        <v>15.5</v>
      </c>
      <c r="D1695" t="inlineStr">
        <is>
          <t>Endowment</t>
        </is>
      </c>
      <c r="E1695" s="50" t="n">
        <v>2023</v>
      </c>
      <c r="F1695" s="50" t="inlineStr">
        <is>
          <t>2024-05-15</t>
        </is>
      </c>
      <c r="G1695" s="50" t="inlineStr">
        <is>
          <t>2023-06-30</t>
        </is>
      </c>
      <c r="H1695" t="inlineStr">
        <is>
          <t>Jason M Love</t>
        </is>
      </c>
      <c r="I1695" t="inlineStr">
        <is>
          <t>MANAGING DIRECTOR</t>
        </is>
      </c>
      <c r="J1695" t="inlineStr">
        <is>
          <t>Managing Director</t>
        </is>
      </c>
      <c r="K1695" t="inlineStr">
        <is>
          <t>Sr Investment Professional</t>
        </is>
      </c>
      <c r="L1695" s="28" t="n">
        <v>393929</v>
      </c>
      <c r="M1695" s="28" t="n">
        <v>231000</v>
      </c>
      <c r="N1695" s="28" t="n">
        <v>1286461</v>
      </c>
      <c r="O1695" s="28" t="n">
        <v>671720</v>
      </c>
      <c r="P1695" s="28" t="n">
        <v>29489</v>
      </c>
      <c r="Q1695" s="28" t="n">
        <v>2612599</v>
      </c>
      <c r="R1695" s="28" t="n">
        <v>792424</v>
      </c>
      <c r="S1695" s="28">
        <f>Q1695-R1695</f>
        <v/>
      </c>
      <c r="T1695" s="28">
        <f>IF(S1695="","",S1695*(1+in_GrowthRate)^(YEARFRAC(DATE(2023,6,30),in_AgeToDate)*IF(in_AgeToDate&lt;DATE(2023,6,30),-1,1)+1))</f>
        <v/>
      </c>
      <c r="U1695" s="50">
        <f>IF(AND(AND(OR(in_Mode="All Funds",AND(C1695&gt;=in_BandFloor,C1695&lt;=in_BandCeiling,OR(in_Geography="National",COUNTIFS(lst_GeoPreset,in_Geography,lst_GeoState,B1695)&gt;0,AND(in_Geography="Custom",ISNUMBER(SEARCH(B1695,SUBSTITUTE(in_CustomStates," ",""))))),OR(AND(D1695="Endowment",Inputs!$B$14="Y"),AND(D1695="Foundation",Inputs!$B$15="Y"),AND(D1695="Healthcare",Inputs!$B$16="Y"),AND(D1695="Pension",Inputs!$B$17="Y"),AND(D1695="OCIO",Inputs!$B$18="Y"),AND(D1695="Other",Inputs!$B$19="Y")))),A1695&lt;&gt;in_ClientOrg,NOT(AND(in_ExclHarvard="Y",ISNUMBER(SEARCH("Harvard",A1695))))),$AD1695="Y",K1695&lt;&gt;"",S1695&gt;0),"Y","")</f>
        <v/>
      </c>
      <c r="V1695" s="30" t="n">
        <v>0.4197664708482918</v>
      </c>
      <c r="W1695" t="inlineStr"/>
      <c r="X1695" s="28">
        <f>IF(L1695+M1695=0,"",L1695+M1695)</f>
        <v/>
      </c>
      <c r="Y1695" s="38">
        <f>IF(L1695=0,"",M1695/L1695)</f>
        <v/>
      </c>
      <c r="Z1695" t="inlineStr">
        <is>
          <t>Managing Director</t>
        </is>
      </c>
      <c r="AA1695" t="inlineStr">
        <is>
          <t>Investments</t>
        </is>
      </c>
      <c r="AB1695" s="50" t="inlineStr"/>
      <c r="AC1695" s="43">
        <f>HYPERLINK("https://projects.propublica.org/nonprofits/organizations/562462804/202401359349311605/full","view filing")</f>
        <v/>
      </c>
      <c r="AD1695" s="50" t="inlineStr"/>
    </row>
    <row r="1696">
      <c r="A1696" t="inlineStr">
        <is>
          <t>University Of Virginia Investment Management Company</t>
        </is>
      </c>
      <c r="B1696" s="50" t="inlineStr">
        <is>
          <t>VA</t>
        </is>
      </c>
      <c r="C1696" s="52" t="n">
        <v>15.5</v>
      </c>
      <c r="D1696" t="inlineStr">
        <is>
          <t>Endowment</t>
        </is>
      </c>
      <c r="E1696" s="50" t="n">
        <v>2023</v>
      </c>
      <c r="F1696" s="50" t="inlineStr">
        <is>
          <t>2024-05-15</t>
        </is>
      </c>
      <c r="G1696" s="50" t="inlineStr">
        <is>
          <t>2023-06-30</t>
        </is>
      </c>
      <c r="H1696" t="inlineStr">
        <is>
          <t>John M Winn</t>
        </is>
      </c>
      <c r="I1696" t="inlineStr">
        <is>
          <t>GEN CNSL/CCO &amp; SECRETARY</t>
        </is>
      </c>
      <c r="J1696" t="inlineStr">
        <is>
          <t>General Counsel (Inv Entity)</t>
        </is>
      </c>
      <c r="K1696" t="inlineStr">
        <is>
          <t>Other disclosed professionals</t>
        </is>
      </c>
      <c r="L1696" s="28" t="n">
        <v>359017</v>
      </c>
      <c r="M1696" s="28" t="n">
        <v>750</v>
      </c>
      <c r="N1696" s="28" t="n">
        <v>373440</v>
      </c>
      <c r="O1696" s="28" t="n">
        <v>556720</v>
      </c>
      <c r="P1696" s="28" t="n">
        <v>29401</v>
      </c>
      <c r="Q1696" s="28" t="n">
        <v>1319328</v>
      </c>
      <c r="R1696" s="28" t="n">
        <v>250000</v>
      </c>
      <c r="S1696" s="28">
        <f>Q1696-R1696</f>
        <v/>
      </c>
      <c r="T1696" s="28">
        <f>IF(S1696="","",S1696*(1+in_GrowthRate)^(YEARFRAC(DATE(2023,6,30),in_AgeToDate)*IF(in_AgeToDate&lt;DATE(2023,6,30),-1,1)+1))</f>
        <v/>
      </c>
      <c r="U1696" s="50">
        <f>IF(AND(AND(OR(in_Mode="All Funds",AND(C1696&gt;=in_BandFloor,C1696&lt;=in_BandCeiling,OR(in_Geography="National",COUNTIFS(lst_GeoPreset,in_Geography,lst_GeoState,B1696)&gt;0,AND(in_Geography="Custom",ISNUMBER(SEARCH(B1696,SUBSTITUTE(in_CustomStates," ",""))))),OR(AND(D1696="Endowment",Inputs!$B$14="Y"),AND(D1696="Foundation",Inputs!$B$15="Y"),AND(D1696="Healthcare",Inputs!$B$16="Y"),AND(D1696="Pension",Inputs!$B$17="Y"),AND(D1696="OCIO",Inputs!$B$18="Y"),AND(D1696="Other",Inputs!$B$19="Y")))),A1696&lt;&gt;in_ClientOrg,NOT(AND(in_ExclHarvard="Y",ISNUMBER(SEARCH("Harvard",A1696))))),$AD1696="Y",K1696&lt;&gt;"",S1696&gt;0),"Y","")</f>
        <v/>
      </c>
      <c r="V1696" s="30" t="n">
        <v>0.2466070793958066</v>
      </c>
      <c r="W1696" t="inlineStr">
        <is>
          <t>Other disclosed professionals</t>
        </is>
      </c>
      <c r="X1696" s="28">
        <f>IF(L1696+M1696=0,"",L1696+M1696)</f>
        <v/>
      </c>
      <c r="Y1696" s="38">
        <f>IF(L1696=0,"",M1696/L1696)</f>
        <v/>
      </c>
      <c r="Z1696" t="inlineStr">
        <is>
          <t>Other disclosed professionals</t>
        </is>
      </c>
      <c r="AA1696" t="inlineStr">
        <is>
          <t>Operations &amp; Control</t>
        </is>
      </c>
      <c r="AB1696" s="50" t="inlineStr"/>
      <c r="AC1696" s="43">
        <f>HYPERLINK("https://projects.propublica.org/nonprofits/organizations/562462804/202401359349311605/full","view filing")</f>
        <v/>
      </c>
      <c r="AD1696" s="50" t="inlineStr"/>
    </row>
    <row r="1697">
      <c r="A1697" t="inlineStr">
        <is>
          <t>University Of Virginia Investment Management Company</t>
        </is>
      </c>
      <c r="B1697" s="50" t="inlineStr">
        <is>
          <t>VA</t>
        </is>
      </c>
      <c r="C1697" s="52" t="n">
        <v>15.5</v>
      </c>
      <c r="D1697" t="inlineStr">
        <is>
          <t>Endowment</t>
        </is>
      </c>
      <c r="E1697" s="50" t="n">
        <v>2023</v>
      </c>
      <c r="F1697" s="50" t="inlineStr">
        <is>
          <t>2024-05-15</t>
        </is>
      </c>
      <c r="G1697" s="50" t="inlineStr">
        <is>
          <t>2023-06-30</t>
        </is>
      </c>
      <c r="H1697" t="inlineStr">
        <is>
          <t>Kristina M Alimard</t>
        </is>
      </c>
      <c r="I1697" t="inlineStr">
        <is>
          <t>CHIEF OPERATING OFFICER</t>
        </is>
      </c>
      <c r="J1697" t="inlineStr">
        <is>
          <t>COO (Inv Entity)</t>
        </is>
      </c>
      <c r="K1697" t="inlineStr">
        <is>
          <t>COO (Investment Office)</t>
        </is>
      </c>
      <c r="L1697" s="28" t="n">
        <v>541293</v>
      </c>
      <c r="M1697" s="28" t="n">
        <v>0</v>
      </c>
      <c r="N1697" s="28" t="n">
        <v>410573</v>
      </c>
      <c r="O1697" s="28" t="n">
        <v>950720</v>
      </c>
      <c r="P1697" s="28" t="n">
        <v>30287</v>
      </c>
      <c r="Q1697" s="28" t="n">
        <v>1932873</v>
      </c>
      <c r="R1697" s="28" t="n">
        <v>275000</v>
      </c>
      <c r="S1697" s="28">
        <f>Q1697-R1697</f>
        <v/>
      </c>
      <c r="T1697" s="28">
        <f>IF(S1697="","",S1697*(1+in_GrowthRate)^(YEARFRAC(DATE(2023,6,30),in_AgeToDate)*IF(in_AgeToDate&lt;DATE(2023,6,30),-1,1)+1))</f>
        <v/>
      </c>
      <c r="U1697" s="50">
        <f>IF(AND(AND(OR(in_Mode="All Funds",AND(C1697&gt;=in_BandFloor,C1697&lt;=in_BandCeiling,OR(in_Geography="National",COUNTIFS(lst_GeoPreset,in_Geography,lst_GeoState,B1697)&gt;0,AND(in_Geography="Custom",ISNUMBER(SEARCH(B1697,SUBSTITUTE(in_CustomStates," ",""))))),OR(AND(D1697="Endowment",Inputs!$B$14="Y"),AND(D1697="Foundation",Inputs!$B$15="Y"),AND(D1697="Healthcare",Inputs!$B$16="Y"),AND(D1697="Pension",Inputs!$B$17="Y"),AND(D1697="OCIO",Inputs!$B$18="Y"),AND(D1697="Other",Inputs!$B$19="Y")))),A1697&lt;&gt;in_ClientOrg,NOT(AND(in_ExclHarvard="Y",ISNUMBER(SEARCH("Harvard",A1697))))),$AD1697="Y",K1697&lt;&gt;"",S1697&gt;0),"Y","")</f>
        <v/>
      </c>
      <c r="V1697" s="30" t="n">
        <v>0.3823365875944182</v>
      </c>
      <c r="W1697" t="inlineStr"/>
      <c r="X1697" s="28">
        <f>IF(L1697+M1697=0,"",L1697+M1697)</f>
        <v/>
      </c>
      <c r="Y1697" s="38">
        <f>IF(L1697=0,"",M1697/L1697)</f>
        <v/>
      </c>
      <c r="Z1697" t="inlineStr">
        <is>
          <t>COO (Investment Office)</t>
        </is>
      </c>
      <c r="AA1697" t="inlineStr">
        <is>
          <t>Operations &amp; Control</t>
        </is>
      </c>
      <c r="AB1697" s="50" t="inlineStr"/>
      <c r="AC1697" s="43">
        <f>HYPERLINK("https://projects.propublica.org/nonprofits/organizations/562462804/202401359349311605/full","view filing")</f>
        <v/>
      </c>
      <c r="AD1697" s="50" t="inlineStr"/>
    </row>
    <row r="1698">
      <c r="A1698" t="inlineStr">
        <is>
          <t>University Of Virginia Investment Management Company</t>
        </is>
      </c>
      <c r="B1698" s="50" t="inlineStr">
        <is>
          <t>VA</t>
        </is>
      </c>
      <c r="C1698" s="52" t="n">
        <v>15.5</v>
      </c>
      <c r="D1698" t="inlineStr">
        <is>
          <t>Endowment</t>
        </is>
      </c>
      <c r="E1698" s="50" t="n">
        <v>2023</v>
      </c>
      <c r="F1698" s="50" t="inlineStr">
        <is>
          <t>2024-05-15</t>
        </is>
      </c>
      <c r="G1698" s="50" t="inlineStr">
        <is>
          <t>2023-06-30</t>
        </is>
      </c>
      <c r="H1698" t="inlineStr">
        <is>
          <t>Lindsay R Larsen</t>
        </is>
      </c>
      <c r="I1698" t="inlineStr">
        <is>
          <t>MANAGING DIRECTOR</t>
        </is>
      </c>
      <c r="J1698" t="inlineStr">
        <is>
          <t>Managing Director</t>
        </is>
      </c>
      <c r="K1698" t="inlineStr">
        <is>
          <t>Sr Investment Professional</t>
        </is>
      </c>
      <c r="L1698" s="28" t="n">
        <v>399033</v>
      </c>
      <c r="M1698" s="28" t="n">
        <v>135000</v>
      </c>
      <c r="N1698" s="28" t="n">
        <v>1532391</v>
      </c>
      <c r="O1698" s="28" t="n">
        <v>831720</v>
      </c>
      <c r="P1698" s="28" t="n">
        <v>12958</v>
      </c>
      <c r="Q1698" s="28" t="n">
        <v>2911102</v>
      </c>
      <c r="R1698" s="28" t="n">
        <v>862667</v>
      </c>
      <c r="S1698" s="28">
        <f>Q1698-R1698</f>
        <v/>
      </c>
      <c r="T1698" s="28">
        <f>IF(S1698="","",S1698*(1+in_GrowthRate)^(YEARFRAC(DATE(2023,6,30),in_AgeToDate)*IF(in_AgeToDate&lt;DATE(2023,6,30),-1,1)+1))</f>
        <v/>
      </c>
      <c r="U1698" s="50">
        <f>IF(AND(AND(OR(in_Mode="All Funds",AND(C1698&gt;=in_BandFloor,C1698&lt;=in_BandCeiling,OR(in_Geography="National",COUNTIFS(lst_GeoPreset,in_Geography,lst_GeoState,B1698)&gt;0,AND(in_Geography="Custom",ISNUMBER(SEARCH(B1698,SUBSTITUTE(in_CustomStates," ",""))))),OR(AND(D1698="Endowment",Inputs!$B$14="Y"),AND(D1698="Foundation",Inputs!$B$15="Y"),AND(D1698="Healthcare",Inputs!$B$16="Y"),AND(D1698="Pension",Inputs!$B$17="Y"),AND(D1698="OCIO",Inputs!$B$18="Y"),AND(D1698="Other",Inputs!$B$19="Y")))),A1698&lt;&gt;in_ClientOrg,NOT(AND(in_ExclHarvard="Y",ISNUMBER(SEARCH("Harvard",A1698))))),$AD1698="Y",K1698&lt;&gt;"",S1698&gt;0),"Y","")</f>
        <v/>
      </c>
      <c r="V1698" s="30" t="n">
        <v>0.4724075051641302</v>
      </c>
      <c r="W1698" t="inlineStr"/>
      <c r="X1698" s="28">
        <f>IF(L1698+M1698=0,"",L1698+M1698)</f>
        <v/>
      </c>
      <c r="Y1698" s="38">
        <f>IF(L1698=0,"",M1698/L1698)</f>
        <v/>
      </c>
      <c r="Z1698" t="inlineStr">
        <is>
          <t>Managing Director</t>
        </is>
      </c>
      <c r="AA1698" t="inlineStr">
        <is>
          <t>Investments</t>
        </is>
      </c>
      <c r="AB1698" s="50" t="inlineStr"/>
      <c r="AC1698" s="43">
        <f>HYPERLINK("https://projects.propublica.org/nonprofits/organizations/562462804/202401359349311605/full","view filing")</f>
        <v/>
      </c>
      <c r="AD1698" s="50" t="inlineStr"/>
    </row>
    <row r="1699">
      <c r="A1699" t="inlineStr">
        <is>
          <t>University Of Virginia Investment Management Company</t>
        </is>
      </c>
      <c r="B1699" s="50" t="inlineStr">
        <is>
          <t>VA</t>
        </is>
      </c>
      <c r="C1699" s="52" t="n">
        <v>15.5</v>
      </c>
      <c r="D1699" t="inlineStr">
        <is>
          <t>Endowment</t>
        </is>
      </c>
      <c r="E1699" s="50" t="n">
        <v>2023</v>
      </c>
      <c r="F1699" s="50" t="inlineStr">
        <is>
          <t>2024-05-15</t>
        </is>
      </c>
      <c r="G1699" s="50" t="inlineStr">
        <is>
          <t>2023-06-30</t>
        </is>
      </c>
      <c r="H1699" t="inlineStr">
        <is>
          <t>Robert W Durden</t>
        </is>
      </c>
      <c r="I1699" t="inlineStr">
        <is>
          <t>CEO/CIO</t>
        </is>
      </c>
      <c r="J1699" t="inlineStr">
        <is>
          <t>CIO</t>
        </is>
      </c>
      <c r="K1699" t="inlineStr">
        <is>
          <t>CIO - Top Investment Executive</t>
        </is>
      </c>
      <c r="L1699" s="28" t="n">
        <v>732054</v>
      </c>
      <c r="M1699" s="28" t="n">
        <v>245000</v>
      </c>
      <c r="N1699" s="28" t="n">
        <v>3306073</v>
      </c>
      <c r="O1699" s="28" t="n">
        <v>2031720</v>
      </c>
      <c r="P1699" s="28" t="n">
        <v>26365</v>
      </c>
      <c r="Q1699" s="28" t="n">
        <v>6341212</v>
      </c>
      <c r="R1699" s="28" t="n">
        <v>2005051</v>
      </c>
      <c r="S1699" s="28">
        <f>Q1699-R1699</f>
        <v/>
      </c>
      <c r="T1699" s="28">
        <f>IF(S1699="","",S1699*(1+in_GrowthRate)^(YEARFRAC(DATE(2023,6,30),in_AgeToDate)*IF(in_AgeToDate&lt;DATE(2023,6,30),-1,1)+1))</f>
        <v/>
      </c>
      <c r="U1699" s="50">
        <f>IF(AND(AND(OR(in_Mode="All Funds",AND(C1699&gt;=in_BandFloor,C1699&lt;=in_BandCeiling,OR(in_Geography="National",COUNTIFS(lst_GeoPreset,in_Geography,lst_GeoState,B1699)&gt;0,AND(in_Geography="Custom",ISNUMBER(SEARCH(B1699,SUBSTITUTE(in_CustomStates," ",""))))),OR(AND(D1699="Endowment",Inputs!$B$14="Y"),AND(D1699="Foundation",Inputs!$B$15="Y"),AND(D1699="Healthcare",Inputs!$B$16="Y"),AND(D1699="Pension",Inputs!$B$17="Y"),AND(D1699="OCIO",Inputs!$B$18="Y"),AND(D1699="Other",Inputs!$B$19="Y")))),A1699&lt;&gt;in_ClientOrg,NOT(AND(in_ExclHarvard="Y",ISNUMBER(SEARCH("Harvard",A1699))))),$AD1699="Y",K1699&lt;&gt;"",S1699&gt;0),"Y","")</f>
        <v/>
      </c>
      <c r="V1699" s="30" t="n">
        <v>1</v>
      </c>
      <c r="W1699" t="inlineStr"/>
      <c r="X1699" s="28">
        <f>IF(L1699+M1699=0,"",L1699+M1699)</f>
        <v/>
      </c>
      <c r="Y1699" s="38">
        <f>IF(L1699=0,"",M1699/L1699)</f>
        <v/>
      </c>
      <c r="Z1699" t="inlineStr">
        <is>
          <t>CIO - Top Investment Executive</t>
        </is>
      </c>
      <c r="AA1699" t="inlineStr">
        <is>
          <t>Leadership</t>
        </is>
      </c>
      <c r="AB1699" s="50" t="inlineStr">
        <is>
          <t>Y</t>
        </is>
      </c>
      <c r="AC1699" s="43">
        <f>HYPERLINK("https://projects.propublica.org/nonprofits/organizations/562462804/202401359349311605/full","view filing")</f>
        <v/>
      </c>
      <c r="AD1699" s="50" t="inlineStr"/>
    </row>
    <row r="1700">
      <c r="A1700" t="inlineStr">
        <is>
          <t>University Of Virginia Investment Management Company</t>
        </is>
      </c>
      <c r="B1700" s="50" t="inlineStr">
        <is>
          <t>VA</t>
        </is>
      </c>
      <c r="C1700" s="52" t="n">
        <v>15.5</v>
      </c>
      <c r="D1700" t="inlineStr">
        <is>
          <t>Endowment</t>
        </is>
      </c>
      <c r="E1700" s="50" t="n">
        <v>2022</v>
      </c>
      <c r="F1700" s="50" t="inlineStr">
        <is>
          <t>2023-05-15</t>
        </is>
      </c>
      <c r="G1700" s="50" t="inlineStr">
        <is>
          <t>2022-06-30</t>
        </is>
      </c>
      <c r="H1700" t="inlineStr">
        <is>
          <t>Allison P Gillam</t>
        </is>
      </c>
      <c r="I1700" t="inlineStr">
        <is>
          <t>CHIEF FINANCIAL OFFICER</t>
        </is>
      </c>
      <c r="J1700" t="inlineStr">
        <is>
          <t>CFO (Inv Entity)</t>
        </is>
      </c>
      <c r="K1700" t="inlineStr">
        <is>
          <t>Other disclosed professionals</t>
        </is>
      </c>
      <c r="L1700" s="28" t="n">
        <v>254040</v>
      </c>
      <c r="M1700" s="28" t="n">
        <v>250000</v>
      </c>
      <c r="N1700" s="28" t="n">
        <v>1718</v>
      </c>
      <c r="O1700" s="28" t="n">
        <v>202040</v>
      </c>
      <c r="P1700" s="28" t="n">
        <v>26560</v>
      </c>
      <c r="Q1700" s="28" t="n">
        <v>734358</v>
      </c>
      <c r="R1700" s="28" t="n">
        <v>0</v>
      </c>
      <c r="S1700" s="28">
        <f>Q1700-R1700</f>
        <v/>
      </c>
      <c r="T1700" s="28">
        <f>IF(S1700="","",S1700*(1+in_GrowthRate)^(YEARFRAC(DATE(2022,6,30),in_AgeToDate)*IF(in_AgeToDate&lt;DATE(2022,6,30),-1,1)+1))</f>
        <v/>
      </c>
      <c r="U1700" s="50">
        <f>IF(AND(AND(OR(in_Mode="All Funds",AND(C1700&gt;=in_BandFloor,C1700&lt;=in_BandCeiling,OR(in_Geography="National",COUNTIFS(lst_GeoPreset,in_Geography,lst_GeoState,B1700)&gt;0,AND(in_Geography="Custom",ISNUMBER(SEARCH(B1700,SUBSTITUTE(in_CustomStates," ",""))))),OR(AND(D1700="Endowment",Inputs!$B$14="Y"),AND(D1700="Foundation",Inputs!$B$15="Y"),AND(D1700="Healthcare",Inputs!$B$16="Y"),AND(D1700="Pension",Inputs!$B$17="Y"),AND(D1700="OCIO",Inputs!$B$18="Y"),AND(D1700="Other",Inputs!$B$19="Y")))),A1700&lt;&gt;in_ClientOrg,NOT(AND(in_ExclHarvard="Y",ISNUMBER(SEARCH("Harvard",A1700))))),$AD1700="Y",K1700&lt;&gt;"",S1700&gt;0),"Y","")</f>
        <v/>
      </c>
      <c r="V1700" s="30" t="n">
        <v>0.1513314903521688</v>
      </c>
      <c r="W1700" t="inlineStr">
        <is>
          <t>Other disclosed professionals</t>
        </is>
      </c>
      <c r="X1700" s="28">
        <f>IF(L1700+M1700=0,"",L1700+M1700)</f>
        <v/>
      </c>
      <c r="Y1700" s="38">
        <f>IF(L1700=0,"",M1700/L1700)</f>
        <v/>
      </c>
      <c r="Z1700" t="inlineStr">
        <is>
          <t>Other disclosed professionals</t>
        </is>
      </c>
      <c r="AA1700" t="inlineStr">
        <is>
          <t>Operations &amp; Control</t>
        </is>
      </c>
      <c r="AB1700" s="50" t="inlineStr"/>
      <c r="AC1700" s="43">
        <f>HYPERLINK("https://projects.propublica.org/nonprofits/organizations/562462804/202321359349316167/full","view filing")</f>
        <v/>
      </c>
      <c r="AD1700" s="50" t="inlineStr"/>
    </row>
    <row r="1701">
      <c r="A1701" t="inlineStr">
        <is>
          <t>University Of Virginia Investment Management Company</t>
        </is>
      </c>
      <c r="B1701" s="50" t="inlineStr">
        <is>
          <t>VA</t>
        </is>
      </c>
      <c r="C1701" s="52" t="n">
        <v>15.5</v>
      </c>
      <c r="D1701" t="inlineStr">
        <is>
          <t>Endowment</t>
        </is>
      </c>
      <c r="E1701" s="50" t="n">
        <v>2022</v>
      </c>
      <c r="F1701" s="50" t="inlineStr">
        <is>
          <t>2023-05-15</t>
        </is>
      </c>
      <c r="G1701" s="50" t="inlineStr">
        <is>
          <t>2022-06-30</t>
        </is>
      </c>
      <c r="H1701" t="inlineStr">
        <is>
          <t>Blake A Fischer</t>
        </is>
      </c>
      <c r="I1701" t="inlineStr">
        <is>
          <t>DIRECTOR OF TECHNOLOGY</t>
        </is>
      </c>
      <c r="J1701" t="inlineStr">
        <is>
          <t>Technology Staff (Inv Entity)</t>
        </is>
      </c>
      <c r="K1701" t="inlineStr">
        <is>
          <t>Other disclosed professionals</t>
        </is>
      </c>
      <c r="L1701" s="28" t="n">
        <v>234789</v>
      </c>
      <c r="M1701" s="28" t="n">
        <v>201900</v>
      </c>
      <c r="N1701" s="28" t="n">
        <v>2379</v>
      </c>
      <c r="O1701" s="28" t="n">
        <v>26460</v>
      </c>
      <c r="P1701" s="28" t="n">
        <v>25776</v>
      </c>
      <c r="Q1701" s="28" t="n">
        <v>491304</v>
      </c>
      <c r="R1701" s="28" t="n">
        <v>0</v>
      </c>
      <c r="S1701" s="28">
        <f>Q1701-R1701</f>
        <v/>
      </c>
      <c r="T1701" s="28">
        <f>IF(S1701="","",S1701*(1+in_GrowthRate)^(YEARFRAC(DATE(2022,6,30),in_AgeToDate)*IF(in_AgeToDate&lt;DATE(2022,6,30),-1,1)+1))</f>
        <v/>
      </c>
      <c r="U1701" s="50">
        <f>IF(AND(AND(OR(in_Mode="All Funds",AND(C1701&gt;=in_BandFloor,C1701&lt;=in_BandCeiling,OR(in_Geography="National",COUNTIFS(lst_GeoPreset,in_Geography,lst_GeoState,B1701)&gt;0,AND(in_Geography="Custom",ISNUMBER(SEARCH(B1701,SUBSTITUTE(in_CustomStates," ",""))))),OR(AND(D1701="Endowment",Inputs!$B$14="Y"),AND(D1701="Foundation",Inputs!$B$15="Y"),AND(D1701="Healthcare",Inputs!$B$16="Y"),AND(D1701="Pension",Inputs!$B$17="Y"),AND(D1701="OCIO",Inputs!$B$18="Y"),AND(D1701="Other",Inputs!$B$19="Y")))),A1701&lt;&gt;in_ClientOrg,NOT(AND(in_ExclHarvard="Y",ISNUMBER(SEARCH("Harvard",A1701))))),$AD1701="Y",K1701&lt;&gt;"",S1701&gt;0),"Y","")</f>
        <v/>
      </c>
      <c r="V1701" s="30" t="n">
        <v>0.1012445789873358</v>
      </c>
      <c r="W1701" t="inlineStr">
        <is>
          <t>Other disclosed professionals</t>
        </is>
      </c>
      <c r="X1701" s="28">
        <f>IF(L1701+M1701=0,"",L1701+M1701)</f>
        <v/>
      </c>
      <c r="Y1701" s="38">
        <f>IF(L1701=0,"",M1701/L1701)</f>
        <v/>
      </c>
      <c r="Z1701" t="inlineStr">
        <is>
          <t>Other disclosed professionals</t>
        </is>
      </c>
      <c r="AA1701" t="inlineStr">
        <is>
          <t>Operations &amp; Control</t>
        </is>
      </c>
      <c r="AB1701" s="50" t="inlineStr"/>
      <c r="AC1701" s="43">
        <f>HYPERLINK("https://projects.propublica.org/nonprofits/organizations/562462804/202321359349316167/full","view filing")</f>
        <v/>
      </c>
      <c r="AD1701" s="50" t="inlineStr"/>
    </row>
    <row r="1702">
      <c r="A1702" t="inlineStr">
        <is>
          <t>University Of Virginia Investment Management Company</t>
        </is>
      </c>
      <c r="B1702" s="50" t="inlineStr">
        <is>
          <t>VA</t>
        </is>
      </c>
      <c r="C1702" s="52" t="n">
        <v>15.5</v>
      </c>
      <c r="D1702" t="inlineStr">
        <is>
          <t>Endowment</t>
        </is>
      </c>
      <c r="E1702" s="50" t="n">
        <v>2022</v>
      </c>
      <c r="F1702" s="50" t="inlineStr">
        <is>
          <t>2023-05-15</t>
        </is>
      </c>
      <c r="G1702" s="50" t="inlineStr">
        <is>
          <t>2022-06-30</t>
        </is>
      </c>
      <c r="H1702" t="inlineStr">
        <is>
          <t>E Sargent Mcgowan</t>
        </is>
      </c>
      <c r="I1702" t="inlineStr">
        <is>
          <t>MANAGING DIRECTOR</t>
        </is>
      </c>
      <c r="J1702" t="inlineStr">
        <is>
          <t>Managing Director</t>
        </is>
      </c>
      <c r="K1702" t="inlineStr">
        <is>
          <t>Sr Investment Professional</t>
        </is>
      </c>
      <c r="L1702" s="28" t="n">
        <v>425352</v>
      </c>
      <c r="M1702" s="28" t="n">
        <v>128000</v>
      </c>
      <c r="N1702" s="28" t="n">
        <v>1320406</v>
      </c>
      <c r="O1702" s="28" t="n">
        <v>1144507</v>
      </c>
      <c r="P1702" s="28" t="n">
        <v>23323</v>
      </c>
      <c r="Q1702" s="28" t="n">
        <v>3041588</v>
      </c>
      <c r="R1702" s="28" t="n">
        <v>491203</v>
      </c>
      <c r="S1702" s="28">
        <f>Q1702-R1702</f>
        <v/>
      </c>
      <c r="T1702" s="28">
        <f>IF(S1702="","",S1702*(1+in_GrowthRate)^(YEARFRAC(DATE(2022,6,30),in_AgeToDate)*IF(in_AgeToDate&lt;DATE(2022,6,30),-1,1)+1))</f>
        <v/>
      </c>
      <c r="U1702" s="50">
        <f>IF(AND(AND(OR(in_Mode="All Funds",AND(C1702&gt;=in_BandFloor,C1702&lt;=in_BandCeiling,OR(in_Geography="National",COUNTIFS(lst_GeoPreset,in_Geography,lst_GeoState,B1702)&gt;0,AND(in_Geography="Custom",ISNUMBER(SEARCH(B1702,SUBSTITUTE(in_CustomStates," ",""))))),OR(AND(D1702="Endowment",Inputs!$B$14="Y"),AND(D1702="Foundation",Inputs!$B$15="Y"),AND(D1702="Healthcare",Inputs!$B$16="Y"),AND(D1702="Pension",Inputs!$B$17="Y"),AND(D1702="OCIO",Inputs!$B$18="Y"),AND(D1702="Other",Inputs!$B$19="Y")))),A1702&lt;&gt;in_ClientOrg,NOT(AND(in_ExclHarvard="Y",ISNUMBER(SEARCH("Harvard",A1702))))),$AD1702="Y",K1702&lt;&gt;"",S1702&gt;0),"Y","")</f>
        <v/>
      </c>
      <c r="V1702" s="30" t="n">
        <v>0.5255659542373283</v>
      </c>
      <c r="W1702" t="inlineStr"/>
      <c r="X1702" s="28">
        <f>IF(L1702+M1702=0,"",L1702+M1702)</f>
        <v/>
      </c>
      <c r="Y1702" s="38">
        <f>IF(L1702=0,"",M1702/L1702)</f>
        <v/>
      </c>
      <c r="Z1702" t="inlineStr">
        <is>
          <t>Managing Director</t>
        </is>
      </c>
      <c r="AA1702" t="inlineStr">
        <is>
          <t>Investments</t>
        </is>
      </c>
      <c r="AB1702" s="50" t="inlineStr"/>
      <c r="AC1702" s="43">
        <f>HYPERLINK("https://projects.propublica.org/nonprofits/organizations/562462804/202321359349316167/full","view filing")</f>
        <v/>
      </c>
      <c r="AD1702" s="50" t="inlineStr"/>
    </row>
    <row r="1703">
      <c r="A1703" t="inlineStr">
        <is>
          <t>University Of Virginia Investment Management Company</t>
        </is>
      </c>
      <c r="B1703" s="50" t="inlineStr">
        <is>
          <t>VA</t>
        </is>
      </c>
      <c r="C1703" s="52" t="n">
        <v>15.5</v>
      </c>
      <c r="D1703" t="inlineStr">
        <is>
          <t>Endowment</t>
        </is>
      </c>
      <c r="E1703" s="50" t="n">
        <v>2022</v>
      </c>
      <c r="F1703" s="50" t="inlineStr">
        <is>
          <t>2023-05-15</t>
        </is>
      </c>
      <c r="G1703" s="50" t="inlineStr">
        <is>
          <t>2022-06-30</t>
        </is>
      </c>
      <c r="H1703" t="inlineStr">
        <is>
          <t>Eric J Bundonis</t>
        </is>
      </c>
      <c r="I1703" t="inlineStr">
        <is>
          <t>MANAGING DIRECTOR</t>
        </is>
      </c>
      <c r="J1703" t="inlineStr">
        <is>
          <t>Managing Director</t>
        </is>
      </c>
      <c r="K1703" t="inlineStr">
        <is>
          <t>Sr Investment Professional</t>
        </is>
      </c>
      <c r="L1703" s="28" t="n">
        <v>334098</v>
      </c>
      <c r="M1703" s="28" t="n">
        <v>250000</v>
      </c>
      <c r="N1703" s="28" t="n">
        <v>2493</v>
      </c>
      <c r="O1703" s="28" t="n">
        <v>30160</v>
      </c>
      <c r="P1703" s="28" t="n">
        <v>29001</v>
      </c>
      <c r="Q1703" s="28" t="n">
        <v>645752</v>
      </c>
      <c r="R1703" s="28" t="n">
        <v>0</v>
      </c>
      <c r="S1703" s="28">
        <f>Q1703-R1703</f>
        <v/>
      </c>
      <c r="T1703" s="28">
        <f>IF(S1703="","",S1703*(1+in_GrowthRate)^(YEARFRAC(DATE(2022,6,30),in_AgeToDate)*IF(in_AgeToDate&lt;DATE(2022,6,30),-1,1)+1))</f>
        <v/>
      </c>
      <c r="U1703" s="50">
        <f>IF(AND(AND(OR(in_Mode="All Funds",AND(C1703&gt;=in_BandFloor,C1703&lt;=in_BandCeiling,OR(in_Geography="National",COUNTIFS(lst_GeoPreset,in_Geography,lst_GeoState,B1703)&gt;0,AND(in_Geography="Custom",ISNUMBER(SEARCH(B1703,SUBSTITUTE(in_CustomStates," ",""))))),OR(AND(D1703="Endowment",Inputs!$B$14="Y"),AND(D1703="Foundation",Inputs!$B$15="Y"),AND(D1703="Healthcare",Inputs!$B$16="Y"),AND(D1703="Pension",Inputs!$B$17="Y"),AND(D1703="OCIO",Inputs!$B$18="Y"),AND(D1703="Other",Inputs!$B$19="Y")))),A1703&lt;&gt;in_ClientOrg,NOT(AND(in_ExclHarvard="Y",ISNUMBER(SEARCH("Harvard",A1703))))),$AD1703="Y",K1703&lt;&gt;"",S1703&gt;0),"Y","")</f>
        <v/>
      </c>
      <c r="V1703" s="30" t="n">
        <v>0.1330721699197036</v>
      </c>
      <c r="W1703" t="inlineStr"/>
      <c r="X1703" s="28">
        <f>IF(L1703+M1703=0,"",L1703+M1703)</f>
        <v/>
      </c>
      <c r="Y1703" s="38">
        <f>IF(L1703=0,"",M1703/L1703)</f>
        <v/>
      </c>
      <c r="Z1703" t="inlineStr">
        <is>
          <t>Managing Director</t>
        </is>
      </c>
      <c r="AA1703" t="inlineStr">
        <is>
          <t>Investments</t>
        </is>
      </c>
      <c r="AB1703" s="50" t="inlineStr"/>
      <c r="AC1703" s="43">
        <f>HYPERLINK("https://projects.propublica.org/nonprofits/organizations/562462804/202321359349316167/full","view filing")</f>
        <v/>
      </c>
      <c r="AD1703" s="50" t="inlineStr"/>
    </row>
    <row r="1704">
      <c r="A1704" t="inlineStr">
        <is>
          <t>University Of Virginia Investment Management Company</t>
        </is>
      </c>
      <c r="B1704" s="50" t="inlineStr">
        <is>
          <t>VA</t>
        </is>
      </c>
      <c r="C1704" s="52" t="n">
        <v>15.5</v>
      </c>
      <c r="D1704" t="inlineStr">
        <is>
          <t>Endowment</t>
        </is>
      </c>
      <c r="E1704" s="50" t="n">
        <v>2022</v>
      </c>
      <c r="F1704" s="50" t="inlineStr">
        <is>
          <t>2023-05-15</t>
        </is>
      </c>
      <c r="G1704" s="50" t="inlineStr">
        <is>
          <t>2022-06-30</t>
        </is>
      </c>
      <c r="H1704" t="inlineStr">
        <is>
          <t>Jason M Love</t>
        </is>
      </c>
      <c r="I1704" t="inlineStr">
        <is>
          <t>MANAGING DIRECTOR</t>
        </is>
      </c>
      <c r="J1704" t="inlineStr">
        <is>
          <t>Managing Director</t>
        </is>
      </c>
      <c r="K1704" t="inlineStr">
        <is>
          <t>Sr Investment Professional</t>
        </is>
      </c>
      <c r="L1704" s="28" t="n">
        <v>371598</v>
      </c>
      <c r="M1704" s="28" t="n">
        <v>94000</v>
      </c>
      <c r="N1704" s="28" t="n">
        <v>902266</v>
      </c>
      <c r="O1704" s="28" t="n">
        <v>826122</v>
      </c>
      <c r="P1704" s="28" t="n">
        <v>29001</v>
      </c>
      <c r="Q1704" s="28" t="n">
        <v>2222987</v>
      </c>
      <c r="R1704" s="28" t="n">
        <v>325859</v>
      </c>
      <c r="S1704" s="28">
        <f>Q1704-R1704</f>
        <v/>
      </c>
      <c r="T1704" s="28">
        <f>IF(S1704="","",S1704*(1+in_GrowthRate)^(YEARFRAC(DATE(2022,6,30),in_AgeToDate)*IF(in_AgeToDate&lt;DATE(2022,6,30),-1,1)+1))</f>
        <v/>
      </c>
      <c r="U1704" s="50">
        <f>IF(AND(AND(OR(in_Mode="All Funds",AND(C1704&gt;=in_BandFloor,C1704&lt;=in_BandCeiling,OR(in_Geography="National",COUNTIFS(lst_GeoPreset,in_Geography,lst_GeoState,B1704)&gt;0,AND(in_Geography="Custom",ISNUMBER(SEARCH(B1704,SUBSTITUTE(in_CustomStates," ",""))))),OR(AND(D1704="Endowment",Inputs!$B$14="Y"),AND(D1704="Foundation",Inputs!$B$15="Y"),AND(D1704="Healthcare",Inputs!$B$16="Y"),AND(D1704="Pension",Inputs!$B$17="Y"),AND(D1704="OCIO",Inputs!$B$18="Y"),AND(D1704="Other",Inputs!$B$19="Y")))),A1704&lt;&gt;in_ClientOrg,NOT(AND(in_ExclHarvard="Y",ISNUMBER(SEARCH("Harvard",A1704))))),$AD1704="Y",K1704&lt;&gt;"",S1704&gt;0),"Y","")</f>
        <v/>
      </c>
      <c r="V1704" s="30" t="n">
        <v>0.3909472050809404</v>
      </c>
      <c r="W1704" t="inlineStr"/>
      <c r="X1704" s="28">
        <f>IF(L1704+M1704=0,"",L1704+M1704)</f>
        <v/>
      </c>
      <c r="Y1704" s="38">
        <f>IF(L1704=0,"",M1704/L1704)</f>
        <v/>
      </c>
      <c r="Z1704" t="inlineStr">
        <is>
          <t>Managing Director</t>
        </is>
      </c>
      <c r="AA1704" t="inlineStr">
        <is>
          <t>Investments</t>
        </is>
      </c>
      <c r="AB1704" s="50" t="inlineStr"/>
      <c r="AC1704" s="43">
        <f>HYPERLINK("https://projects.propublica.org/nonprofits/organizations/562462804/202321359349316167/full","view filing")</f>
        <v/>
      </c>
      <c r="AD1704" s="50" t="inlineStr"/>
    </row>
    <row r="1705">
      <c r="A1705" t="inlineStr">
        <is>
          <t>University Of Virginia Investment Management Company</t>
        </is>
      </c>
      <c r="B1705" s="50" t="inlineStr">
        <is>
          <t>VA</t>
        </is>
      </c>
      <c r="C1705" s="52" t="n">
        <v>15.5</v>
      </c>
      <c r="D1705" t="inlineStr">
        <is>
          <t>Endowment</t>
        </is>
      </c>
      <c r="E1705" s="50" t="n">
        <v>2022</v>
      </c>
      <c r="F1705" s="50" t="inlineStr">
        <is>
          <t>2023-05-15</t>
        </is>
      </c>
      <c r="G1705" s="50" t="inlineStr">
        <is>
          <t>2022-06-30</t>
        </is>
      </c>
      <c r="H1705" t="inlineStr">
        <is>
          <t>John M Winn</t>
        </is>
      </c>
      <c r="I1705" t="inlineStr">
        <is>
          <t>GEN CNSL/CCO &amp; SECRETARY</t>
        </is>
      </c>
      <c r="J1705" t="inlineStr">
        <is>
          <t>General Counsel (Inv Entity)</t>
        </is>
      </c>
      <c r="K1705" t="inlineStr">
        <is>
          <t>Other disclosed professionals</t>
        </is>
      </c>
      <c r="L1705" s="28" t="n">
        <v>334186</v>
      </c>
      <c r="M1705" s="28" t="n">
        <v>0</v>
      </c>
      <c r="N1705" s="28" t="n">
        <v>389405</v>
      </c>
      <c r="O1705" s="28" t="n">
        <v>580160</v>
      </c>
      <c r="P1705" s="28" t="n">
        <v>28913</v>
      </c>
      <c r="Q1705" s="28" t="n">
        <v>1332664</v>
      </c>
      <c r="R1705" s="28" t="n">
        <v>235000</v>
      </c>
      <c r="S1705" s="28">
        <f>Q1705-R1705</f>
        <v/>
      </c>
      <c r="T1705" s="28">
        <f>IF(S1705="","",S1705*(1+in_GrowthRate)^(YEARFRAC(DATE(2022,6,30),in_AgeToDate)*IF(in_AgeToDate&lt;DATE(2022,6,30),-1,1)+1))</f>
        <v/>
      </c>
      <c r="U1705" s="50">
        <f>IF(AND(AND(OR(in_Mode="All Funds",AND(C1705&gt;=in_BandFloor,C1705&lt;=in_BandCeiling,OR(in_Geography="National",COUNTIFS(lst_GeoPreset,in_Geography,lst_GeoState,B1705)&gt;0,AND(in_Geography="Custom",ISNUMBER(SEARCH(B1705,SUBSTITUTE(in_CustomStates," ",""))))),OR(AND(D1705="Endowment",Inputs!$B$14="Y"),AND(D1705="Foundation",Inputs!$B$15="Y"),AND(D1705="Healthcare",Inputs!$B$16="Y"),AND(D1705="Pension",Inputs!$B$17="Y"),AND(D1705="OCIO",Inputs!$B$18="Y"),AND(D1705="Other",Inputs!$B$19="Y")))),A1705&lt;&gt;in_ClientOrg,NOT(AND(in_ExclHarvard="Y",ISNUMBER(SEARCH("Harvard",A1705))))),$AD1705="Y",K1705&lt;&gt;"",S1705&gt;0),"Y","")</f>
        <v/>
      </c>
      <c r="V1705" s="30" t="n">
        <v>0.2261991140913873</v>
      </c>
      <c r="W1705" t="inlineStr">
        <is>
          <t>Other disclosed professionals</t>
        </is>
      </c>
      <c r="X1705" s="28">
        <f>IF(L1705+M1705=0,"",L1705+M1705)</f>
        <v/>
      </c>
      <c r="Y1705" s="38">
        <f>IF(L1705=0,"",M1705/L1705)</f>
        <v/>
      </c>
      <c r="Z1705" t="inlineStr">
        <is>
          <t>Other disclosed professionals</t>
        </is>
      </c>
      <c r="AA1705" t="inlineStr">
        <is>
          <t>Operations &amp; Control</t>
        </is>
      </c>
      <c r="AB1705" s="50" t="inlineStr"/>
      <c r="AC1705" s="43">
        <f>HYPERLINK("https://projects.propublica.org/nonprofits/organizations/562462804/202321359349316167/full","view filing")</f>
        <v/>
      </c>
      <c r="AD1705" s="50" t="inlineStr"/>
    </row>
    <row r="1706">
      <c r="A1706" t="inlineStr">
        <is>
          <t>University Of Virginia Investment Management Company</t>
        </is>
      </c>
      <c r="B1706" s="50" t="inlineStr">
        <is>
          <t>VA</t>
        </is>
      </c>
      <c r="C1706" s="52" t="n">
        <v>15.5</v>
      </c>
      <c r="D1706" t="inlineStr">
        <is>
          <t>Endowment</t>
        </is>
      </c>
      <c r="E1706" s="50" t="n">
        <v>2022</v>
      </c>
      <c r="F1706" s="50" t="inlineStr">
        <is>
          <t>2023-05-15</t>
        </is>
      </c>
      <c r="G1706" s="50" t="inlineStr">
        <is>
          <t>2022-06-30</t>
        </is>
      </c>
      <c r="H1706" t="inlineStr">
        <is>
          <t>Kristina M Alimard</t>
        </is>
      </c>
      <c r="I1706" t="inlineStr">
        <is>
          <t>CHIEF OPERATING OFFICER</t>
        </is>
      </c>
      <c r="J1706" t="inlineStr">
        <is>
          <t>COO (Inv Entity)</t>
        </is>
      </c>
      <c r="K1706" t="inlineStr">
        <is>
          <t>COO (Investment Office)</t>
        </is>
      </c>
      <c r="L1706" s="28" t="n">
        <v>503962</v>
      </c>
      <c r="M1706" s="28" t="n">
        <v>250000</v>
      </c>
      <c r="N1706" s="28" t="n">
        <v>521927</v>
      </c>
      <c r="O1706" s="28" t="n">
        <v>880160</v>
      </c>
      <c r="P1706" s="28" t="n">
        <v>29137</v>
      </c>
      <c r="Q1706" s="28" t="n">
        <v>2185186</v>
      </c>
      <c r="R1706" s="28" t="n">
        <v>315000</v>
      </c>
      <c r="S1706" s="28">
        <f>Q1706-R1706</f>
        <v/>
      </c>
      <c r="T1706" s="28">
        <f>IF(S1706="","",S1706*(1+in_GrowthRate)^(YEARFRAC(DATE(2022,6,30),in_AgeToDate)*IF(in_AgeToDate&lt;DATE(2022,6,30),-1,1)+1))</f>
        <v/>
      </c>
      <c r="U1706" s="50">
        <f>IF(AND(AND(OR(in_Mode="All Funds",AND(C1706&gt;=in_BandFloor,C1706&lt;=in_BandCeiling,OR(in_Geography="National",COUNTIFS(lst_GeoPreset,in_Geography,lst_GeoState,B1706)&gt;0,AND(in_Geography="Custom",ISNUMBER(SEARCH(B1706,SUBSTITUTE(in_CustomStates," ",""))))),OR(AND(D1706="Endowment",Inputs!$B$14="Y"),AND(D1706="Foundation",Inputs!$B$15="Y"),AND(D1706="Healthcare",Inputs!$B$16="Y"),AND(D1706="Pension",Inputs!$B$17="Y"),AND(D1706="OCIO",Inputs!$B$18="Y"),AND(D1706="Other",Inputs!$B$19="Y")))),A1706&lt;&gt;in_ClientOrg,NOT(AND(in_ExclHarvard="Y",ISNUMBER(SEARCH("Harvard",A1706))))),$AD1706="Y",K1706&lt;&gt;"",S1706&gt;0),"Y","")</f>
        <v/>
      </c>
      <c r="V1706" s="30" t="n">
        <v>0.3853951813907673</v>
      </c>
      <c r="W1706" t="inlineStr"/>
      <c r="X1706" s="28">
        <f>IF(L1706+M1706=0,"",L1706+M1706)</f>
        <v/>
      </c>
      <c r="Y1706" s="38">
        <f>IF(L1706=0,"",M1706/L1706)</f>
        <v/>
      </c>
      <c r="Z1706" t="inlineStr">
        <is>
          <t>COO (Investment Office)</t>
        </is>
      </c>
      <c r="AA1706" t="inlineStr">
        <is>
          <t>Operations &amp; Control</t>
        </is>
      </c>
      <c r="AB1706" s="50" t="inlineStr"/>
      <c r="AC1706" s="43">
        <f>HYPERLINK("https://projects.propublica.org/nonprofits/organizations/562462804/202321359349316167/full","view filing")</f>
        <v/>
      </c>
      <c r="AD1706" s="50" t="inlineStr"/>
    </row>
    <row r="1707">
      <c r="A1707" t="inlineStr">
        <is>
          <t>University Of Virginia Investment Management Company</t>
        </is>
      </c>
      <c r="B1707" s="50" t="inlineStr">
        <is>
          <t>VA</t>
        </is>
      </c>
      <c r="C1707" s="52" t="n">
        <v>15.5</v>
      </c>
      <c r="D1707" t="inlineStr">
        <is>
          <t>Endowment</t>
        </is>
      </c>
      <c r="E1707" s="50" t="n">
        <v>2022</v>
      </c>
      <c r="F1707" s="50" t="inlineStr">
        <is>
          <t>2023-05-15</t>
        </is>
      </c>
      <c r="G1707" s="50" t="inlineStr">
        <is>
          <t>2022-06-30</t>
        </is>
      </c>
      <c r="H1707" t="inlineStr">
        <is>
          <t>Lindsay R Larsen</t>
        </is>
      </c>
      <c r="I1707" t="inlineStr">
        <is>
          <t>MANAGING DIRECTOR</t>
        </is>
      </c>
      <c r="J1707" t="inlineStr">
        <is>
          <t>Managing Director</t>
        </is>
      </c>
      <c r="K1707" t="inlineStr">
        <is>
          <t>Sr Investment Professional</t>
        </is>
      </c>
      <c r="L1707" s="28" t="n">
        <v>376606</v>
      </c>
      <c r="M1707" s="28" t="n">
        <v>113000</v>
      </c>
      <c r="N1707" s="28" t="n">
        <v>1073172</v>
      </c>
      <c r="O1707" s="28" t="n">
        <v>905718</v>
      </c>
      <c r="P1707" s="28" t="n">
        <v>11431</v>
      </c>
      <c r="Q1707" s="28" t="n">
        <v>2479927</v>
      </c>
      <c r="R1707" s="28" t="n">
        <v>346304</v>
      </c>
      <c r="S1707" s="28">
        <f>Q1707-R1707</f>
        <v/>
      </c>
      <c r="T1707" s="28">
        <f>IF(S1707="","",S1707*(1+in_GrowthRate)^(YEARFRAC(DATE(2022,6,30),in_AgeToDate)*IF(in_AgeToDate&lt;DATE(2022,6,30),-1,1)+1))</f>
        <v/>
      </c>
      <c r="U1707" s="50">
        <f>IF(AND(AND(OR(in_Mode="All Funds",AND(C1707&gt;=in_BandFloor,C1707&lt;=in_BandCeiling,OR(in_Geography="National",COUNTIFS(lst_GeoPreset,in_Geography,lst_GeoState,B1707)&gt;0,AND(in_Geography="Custom",ISNUMBER(SEARCH(B1707,SUBSTITUTE(in_CustomStates," ",""))))),OR(AND(D1707="Endowment",Inputs!$B$14="Y"),AND(D1707="Foundation",Inputs!$B$15="Y"),AND(D1707="Healthcare",Inputs!$B$16="Y"),AND(D1707="Pension",Inputs!$B$17="Y"),AND(D1707="OCIO",Inputs!$B$18="Y"),AND(D1707="Other",Inputs!$B$19="Y")))),A1707&lt;&gt;in_ClientOrg,NOT(AND(in_ExclHarvard="Y",ISNUMBER(SEARCH("Harvard",A1707))))),$AD1707="Y",K1707&lt;&gt;"",S1707&gt;0),"Y","")</f>
        <v/>
      </c>
      <c r="V1707" s="30" t="n">
        <v>0.4396824824399889</v>
      </c>
      <c r="W1707" t="inlineStr"/>
      <c r="X1707" s="28">
        <f>IF(L1707+M1707=0,"",L1707+M1707)</f>
        <v/>
      </c>
      <c r="Y1707" s="38">
        <f>IF(L1707=0,"",M1707/L1707)</f>
        <v/>
      </c>
      <c r="Z1707" t="inlineStr">
        <is>
          <t>Managing Director</t>
        </is>
      </c>
      <c r="AA1707" t="inlineStr">
        <is>
          <t>Investments</t>
        </is>
      </c>
      <c r="AB1707" s="50" t="inlineStr"/>
      <c r="AC1707" s="43">
        <f>HYPERLINK("https://projects.propublica.org/nonprofits/organizations/562462804/202321359349316167/full","view filing")</f>
        <v/>
      </c>
      <c r="AD1707" s="50" t="inlineStr"/>
    </row>
    <row r="1708">
      <c r="A1708" t="inlineStr">
        <is>
          <t>University Of Virginia Investment Management Company</t>
        </is>
      </c>
      <c r="B1708" s="50" t="inlineStr">
        <is>
          <t>VA</t>
        </is>
      </c>
      <c r="C1708" s="52" t="n">
        <v>15.5</v>
      </c>
      <c r="D1708" t="inlineStr">
        <is>
          <t>Endowment</t>
        </is>
      </c>
      <c r="E1708" s="50" t="n">
        <v>2022</v>
      </c>
      <c r="F1708" s="50" t="inlineStr">
        <is>
          <t>2023-05-15</t>
        </is>
      </c>
      <c r="G1708" s="50" t="inlineStr">
        <is>
          <t>2022-06-30</t>
        </is>
      </c>
      <c r="H1708" t="inlineStr">
        <is>
          <t>Robert W Durden</t>
        </is>
      </c>
      <c r="I1708" t="inlineStr">
        <is>
          <t>CEO/CIO</t>
        </is>
      </c>
      <c r="J1708" t="inlineStr">
        <is>
          <t>CIO</t>
        </is>
      </c>
      <c r="K1708" t="inlineStr">
        <is>
          <t>CIO - Top Investment Executive</t>
        </is>
      </c>
      <c r="L1708" s="28" t="n">
        <v>682154</v>
      </c>
      <c r="M1708" s="28" t="n">
        <v>150000</v>
      </c>
      <c r="N1708" s="28" t="n">
        <v>2320941</v>
      </c>
      <c r="O1708" s="28" t="n">
        <v>2418046</v>
      </c>
      <c r="P1708" s="28" t="n">
        <v>25946</v>
      </c>
      <c r="Q1708" s="28" t="n">
        <v>5597087</v>
      </c>
      <c r="R1708" s="28" t="n">
        <v>744442</v>
      </c>
      <c r="S1708" s="28">
        <f>Q1708-R1708</f>
        <v/>
      </c>
      <c r="T1708" s="28">
        <f>IF(S1708="","",S1708*(1+in_GrowthRate)^(YEARFRAC(DATE(2022,6,30),in_AgeToDate)*IF(in_AgeToDate&lt;DATE(2022,6,30),-1,1)+1))</f>
        <v/>
      </c>
      <c r="U1708" s="50">
        <f>IF(AND(AND(OR(in_Mode="All Funds",AND(C1708&gt;=in_BandFloor,C1708&lt;=in_BandCeiling,OR(in_Geography="National",COUNTIFS(lst_GeoPreset,in_Geography,lst_GeoState,B1708)&gt;0,AND(in_Geography="Custom",ISNUMBER(SEARCH(B1708,SUBSTITUTE(in_CustomStates," ",""))))),OR(AND(D1708="Endowment",Inputs!$B$14="Y"),AND(D1708="Foundation",Inputs!$B$15="Y"),AND(D1708="Healthcare",Inputs!$B$16="Y"),AND(D1708="Pension",Inputs!$B$17="Y"),AND(D1708="OCIO",Inputs!$B$18="Y"),AND(D1708="Other",Inputs!$B$19="Y")))),A1708&lt;&gt;in_ClientOrg,NOT(AND(in_ExclHarvard="Y",ISNUMBER(SEARCH("Harvard",A1708))))),$AD1708="Y",K1708&lt;&gt;"",S1708&gt;0),"Y","")</f>
        <v/>
      </c>
      <c r="V1708" s="30" t="n">
        <v>1</v>
      </c>
      <c r="W1708" t="inlineStr"/>
      <c r="X1708" s="28">
        <f>IF(L1708+M1708=0,"",L1708+M1708)</f>
        <v/>
      </c>
      <c r="Y1708" s="38">
        <f>IF(L1708=0,"",M1708/L1708)</f>
        <v/>
      </c>
      <c r="Z1708" t="inlineStr">
        <is>
          <t>CIO - Top Investment Executive</t>
        </is>
      </c>
      <c r="AA1708" t="inlineStr">
        <is>
          <t>Leadership</t>
        </is>
      </c>
      <c r="AB1708" s="50" t="inlineStr">
        <is>
          <t>Y</t>
        </is>
      </c>
      <c r="AC1708" s="43">
        <f>HYPERLINK("https://projects.propublica.org/nonprofits/organizations/562462804/202321359349316167/full","view filing")</f>
        <v/>
      </c>
      <c r="AD1708" s="50" t="inlineStr"/>
    </row>
    <row r="1709">
      <c r="A1709" t="inlineStr">
        <is>
          <t>University Of Wisconsin Foundation</t>
        </is>
      </c>
      <c r="B1709" s="50" t="inlineStr">
        <is>
          <t>WI</t>
        </is>
      </c>
      <c r="C1709" s="52" t="n">
        <v>4.92</v>
      </c>
      <c r="D1709" t="inlineStr">
        <is>
          <t>Endowment</t>
        </is>
      </c>
      <c r="E1709" s="50" t="n">
        <v>2025</v>
      </c>
      <c r="F1709" s="50" t="inlineStr">
        <is>
          <t>2026-05-15</t>
        </is>
      </c>
      <c r="G1709" s="50" t="inlineStr">
        <is>
          <t>2025-06-30</t>
        </is>
      </c>
      <c r="H1709" t="inlineStr">
        <is>
          <t>Christopher A Moore</t>
        </is>
      </c>
      <c r="I1709" t="inlineStr">
        <is>
          <t>DEPUTY CHIEF INVESTMENT OFFICER</t>
        </is>
      </c>
      <c r="J1709" t="inlineStr">
        <is>
          <t>Deputy CIO</t>
        </is>
      </c>
      <c r="K1709" t="inlineStr">
        <is>
          <t>Sr Investment Professional</t>
        </is>
      </c>
      <c r="L1709" s="28" t="n">
        <v>531347</v>
      </c>
      <c r="M1709" s="28" t="n">
        <v>462522</v>
      </c>
      <c r="N1709" s="28" t="n">
        <v>690</v>
      </c>
      <c r="O1709" s="28" t="n">
        <v>34500</v>
      </c>
      <c r="P1709" s="28" t="n">
        <v>20698</v>
      </c>
      <c r="Q1709" s="28" t="n">
        <v>1049757</v>
      </c>
      <c r="R1709" s="28" t="n">
        <v>0</v>
      </c>
      <c r="S1709" s="28">
        <f>Q1709-R1709</f>
        <v/>
      </c>
      <c r="T1709" s="28">
        <f>IF(S1709="","",S1709*(1+in_GrowthRate)^(YEARFRAC(DATE(2025,6,30),in_AgeToDate)*IF(in_AgeToDate&lt;DATE(2025,6,30),-1,1)+1))</f>
        <v/>
      </c>
      <c r="U1709" s="50">
        <f>IF(AND(AND(OR(in_Mode="All Funds",AND(C1709&gt;=in_BandFloor,C1709&lt;=in_BandCeiling,OR(in_Geography="National",COUNTIFS(lst_GeoPreset,in_Geography,lst_GeoState,B1709)&gt;0,AND(in_Geography="Custom",ISNUMBER(SEARCH(B1709,SUBSTITUTE(in_CustomStates," ",""))))),OR(AND(D1709="Endowment",Inputs!$B$14="Y"),AND(D1709="Foundation",Inputs!$B$15="Y"),AND(D1709="Healthcare",Inputs!$B$16="Y"),AND(D1709="Pension",Inputs!$B$17="Y"),AND(D1709="OCIO",Inputs!$B$18="Y"),AND(D1709="Other",Inputs!$B$19="Y")))),A1709&lt;&gt;in_ClientOrg,NOT(AND(in_ExclHarvard="Y",ISNUMBER(SEARCH("Harvard",A1709))))),$AD1709="Y",K1709&lt;&gt;"",S1709&gt;0),"Y","")</f>
        <v/>
      </c>
      <c r="V1709" s="30" t="n">
        <v>0.5252004478745471</v>
      </c>
      <c r="W1709" t="inlineStr"/>
      <c r="X1709" s="28">
        <f>IF(L1709+M1709=0,"",L1709+M1709)</f>
        <v/>
      </c>
      <c r="Y1709" s="38">
        <f>IF(L1709=0,"",M1709/L1709)</f>
        <v/>
      </c>
      <c r="Z1709" t="inlineStr">
        <is>
          <t>Deputy CIO</t>
        </is>
      </c>
      <c r="AA1709" t="inlineStr">
        <is>
          <t>Leadership</t>
        </is>
      </c>
      <c r="AB1709" s="50" t="inlineStr"/>
      <c r="AC1709" s="43">
        <f>HYPERLINK("https://projects.propublica.org/nonprofits/organizations/390743975/202601359349303645/full","view filing")</f>
        <v/>
      </c>
      <c r="AD1709" s="50" t="inlineStr">
        <is>
          <t>Y</t>
        </is>
      </c>
    </row>
    <row r="1710">
      <c r="A1710" t="inlineStr">
        <is>
          <t>University Of Wisconsin Foundation</t>
        </is>
      </c>
      <c r="B1710" s="50" t="inlineStr">
        <is>
          <t>WI</t>
        </is>
      </c>
      <c r="C1710" s="52" t="n">
        <v>4.92</v>
      </c>
      <c r="D1710" t="inlineStr">
        <is>
          <t>Endowment</t>
        </is>
      </c>
      <c r="E1710" s="50" t="n">
        <v>2025</v>
      </c>
      <c r="F1710" s="50" t="inlineStr">
        <is>
          <t>2026-05-15</t>
        </is>
      </c>
      <c r="G1710" s="50" t="inlineStr">
        <is>
          <t>2025-06-30</t>
        </is>
      </c>
      <c r="H1710" t="inlineStr">
        <is>
          <t>James G Elkins</t>
        </is>
      </c>
      <c r="I1710" t="inlineStr">
        <is>
          <t>DIRECTOR OF INVESTMENTS</t>
        </is>
      </c>
      <c r="J1710" t="inlineStr">
        <is>
          <t>Director of Investments</t>
        </is>
      </c>
      <c r="K1710" t="inlineStr">
        <is>
          <t>Sr Investment Professional</t>
        </is>
      </c>
      <c r="L1710" s="28" t="n">
        <v>235105</v>
      </c>
      <c r="M1710" s="28" t="n">
        <v>172593</v>
      </c>
      <c r="N1710" s="28" t="n">
        <v>270</v>
      </c>
      <c r="O1710" s="28" t="n">
        <v>23529</v>
      </c>
      <c r="P1710" s="28" t="n">
        <v>1896</v>
      </c>
      <c r="Q1710" s="28" t="n">
        <v>433393</v>
      </c>
      <c r="R1710" s="28" t="n">
        <v>0</v>
      </c>
      <c r="S1710" s="28">
        <f>Q1710-R1710</f>
        <v/>
      </c>
      <c r="T1710" s="28">
        <f>IF(S1710="","",S1710*(1+in_GrowthRate)^(YEARFRAC(DATE(2025,6,30),in_AgeToDate)*IF(in_AgeToDate&lt;DATE(2025,6,30),-1,1)+1))</f>
        <v/>
      </c>
      <c r="U1710" s="50">
        <f>IF(AND(AND(OR(in_Mode="All Funds",AND(C1710&gt;=in_BandFloor,C1710&lt;=in_BandCeiling,OR(in_Geography="National",COUNTIFS(lst_GeoPreset,in_Geography,lst_GeoState,B1710)&gt;0,AND(in_Geography="Custom",ISNUMBER(SEARCH(B1710,SUBSTITUTE(in_CustomStates," ",""))))),OR(AND(D1710="Endowment",Inputs!$B$14="Y"),AND(D1710="Foundation",Inputs!$B$15="Y"),AND(D1710="Healthcare",Inputs!$B$16="Y"),AND(D1710="Pension",Inputs!$B$17="Y"),AND(D1710="OCIO",Inputs!$B$18="Y"),AND(D1710="Other",Inputs!$B$19="Y")))),A1710&lt;&gt;in_ClientOrg,NOT(AND(in_ExclHarvard="Y",ISNUMBER(SEARCH("Harvard",A1710))))),$AD1710="Y",K1710&lt;&gt;"",S1710&gt;0),"Y","")</f>
        <v/>
      </c>
      <c r="V1710" s="30" t="n">
        <v>0.216829416432273</v>
      </c>
      <c r="W1710" t="inlineStr"/>
      <c r="X1710" s="28">
        <f>IF(L1710+M1710=0,"",L1710+M1710)</f>
        <v/>
      </c>
      <c r="Y1710" s="38">
        <f>IF(L1710=0,"",M1710/L1710)</f>
        <v/>
      </c>
      <c r="Z1710" t="inlineStr">
        <is>
          <t>Director &amp; Investment Officer</t>
        </is>
      </c>
      <c r="AA1710" t="inlineStr">
        <is>
          <t>Investments</t>
        </is>
      </c>
      <c r="AB1710" s="50" t="inlineStr"/>
      <c r="AC1710" s="43">
        <f>HYPERLINK("https://projects.propublica.org/nonprofits/organizations/390743975/202601359349303645/full","view filing")</f>
        <v/>
      </c>
      <c r="AD1710" s="50" t="inlineStr">
        <is>
          <t>Y</t>
        </is>
      </c>
    </row>
    <row r="1711">
      <c r="A1711" t="inlineStr">
        <is>
          <t>University Of Wisconsin Foundation</t>
        </is>
      </c>
      <c r="B1711" s="50" t="inlineStr">
        <is>
          <t>WI</t>
        </is>
      </c>
      <c r="C1711" s="52" t="n">
        <v>4.92</v>
      </c>
      <c r="D1711" t="inlineStr">
        <is>
          <t>Endowment</t>
        </is>
      </c>
      <c r="E1711" s="50" t="n">
        <v>2025</v>
      </c>
      <c r="F1711" s="50" t="inlineStr">
        <is>
          <t>2026-05-15</t>
        </is>
      </c>
      <c r="G1711" s="50" t="inlineStr">
        <is>
          <t>2025-06-30</t>
        </is>
      </c>
      <c r="H1711" t="inlineStr">
        <is>
          <t>Katherine L Wyble</t>
        </is>
      </c>
      <c r="I1711" t="inlineStr">
        <is>
          <t>MANAGING DIRECTOR OF INVESTMENTS</t>
        </is>
      </c>
      <c r="J1711" t="inlineStr">
        <is>
          <t>Managing Director</t>
        </is>
      </c>
      <c r="K1711" t="inlineStr">
        <is>
          <t>Sr Investment Professional</t>
        </is>
      </c>
      <c r="L1711" s="28" t="n">
        <v>408007</v>
      </c>
      <c r="M1711" s="28" t="n">
        <v>353933</v>
      </c>
      <c r="N1711" s="28" t="n">
        <v>270</v>
      </c>
      <c r="O1711" s="28" t="n">
        <v>34500</v>
      </c>
      <c r="P1711" s="28" t="n">
        <v>1498</v>
      </c>
      <c r="Q1711" s="28" t="n">
        <v>798208</v>
      </c>
      <c r="R1711" s="28" t="n">
        <v>0</v>
      </c>
      <c r="S1711" s="28">
        <f>Q1711-R1711</f>
        <v/>
      </c>
      <c r="T1711" s="28">
        <f>IF(S1711="","",S1711*(1+in_GrowthRate)^(YEARFRAC(DATE(2025,6,30),in_AgeToDate)*IF(in_AgeToDate&lt;DATE(2025,6,30),-1,1)+1))</f>
        <v/>
      </c>
      <c r="U1711" s="50">
        <f>IF(AND(AND(OR(in_Mode="All Funds",AND(C1711&gt;=in_BandFloor,C1711&lt;=in_BandCeiling,OR(in_Geography="National",COUNTIFS(lst_GeoPreset,in_Geography,lst_GeoState,B1711)&gt;0,AND(in_Geography="Custom",ISNUMBER(SEARCH(B1711,SUBSTITUTE(in_CustomStates," ",""))))),OR(AND(D1711="Endowment",Inputs!$B$14="Y"),AND(D1711="Foundation",Inputs!$B$15="Y"),AND(D1711="Healthcare",Inputs!$B$16="Y"),AND(D1711="Pension",Inputs!$B$17="Y"),AND(D1711="OCIO",Inputs!$B$18="Y"),AND(D1711="Other",Inputs!$B$19="Y")))),A1711&lt;&gt;in_ClientOrg,NOT(AND(in_ExclHarvard="Y",ISNUMBER(SEARCH("Harvard",A1711))))),$AD1711="Y",K1711&lt;&gt;"",S1711&gt;0),"Y","")</f>
        <v/>
      </c>
      <c r="V1711" s="30" t="n">
        <v>0.3993488008148995</v>
      </c>
      <c r="W1711" t="inlineStr"/>
      <c r="X1711" s="28">
        <f>IF(L1711+M1711=0,"",L1711+M1711)</f>
        <v/>
      </c>
      <c r="Y1711" s="38">
        <f>IF(L1711=0,"",M1711/L1711)</f>
        <v/>
      </c>
      <c r="Z1711" t="inlineStr">
        <is>
          <t>Managing Director</t>
        </is>
      </c>
      <c r="AA1711" t="inlineStr">
        <is>
          <t>Investments</t>
        </is>
      </c>
      <c r="AB1711" s="50" t="inlineStr"/>
      <c r="AC1711" s="43">
        <f>HYPERLINK("https://projects.propublica.org/nonprofits/organizations/390743975/202601359349303645/full","view filing")</f>
        <v/>
      </c>
      <c r="AD1711" s="50" t="inlineStr">
        <is>
          <t>Y</t>
        </is>
      </c>
    </row>
    <row r="1712">
      <c r="A1712" t="inlineStr">
        <is>
          <t>University Of Wisconsin Foundation</t>
        </is>
      </c>
      <c r="B1712" s="50" t="inlineStr">
        <is>
          <t>WI</t>
        </is>
      </c>
      <c r="C1712" s="52" t="n">
        <v>4.92</v>
      </c>
      <c r="D1712" t="inlineStr">
        <is>
          <t>Endowment</t>
        </is>
      </c>
      <c r="E1712" s="50" t="n">
        <v>2025</v>
      </c>
      <c r="F1712" s="50" t="inlineStr">
        <is>
          <t>2026-05-15</t>
        </is>
      </c>
      <c r="G1712" s="50" t="inlineStr">
        <is>
          <t>2025-06-30</t>
        </is>
      </c>
      <c r="H1712" t="inlineStr">
        <is>
          <t>Michael L Stohler</t>
        </is>
      </c>
      <c r="I1712" t="inlineStr">
        <is>
          <t>CIO</t>
        </is>
      </c>
      <c r="J1712" t="inlineStr">
        <is>
          <t>CIO</t>
        </is>
      </c>
      <c r="K1712" t="inlineStr">
        <is>
          <t>CIO - Top Investment Executive</t>
        </is>
      </c>
      <c r="L1712" s="28" t="n">
        <v>1009083</v>
      </c>
      <c r="M1712" s="28" t="n">
        <v>933803</v>
      </c>
      <c r="N1712" s="28" t="n">
        <v>690</v>
      </c>
      <c r="O1712" s="28" t="n">
        <v>34500</v>
      </c>
      <c r="P1712" s="28" t="n">
        <v>20698</v>
      </c>
      <c r="Q1712" s="28" t="n">
        <v>1998774</v>
      </c>
      <c r="R1712" s="28" t="n">
        <v>0</v>
      </c>
      <c r="S1712" s="28">
        <f>Q1712-R1712</f>
        <v/>
      </c>
      <c r="T1712" s="28">
        <f>IF(S1712="","",S1712*(1+in_GrowthRate)^(YEARFRAC(DATE(2025,6,30),in_AgeToDate)*IF(in_AgeToDate&lt;DATE(2025,6,30),-1,1)+1))</f>
        <v/>
      </c>
      <c r="U1712" s="50">
        <f>IF(AND(AND(OR(in_Mode="All Funds",AND(C1712&gt;=in_BandFloor,C1712&lt;=in_BandCeiling,OR(in_Geography="National",COUNTIFS(lst_GeoPreset,in_Geography,lst_GeoState,B1712)&gt;0,AND(in_Geography="Custom",ISNUMBER(SEARCH(B1712,SUBSTITUTE(in_CustomStates," ",""))))),OR(AND(D1712="Endowment",Inputs!$B$14="Y"),AND(D1712="Foundation",Inputs!$B$15="Y"),AND(D1712="Healthcare",Inputs!$B$16="Y"),AND(D1712="Pension",Inputs!$B$17="Y"),AND(D1712="OCIO",Inputs!$B$18="Y"),AND(D1712="Other",Inputs!$B$19="Y")))),A1712&lt;&gt;in_ClientOrg,NOT(AND(in_ExclHarvard="Y",ISNUMBER(SEARCH("Harvard",A1712))))),$AD1712="Y",K1712&lt;&gt;"",S1712&gt;0),"Y","")</f>
        <v/>
      </c>
      <c r="V1712" s="30" t="n">
        <v>1</v>
      </c>
      <c r="W1712" t="inlineStr"/>
      <c r="X1712" s="28">
        <f>IF(L1712+M1712=0,"",L1712+M1712)</f>
        <v/>
      </c>
      <c r="Y1712" s="38">
        <f>IF(L1712=0,"",M1712/L1712)</f>
        <v/>
      </c>
      <c r="Z1712" t="inlineStr">
        <is>
          <t>CIO - Top Investment Executive</t>
        </is>
      </c>
      <c r="AA1712" t="inlineStr">
        <is>
          <t>Leadership</t>
        </is>
      </c>
      <c r="AB1712" s="50" t="inlineStr">
        <is>
          <t>Y</t>
        </is>
      </c>
      <c r="AC1712" s="43">
        <f>HYPERLINK("https://projects.propublica.org/nonprofits/organizations/390743975/202601359349303645/full","view filing")</f>
        <v/>
      </c>
      <c r="AD1712" s="50" t="inlineStr">
        <is>
          <t>Y</t>
        </is>
      </c>
    </row>
    <row r="1713">
      <c r="A1713" t="inlineStr">
        <is>
          <t>University Of Wisconsin Foundation</t>
        </is>
      </c>
      <c r="B1713" s="50" t="inlineStr">
        <is>
          <t>WI</t>
        </is>
      </c>
      <c r="C1713" s="52" t="n">
        <v>4.92</v>
      </c>
      <c r="D1713" t="inlineStr">
        <is>
          <t>Endowment</t>
        </is>
      </c>
      <c r="E1713" s="50" t="n">
        <v>2025</v>
      </c>
      <c r="F1713" s="50" t="inlineStr">
        <is>
          <t>2026-05-15</t>
        </is>
      </c>
      <c r="G1713" s="50" t="inlineStr">
        <is>
          <t>2025-06-30</t>
        </is>
      </c>
      <c r="H1713" t="inlineStr">
        <is>
          <t>Richard J Shepley</t>
        </is>
      </c>
      <c r="I1713" t="inlineStr">
        <is>
          <t>SR. MANAGING DIRECTOR OF INVESTMENTS</t>
        </is>
      </c>
      <c r="J1713" t="inlineStr">
        <is>
          <t>Senior Managing Director</t>
        </is>
      </c>
      <c r="K1713" t="inlineStr">
        <is>
          <t>Sr Investment Professional</t>
        </is>
      </c>
      <c r="L1713" s="28" t="n">
        <v>503884</v>
      </c>
      <c r="M1713" s="28" t="n">
        <v>441491</v>
      </c>
      <c r="N1713" s="28" t="n">
        <v>1290</v>
      </c>
      <c r="O1713" s="28" t="n">
        <v>34500</v>
      </c>
      <c r="P1713" s="28" t="n">
        <v>20698</v>
      </c>
      <c r="Q1713" s="28" t="n">
        <v>1001863</v>
      </c>
      <c r="R1713" s="28" t="n">
        <v>0</v>
      </c>
      <c r="S1713" s="28">
        <f>Q1713-R1713</f>
        <v/>
      </c>
      <c r="T1713" s="28">
        <f>IF(S1713="","",S1713*(1+in_GrowthRate)^(YEARFRAC(DATE(2025,6,30),in_AgeToDate)*IF(in_AgeToDate&lt;DATE(2025,6,30),-1,1)+1))</f>
        <v/>
      </c>
      <c r="U1713" s="50">
        <f>IF(AND(AND(OR(in_Mode="All Funds",AND(C1713&gt;=in_BandFloor,C1713&lt;=in_BandCeiling,OR(in_Geography="National",COUNTIFS(lst_GeoPreset,in_Geography,lst_GeoState,B1713)&gt;0,AND(in_Geography="Custom",ISNUMBER(SEARCH(B1713,SUBSTITUTE(in_CustomStates," ",""))))),OR(AND(D1713="Endowment",Inputs!$B$14="Y"),AND(D1713="Foundation",Inputs!$B$15="Y"),AND(D1713="Healthcare",Inputs!$B$16="Y"),AND(D1713="Pension",Inputs!$B$17="Y"),AND(D1713="OCIO",Inputs!$B$18="Y"),AND(D1713="Other",Inputs!$B$19="Y")))),A1713&lt;&gt;in_ClientOrg,NOT(AND(in_ExclHarvard="Y",ISNUMBER(SEARCH("Harvard",A1713))))),$AD1713="Y",K1713&lt;&gt;"",S1713&gt;0),"Y","")</f>
        <v/>
      </c>
      <c r="V1713" s="30" t="n">
        <v>0.5012387593594874</v>
      </c>
      <c r="W1713" t="inlineStr"/>
      <c r="X1713" s="28">
        <f>IF(L1713+M1713=0,"",L1713+M1713)</f>
        <v/>
      </c>
      <c r="Y1713" s="38">
        <f>IF(L1713=0,"",M1713/L1713)</f>
        <v/>
      </c>
      <c r="Z1713" t="inlineStr">
        <is>
          <t>Managing Director</t>
        </is>
      </c>
      <c r="AA1713" t="inlineStr">
        <is>
          <t>Investments</t>
        </is>
      </c>
      <c r="AB1713" s="50" t="inlineStr"/>
      <c r="AC1713" s="43">
        <f>HYPERLINK("https://projects.propublica.org/nonprofits/organizations/390743975/202601359349303645/full","view filing")</f>
        <v/>
      </c>
      <c r="AD1713" s="50" t="inlineStr">
        <is>
          <t>Y</t>
        </is>
      </c>
    </row>
    <row r="1714">
      <c r="A1714" t="inlineStr">
        <is>
          <t>University Of Wisconsin Foundation</t>
        </is>
      </c>
      <c r="B1714" s="50" t="inlineStr">
        <is>
          <t>WI</t>
        </is>
      </c>
      <c r="C1714" s="52" t="n">
        <v>4.92</v>
      </c>
      <c r="D1714" t="inlineStr">
        <is>
          <t>Endowment</t>
        </is>
      </c>
      <c r="E1714" s="50" t="n">
        <v>2024</v>
      </c>
      <c r="F1714" s="50" t="inlineStr">
        <is>
          <t>2025-05-13</t>
        </is>
      </c>
      <c r="G1714" s="50" t="inlineStr">
        <is>
          <t>2024-06-30</t>
        </is>
      </c>
      <c r="H1714" t="inlineStr">
        <is>
          <t>Christopher A Moore</t>
        </is>
      </c>
      <c r="I1714" t="inlineStr">
        <is>
          <t>DEPUTY CHIEF INVESTMENT OFFICER</t>
        </is>
      </c>
      <c r="J1714" t="inlineStr">
        <is>
          <t>Deputy CIO</t>
        </is>
      </c>
      <c r="K1714" t="inlineStr">
        <is>
          <t>Sr Investment Professional</t>
        </is>
      </c>
      <c r="L1714" s="28" t="n">
        <v>491017</v>
      </c>
      <c r="M1714" s="28" t="n">
        <v>355180</v>
      </c>
      <c r="N1714" s="28" t="n">
        <v>690</v>
      </c>
      <c r="O1714" s="28" t="n">
        <v>33000</v>
      </c>
      <c r="P1714" s="28" t="n">
        <v>19456</v>
      </c>
      <c r="Q1714" s="28" t="n">
        <v>899343</v>
      </c>
      <c r="R1714" s="28" t="n">
        <v>0</v>
      </c>
      <c r="S1714" s="28">
        <f>Q1714-R1714</f>
        <v/>
      </c>
      <c r="T1714" s="28">
        <f>IF(S1714="","",S1714*(1+in_GrowthRate)^(YEARFRAC(DATE(2024,6,30),in_AgeToDate)*IF(in_AgeToDate&lt;DATE(2024,6,30),-1,1)+1))</f>
        <v/>
      </c>
      <c r="U1714" s="50">
        <f>IF(AND(AND(OR(in_Mode="All Funds",AND(C1714&gt;=in_BandFloor,C1714&lt;=in_BandCeiling,OR(in_Geography="National",COUNTIFS(lst_GeoPreset,in_Geography,lst_GeoState,B1714)&gt;0,AND(in_Geography="Custom",ISNUMBER(SEARCH(B1714,SUBSTITUTE(in_CustomStates," ",""))))),OR(AND(D1714="Endowment",Inputs!$B$14="Y"),AND(D1714="Foundation",Inputs!$B$15="Y"),AND(D1714="Healthcare",Inputs!$B$16="Y"),AND(D1714="Pension",Inputs!$B$17="Y"),AND(D1714="OCIO",Inputs!$B$18="Y"),AND(D1714="Other",Inputs!$B$19="Y")))),A1714&lt;&gt;in_ClientOrg,NOT(AND(in_ExclHarvard="Y",ISNUMBER(SEARCH("Harvard",A1714))))),$AD1714="Y",K1714&lt;&gt;"",S1714&gt;0),"Y","")</f>
        <v/>
      </c>
      <c r="V1714" s="30" t="n">
        <v>0.5542341451810804</v>
      </c>
      <c r="W1714" t="inlineStr"/>
      <c r="X1714" s="28">
        <f>IF(L1714+M1714=0,"",L1714+M1714)</f>
        <v/>
      </c>
      <c r="Y1714" s="38">
        <f>IF(L1714=0,"",M1714/L1714)</f>
        <v/>
      </c>
      <c r="Z1714" t="inlineStr">
        <is>
          <t>Deputy CIO</t>
        </is>
      </c>
      <c r="AA1714" t="inlineStr">
        <is>
          <t>Leadership</t>
        </is>
      </c>
      <c r="AB1714" s="50" t="inlineStr"/>
      <c r="AC1714" s="43">
        <f>HYPERLINK("https://projects.propublica.org/nonprofits/organizations/390743975/202511339349302751/full","view filing")</f>
        <v/>
      </c>
      <c r="AD1714" s="50" t="inlineStr"/>
    </row>
    <row r="1715">
      <c r="A1715" t="inlineStr">
        <is>
          <t>University Of Wisconsin Foundation</t>
        </is>
      </c>
      <c r="B1715" s="50" t="inlineStr">
        <is>
          <t>WI</t>
        </is>
      </c>
      <c r="C1715" s="52" t="n">
        <v>4.92</v>
      </c>
      <c r="D1715" t="inlineStr">
        <is>
          <t>Endowment</t>
        </is>
      </c>
      <c r="E1715" s="50" t="n">
        <v>2024</v>
      </c>
      <c r="F1715" s="50" t="inlineStr">
        <is>
          <t>2025-05-13</t>
        </is>
      </c>
      <c r="G1715" s="50" t="inlineStr">
        <is>
          <t>2024-06-30</t>
        </is>
      </c>
      <c r="H1715" t="inlineStr">
        <is>
          <t>James G Elkins</t>
        </is>
      </c>
      <c r="I1715" t="inlineStr">
        <is>
          <t>DIRECTOR OF INVESTMENTS</t>
        </is>
      </c>
      <c r="J1715" t="inlineStr">
        <is>
          <t>Director of Investments</t>
        </is>
      </c>
      <c r="K1715" t="inlineStr">
        <is>
          <t>Sr Investment Professional</t>
        </is>
      </c>
      <c r="L1715" s="28" t="n">
        <v>213431</v>
      </c>
      <c r="M1715" s="28" t="n">
        <v>135907</v>
      </c>
      <c r="N1715" s="28" t="n">
        <v>270</v>
      </c>
      <c r="O1715" s="28" t="n">
        <v>21850</v>
      </c>
      <c r="P1715" s="28" t="n">
        <v>1498</v>
      </c>
      <c r="Q1715" s="28" t="n">
        <v>372956</v>
      </c>
      <c r="R1715" s="28" t="n">
        <v>0</v>
      </c>
      <c r="S1715" s="28">
        <f>Q1715-R1715</f>
        <v/>
      </c>
      <c r="T1715" s="28">
        <f>IF(S1715="","",S1715*(1+in_GrowthRate)^(YEARFRAC(DATE(2024,6,30),in_AgeToDate)*IF(in_AgeToDate&lt;DATE(2024,6,30),-1,1)+1))</f>
        <v/>
      </c>
      <c r="U1715" s="50">
        <f>IF(AND(AND(OR(in_Mode="All Funds",AND(C1715&gt;=in_BandFloor,C1715&lt;=in_BandCeiling,OR(in_Geography="National",COUNTIFS(lst_GeoPreset,in_Geography,lst_GeoState,B1715)&gt;0,AND(in_Geography="Custom",ISNUMBER(SEARCH(B1715,SUBSTITUTE(in_CustomStates," ",""))))),OR(AND(D1715="Endowment",Inputs!$B$14="Y"),AND(D1715="Foundation",Inputs!$B$15="Y"),AND(D1715="Healthcare",Inputs!$B$16="Y"),AND(D1715="Pension",Inputs!$B$17="Y"),AND(D1715="OCIO",Inputs!$B$18="Y"),AND(D1715="Other",Inputs!$B$19="Y")))),A1715&lt;&gt;in_ClientOrg,NOT(AND(in_ExclHarvard="Y",ISNUMBER(SEARCH("Harvard",A1715))))),$AD1715="Y",K1715&lt;&gt;"",S1715&gt;0),"Y","")</f>
        <v/>
      </c>
      <c r="V1715" s="30" t="n">
        <v>0.2298399496634266</v>
      </c>
      <c r="W1715" t="inlineStr"/>
      <c r="X1715" s="28">
        <f>IF(L1715+M1715=0,"",L1715+M1715)</f>
        <v/>
      </c>
      <c r="Y1715" s="38">
        <f>IF(L1715=0,"",M1715/L1715)</f>
        <v/>
      </c>
      <c r="Z1715" t="inlineStr">
        <is>
          <t>Director &amp; Investment Officer</t>
        </is>
      </c>
      <c r="AA1715" t="inlineStr">
        <is>
          <t>Investments</t>
        </is>
      </c>
      <c r="AB1715" s="50" t="inlineStr"/>
      <c r="AC1715" s="43">
        <f>HYPERLINK("https://projects.propublica.org/nonprofits/organizations/390743975/202511339349302751/full","view filing")</f>
        <v/>
      </c>
      <c r="AD1715" s="50" t="inlineStr"/>
    </row>
    <row r="1716">
      <c r="A1716" t="inlineStr">
        <is>
          <t>University Of Wisconsin Foundation</t>
        </is>
      </c>
      <c r="B1716" s="50" t="inlineStr">
        <is>
          <t>WI</t>
        </is>
      </c>
      <c r="C1716" s="52" t="n">
        <v>4.92</v>
      </c>
      <c r="D1716" t="inlineStr">
        <is>
          <t>Endowment</t>
        </is>
      </c>
      <c r="E1716" s="50" t="n">
        <v>2024</v>
      </c>
      <c r="F1716" s="50" t="inlineStr">
        <is>
          <t>2025-05-13</t>
        </is>
      </c>
      <c r="G1716" s="50" t="inlineStr">
        <is>
          <t>2024-06-30</t>
        </is>
      </c>
      <c r="H1716" t="inlineStr">
        <is>
          <t>Katherine L Wyble</t>
        </is>
      </c>
      <c r="I1716" t="inlineStr">
        <is>
          <t>MANAGING DIRECTOR OF INVESTMENTS</t>
        </is>
      </c>
      <c r="J1716" t="inlineStr">
        <is>
          <t>Managing Director</t>
        </is>
      </c>
      <c r="K1716" t="inlineStr">
        <is>
          <t>Sr Investment Professional</t>
        </is>
      </c>
      <c r="L1716" s="28" t="n">
        <v>388300</v>
      </c>
      <c r="M1716" s="28" t="n">
        <v>284144</v>
      </c>
      <c r="N1716" s="28" t="n">
        <v>270</v>
      </c>
      <c r="O1716" s="28" t="n">
        <v>27850</v>
      </c>
      <c r="P1716" s="28" t="n">
        <v>1498</v>
      </c>
      <c r="Q1716" s="28" t="n">
        <v>702062</v>
      </c>
      <c r="R1716" s="28" t="n">
        <v>0</v>
      </c>
      <c r="S1716" s="28">
        <f>Q1716-R1716</f>
        <v/>
      </c>
      <c r="T1716" s="28">
        <f>IF(S1716="","",S1716*(1+in_GrowthRate)^(YEARFRAC(DATE(2024,6,30),in_AgeToDate)*IF(in_AgeToDate&lt;DATE(2024,6,30),-1,1)+1))</f>
        <v/>
      </c>
      <c r="U1716" s="50">
        <f>IF(AND(AND(OR(in_Mode="All Funds",AND(C1716&gt;=in_BandFloor,C1716&lt;=in_BandCeiling,OR(in_Geography="National",COUNTIFS(lst_GeoPreset,in_Geography,lst_GeoState,B1716)&gt;0,AND(in_Geography="Custom",ISNUMBER(SEARCH(B1716,SUBSTITUTE(in_CustomStates," ",""))))),OR(AND(D1716="Endowment",Inputs!$B$14="Y"),AND(D1716="Foundation",Inputs!$B$15="Y"),AND(D1716="Healthcare",Inputs!$B$16="Y"),AND(D1716="Pension",Inputs!$B$17="Y"),AND(D1716="OCIO",Inputs!$B$18="Y"),AND(D1716="Other",Inputs!$B$19="Y")))),A1716&lt;&gt;in_ClientOrg,NOT(AND(in_ExclHarvard="Y",ISNUMBER(SEARCH("Harvard",A1716))))),$AD1716="Y",K1716&lt;&gt;"",S1716&gt;0),"Y","")</f>
        <v/>
      </c>
      <c r="V1716" s="30" t="n">
        <v>0.4326566531725045</v>
      </c>
      <c r="W1716" t="inlineStr"/>
      <c r="X1716" s="28">
        <f>IF(L1716+M1716=0,"",L1716+M1716)</f>
        <v/>
      </c>
      <c r="Y1716" s="38">
        <f>IF(L1716=0,"",M1716/L1716)</f>
        <v/>
      </c>
      <c r="Z1716" t="inlineStr">
        <is>
          <t>Managing Director</t>
        </is>
      </c>
      <c r="AA1716" t="inlineStr">
        <is>
          <t>Investments</t>
        </is>
      </c>
      <c r="AB1716" s="50" t="inlineStr"/>
      <c r="AC1716" s="43">
        <f>HYPERLINK("https://projects.propublica.org/nonprofits/organizations/390743975/202511339349302751/full","view filing")</f>
        <v/>
      </c>
      <c r="AD1716" s="50" t="inlineStr"/>
    </row>
    <row r="1717">
      <c r="A1717" t="inlineStr">
        <is>
          <t>University Of Wisconsin Foundation</t>
        </is>
      </c>
      <c r="B1717" s="50" t="inlineStr">
        <is>
          <t>WI</t>
        </is>
      </c>
      <c r="C1717" s="52" t="n">
        <v>4.92</v>
      </c>
      <c r="D1717" t="inlineStr">
        <is>
          <t>Endowment</t>
        </is>
      </c>
      <c r="E1717" s="50" t="n">
        <v>2024</v>
      </c>
      <c r="F1717" s="50" t="inlineStr">
        <is>
          <t>2025-05-13</t>
        </is>
      </c>
      <c r="G1717" s="50" t="inlineStr">
        <is>
          <t>2024-06-30</t>
        </is>
      </c>
      <c r="H1717" t="inlineStr">
        <is>
          <t>Michael L Stohler</t>
        </is>
      </c>
      <c r="I1717" t="inlineStr">
        <is>
          <t>CIO</t>
        </is>
      </c>
      <c r="J1717" t="inlineStr">
        <is>
          <t>CIO</t>
        </is>
      </c>
      <c r="K1717" t="inlineStr">
        <is>
          <t>CIO - Top Investment Executive</t>
        </is>
      </c>
      <c r="L1717" s="28" t="n">
        <v>850954</v>
      </c>
      <c r="M1717" s="28" t="n">
        <v>718817</v>
      </c>
      <c r="N1717" s="28" t="n">
        <v>450</v>
      </c>
      <c r="O1717" s="28" t="n">
        <v>33000</v>
      </c>
      <c r="P1717" s="28" t="n">
        <v>19456</v>
      </c>
      <c r="Q1717" s="28" t="n">
        <v>1622677</v>
      </c>
      <c r="R1717" s="28" t="n">
        <v>0</v>
      </c>
      <c r="S1717" s="28">
        <f>Q1717-R1717</f>
        <v/>
      </c>
      <c r="T1717" s="28">
        <f>IF(S1717="","",S1717*(1+in_GrowthRate)^(YEARFRAC(DATE(2024,6,30),in_AgeToDate)*IF(in_AgeToDate&lt;DATE(2024,6,30),-1,1)+1))</f>
        <v/>
      </c>
      <c r="U1717" s="50">
        <f>IF(AND(AND(OR(in_Mode="All Funds",AND(C1717&gt;=in_BandFloor,C1717&lt;=in_BandCeiling,OR(in_Geography="National",COUNTIFS(lst_GeoPreset,in_Geography,lst_GeoState,B1717)&gt;0,AND(in_Geography="Custom",ISNUMBER(SEARCH(B1717,SUBSTITUTE(in_CustomStates," ",""))))),OR(AND(D1717="Endowment",Inputs!$B$14="Y"),AND(D1717="Foundation",Inputs!$B$15="Y"),AND(D1717="Healthcare",Inputs!$B$16="Y"),AND(D1717="Pension",Inputs!$B$17="Y"),AND(D1717="OCIO",Inputs!$B$18="Y"),AND(D1717="Other",Inputs!$B$19="Y")))),A1717&lt;&gt;in_ClientOrg,NOT(AND(in_ExclHarvard="Y",ISNUMBER(SEARCH("Harvard",A1717))))),$AD1717="Y",K1717&lt;&gt;"",S1717&gt;0),"Y","")</f>
        <v/>
      </c>
      <c r="V1717" s="30" t="n">
        <v>1</v>
      </c>
      <c r="W1717" t="inlineStr"/>
      <c r="X1717" s="28">
        <f>IF(L1717+M1717=0,"",L1717+M1717)</f>
        <v/>
      </c>
      <c r="Y1717" s="38">
        <f>IF(L1717=0,"",M1717/L1717)</f>
        <v/>
      </c>
      <c r="Z1717" t="inlineStr">
        <is>
          <t>CIO - Top Investment Executive</t>
        </is>
      </c>
      <c r="AA1717" t="inlineStr">
        <is>
          <t>Leadership</t>
        </is>
      </c>
      <c r="AB1717" s="50" t="inlineStr">
        <is>
          <t>Y</t>
        </is>
      </c>
      <c r="AC1717" s="43">
        <f>HYPERLINK("https://projects.propublica.org/nonprofits/organizations/390743975/202511339349302751/full","view filing")</f>
        <v/>
      </c>
      <c r="AD1717" s="50" t="inlineStr"/>
    </row>
    <row r="1718">
      <c r="A1718" t="inlineStr">
        <is>
          <t>University Of Wisconsin Foundation</t>
        </is>
      </c>
      <c r="B1718" s="50" t="inlineStr">
        <is>
          <t>WI</t>
        </is>
      </c>
      <c r="C1718" s="52" t="n">
        <v>4.92</v>
      </c>
      <c r="D1718" t="inlineStr">
        <is>
          <t>Endowment</t>
        </is>
      </c>
      <c r="E1718" s="50" t="n">
        <v>2024</v>
      </c>
      <c r="F1718" s="50" t="inlineStr">
        <is>
          <t>2025-05-13</t>
        </is>
      </c>
      <c r="G1718" s="50" t="inlineStr">
        <is>
          <t>2024-06-30</t>
        </is>
      </c>
      <c r="H1718" t="inlineStr">
        <is>
          <t>Richard J Shepley</t>
        </is>
      </c>
      <c r="I1718" t="inlineStr">
        <is>
          <t>SR. MANAGING DIRECTOR OF INVESTMENTS</t>
        </is>
      </c>
      <c r="J1718" t="inlineStr">
        <is>
          <t>Senior Managing Director</t>
        </is>
      </c>
      <c r="K1718" t="inlineStr">
        <is>
          <t>Sr Investment Professional</t>
        </is>
      </c>
      <c r="L1718" s="28" t="n">
        <v>475949</v>
      </c>
      <c r="M1718" s="28" t="n">
        <v>355180</v>
      </c>
      <c r="N1718" s="28" t="n">
        <v>690</v>
      </c>
      <c r="O1718" s="28" t="n">
        <v>33000</v>
      </c>
      <c r="P1718" s="28" t="n">
        <v>19456</v>
      </c>
      <c r="Q1718" s="28" t="n">
        <v>884275</v>
      </c>
      <c r="R1718" s="28" t="n">
        <v>0</v>
      </c>
      <c r="S1718" s="28">
        <f>Q1718-R1718</f>
        <v/>
      </c>
      <c r="T1718" s="28">
        <f>IF(S1718="","",S1718*(1+in_GrowthRate)^(YEARFRAC(DATE(2024,6,30),in_AgeToDate)*IF(in_AgeToDate&lt;DATE(2024,6,30),-1,1)+1))</f>
        <v/>
      </c>
      <c r="U1718" s="50">
        <f>IF(AND(AND(OR(in_Mode="All Funds",AND(C1718&gt;=in_BandFloor,C1718&lt;=in_BandCeiling,OR(in_Geography="National",COUNTIFS(lst_GeoPreset,in_Geography,lst_GeoState,B1718)&gt;0,AND(in_Geography="Custom",ISNUMBER(SEARCH(B1718,SUBSTITUTE(in_CustomStates," ",""))))),OR(AND(D1718="Endowment",Inputs!$B$14="Y"),AND(D1718="Foundation",Inputs!$B$15="Y"),AND(D1718="Healthcare",Inputs!$B$16="Y"),AND(D1718="Pension",Inputs!$B$17="Y"),AND(D1718="OCIO",Inputs!$B$18="Y"),AND(D1718="Other",Inputs!$B$19="Y")))),A1718&lt;&gt;in_ClientOrg,NOT(AND(in_ExclHarvard="Y",ISNUMBER(SEARCH("Harvard",A1718))))),$AD1718="Y",K1718&lt;&gt;"",S1718&gt;0),"Y","")</f>
        <v/>
      </c>
      <c r="V1718" s="30" t="n">
        <v>0.5449482552596727</v>
      </c>
      <c r="W1718" t="inlineStr"/>
      <c r="X1718" s="28">
        <f>IF(L1718+M1718=0,"",L1718+M1718)</f>
        <v/>
      </c>
      <c r="Y1718" s="38">
        <f>IF(L1718=0,"",M1718/L1718)</f>
        <v/>
      </c>
      <c r="Z1718" t="inlineStr">
        <is>
          <t>Managing Director</t>
        </is>
      </c>
      <c r="AA1718" t="inlineStr">
        <is>
          <t>Investments</t>
        </is>
      </c>
      <c r="AB1718" s="50" t="inlineStr"/>
      <c r="AC1718" s="43">
        <f>HYPERLINK("https://projects.propublica.org/nonprofits/organizations/390743975/202511339349302751/full","view filing")</f>
        <v/>
      </c>
      <c r="AD1718" s="50" t="inlineStr"/>
    </row>
    <row r="1719">
      <c r="A1719" t="inlineStr">
        <is>
          <t>University Of Wisconsin Foundation</t>
        </is>
      </c>
      <c r="B1719" s="50" t="inlineStr">
        <is>
          <t>WI</t>
        </is>
      </c>
      <c r="C1719" s="52" t="n">
        <v>4.92</v>
      </c>
      <c r="D1719" t="inlineStr">
        <is>
          <t>Endowment</t>
        </is>
      </c>
      <c r="E1719" s="50" t="n">
        <v>2023</v>
      </c>
      <c r="F1719" s="50" t="inlineStr">
        <is>
          <t>2025-06-16</t>
        </is>
      </c>
      <c r="G1719" s="50" t="inlineStr">
        <is>
          <t>2023-06-30</t>
        </is>
      </c>
      <c r="H1719" t="inlineStr">
        <is>
          <t>Christopher A Moore</t>
        </is>
      </c>
      <c r="I1719" t="inlineStr">
        <is>
          <t>DEPUTY CHIEF INVESTMENT OFFICER</t>
        </is>
      </c>
      <c r="J1719" t="inlineStr">
        <is>
          <t>Deputy CIO</t>
        </is>
      </c>
      <c r="K1719" t="inlineStr">
        <is>
          <t>Sr Investment Professional</t>
        </is>
      </c>
      <c r="L1719" s="28" t="n">
        <v>451131</v>
      </c>
      <c r="M1719" s="28" t="n">
        <v>157500</v>
      </c>
      <c r="N1719" s="28" t="n">
        <v>450</v>
      </c>
      <c r="O1719" s="28" t="n">
        <v>1950</v>
      </c>
      <c r="P1719" s="28" t="n">
        <v>18299</v>
      </c>
      <c r="Q1719" s="28" t="n">
        <v>629330</v>
      </c>
      <c r="R1719" s="28" t="n">
        <v>0</v>
      </c>
      <c r="S1719" s="28">
        <f>Q1719-R1719</f>
        <v/>
      </c>
      <c r="T1719" s="28">
        <f>IF(S1719="","",S1719*(1+in_GrowthRate)^(YEARFRAC(DATE(2023,6,30),in_AgeToDate)*IF(in_AgeToDate&lt;DATE(2023,6,30),-1,1)+1))</f>
        <v/>
      </c>
      <c r="U1719" s="50">
        <f>IF(AND(AND(OR(in_Mode="All Funds",AND(C1719&gt;=in_BandFloor,C1719&lt;=in_BandCeiling,OR(in_Geography="National",COUNTIFS(lst_GeoPreset,in_Geography,lst_GeoState,B1719)&gt;0,AND(in_Geography="Custom",ISNUMBER(SEARCH(B1719,SUBSTITUTE(in_CustomStates," ",""))))),OR(AND(D1719="Endowment",Inputs!$B$14="Y"),AND(D1719="Foundation",Inputs!$B$15="Y"),AND(D1719="Healthcare",Inputs!$B$16="Y"),AND(D1719="Pension",Inputs!$B$17="Y"),AND(D1719="OCIO",Inputs!$B$18="Y"),AND(D1719="Other",Inputs!$B$19="Y")))),A1719&lt;&gt;in_ClientOrg,NOT(AND(in_ExclHarvard="Y",ISNUMBER(SEARCH("Harvard",A1719))))),$AD1719="Y",K1719&lt;&gt;"",S1719&gt;0),"Y","")</f>
        <v/>
      </c>
      <c r="V1719" s="30" t="n">
        <v>0.519137380481596</v>
      </c>
      <c r="W1719" t="inlineStr"/>
      <c r="X1719" s="28">
        <f>IF(L1719+M1719=0,"",L1719+M1719)</f>
        <v/>
      </c>
      <c r="Y1719" s="38">
        <f>IF(L1719=0,"",M1719/L1719)</f>
        <v/>
      </c>
      <c r="Z1719" t="inlineStr">
        <is>
          <t>Deputy CIO</t>
        </is>
      </c>
      <c r="AA1719" t="inlineStr">
        <is>
          <t>Leadership</t>
        </is>
      </c>
      <c r="AB1719" s="50" t="inlineStr"/>
      <c r="AC1719" s="43">
        <f>HYPERLINK("https://projects.propublica.org/nonprofits/organizations/390743975/202411349349307346/full","view filing")</f>
        <v/>
      </c>
      <c r="AD1719" s="50" t="inlineStr"/>
    </row>
    <row r="1720">
      <c r="A1720" t="inlineStr">
        <is>
          <t>University Of Wisconsin Foundation</t>
        </is>
      </c>
      <c r="B1720" s="50" t="inlineStr">
        <is>
          <t>WI</t>
        </is>
      </c>
      <c r="C1720" s="52" t="n">
        <v>4.92</v>
      </c>
      <c r="D1720" t="inlineStr">
        <is>
          <t>Endowment</t>
        </is>
      </c>
      <c r="E1720" s="50" t="n">
        <v>2023</v>
      </c>
      <c r="F1720" s="50" t="inlineStr">
        <is>
          <t>2025-06-16</t>
        </is>
      </c>
      <c r="G1720" s="50" t="inlineStr">
        <is>
          <t>2023-06-30</t>
        </is>
      </c>
      <c r="H1720" t="inlineStr">
        <is>
          <t>James G Elkins</t>
        </is>
      </c>
      <c r="I1720" t="inlineStr">
        <is>
          <t>DIRECTOR OF INVESTMENTS</t>
        </is>
      </c>
      <c r="J1720" t="inlineStr">
        <is>
          <t>Director of Investments</t>
        </is>
      </c>
      <c r="K1720" t="inlineStr">
        <is>
          <t>Sr Investment Professional</t>
        </is>
      </c>
      <c r="L1720" s="28" t="n">
        <v>207785</v>
      </c>
      <c r="M1720" s="28" t="n">
        <v>130808</v>
      </c>
      <c r="N1720" s="28" t="n">
        <v>270</v>
      </c>
      <c r="O1720" s="28" t="n">
        <v>21285</v>
      </c>
      <c r="P1720" s="28" t="n">
        <v>1498</v>
      </c>
      <c r="Q1720" s="28" t="n">
        <v>361646</v>
      </c>
      <c r="R1720" s="28" t="n">
        <v>0</v>
      </c>
      <c r="S1720" s="28">
        <f>Q1720-R1720</f>
        <v/>
      </c>
      <c r="T1720" s="28">
        <f>IF(S1720="","",S1720*(1+in_GrowthRate)^(YEARFRAC(DATE(2023,6,30),in_AgeToDate)*IF(in_AgeToDate&lt;DATE(2023,6,30),-1,1)+1))</f>
        <v/>
      </c>
      <c r="U1720" s="50">
        <f>IF(AND(AND(OR(in_Mode="All Funds",AND(C1720&gt;=in_BandFloor,C1720&lt;=in_BandCeiling,OR(in_Geography="National",COUNTIFS(lst_GeoPreset,in_Geography,lst_GeoState,B1720)&gt;0,AND(in_Geography="Custom",ISNUMBER(SEARCH(B1720,SUBSTITUTE(in_CustomStates," ",""))))),OR(AND(D1720="Endowment",Inputs!$B$14="Y"),AND(D1720="Foundation",Inputs!$B$15="Y"),AND(D1720="Healthcare",Inputs!$B$16="Y"),AND(D1720="Pension",Inputs!$B$17="Y"),AND(D1720="OCIO",Inputs!$B$18="Y"),AND(D1720="Other",Inputs!$B$19="Y")))),A1720&lt;&gt;in_ClientOrg,NOT(AND(in_ExclHarvard="Y",ISNUMBER(SEARCH("Harvard",A1720))))),$AD1720="Y",K1720&lt;&gt;"",S1720&gt;0),"Y","")</f>
        <v/>
      </c>
      <c r="V1720" s="30" t="n">
        <v>0.2983235458370763</v>
      </c>
      <c r="W1720" t="inlineStr"/>
      <c r="X1720" s="28">
        <f>IF(L1720+M1720=0,"",L1720+M1720)</f>
        <v/>
      </c>
      <c r="Y1720" s="38">
        <f>IF(L1720=0,"",M1720/L1720)</f>
        <v/>
      </c>
      <c r="Z1720" t="inlineStr">
        <is>
          <t>Director &amp; Investment Officer</t>
        </is>
      </c>
      <c r="AA1720" t="inlineStr">
        <is>
          <t>Investments</t>
        </is>
      </c>
      <c r="AB1720" s="50" t="inlineStr"/>
      <c r="AC1720" s="43">
        <f>HYPERLINK("https://projects.propublica.org/nonprofits/organizations/390743975/202411349349307346/full","view filing")</f>
        <v/>
      </c>
      <c r="AD1720" s="50" t="inlineStr"/>
    </row>
    <row r="1721">
      <c r="A1721" t="inlineStr">
        <is>
          <t>University Of Wisconsin Foundation</t>
        </is>
      </c>
      <c r="B1721" s="50" t="inlineStr">
        <is>
          <t>WI</t>
        </is>
      </c>
      <c r="C1721" s="52" t="n">
        <v>4.92</v>
      </c>
      <c r="D1721" t="inlineStr">
        <is>
          <t>Endowment</t>
        </is>
      </c>
      <c r="E1721" s="50" t="n">
        <v>2023</v>
      </c>
      <c r="F1721" s="50" t="inlineStr">
        <is>
          <t>2025-06-16</t>
        </is>
      </c>
      <c r="G1721" s="50" t="inlineStr">
        <is>
          <t>2023-06-30</t>
        </is>
      </c>
      <c r="H1721" t="inlineStr">
        <is>
          <t>Katherine L Wyble</t>
        </is>
      </c>
      <c r="I1721" t="inlineStr">
        <is>
          <t>MANAGING DIRECTOR OF INVESTMENTS</t>
        </is>
      </c>
      <c r="J1721" t="inlineStr">
        <is>
          <t>Managing Director</t>
        </is>
      </c>
      <c r="K1721" t="inlineStr">
        <is>
          <t>Sr Investment Professional</t>
        </is>
      </c>
      <c r="L1721" s="28" t="n">
        <v>394736</v>
      </c>
      <c r="M1721" s="28" t="n">
        <v>71904</v>
      </c>
      <c r="N1721" s="28" t="n">
        <v>225</v>
      </c>
      <c r="O1721" s="28" t="n">
        <v>0</v>
      </c>
      <c r="P1721" s="28" t="n">
        <v>1405</v>
      </c>
      <c r="Q1721" s="28" t="n">
        <v>468270</v>
      </c>
      <c r="R1721" s="28" t="n">
        <v>0</v>
      </c>
      <c r="S1721" s="28">
        <f>Q1721-R1721</f>
        <v/>
      </c>
      <c r="T1721" s="28">
        <f>IF(S1721="","",S1721*(1+in_GrowthRate)^(YEARFRAC(DATE(2023,6,30),in_AgeToDate)*IF(in_AgeToDate&lt;DATE(2023,6,30),-1,1)+1))</f>
        <v/>
      </c>
      <c r="U1721" s="50">
        <f>IF(AND(AND(OR(in_Mode="All Funds",AND(C1721&gt;=in_BandFloor,C1721&lt;=in_BandCeiling,OR(in_Geography="National",COUNTIFS(lst_GeoPreset,in_Geography,lst_GeoState,B1721)&gt;0,AND(in_Geography="Custom",ISNUMBER(SEARCH(B1721,SUBSTITUTE(in_CustomStates," ",""))))),OR(AND(D1721="Endowment",Inputs!$B$14="Y"),AND(D1721="Foundation",Inputs!$B$15="Y"),AND(D1721="Healthcare",Inputs!$B$16="Y"),AND(D1721="Pension",Inputs!$B$17="Y"),AND(D1721="OCIO",Inputs!$B$18="Y"),AND(D1721="Other",Inputs!$B$19="Y")))),A1721&lt;&gt;in_ClientOrg,NOT(AND(in_ExclHarvard="Y",ISNUMBER(SEARCH("Harvard",A1721))))),$AD1721="Y",K1721&lt;&gt;"",S1721&gt;0),"Y","")</f>
        <v/>
      </c>
      <c r="V1721" s="30" t="n">
        <v>0.3862782024663006</v>
      </c>
      <c r="W1721" t="inlineStr"/>
      <c r="X1721" s="28">
        <f>IF(L1721+M1721=0,"",L1721+M1721)</f>
        <v/>
      </c>
      <c r="Y1721" s="38">
        <f>IF(L1721=0,"",M1721/L1721)</f>
        <v/>
      </c>
      <c r="Z1721" t="inlineStr">
        <is>
          <t>Managing Director</t>
        </is>
      </c>
      <c r="AA1721" t="inlineStr">
        <is>
          <t>Investments</t>
        </is>
      </c>
      <c r="AB1721" s="50" t="inlineStr"/>
      <c r="AC1721" s="43">
        <f>HYPERLINK("https://projects.propublica.org/nonprofits/organizations/390743975/202411349349307346/full","view filing")</f>
        <v/>
      </c>
      <c r="AD1721" s="50" t="inlineStr"/>
    </row>
    <row r="1722">
      <c r="A1722" t="inlineStr">
        <is>
          <t>University Of Wisconsin Foundation</t>
        </is>
      </c>
      <c r="B1722" s="50" t="inlineStr">
        <is>
          <t>WI</t>
        </is>
      </c>
      <c r="C1722" s="52" t="n">
        <v>4.92</v>
      </c>
      <c r="D1722" t="inlineStr">
        <is>
          <t>Endowment</t>
        </is>
      </c>
      <c r="E1722" s="50" t="n">
        <v>2023</v>
      </c>
      <c r="F1722" s="50" t="inlineStr">
        <is>
          <t>2025-06-16</t>
        </is>
      </c>
      <c r="G1722" s="50" t="inlineStr">
        <is>
          <t>2023-06-30</t>
        </is>
      </c>
      <c r="H1722" t="inlineStr">
        <is>
          <t>Michael L Stohler</t>
        </is>
      </c>
      <c r="I1722" t="inlineStr">
        <is>
          <t>CIO</t>
        </is>
      </c>
      <c r="J1722" t="inlineStr">
        <is>
          <t>CIO</t>
        </is>
      </c>
      <c r="K1722" t="inlineStr">
        <is>
          <t>CIO - Top Investment Executive</t>
        </is>
      </c>
      <c r="L1722" s="28" t="n">
        <v>645049</v>
      </c>
      <c r="M1722" s="28" t="n">
        <v>529125</v>
      </c>
      <c r="N1722" s="28" t="n">
        <v>450</v>
      </c>
      <c r="O1722" s="28" t="n">
        <v>19338</v>
      </c>
      <c r="P1722" s="28" t="n">
        <v>18299</v>
      </c>
      <c r="Q1722" s="28" t="n">
        <v>1212261</v>
      </c>
      <c r="R1722" s="28" t="n">
        <v>0</v>
      </c>
      <c r="S1722" s="28">
        <f>Q1722-R1722</f>
        <v/>
      </c>
      <c r="T1722" s="28">
        <f>IF(S1722="","",S1722*(1+in_GrowthRate)^(YEARFRAC(DATE(2023,6,30),in_AgeToDate)*IF(in_AgeToDate&lt;DATE(2023,6,30),-1,1)+1))</f>
        <v/>
      </c>
      <c r="U1722" s="50">
        <f>IF(AND(AND(OR(in_Mode="All Funds",AND(C1722&gt;=in_BandFloor,C1722&lt;=in_BandCeiling,OR(in_Geography="National",COUNTIFS(lst_GeoPreset,in_Geography,lst_GeoState,B1722)&gt;0,AND(in_Geography="Custom",ISNUMBER(SEARCH(B1722,SUBSTITUTE(in_CustomStates," ",""))))),OR(AND(D1722="Endowment",Inputs!$B$14="Y"),AND(D1722="Foundation",Inputs!$B$15="Y"),AND(D1722="Healthcare",Inputs!$B$16="Y"),AND(D1722="Pension",Inputs!$B$17="Y"),AND(D1722="OCIO",Inputs!$B$18="Y"),AND(D1722="Other",Inputs!$B$19="Y")))),A1722&lt;&gt;in_ClientOrg,NOT(AND(in_ExclHarvard="Y",ISNUMBER(SEARCH("Harvard",A1722))))),$AD1722="Y",K1722&lt;&gt;"",S1722&gt;0),"Y","")</f>
        <v/>
      </c>
      <c r="V1722" s="30" t="n">
        <v>1</v>
      </c>
      <c r="W1722" t="inlineStr"/>
      <c r="X1722" s="28">
        <f>IF(L1722+M1722=0,"",L1722+M1722)</f>
        <v/>
      </c>
      <c r="Y1722" s="38">
        <f>IF(L1722=0,"",M1722/L1722)</f>
        <v/>
      </c>
      <c r="Z1722" t="inlineStr">
        <is>
          <t>CIO - Top Investment Executive</t>
        </is>
      </c>
      <c r="AA1722" t="inlineStr">
        <is>
          <t>Leadership</t>
        </is>
      </c>
      <c r="AB1722" s="50" t="inlineStr">
        <is>
          <t>Y</t>
        </is>
      </c>
      <c r="AC1722" s="43">
        <f>HYPERLINK("https://projects.propublica.org/nonprofits/organizations/390743975/202411349349307346/full","view filing")</f>
        <v/>
      </c>
      <c r="AD1722" s="50" t="inlineStr"/>
    </row>
    <row r="1723">
      <c r="A1723" t="inlineStr">
        <is>
          <t>University Of Wisconsin Foundation</t>
        </is>
      </c>
      <c r="B1723" s="50" t="inlineStr">
        <is>
          <t>WI</t>
        </is>
      </c>
      <c r="C1723" s="52" t="n">
        <v>4.92</v>
      </c>
      <c r="D1723" t="inlineStr">
        <is>
          <t>Endowment</t>
        </is>
      </c>
      <c r="E1723" s="50" t="n">
        <v>2023</v>
      </c>
      <c r="F1723" s="50" t="inlineStr">
        <is>
          <t>2025-06-16</t>
        </is>
      </c>
      <c r="G1723" s="50" t="inlineStr">
        <is>
          <t>2023-06-30</t>
        </is>
      </c>
      <c r="H1723" t="inlineStr">
        <is>
          <t>Richard J Shepley</t>
        </is>
      </c>
      <c r="I1723" t="inlineStr">
        <is>
          <t>SR. MANAGING DIRECTOR OF INVESTMENTS - PUB MRKTS</t>
        </is>
      </c>
      <c r="J1723" t="inlineStr">
        <is>
          <t>Senior Managing Director</t>
        </is>
      </c>
      <c r="K1723" t="inlineStr">
        <is>
          <t>Sr Investment Professional</t>
        </is>
      </c>
      <c r="L1723" s="28" t="n">
        <v>453844</v>
      </c>
      <c r="M1723" s="28" t="n">
        <v>415507</v>
      </c>
      <c r="N1723" s="28" t="n">
        <v>690</v>
      </c>
      <c r="O1723" s="28" t="n">
        <v>30500</v>
      </c>
      <c r="P1723" s="28" t="n">
        <v>18299</v>
      </c>
      <c r="Q1723" s="28" t="n">
        <v>918840</v>
      </c>
      <c r="R1723" s="28" t="n">
        <v>0</v>
      </c>
      <c r="S1723" s="28">
        <f>Q1723-R1723</f>
        <v/>
      </c>
      <c r="T1723" s="28">
        <f>IF(S1723="","",S1723*(1+in_GrowthRate)^(YEARFRAC(DATE(2023,6,30),in_AgeToDate)*IF(in_AgeToDate&lt;DATE(2023,6,30),-1,1)+1))</f>
        <v/>
      </c>
      <c r="U1723" s="50">
        <f>IF(AND(AND(OR(in_Mode="All Funds",AND(C1723&gt;=in_BandFloor,C1723&lt;=in_BandCeiling,OR(in_Geography="National",COUNTIFS(lst_GeoPreset,in_Geography,lst_GeoState,B1723)&gt;0,AND(in_Geography="Custom",ISNUMBER(SEARCH(B1723,SUBSTITUTE(in_CustomStates," ",""))))),OR(AND(D1723="Endowment",Inputs!$B$14="Y"),AND(D1723="Foundation",Inputs!$B$15="Y"),AND(D1723="Healthcare",Inputs!$B$16="Y"),AND(D1723="Pension",Inputs!$B$17="Y"),AND(D1723="OCIO",Inputs!$B$18="Y"),AND(D1723="Other",Inputs!$B$19="Y")))),A1723&lt;&gt;in_ClientOrg,NOT(AND(in_ExclHarvard="Y",ISNUMBER(SEARCH("Harvard",A1723))))),$AD1723="Y",K1723&lt;&gt;"",S1723&gt;0),"Y","")</f>
        <v/>
      </c>
      <c r="V1723" s="30" t="n">
        <v>0.7579555887717249</v>
      </c>
      <c r="W1723" t="inlineStr"/>
      <c r="X1723" s="28">
        <f>IF(L1723+M1723=0,"",L1723+M1723)</f>
        <v/>
      </c>
      <c r="Y1723" s="38">
        <f>IF(L1723=0,"",M1723/L1723)</f>
        <v/>
      </c>
      <c r="Z1723" t="inlineStr">
        <is>
          <t>Managing Director</t>
        </is>
      </c>
      <c r="AA1723" t="inlineStr">
        <is>
          <t>Investments</t>
        </is>
      </c>
      <c r="AB1723" s="50" t="inlineStr"/>
      <c r="AC1723" s="43">
        <f>HYPERLINK("https://projects.propublica.org/nonprofits/organizations/390743975/202411349349307346/full","view filing")</f>
        <v/>
      </c>
      <c r="AD1723" s="50" t="inlineStr"/>
    </row>
    <row r="1724">
      <c r="A1724" t="inlineStr">
        <is>
          <t>University Of Wisconsin Foundation</t>
        </is>
      </c>
      <c r="B1724" s="50" t="inlineStr">
        <is>
          <t>WI</t>
        </is>
      </c>
      <c r="C1724" s="52" t="n">
        <v>4.92</v>
      </c>
      <c r="D1724" t="inlineStr">
        <is>
          <t>Endowment</t>
        </is>
      </c>
      <c r="E1724" s="50" t="n">
        <v>2022</v>
      </c>
      <c r="F1724" s="50" t="inlineStr">
        <is>
          <t>2024-08-19</t>
        </is>
      </c>
      <c r="G1724" s="50" t="inlineStr">
        <is>
          <t>2022-06-30</t>
        </is>
      </c>
      <c r="H1724" t="inlineStr">
        <is>
          <t>James G Elkins</t>
        </is>
      </c>
      <c r="I1724" t="inlineStr">
        <is>
          <t>DIRECTOR OF INVESTMENTS</t>
        </is>
      </c>
      <c r="J1724" t="inlineStr">
        <is>
          <t>Director of Investments</t>
        </is>
      </c>
      <c r="K1724" t="inlineStr">
        <is>
          <t>Sr Investment Professional</t>
        </is>
      </c>
      <c r="L1724" s="28" t="n">
        <v>168250</v>
      </c>
      <c r="M1724" s="28" t="n">
        <v>38692</v>
      </c>
      <c r="N1724" s="28" t="n">
        <v>270</v>
      </c>
      <c r="O1724" s="28" t="n">
        <v>17325</v>
      </c>
      <c r="P1724" s="28" t="n">
        <v>1498</v>
      </c>
      <c r="Q1724" s="28" t="n">
        <v>226035</v>
      </c>
      <c r="R1724" s="28" t="n">
        <v>0</v>
      </c>
      <c r="S1724" s="28">
        <f>Q1724-R1724</f>
        <v/>
      </c>
      <c r="T1724" s="28">
        <f>IF(S1724="","",S1724*(1+in_GrowthRate)^(YEARFRAC(DATE(2022,6,30),in_AgeToDate)*IF(in_AgeToDate&lt;DATE(2022,6,30),-1,1)+1))</f>
        <v/>
      </c>
      <c r="U1724" s="50">
        <f>IF(AND(AND(OR(in_Mode="All Funds",AND(C1724&gt;=in_BandFloor,C1724&lt;=in_BandCeiling,OR(in_Geography="National",COUNTIFS(lst_GeoPreset,in_Geography,lst_GeoState,B1724)&gt;0,AND(in_Geography="Custom",ISNUMBER(SEARCH(B1724,SUBSTITUTE(in_CustomStates," ",""))))),OR(AND(D1724="Endowment",Inputs!$B$14="Y"),AND(D1724="Foundation",Inputs!$B$15="Y"),AND(D1724="Healthcare",Inputs!$B$16="Y"),AND(D1724="Pension",Inputs!$B$17="Y"),AND(D1724="OCIO",Inputs!$B$18="Y"),AND(D1724="Other",Inputs!$B$19="Y")))),A1724&lt;&gt;in_ClientOrg,NOT(AND(in_ExclHarvard="Y",ISNUMBER(SEARCH("Harvard",A1724))))),$AD1724="Y",K1724&lt;&gt;"",S1724&gt;0),"Y","")</f>
        <v/>
      </c>
      <c r="V1724" s="30" t="n">
        <v>0.3822549550158966</v>
      </c>
      <c r="W1724" t="inlineStr"/>
      <c r="X1724" s="28">
        <f>IF(L1724+M1724=0,"",L1724+M1724)</f>
        <v/>
      </c>
      <c r="Y1724" s="38">
        <f>IF(L1724=0,"",M1724/L1724)</f>
        <v/>
      </c>
      <c r="Z1724" t="inlineStr">
        <is>
          <t>Director &amp; Investment Officer</t>
        </is>
      </c>
      <c r="AA1724" t="inlineStr">
        <is>
          <t>Investments</t>
        </is>
      </c>
      <c r="AB1724" s="50" t="inlineStr"/>
      <c r="AC1724" s="43">
        <f>HYPERLINK("https://projects.propublica.org/nonprofits/organizations/390743975/202341359349304714/full","view filing")</f>
        <v/>
      </c>
      <c r="AD1724" s="50" t="inlineStr"/>
    </row>
    <row r="1725">
      <c r="A1725" t="inlineStr">
        <is>
          <t>University Of Wisconsin Foundation</t>
        </is>
      </c>
      <c r="B1725" s="50" t="inlineStr">
        <is>
          <t>WI</t>
        </is>
      </c>
      <c r="C1725" s="52" t="n">
        <v>4.92</v>
      </c>
      <c r="D1725" t="inlineStr">
        <is>
          <t>Endowment</t>
        </is>
      </c>
      <c r="E1725" s="50" t="n">
        <v>2022</v>
      </c>
      <c r="F1725" s="50" t="inlineStr">
        <is>
          <t>2024-08-19</t>
        </is>
      </c>
      <c r="G1725" s="50" t="inlineStr">
        <is>
          <t>2022-06-30</t>
        </is>
      </c>
      <c r="H1725" t="inlineStr">
        <is>
          <t>Joshua M Ross</t>
        </is>
      </c>
      <c r="I1725" t="inlineStr">
        <is>
          <t>DIRECTOR OF INVT - PRIVATE MARKET</t>
        </is>
      </c>
      <c r="J1725" t="inlineStr">
        <is>
          <t>Director of Investments</t>
        </is>
      </c>
      <c r="K1725" t="inlineStr">
        <is>
          <t>Sr Investment Professional</t>
        </is>
      </c>
      <c r="L1725" s="28" t="n">
        <v>309918</v>
      </c>
      <c r="M1725" s="28" t="n">
        <v>76230</v>
      </c>
      <c r="N1725" s="28" t="n">
        <v>238</v>
      </c>
      <c r="O1725" s="28" t="n">
        <v>22151</v>
      </c>
      <c r="P1725" s="28" t="n">
        <v>6566</v>
      </c>
      <c r="Q1725" s="28" t="n">
        <v>415103</v>
      </c>
      <c r="R1725" s="28" t="n">
        <v>0</v>
      </c>
      <c r="S1725" s="28">
        <f>Q1725-R1725</f>
        <v/>
      </c>
      <c r="T1725" s="28">
        <f>IF(S1725="","",S1725*(1+in_GrowthRate)^(YEARFRAC(DATE(2022,6,30),in_AgeToDate)*IF(in_AgeToDate&lt;DATE(2022,6,30),-1,1)+1))</f>
        <v/>
      </c>
      <c r="U1725" s="50">
        <f>IF(AND(AND(OR(in_Mode="All Funds",AND(C1725&gt;=in_BandFloor,C1725&lt;=in_BandCeiling,OR(in_Geography="National",COUNTIFS(lst_GeoPreset,in_Geography,lst_GeoState,B1725)&gt;0,AND(in_Geography="Custom",ISNUMBER(SEARCH(B1725,SUBSTITUTE(in_CustomStates," ",""))))),OR(AND(D1725="Endowment",Inputs!$B$14="Y"),AND(D1725="Foundation",Inputs!$B$15="Y"),AND(D1725="Healthcare",Inputs!$B$16="Y"),AND(D1725="Pension",Inputs!$B$17="Y"),AND(D1725="OCIO",Inputs!$B$18="Y"),AND(D1725="Other",Inputs!$B$19="Y")))),A1725&lt;&gt;in_ClientOrg,NOT(AND(in_ExclHarvard="Y",ISNUMBER(SEARCH("Harvard",A1725))))),$AD1725="Y",K1725&lt;&gt;"",S1725&gt;0),"Y","")</f>
        <v/>
      </c>
      <c r="V1725" s="30" t="n">
        <v>0.7019938442805925</v>
      </c>
      <c r="W1725" t="inlineStr"/>
      <c r="X1725" s="28">
        <f>IF(L1725+M1725=0,"",L1725+M1725)</f>
        <v/>
      </c>
      <c r="Y1725" s="38">
        <f>IF(L1725=0,"",M1725/L1725)</f>
        <v/>
      </c>
      <c r="Z1725" t="inlineStr">
        <is>
          <t>Director &amp; Investment Officer</t>
        </is>
      </c>
      <c r="AA1725" t="inlineStr">
        <is>
          <t>Investments</t>
        </is>
      </c>
      <c r="AB1725" s="50" t="inlineStr"/>
      <c r="AC1725" s="43">
        <f>HYPERLINK("https://projects.propublica.org/nonprofits/organizations/390743975/202341359349304714/full","view filing")</f>
        <v/>
      </c>
      <c r="AD1725" s="50" t="inlineStr"/>
    </row>
    <row r="1726">
      <c r="A1726" t="inlineStr">
        <is>
          <t>University Of Wisconsin Foundation</t>
        </is>
      </c>
      <c r="B1726" s="50" t="inlineStr">
        <is>
          <t>WI</t>
        </is>
      </c>
      <c r="C1726" s="52" t="n">
        <v>4.92</v>
      </c>
      <c r="D1726" t="inlineStr">
        <is>
          <t>Endowment</t>
        </is>
      </c>
      <c r="E1726" s="50" t="n">
        <v>2022</v>
      </c>
      <c r="F1726" s="50" t="inlineStr">
        <is>
          <t>2024-08-19</t>
        </is>
      </c>
      <c r="G1726" s="50" t="inlineStr">
        <is>
          <t>2022-06-30</t>
        </is>
      </c>
      <c r="H1726" t="inlineStr">
        <is>
          <t>Richard J Shepley</t>
        </is>
      </c>
      <c r="I1726" t="inlineStr">
        <is>
          <t>SR. MANAGING DIRECTOR OF INVESTMENTS - PUB MRKTS</t>
        </is>
      </c>
      <c r="J1726" t="inlineStr">
        <is>
          <t>Senior Managing Director</t>
        </is>
      </c>
      <c r="K1726" t="inlineStr">
        <is>
          <t>Sr Investment Professional</t>
        </is>
      </c>
      <c r="L1726" s="28" t="n">
        <v>485513</v>
      </c>
      <c r="M1726" s="28" t="n">
        <v>191760</v>
      </c>
      <c r="N1726" s="28" t="n">
        <v>690</v>
      </c>
      <c r="O1726" s="28" t="n">
        <v>29000</v>
      </c>
      <c r="P1726" s="28" t="n">
        <v>23176</v>
      </c>
      <c r="Q1726" s="28" t="n">
        <v>730139</v>
      </c>
      <c r="R1726" s="28" t="n">
        <v>0</v>
      </c>
      <c r="S1726" s="28">
        <f>Q1726-R1726</f>
        <v/>
      </c>
      <c r="T1726" s="28">
        <f>IF(S1726="","",S1726*(1+in_GrowthRate)^(YEARFRAC(DATE(2022,6,30),in_AgeToDate)*IF(in_AgeToDate&lt;DATE(2022,6,30),-1,1)+1))</f>
        <v/>
      </c>
      <c r="U1726" s="50">
        <f>IF(AND(AND(OR(in_Mode="All Funds",AND(C1726&gt;=in_BandFloor,C1726&lt;=in_BandCeiling,OR(in_Geography="National",COUNTIFS(lst_GeoPreset,in_Geography,lst_GeoState,B1726)&gt;0,AND(in_Geography="Custom",ISNUMBER(SEARCH(B1726,SUBSTITUTE(in_CustomStates," ",""))))),OR(AND(D1726="Endowment",Inputs!$B$14="Y"),AND(D1726="Foundation",Inputs!$B$15="Y"),AND(D1726="Healthcare",Inputs!$B$16="Y"),AND(D1726="Pension",Inputs!$B$17="Y"),AND(D1726="OCIO",Inputs!$B$18="Y"),AND(D1726="Other",Inputs!$B$19="Y")))),A1726&lt;&gt;in_ClientOrg,NOT(AND(in_ExclHarvard="Y",ISNUMBER(SEARCH("Harvard",A1726))))),$AD1726="Y",K1726&lt;&gt;"",S1726&gt;0),"Y","")</f>
        <v/>
      </c>
      <c r="V1726" s="30" t="n">
        <v>1.234761212203206</v>
      </c>
      <c r="W1726" t="inlineStr"/>
      <c r="X1726" s="28">
        <f>IF(L1726+M1726=0,"",L1726+M1726)</f>
        <v/>
      </c>
      <c r="Y1726" s="38">
        <f>IF(L1726=0,"",M1726/L1726)</f>
        <v/>
      </c>
      <c r="Z1726" t="inlineStr">
        <is>
          <t>Managing Director</t>
        </is>
      </c>
      <c r="AA1726" t="inlineStr">
        <is>
          <t>Investments</t>
        </is>
      </c>
      <c r="AB1726" s="50" t="inlineStr"/>
      <c r="AC1726" s="43">
        <f>HYPERLINK("https://projects.propublica.org/nonprofits/organizations/390743975/202341359349304714/full","view filing")</f>
        <v/>
      </c>
      <c r="AD1726" s="50" t="inlineStr"/>
    </row>
    <row r="1727">
      <c r="A1727" t="inlineStr">
        <is>
          <t>University Of Wisconsin Foundation</t>
        </is>
      </c>
      <c r="B1727" s="50" t="inlineStr">
        <is>
          <t>WI</t>
        </is>
      </c>
      <c r="C1727" s="52" t="n">
        <v>4.92</v>
      </c>
      <c r="D1727" t="inlineStr">
        <is>
          <t>Endowment</t>
        </is>
      </c>
      <c r="E1727" s="50" t="n">
        <v>2022</v>
      </c>
      <c r="F1727" s="50" t="inlineStr">
        <is>
          <t>2024-08-19</t>
        </is>
      </c>
      <c r="G1727" s="50" t="inlineStr">
        <is>
          <t>2022-06-30</t>
        </is>
      </c>
      <c r="H1727" t="inlineStr">
        <is>
          <t>Thomas P Olson</t>
        </is>
      </c>
      <c r="I1727" t="inlineStr">
        <is>
          <t>CIO - PRIVATE MARKETS</t>
        </is>
      </c>
      <c r="J1727" t="inlineStr">
        <is>
          <t>CIO</t>
        </is>
      </c>
      <c r="K1727" t="inlineStr">
        <is>
          <t>CIO - Top Investment Executive</t>
        </is>
      </c>
      <c r="L1727" s="28" t="n">
        <v>447766</v>
      </c>
      <c r="M1727" s="28" t="n">
        <v>90088</v>
      </c>
      <c r="N1727" s="28" t="n">
        <v>1290</v>
      </c>
      <c r="O1727" s="28" t="n">
        <v>29000</v>
      </c>
      <c r="P1727" s="28" t="n">
        <v>23176</v>
      </c>
      <c r="Q1727" s="28" t="n">
        <v>591320</v>
      </c>
      <c r="R1727" s="28" t="n">
        <v>0</v>
      </c>
      <c r="S1727" s="28">
        <f>Q1727-R1727</f>
        <v/>
      </c>
      <c r="T1727" s="28">
        <f>IF(S1727="","",S1727*(1+in_GrowthRate)^(YEARFRAC(DATE(2022,6,30),in_AgeToDate)*IF(in_AgeToDate&lt;DATE(2022,6,30),-1,1)+1))</f>
        <v/>
      </c>
      <c r="U1727" s="50">
        <f>IF(AND(AND(OR(in_Mode="All Funds",AND(C1727&gt;=in_BandFloor,C1727&lt;=in_BandCeiling,OR(in_Geography="National",COUNTIFS(lst_GeoPreset,in_Geography,lst_GeoState,B1727)&gt;0,AND(in_Geography="Custom",ISNUMBER(SEARCH(B1727,SUBSTITUTE(in_CustomStates," ",""))))),OR(AND(D1727="Endowment",Inputs!$B$14="Y"),AND(D1727="Foundation",Inputs!$B$15="Y"),AND(D1727="Healthcare",Inputs!$B$16="Y"),AND(D1727="Pension",Inputs!$B$17="Y"),AND(D1727="OCIO",Inputs!$B$18="Y"),AND(D1727="Other",Inputs!$B$19="Y")))),A1727&lt;&gt;in_ClientOrg,NOT(AND(in_ExclHarvard="Y",ISNUMBER(SEARCH("Harvard",A1727))))),$AD1727="Y",K1727&lt;&gt;"",S1727&gt;0),"Y","")</f>
        <v/>
      </c>
      <c r="V1727" s="30" t="n">
        <v>1</v>
      </c>
      <c r="W1727" t="inlineStr"/>
      <c r="X1727" s="28">
        <f>IF(L1727+M1727=0,"",L1727+M1727)</f>
        <v/>
      </c>
      <c r="Y1727" s="38">
        <f>IF(L1727=0,"",M1727/L1727)</f>
        <v/>
      </c>
      <c r="Z1727" t="inlineStr">
        <is>
          <t>CIO - Top Investment Executive</t>
        </is>
      </c>
      <c r="AA1727" t="inlineStr">
        <is>
          <t>Leadership</t>
        </is>
      </c>
      <c r="AB1727" s="50" t="inlineStr">
        <is>
          <t>Y</t>
        </is>
      </c>
      <c r="AC1727" s="43">
        <f>HYPERLINK("https://projects.propublica.org/nonprofits/organizations/390743975/202341359349304714/full","view filing")</f>
        <v/>
      </c>
      <c r="AD1727" s="50" t="inlineStr"/>
    </row>
    <row r="1728">
      <c r="A1728" t="inlineStr">
        <is>
          <t>University Of Wyoming Foundation</t>
        </is>
      </c>
      <c r="B1728" s="50" t="inlineStr">
        <is>
          <t>WY</t>
        </is>
      </c>
      <c r="C1728" s="52" t="n">
        <v>0.88</v>
      </c>
      <c r="D1728" t="inlineStr">
        <is>
          <t>Endowment</t>
        </is>
      </c>
      <c r="E1728" s="50" t="n">
        <v>2025</v>
      </c>
      <c r="F1728" s="50" t="inlineStr">
        <is>
          <t>2026-05-07</t>
        </is>
      </c>
      <c r="G1728" s="50" t="inlineStr">
        <is>
          <t>2025-06-30</t>
        </is>
      </c>
      <c r="H1728" t="inlineStr">
        <is>
          <t>Jose Briones</t>
        </is>
      </c>
      <c r="I1728" t="inlineStr">
        <is>
          <t>PORTFOLIO MANAGER</t>
        </is>
      </c>
      <c r="J1728" t="inlineStr">
        <is>
          <t>Portfolio Manager</t>
        </is>
      </c>
      <c r="K1728" t="inlineStr">
        <is>
          <t>Sr Investment Professional</t>
        </is>
      </c>
      <c r="L1728" s="28" t="n">
        <v>152697</v>
      </c>
      <c r="M1728" s="28" t="n">
        <v>0</v>
      </c>
      <c r="N1728" s="28" t="n">
        <v>0</v>
      </c>
      <c r="O1728" s="28" t="n">
        <v>22813</v>
      </c>
      <c r="P1728" s="28" t="n">
        <v>13902</v>
      </c>
      <c r="Q1728" s="28" t="n">
        <v>189412</v>
      </c>
      <c r="R1728" s="28" t="n">
        <v>0</v>
      </c>
      <c r="S1728" s="28">
        <f>Q1728-R1728</f>
        <v/>
      </c>
      <c r="T1728" s="28">
        <f>IF(S1728="","",S1728*(1+in_GrowthRate)^(YEARFRAC(DATE(2025,6,30),in_AgeToDate)*IF(in_AgeToDate&lt;DATE(2025,6,30),-1,1)+1))</f>
        <v/>
      </c>
      <c r="U1728" s="50">
        <f>IF(AND(AND(OR(in_Mode="All Funds",AND(C1728&gt;=in_BandFloor,C1728&lt;=in_BandCeiling,OR(in_Geography="National",COUNTIFS(lst_GeoPreset,in_Geography,lst_GeoState,B1728)&gt;0,AND(in_Geography="Custom",ISNUMBER(SEARCH(B1728,SUBSTITUTE(in_CustomStates," ",""))))),OR(AND(D1728="Endowment",Inputs!$B$14="Y"),AND(D1728="Foundation",Inputs!$B$15="Y"),AND(D1728="Healthcare",Inputs!$B$16="Y"),AND(D1728="Pension",Inputs!$B$17="Y"),AND(D1728="OCIO",Inputs!$B$18="Y"),AND(D1728="Other",Inputs!$B$19="Y")))),A1728&lt;&gt;in_ClientOrg,NOT(AND(in_ExclHarvard="Y",ISNUMBER(SEARCH("Harvard",A1728))))),$AD1728="Y",K1728&lt;&gt;"",S1728&gt;0),"Y","")</f>
        <v/>
      </c>
      <c r="V1728" s="30" t="n">
        <v>0.5965920186462565</v>
      </c>
      <c r="W1728" t="inlineStr"/>
      <c r="X1728" s="28">
        <f>IF(L1728+M1728=0,"",L1728+M1728)</f>
        <v/>
      </c>
      <c r="Y1728" s="38">
        <f>IF(L1728=0,"",M1728/L1728)</f>
        <v/>
      </c>
      <c r="Z1728" t="inlineStr">
        <is>
          <t>Other investment staff</t>
        </is>
      </c>
      <c r="AA1728" t="inlineStr">
        <is>
          <t>Investments</t>
        </is>
      </c>
      <c r="AB1728" s="50" t="inlineStr"/>
      <c r="AC1728" s="43">
        <f>HYPERLINK("https://projects.propublica.org/nonprofits/organizations/830201971/202611279349302871/full","view filing")</f>
        <v/>
      </c>
      <c r="AD1728" s="50" t="inlineStr">
        <is>
          <t>Y</t>
        </is>
      </c>
    </row>
    <row r="1729">
      <c r="A1729" t="inlineStr">
        <is>
          <t>University Of Wyoming Foundation</t>
        </is>
      </c>
      <c r="B1729" s="50" t="inlineStr">
        <is>
          <t>WY</t>
        </is>
      </c>
      <c r="C1729" s="52" t="n">
        <v>0.88</v>
      </c>
      <c r="D1729" t="inlineStr">
        <is>
          <t>Endowment</t>
        </is>
      </c>
      <c r="E1729" s="50" t="n">
        <v>2025</v>
      </c>
      <c r="F1729" s="50" t="inlineStr">
        <is>
          <t>2026-05-07</t>
        </is>
      </c>
      <c r="G1729" s="50" t="inlineStr">
        <is>
          <t>2025-06-30</t>
        </is>
      </c>
      <c r="H1729" t="inlineStr">
        <is>
          <t>Philip Treick</t>
        </is>
      </c>
      <c r="I1729" t="inlineStr">
        <is>
          <t>CHIEF INVESTMENT OFFICER</t>
        </is>
      </c>
      <c r="J1729" t="inlineStr">
        <is>
          <t>CIO</t>
        </is>
      </c>
      <c r="K1729" t="inlineStr">
        <is>
          <t>CIO - Top Investment Executive</t>
        </is>
      </c>
      <c r="L1729" s="28" t="n">
        <v>317490</v>
      </c>
      <c r="M1729" s="28" t="n">
        <v>0</v>
      </c>
      <c r="N1729" s="28" t="n">
        <v>0</v>
      </c>
      <c r="O1729" s="28" t="n">
        <v>0</v>
      </c>
      <c r="P1729" s="28" t="n">
        <v>0</v>
      </c>
      <c r="Q1729" s="28" t="n">
        <v>317490</v>
      </c>
      <c r="R1729" s="28" t="n">
        <v>0</v>
      </c>
      <c r="S1729" s="28">
        <f>Q1729-R1729</f>
        <v/>
      </c>
      <c r="T1729" s="28">
        <f>IF(S1729="","",S1729*(1+in_GrowthRate)^(YEARFRAC(DATE(2025,6,30),in_AgeToDate)*IF(in_AgeToDate&lt;DATE(2025,6,30),-1,1)+1))</f>
        <v/>
      </c>
      <c r="U1729" s="50">
        <f>IF(AND(AND(OR(in_Mode="All Funds",AND(C1729&gt;=in_BandFloor,C1729&lt;=in_BandCeiling,OR(in_Geography="National",COUNTIFS(lst_GeoPreset,in_Geography,lst_GeoState,B1729)&gt;0,AND(in_Geography="Custom",ISNUMBER(SEARCH(B1729,SUBSTITUTE(in_CustomStates," ",""))))),OR(AND(D1729="Endowment",Inputs!$B$14="Y"),AND(D1729="Foundation",Inputs!$B$15="Y"),AND(D1729="Healthcare",Inputs!$B$16="Y"),AND(D1729="Pension",Inputs!$B$17="Y"),AND(D1729="OCIO",Inputs!$B$18="Y"),AND(D1729="Other",Inputs!$B$19="Y")))),A1729&lt;&gt;in_ClientOrg,NOT(AND(in_ExclHarvard="Y",ISNUMBER(SEARCH("Harvard",A1729))))),$AD1729="Y",K1729&lt;&gt;"",S1729&gt;0),"Y","")</f>
        <v/>
      </c>
      <c r="V1729" s="30" t="n">
        <v>1</v>
      </c>
      <c r="W1729" t="inlineStr"/>
      <c r="X1729" s="28">
        <f>IF(L1729+M1729=0,"",L1729+M1729)</f>
        <v/>
      </c>
      <c r="Y1729" s="38">
        <f>IF(L1729=0,"",M1729/L1729)</f>
        <v/>
      </c>
      <c r="Z1729" t="inlineStr">
        <is>
          <t>CIO - Top Investment Executive</t>
        </is>
      </c>
      <c r="AA1729" t="inlineStr">
        <is>
          <t>Leadership</t>
        </is>
      </c>
      <c r="AB1729" s="50" t="inlineStr">
        <is>
          <t>Y</t>
        </is>
      </c>
      <c r="AC1729" s="43">
        <f>HYPERLINK("https://projects.propublica.org/nonprofits/organizations/830201971/202611279349302871/full","view filing")</f>
        <v/>
      </c>
      <c r="AD1729" s="50" t="inlineStr">
        <is>
          <t>Y</t>
        </is>
      </c>
    </row>
    <row r="1730">
      <c r="A1730" t="inlineStr">
        <is>
          <t>University Of Wyoming Foundation</t>
        </is>
      </c>
      <c r="B1730" s="50" t="inlineStr">
        <is>
          <t>WY</t>
        </is>
      </c>
      <c r="C1730" s="52" t="n">
        <v>0.88</v>
      </c>
      <c r="D1730" t="inlineStr">
        <is>
          <t>Endowment</t>
        </is>
      </c>
      <c r="E1730" s="50" t="n">
        <v>2024</v>
      </c>
      <c r="F1730" s="50" t="inlineStr">
        <is>
          <t>2025-01-15</t>
        </is>
      </c>
      <c r="G1730" s="50" t="inlineStr">
        <is>
          <t>2024-06-30</t>
        </is>
      </c>
      <c r="H1730" t="inlineStr">
        <is>
          <t>Brady Goyn</t>
        </is>
      </c>
      <c r="I1730" t="inlineStr">
        <is>
          <t>PORTFOLIO MANAGER</t>
        </is>
      </c>
      <c r="J1730" t="inlineStr">
        <is>
          <t>Portfolio Manager</t>
        </is>
      </c>
      <c r="K1730" t="inlineStr">
        <is>
          <t>Sr Investment Professional</t>
        </is>
      </c>
      <c r="L1730" s="28" t="n">
        <v>120390</v>
      </c>
      <c r="M1730" s="28" t="n">
        <v>0</v>
      </c>
      <c r="N1730" s="28" t="n">
        <v>0</v>
      </c>
      <c r="O1730" s="28" t="n">
        <v>15229</v>
      </c>
      <c r="P1730" s="28" t="n">
        <v>30343</v>
      </c>
      <c r="Q1730" s="28" t="n">
        <v>165962</v>
      </c>
      <c r="R1730" s="28" t="n">
        <v>0</v>
      </c>
      <c r="S1730" s="28">
        <f>Q1730-R1730</f>
        <v/>
      </c>
      <c r="T1730" s="28">
        <f>IF(S1730="","",S1730*(1+in_GrowthRate)^(YEARFRAC(DATE(2024,6,30),in_AgeToDate)*IF(in_AgeToDate&lt;DATE(2024,6,30),-1,1)+1))</f>
        <v/>
      </c>
      <c r="U1730" s="50">
        <f>IF(AND(AND(OR(in_Mode="All Funds",AND(C1730&gt;=in_BandFloor,C1730&lt;=in_BandCeiling,OR(in_Geography="National",COUNTIFS(lst_GeoPreset,in_Geography,lst_GeoState,B1730)&gt;0,AND(in_Geography="Custom",ISNUMBER(SEARCH(B1730,SUBSTITUTE(in_CustomStates," ",""))))),OR(AND(D1730="Endowment",Inputs!$B$14="Y"),AND(D1730="Foundation",Inputs!$B$15="Y"),AND(D1730="Healthcare",Inputs!$B$16="Y"),AND(D1730="Pension",Inputs!$B$17="Y"),AND(D1730="OCIO",Inputs!$B$18="Y"),AND(D1730="Other",Inputs!$B$19="Y")))),A1730&lt;&gt;in_ClientOrg,NOT(AND(in_ExclHarvard="Y",ISNUMBER(SEARCH("Harvard",A1730))))),$AD1730="Y",K1730&lt;&gt;"",S1730&gt;0),"Y","")</f>
        <v/>
      </c>
      <c r="V1730" s="30" t="n">
        <v>0.5317215704115699</v>
      </c>
      <c r="W1730" t="inlineStr"/>
      <c r="X1730" s="28">
        <f>IF(L1730+M1730=0,"",L1730+M1730)</f>
        <v/>
      </c>
      <c r="Y1730" s="38">
        <f>IF(L1730=0,"",M1730/L1730)</f>
        <v/>
      </c>
      <c r="Z1730" t="inlineStr">
        <is>
          <t>Other investment staff</t>
        </is>
      </c>
      <c r="AA1730" t="inlineStr">
        <is>
          <t>Investments</t>
        </is>
      </c>
      <c r="AB1730" s="50" t="inlineStr"/>
      <c r="AC1730" s="43">
        <f>HYPERLINK("https://projects.propublica.org/nonprofits/organizations/830201971/202510159349301696/full","view filing")</f>
        <v/>
      </c>
      <c r="AD1730" s="50" t="inlineStr"/>
    </row>
    <row r="1731">
      <c r="A1731" t="inlineStr">
        <is>
          <t>University Of Wyoming Foundation</t>
        </is>
      </c>
      <c r="B1731" s="50" t="inlineStr">
        <is>
          <t>WY</t>
        </is>
      </c>
      <c r="C1731" s="52" t="n">
        <v>0.88</v>
      </c>
      <c r="D1731" t="inlineStr">
        <is>
          <t>Endowment</t>
        </is>
      </c>
      <c r="E1731" s="50" t="n">
        <v>2024</v>
      </c>
      <c r="F1731" s="50" t="inlineStr">
        <is>
          <t>2025-01-15</t>
        </is>
      </c>
      <c r="G1731" s="50" t="inlineStr">
        <is>
          <t>2024-06-30</t>
        </is>
      </c>
      <c r="H1731" t="inlineStr">
        <is>
          <t>Jose Briones</t>
        </is>
      </c>
      <c r="I1731" t="inlineStr">
        <is>
          <t>PORTFOLIO MANAGER</t>
        </is>
      </c>
      <c r="J1731" t="inlineStr">
        <is>
          <t>Portfolio Manager</t>
        </is>
      </c>
      <c r="K1731" t="inlineStr">
        <is>
          <t>Sr Investment Professional</t>
        </is>
      </c>
      <c r="L1731" s="28" t="n">
        <v>124065</v>
      </c>
      <c r="M1731" s="28" t="n">
        <v>0</v>
      </c>
      <c r="N1731" s="28" t="n">
        <v>0</v>
      </c>
      <c r="O1731" s="28" t="n">
        <v>15502</v>
      </c>
      <c r="P1731" s="28" t="n">
        <v>30343</v>
      </c>
      <c r="Q1731" s="28" t="n">
        <v>169910</v>
      </c>
      <c r="R1731" s="28" t="n">
        <v>0</v>
      </c>
      <c r="S1731" s="28">
        <f>Q1731-R1731</f>
        <v/>
      </c>
      <c r="T1731" s="28">
        <f>IF(S1731="","",S1731*(1+in_GrowthRate)^(YEARFRAC(DATE(2024,6,30),in_AgeToDate)*IF(in_AgeToDate&lt;DATE(2024,6,30),-1,1)+1))</f>
        <v/>
      </c>
      <c r="U1731" s="50">
        <f>IF(AND(AND(OR(in_Mode="All Funds",AND(C1731&gt;=in_BandFloor,C1731&lt;=in_BandCeiling,OR(in_Geography="National",COUNTIFS(lst_GeoPreset,in_Geography,lst_GeoState,B1731)&gt;0,AND(in_Geography="Custom",ISNUMBER(SEARCH(B1731,SUBSTITUTE(in_CustomStates," ",""))))),OR(AND(D1731="Endowment",Inputs!$B$14="Y"),AND(D1731="Foundation",Inputs!$B$15="Y"),AND(D1731="Healthcare",Inputs!$B$16="Y"),AND(D1731="Pension",Inputs!$B$17="Y"),AND(D1731="OCIO",Inputs!$B$18="Y"),AND(D1731="Other",Inputs!$B$19="Y")))),A1731&lt;&gt;in_ClientOrg,NOT(AND(in_ExclHarvard="Y",ISNUMBER(SEARCH("Harvard",A1731))))),$AD1731="Y",K1731&lt;&gt;"",S1731&gt;0),"Y","")</f>
        <v/>
      </c>
      <c r="V1731" s="30" t="n">
        <v>0.5443704705211424</v>
      </c>
      <c r="W1731" t="inlineStr"/>
      <c r="X1731" s="28">
        <f>IF(L1731+M1731=0,"",L1731+M1731)</f>
        <v/>
      </c>
      <c r="Y1731" s="38">
        <f>IF(L1731=0,"",M1731/L1731)</f>
        <v/>
      </c>
      <c r="Z1731" t="inlineStr">
        <is>
          <t>Other investment staff</t>
        </is>
      </c>
      <c r="AA1731" t="inlineStr">
        <is>
          <t>Investments</t>
        </is>
      </c>
      <c r="AB1731" s="50" t="inlineStr"/>
      <c r="AC1731" s="43">
        <f>HYPERLINK("https://projects.propublica.org/nonprofits/organizations/830201971/202510159349301696/full","view filing")</f>
        <v/>
      </c>
      <c r="AD1731" s="50" t="inlineStr"/>
    </row>
    <row r="1732">
      <c r="A1732" t="inlineStr">
        <is>
          <t>University Of Wyoming Foundation</t>
        </is>
      </c>
      <c r="B1732" s="50" t="inlineStr">
        <is>
          <t>WY</t>
        </is>
      </c>
      <c r="C1732" s="52" t="n">
        <v>0.88</v>
      </c>
      <c r="D1732" t="inlineStr">
        <is>
          <t>Endowment</t>
        </is>
      </c>
      <c r="E1732" s="50" t="n">
        <v>2024</v>
      </c>
      <c r="F1732" s="50" t="inlineStr">
        <is>
          <t>2025-01-15</t>
        </is>
      </c>
      <c r="G1732" s="50" t="inlineStr">
        <is>
          <t>2024-06-30</t>
        </is>
      </c>
      <c r="H1732" t="inlineStr">
        <is>
          <t>Philip Treick</t>
        </is>
      </c>
      <c r="I1732" t="inlineStr">
        <is>
          <t>CHIEF INVESTMENT OFFICER</t>
        </is>
      </c>
      <c r="J1732" t="inlineStr">
        <is>
          <t>CIO</t>
        </is>
      </c>
      <c r="K1732" t="inlineStr">
        <is>
          <t>CIO - Top Investment Executive</t>
        </is>
      </c>
      <c r="L1732" s="28" t="n">
        <v>312122</v>
      </c>
      <c r="M1732" s="28" t="n">
        <v>0</v>
      </c>
      <c r="N1732" s="28" t="n">
        <v>0</v>
      </c>
      <c r="O1732" s="28" t="n">
        <v>0</v>
      </c>
      <c r="P1732" s="28" t="n">
        <v>0</v>
      </c>
      <c r="Q1732" s="28" t="n">
        <v>312122</v>
      </c>
      <c r="R1732" s="28" t="n">
        <v>0</v>
      </c>
      <c r="S1732" s="28">
        <f>Q1732-R1732</f>
        <v/>
      </c>
      <c r="T1732" s="28">
        <f>IF(S1732="","",S1732*(1+in_GrowthRate)^(YEARFRAC(DATE(2024,6,30),in_AgeToDate)*IF(in_AgeToDate&lt;DATE(2024,6,30),-1,1)+1))</f>
        <v/>
      </c>
      <c r="U1732" s="50">
        <f>IF(AND(AND(OR(in_Mode="All Funds",AND(C1732&gt;=in_BandFloor,C1732&lt;=in_BandCeiling,OR(in_Geography="National",COUNTIFS(lst_GeoPreset,in_Geography,lst_GeoState,B1732)&gt;0,AND(in_Geography="Custom",ISNUMBER(SEARCH(B1732,SUBSTITUTE(in_CustomStates," ",""))))),OR(AND(D1732="Endowment",Inputs!$B$14="Y"),AND(D1732="Foundation",Inputs!$B$15="Y"),AND(D1732="Healthcare",Inputs!$B$16="Y"),AND(D1732="Pension",Inputs!$B$17="Y"),AND(D1732="OCIO",Inputs!$B$18="Y"),AND(D1732="Other",Inputs!$B$19="Y")))),A1732&lt;&gt;in_ClientOrg,NOT(AND(in_ExclHarvard="Y",ISNUMBER(SEARCH("Harvard",A1732))))),$AD1732="Y",K1732&lt;&gt;"",S1732&gt;0),"Y","")</f>
        <v/>
      </c>
      <c r="V1732" s="30" t="n">
        <v>1</v>
      </c>
      <c r="W1732" t="inlineStr"/>
      <c r="X1732" s="28">
        <f>IF(L1732+M1732=0,"",L1732+M1732)</f>
        <v/>
      </c>
      <c r="Y1732" s="38">
        <f>IF(L1732=0,"",M1732/L1732)</f>
        <v/>
      </c>
      <c r="Z1732" t="inlineStr">
        <is>
          <t>CIO - Top Investment Executive</t>
        </is>
      </c>
      <c r="AA1732" t="inlineStr">
        <is>
          <t>Leadership</t>
        </is>
      </c>
      <c r="AB1732" s="50" t="inlineStr">
        <is>
          <t>Y</t>
        </is>
      </c>
      <c r="AC1732" s="43">
        <f>HYPERLINK("https://projects.propublica.org/nonprofits/organizations/830201971/202510159349301696/full","view filing")</f>
        <v/>
      </c>
      <c r="AD1732" s="50" t="inlineStr"/>
    </row>
    <row r="1733">
      <c r="A1733" t="inlineStr">
        <is>
          <t>University Of Wyoming Foundation</t>
        </is>
      </c>
      <c r="B1733" s="50" t="inlineStr">
        <is>
          <t>WY</t>
        </is>
      </c>
      <c r="C1733" s="52" t="n">
        <v>0.88</v>
      </c>
      <c r="D1733" t="inlineStr">
        <is>
          <t>Endowment</t>
        </is>
      </c>
      <c r="E1733" s="50" t="n">
        <v>2023</v>
      </c>
      <c r="F1733" s="50" t="inlineStr">
        <is>
          <t>2024-01-30</t>
        </is>
      </c>
      <c r="G1733" s="50" t="inlineStr">
        <is>
          <t>2023-06-30</t>
        </is>
      </c>
      <c r="H1733" t="inlineStr">
        <is>
          <t>Philip Treick</t>
        </is>
      </c>
      <c r="I1733" t="inlineStr">
        <is>
          <t>CHIEF INVESTMENT OFFICER</t>
        </is>
      </c>
      <c r="J1733" t="inlineStr">
        <is>
          <t>CIO</t>
        </is>
      </c>
      <c r="K1733" t="inlineStr">
        <is>
          <t>CIO - Top Investment Executive</t>
        </is>
      </c>
      <c r="L1733" s="28" t="n">
        <v>303377</v>
      </c>
      <c r="M1733" s="28" t="n">
        <v>0</v>
      </c>
      <c r="N1733" s="28" t="n">
        <v>0</v>
      </c>
      <c r="O1733" s="28" t="n">
        <v>43213</v>
      </c>
      <c r="P1733" s="28" t="n">
        <v>0</v>
      </c>
      <c r="Q1733" s="28" t="n">
        <v>346590</v>
      </c>
      <c r="R1733" s="28" t="n">
        <v>0</v>
      </c>
      <c r="S1733" s="28">
        <f>Q1733-R1733</f>
        <v/>
      </c>
      <c r="T1733" s="28">
        <f>IF(S1733="","",S1733*(1+in_GrowthRate)^(YEARFRAC(DATE(2023,6,30),in_AgeToDate)*IF(in_AgeToDate&lt;DATE(2023,6,30),-1,1)+1))</f>
        <v/>
      </c>
      <c r="U1733" s="50">
        <f>IF(AND(AND(OR(in_Mode="All Funds",AND(C1733&gt;=in_BandFloor,C1733&lt;=in_BandCeiling,OR(in_Geography="National",COUNTIFS(lst_GeoPreset,in_Geography,lst_GeoState,B1733)&gt;0,AND(in_Geography="Custom",ISNUMBER(SEARCH(B1733,SUBSTITUTE(in_CustomStates," ",""))))),OR(AND(D1733="Endowment",Inputs!$B$14="Y"),AND(D1733="Foundation",Inputs!$B$15="Y"),AND(D1733="Healthcare",Inputs!$B$16="Y"),AND(D1733="Pension",Inputs!$B$17="Y"),AND(D1733="OCIO",Inputs!$B$18="Y"),AND(D1733="Other",Inputs!$B$19="Y")))),A1733&lt;&gt;in_ClientOrg,NOT(AND(in_ExclHarvard="Y",ISNUMBER(SEARCH("Harvard",A1733))))),$AD1733="Y",K1733&lt;&gt;"",S1733&gt;0),"Y","")</f>
        <v/>
      </c>
      <c r="V1733" s="30" t="n">
        <v>1</v>
      </c>
      <c r="W1733" t="inlineStr"/>
      <c r="X1733" s="28">
        <f>IF(L1733+M1733=0,"",L1733+M1733)</f>
        <v/>
      </c>
      <c r="Y1733" s="38">
        <f>IF(L1733=0,"",M1733/L1733)</f>
        <v/>
      </c>
      <c r="Z1733" t="inlineStr">
        <is>
          <t>CIO - Top Investment Executive</t>
        </is>
      </c>
      <c r="AA1733" t="inlineStr">
        <is>
          <t>Leadership</t>
        </is>
      </c>
      <c r="AB1733" s="50" t="inlineStr">
        <is>
          <t>Y</t>
        </is>
      </c>
      <c r="AC1733" s="43">
        <f>HYPERLINK("https://projects.propublica.org/nonprofits/organizations/830201971/202410309349300211/full","view filing")</f>
        <v/>
      </c>
      <c r="AD1733" s="50" t="inlineStr"/>
    </row>
    <row r="1734">
      <c r="A1734" t="inlineStr">
        <is>
          <t>University Of Wyoming Foundation</t>
        </is>
      </c>
      <c r="B1734" s="50" t="inlineStr">
        <is>
          <t>WY</t>
        </is>
      </c>
      <c r="C1734" s="52" t="n">
        <v>0.88</v>
      </c>
      <c r="D1734" t="inlineStr">
        <is>
          <t>Endowment</t>
        </is>
      </c>
      <c r="E1734" s="50" t="n">
        <v>2022</v>
      </c>
      <c r="F1734" s="50" t="inlineStr">
        <is>
          <t>2023-05-15</t>
        </is>
      </c>
      <c r="G1734" s="50" t="inlineStr">
        <is>
          <t>2022-06-30</t>
        </is>
      </c>
      <c r="H1734" t="inlineStr">
        <is>
          <t>Philip Treick</t>
        </is>
      </c>
      <c r="I1734" t="inlineStr">
        <is>
          <t>CHIEF INVESTMENT OFFICER</t>
        </is>
      </c>
      <c r="J1734" t="inlineStr">
        <is>
          <t>CIO</t>
        </is>
      </c>
      <c r="K1734" t="inlineStr">
        <is>
          <t>CIO - Top Investment Executive</t>
        </is>
      </c>
      <c r="L1734" s="28" t="n">
        <v>303377</v>
      </c>
      <c r="M1734" s="28" t="n">
        <v>0</v>
      </c>
      <c r="N1734" s="28" t="n">
        <v>0</v>
      </c>
      <c r="O1734" s="28" t="n">
        <v>0</v>
      </c>
      <c r="P1734" s="28" t="n">
        <v>0</v>
      </c>
      <c r="Q1734" s="28" t="n">
        <v>303377</v>
      </c>
      <c r="R1734" s="28" t="n">
        <v>0</v>
      </c>
      <c r="S1734" s="28">
        <f>Q1734-R1734</f>
        <v/>
      </c>
      <c r="T1734" s="28">
        <f>IF(S1734="","",S1734*(1+in_GrowthRate)^(YEARFRAC(DATE(2022,6,30),in_AgeToDate)*IF(in_AgeToDate&lt;DATE(2022,6,30),-1,1)+1))</f>
        <v/>
      </c>
      <c r="U1734" s="50">
        <f>IF(AND(AND(OR(in_Mode="All Funds",AND(C1734&gt;=in_BandFloor,C1734&lt;=in_BandCeiling,OR(in_Geography="National",COUNTIFS(lst_GeoPreset,in_Geography,lst_GeoState,B1734)&gt;0,AND(in_Geography="Custom",ISNUMBER(SEARCH(B1734,SUBSTITUTE(in_CustomStates," ",""))))),OR(AND(D1734="Endowment",Inputs!$B$14="Y"),AND(D1734="Foundation",Inputs!$B$15="Y"),AND(D1734="Healthcare",Inputs!$B$16="Y"),AND(D1734="Pension",Inputs!$B$17="Y"),AND(D1734="OCIO",Inputs!$B$18="Y"),AND(D1734="Other",Inputs!$B$19="Y")))),A1734&lt;&gt;in_ClientOrg,NOT(AND(in_ExclHarvard="Y",ISNUMBER(SEARCH("Harvard",A1734))))),$AD1734="Y",K1734&lt;&gt;"",S1734&gt;0),"Y","")</f>
        <v/>
      </c>
      <c r="V1734" s="30" t="n">
        <v>1</v>
      </c>
      <c r="W1734" t="inlineStr"/>
      <c r="X1734" s="28">
        <f>IF(L1734+M1734=0,"",L1734+M1734)</f>
        <v/>
      </c>
      <c r="Y1734" s="38">
        <f>IF(L1734=0,"",M1734/L1734)</f>
        <v/>
      </c>
      <c r="Z1734" t="inlineStr">
        <is>
          <t>CIO - Top Investment Executive</t>
        </is>
      </c>
      <c r="AA1734" t="inlineStr">
        <is>
          <t>Leadership</t>
        </is>
      </c>
      <c r="AB1734" s="50" t="inlineStr">
        <is>
          <t>Y</t>
        </is>
      </c>
      <c r="AC1734" s="43">
        <f>HYPERLINK("https://projects.propublica.org/nonprofits/organizations/830201971/202331359349313123/full","view filing")</f>
        <v/>
      </c>
      <c r="AD1734" s="50" t="inlineStr"/>
    </row>
    <row r="1735">
      <c r="A1735" t="inlineStr">
        <is>
          <t>Vanderbilt University</t>
        </is>
      </c>
      <c r="B1735" s="50" t="inlineStr">
        <is>
          <t>TN</t>
        </is>
      </c>
      <c r="C1735" s="52" t="n">
        <v>10.86</v>
      </c>
      <c r="D1735" t="inlineStr">
        <is>
          <t>Endowment</t>
        </is>
      </c>
      <c r="E1735" s="50" t="n">
        <v>2025</v>
      </c>
      <c r="F1735" s="50" t="inlineStr">
        <is>
          <t>2026-05-11</t>
        </is>
      </c>
      <c r="G1735" s="50" t="inlineStr">
        <is>
          <t>2025-06-30</t>
        </is>
      </c>
      <c r="H1735" t="inlineStr">
        <is>
          <t>Anders W Hall</t>
        </is>
      </c>
      <c r="I1735" t="inlineStr">
        <is>
          <t>Vice Chancellor for Investments and Chief Investment Officer</t>
        </is>
      </c>
      <c r="J1735" t="inlineStr">
        <is>
          <t>CIO</t>
        </is>
      </c>
      <c r="K1735" t="inlineStr">
        <is>
          <t>CIO - Top Investment Executive</t>
        </is>
      </c>
      <c r="L1735" s="28" t="n">
        <v>1081252</v>
      </c>
      <c r="M1735" s="28" t="n">
        <v>2530491</v>
      </c>
      <c r="N1735" s="28" t="n">
        <v>2136234</v>
      </c>
      <c r="O1735" s="28" t="n">
        <v>2625958</v>
      </c>
      <c r="P1735" s="28" t="n">
        <v>53460</v>
      </c>
      <c r="Q1735" s="28" t="n">
        <v>8427395</v>
      </c>
      <c r="R1735" s="28" t="n">
        <v>2114182</v>
      </c>
      <c r="S1735" s="28">
        <f>Q1735-R1735</f>
        <v/>
      </c>
      <c r="T1735" s="28">
        <f>IF(S1735="","",S1735*(1+in_GrowthRate)^(YEARFRAC(DATE(2025,6,30),in_AgeToDate)*IF(in_AgeToDate&lt;DATE(2025,6,30),-1,1)+1))</f>
        <v/>
      </c>
      <c r="U1735" s="50">
        <f>IF(AND(AND(OR(in_Mode="All Funds",AND(C1735&gt;=in_BandFloor,C1735&lt;=in_BandCeiling,OR(in_Geography="National",COUNTIFS(lst_GeoPreset,in_Geography,lst_GeoState,B1735)&gt;0,AND(in_Geography="Custom",ISNUMBER(SEARCH(B1735,SUBSTITUTE(in_CustomStates," ",""))))),OR(AND(D1735="Endowment",Inputs!$B$14="Y"),AND(D1735="Foundation",Inputs!$B$15="Y"),AND(D1735="Healthcare",Inputs!$B$16="Y"),AND(D1735="Pension",Inputs!$B$17="Y"),AND(D1735="OCIO",Inputs!$B$18="Y"),AND(D1735="Other",Inputs!$B$19="Y")))),A1735&lt;&gt;in_ClientOrg,NOT(AND(in_ExclHarvard="Y",ISNUMBER(SEARCH("Harvard",A1735))))),$AD1735="Y",K1735&lt;&gt;"",S1735&gt;0),"Y","")</f>
        <v/>
      </c>
      <c r="V1735" s="30" t="n">
        <v>1</v>
      </c>
      <c r="W1735" t="inlineStr"/>
      <c r="X1735" s="28">
        <f>IF(L1735+M1735=0,"",L1735+M1735)</f>
        <v/>
      </c>
      <c r="Y1735" s="38">
        <f>IF(L1735=0,"",M1735/L1735)</f>
        <v/>
      </c>
      <c r="Z1735" t="inlineStr">
        <is>
          <t>CIO - Top Investment Executive</t>
        </is>
      </c>
      <c r="AA1735" t="inlineStr">
        <is>
          <t>Leadership</t>
        </is>
      </c>
      <c r="AB1735" s="50" t="inlineStr">
        <is>
          <t>Y</t>
        </is>
      </c>
      <c r="AC1735" s="43">
        <f>HYPERLINK("https://projects.propublica.org/nonprofits/organizations/620476822/202621319349302052/full","view filing")</f>
        <v/>
      </c>
      <c r="AD1735" s="50" t="inlineStr">
        <is>
          <t>Y</t>
        </is>
      </c>
    </row>
    <row r="1736">
      <c r="A1736" t="inlineStr">
        <is>
          <t>Vanderbilt University</t>
        </is>
      </c>
      <c r="B1736" s="50" t="inlineStr">
        <is>
          <t>TN</t>
        </is>
      </c>
      <c r="C1736" s="52" t="n">
        <v>10.86</v>
      </c>
      <c r="D1736" t="inlineStr">
        <is>
          <t>Endowment</t>
        </is>
      </c>
      <c r="E1736" s="50" t="n">
        <v>2024</v>
      </c>
      <c r="F1736" s="50" t="inlineStr">
        <is>
          <t>2025-05-07</t>
        </is>
      </c>
      <c r="G1736" s="50" t="inlineStr">
        <is>
          <t>2024-06-30</t>
        </is>
      </c>
      <c r="H1736" t="inlineStr">
        <is>
          <t>Anders W Hall</t>
        </is>
      </c>
      <c r="I1736" t="inlineStr">
        <is>
          <t>Vice Chancellor for Investments and Chief Investment Officer</t>
        </is>
      </c>
      <c r="J1736" t="inlineStr">
        <is>
          <t>CIO</t>
        </is>
      </c>
      <c r="K1736" t="inlineStr">
        <is>
          <t>CIO - Top Investment Executive</t>
        </is>
      </c>
      <c r="L1736" s="28" t="n">
        <v>1040180</v>
      </c>
      <c r="M1736" s="28" t="n">
        <v>2431425</v>
      </c>
      <c r="N1736" s="28" t="n">
        <v>2529906</v>
      </c>
      <c r="O1736" s="28" t="n">
        <v>2161563</v>
      </c>
      <c r="P1736" s="28" t="n">
        <v>82919</v>
      </c>
      <c r="Q1736" s="28" t="n">
        <v>8245993</v>
      </c>
      <c r="R1736" s="28" t="n">
        <v>1749450</v>
      </c>
      <c r="S1736" s="28">
        <f>Q1736-R1736</f>
        <v/>
      </c>
      <c r="T1736" s="28">
        <f>IF(S1736="","",S1736*(1+in_GrowthRate)^(YEARFRAC(DATE(2024,6,30),in_AgeToDate)*IF(in_AgeToDate&lt;DATE(2024,6,30),-1,1)+1))</f>
        <v/>
      </c>
      <c r="U1736" s="50">
        <f>IF(AND(AND(OR(in_Mode="All Funds",AND(C1736&gt;=in_BandFloor,C1736&lt;=in_BandCeiling,OR(in_Geography="National",COUNTIFS(lst_GeoPreset,in_Geography,lst_GeoState,B1736)&gt;0,AND(in_Geography="Custom",ISNUMBER(SEARCH(B1736,SUBSTITUTE(in_CustomStates," ",""))))),OR(AND(D1736="Endowment",Inputs!$B$14="Y"),AND(D1736="Foundation",Inputs!$B$15="Y"),AND(D1736="Healthcare",Inputs!$B$16="Y"),AND(D1736="Pension",Inputs!$B$17="Y"),AND(D1736="OCIO",Inputs!$B$18="Y"),AND(D1736="Other",Inputs!$B$19="Y")))),A1736&lt;&gt;in_ClientOrg,NOT(AND(in_ExclHarvard="Y",ISNUMBER(SEARCH("Harvard",A1736))))),$AD1736="Y",K1736&lt;&gt;"",S1736&gt;0),"Y","")</f>
        <v/>
      </c>
      <c r="V1736" s="30" t="n">
        <v>1</v>
      </c>
      <c r="W1736" t="inlineStr"/>
      <c r="X1736" s="28">
        <f>IF(L1736+M1736=0,"",L1736+M1736)</f>
        <v/>
      </c>
      <c r="Y1736" s="38">
        <f>IF(L1736=0,"",M1736/L1736)</f>
        <v/>
      </c>
      <c r="Z1736" t="inlineStr">
        <is>
          <t>CIO - Top Investment Executive</t>
        </is>
      </c>
      <c r="AA1736" t="inlineStr">
        <is>
          <t>Leadership</t>
        </is>
      </c>
      <c r="AB1736" s="50" t="inlineStr">
        <is>
          <t>Y</t>
        </is>
      </c>
      <c r="AC1736" s="43">
        <f>HYPERLINK("https://projects.propublica.org/nonprofits/organizations/620476822/202501279349301815/full","view filing")</f>
        <v/>
      </c>
      <c r="AD1736" s="50" t="inlineStr"/>
    </row>
    <row r="1737">
      <c r="A1737" t="inlineStr">
        <is>
          <t>Vanderbilt University</t>
        </is>
      </c>
      <c r="B1737" s="50" t="inlineStr">
        <is>
          <t>TN</t>
        </is>
      </c>
      <c r="C1737" s="52" t="n">
        <v>10.86</v>
      </c>
      <c r="D1737" t="inlineStr">
        <is>
          <t>Endowment</t>
        </is>
      </c>
      <c r="E1737" s="50" t="n">
        <v>2023</v>
      </c>
      <c r="F1737" s="50" t="inlineStr">
        <is>
          <t>2024-05-10</t>
        </is>
      </c>
      <c r="G1737" s="50" t="inlineStr">
        <is>
          <t>2023-06-30</t>
        </is>
      </c>
      <c r="H1737" t="inlineStr">
        <is>
          <t>Anders W Hall</t>
        </is>
      </c>
      <c r="I1737" t="inlineStr">
        <is>
          <t>Vice Chancellor for Investments and Chief Investment Officer</t>
        </is>
      </c>
      <c r="J1737" t="inlineStr">
        <is>
          <t>CIO</t>
        </is>
      </c>
      <c r="K1737" t="inlineStr">
        <is>
          <t>CIO - Top Investment Executive</t>
        </is>
      </c>
      <c r="L1737" s="28" t="n">
        <v>1043352</v>
      </c>
      <c r="M1737" s="28" t="n">
        <v>3659938</v>
      </c>
      <c r="N1737" s="28" t="n">
        <v>52421</v>
      </c>
      <c r="O1737" s="28" t="n">
        <v>1561873</v>
      </c>
      <c r="P1737" s="28" t="n">
        <v>33135</v>
      </c>
      <c r="Q1737" s="28" t="n">
        <v>6350719</v>
      </c>
      <c r="R1737" s="28" t="n">
        <v>894083</v>
      </c>
      <c r="S1737" s="28">
        <f>Q1737-R1737</f>
        <v/>
      </c>
      <c r="T1737" s="28">
        <f>IF(S1737="","",S1737*(1+in_GrowthRate)^(YEARFRAC(DATE(2023,6,30),in_AgeToDate)*IF(in_AgeToDate&lt;DATE(2023,6,30),-1,1)+1))</f>
        <v/>
      </c>
      <c r="U1737" s="50">
        <f>IF(AND(AND(OR(in_Mode="All Funds",AND(C1737&gt;=in_BandFloor,C1737&lt;=in_BandCeiling,OR(in_Geography="National",COUNTIFS(lst_GeoPreset,in_Geography,lst_GeoState,B1737)&gt;0,AND(in_Geography="Custom",ISNUMBER(SEARCH(B1737,SUBSTITUTE(in_CustomStates," ",""))))),OR(AND(D1737="Endowment",Inputs!$B$14="Y"),AND(D1737="Foundation",Inputs!$B$15="Y"),AND(D1737="Healthcare",Inputs!$B$16="Y"),AND(D1737="Pension",Inputs!$B$17="Y"),AND(D1737="OCIO",Inputs!$B$18="Y"),AND(D1737="Other",Inputs!$B$19="Y")))),A1737&lt;&gt;in_ClientOrg,NOT(AND(in_ExclHarvard="Y",ISNUMBER(SEARCH("Harvard",A1737))))),$AD1737="Y",K1737&lt;&gt;"",S1737&gt;0),"Y","")</f>
        <v/>
      </c>
      <c r="V1737" s="30" t="n">
        <v>1</v>
      </c>
      <c r="W1737" t="inlineStr"/>
      <c r="X1737" s="28">
        <f>IF(L1737+M1737=0,"",L1737+M1737)</f>
        <v/>
      </c>
      <c r="Y1737" s="38">
        <f>IF(L1737=0,"",M1737/L1737)</f>
        <v/>
      </c>
      <c r="Z1737" t="inlineStr">
        <is>
          <t>CIO - Top Investment Executive</t>
        </is>
      </c>
      <c r="AA1737" t="inlineStr">
        <is>
          <t>Leadership</t>
        </is>
      </c>
      <c r="AB1737" s="50" t="inlineStr">
        <is>
          <t>Y</t>
        </is>
      </c>
      <c r="AC1737" s="43">
        <f>HYPERLINK("https://projects.propublica.org/nonprofits/organizations/620476822/202401319349302750/full","view filing")</f>
        <v/>
      </c>
      <c r="AD1737" s="50" t="inlineStr"/>
    </row>
    <row r="1738">
      <c r="A1738" t="inlineStr">
        <is>
          <t>Vanderbilt University</t>
        </is>
      </c>
      <c r="B1738" s="50" t="inlineStr">
        <is>
          <t>TN</t>
        </is>
      </c>
      <c r="C1738" s="52" t="n">
        <v>10.86</v>
      </c>
      <c r="D1738" t="inlineStr">
        <is>
          <t>Endowment</t>
        </is>
      </c>
      <c r="E1738" s="50" t="n">
        <v>2022</v>
      </c>
      <c r="F1738" s="50" t="inlineStr">
        <is>
          <t>2023-05-03</t>
        </is>
      </c>
      <c r="G1738" s="50" t="inlineStr">
        <is>
          <t>2022-06-30</t>
        </is>
      </c>
      <c r="H1738" t="inlineStr">
        <is>
          <t>Anders W Hall</t>
        </is>
      </c>
      <c r="I1738" t="inlineStr">
        <is>
          <t>Vice Chancellor for Investments and Chief Investment Officer</t>
        </is>
      </c>
      <c r="J1738" t="inlineStr">
        <is>
          <t>CIO</t>
        </is>
      </c>
      <c r="K1738" t="inlineStr">
        <is>
          <t>CIO - Top Investment Executive</t>
        </is>
      </c>
      <c r="L1738" s="28" t="n">
        <v>871704</v>
      </c>
      <c r="M1738" s="28" t="n">
        <v>1982146</v>
      </c>
      <c r="N1738" s="28" t="n">
        <v>19419</v>
      </c>
      <c r="O1738" s="28" t="n">
        <v>1529904</v>
      </c>
      <c r="P1738" s="28" t="n">
        <v>31192</v>
      </c>
      <c r="Q1738" s="28" t="n">
        <v>4434365</v>
      </c>
      <c r="R1738" s="28" t="n">
        <v>312540</v>
      </c>
      <c r="S1738" s="28">
        <f>Q1738-R1738</f>
        <v/>
      </c>
      <c r="T1738" s="28">
        <f>IF(S1738="","",S1738*(1+in_GrowthRate)^(YEARFRAC(DATE(2022,6,30),in_AgeToDate)*IF(in_AgeToDate&lt;DATE(2022,6,30),-1,1)+1))</f>
        <v/>
      </c>
      <c r="U1738" s="50">
        <f>IF(AND(AND(OR(in_Mode="All Funds",AND(C1738&gt;=in_BandFloor,C1738&lt;=in_BandCeiling,OR(in_Geography="National",COUNTIFS(lst_GeoPreset,in_Geography,lst_GeoState,B1738)&gt;0,AND(in_Geography="Custom",ISNUMBER(SEARCH(B1738,SUBSTITUTE(in_CustomStates," ",""))))),OR(AND(D1738="Endowment",Inputs!$B$14="Y"),AND(D1738="Foundation",Inputs!$B$15="Y"),AND(D1738="Healthcare",Inputs!$B$16="Y"),AND(D1738="Pension",Inputs!$B$17="Y"),AND(D1738="OCIO",Inputs!$B$18="Y"),AND(D1738="Other",Inputs!$B$19="Y")))),A1738&lt;&gt;in_ClientOrg,NOT(AND(in_ExclHarvard="Y",ISNUMBER(SEARCH("Harvard",A1738))))),$AD1738="Y",K1738&lt;&gt;"",S1738&gt;0),"Y","")</f>
        <v/>
      </c>
      <c r="V1738" s="30" t="n">
        <v>1</v>
      </c>
      <c r="W1738" t="inlineStr"/>
      <c r="X1738" s="28">
        <f>IF(L1738+M1738=0,"",L1738+M1738)</f>
        <v/>
      </c>
      <c r="Y1738" s="38">
        <f>IF(L1738=0,"",M1738/L1738)</f>
        <v/>
      </c>
      <c r="Z1738" t="inlineStr">
        <is>
          <t>CIO - Top Investment Executive</t>
        </is>
      </c>
      <c r="AA1738" t="inlineStr">
        <is>
          <t>Leadership</t>
        </is>
      </c>
      <c r="AB1738" s="50" t="inlineStr">
        <is>
          <t>Y</t>
        </is>
      </c>
      <c r="AC1738" s="43">
        <f>HYPERLINK("https://projects.propublica.org/nonprofits/organizations/620476822/202331239349300533/full","view filing")</f>
        <v/>
      </c>
      <c r="AD1738" s="50" t="inlineStr"/>
    </row>
    <row r="1739">
      <c r="A1739" t="inlineStr">
        <is>
          <t>Vanderbilt University</t>
        </is>
      </c>
      <c r="B1739" s="50" t="inlineStr">
        <is>
          <t>TN</t>
        </is>
      </c>
      <c r="C1739" s="52" t="n">
        <v>10.86</v>
      </c>
      <c r="D1739" t="inlineStr">
        <is>
          <t>Endowment</t>
        </is>
      </c>
      <c r="E1739" s="50" t="n">
        <v>2022</v>
      </c>
      <c r="F1739" s="50" t="inlineStr">
        <is>
          <t>2023-05-03</t>
        </is>
      </c>
      <c r="G1739" s="50" t="inlineStr">
        <is>
          <t>2022-06-30</t>
        </is>
      </c>
      <c r="H1739" t="inlineStr">
        <is>
          <t>Travis W Shore</t>
        </is>
      </c>
      <c r="I1739" t="inlineStr">
        <is>
          <t>Managing Director, Investments</t>
        </is>
      </c>
      <c r="J1739" t="inlineStr">
        <is>
          <t>Managing Director</t>
        </is>
      </c>
      <c r="K1739" t="inlineStr">
        <is>
          <t>Sr Investment Professional</t>
        </is>
      </c>
      <c r="L1739" s="28" t="n">
        <v>375989</v>
      </c>
      <c r="M1739" s="28" t="n">
        <v>968338</v>
      </c>
      <c r="N1739" s="28" t="n">
        <v>20129</v>
      </c>
      <c r="O1739" s="28" t="n">
        <v>615051</v>
      </c>
      <c r="P1739" s="28" t="n">
        <v>42680</v>
      </c>
      <c r="Q1739" s="28" t="n">
        <v>2022187</v>
      </c>
      <c r="R1739" s="28" t="n">
        <v>0</v>
      </c>
      <c r="S1739" s="28">
        <f>Q1739-R1739</f>
        <v/>
      </c>
      <c r="T1739" s="28">
        <f>IF(S1739="","",S1739*(1+in_GrowthRate)^(YEARFRAC(DATE(2022,6,30),in_AgeToDate)*IF(in_AgeToDate&lt;DATE(2022,6,30),-1,1)+1))</f>
        <v/>
      </c>
      <c r="U1739" s="50">
        <f>IF(AND(AND(OR(in_Mode="All Funds",AND(C1739&gt;=in_BandFloor,C1739&lt;=in_BandCeiling,OR(in_Geography="National",COUNTIFS(lst_GeoPreset,in_Geography,lst_GeoState,B1739)&gt;0,AND(in_Geography="Custom",ISNUMBER(SEARCH(B1739,SUBSTITUTE(in_CustomStates," ",""))))),OR(AND(D1739="Endowment",Inputs!$B$14="Y"),AND(D1739="Foundation",Inputs!$B$15="Y"),AND(D1739="Healthcare",Inputs!$B$16="Y"),AND(D1739="Pension",Inputs!$B$17="Y"),AND(D1739="OCIO",Inputs!$B$18="Y"),AND(D1739="Other",Inputs!$B$19="Y")))),A1739&lt;&gt;in_ClientOrg,NOT(AND(in_ExclHarvard="Y",ISNUMBER(SEARCH("Harvard",A1739))))),$AD1739="Y",K1739&lt;&gt;"",S1739&gt;0),"Y","")</f>
        <v/>
      </c>
      <c r="V1739" s="30" t="n">
        <v>0.4906047685187993</v>
      </c>
      <c r="W1739" t="inlineStr"/>
      <c r="X1739" s="28">
        <f>IF(L1739+M1739=0,"",L1739+M1739)</f>
        <v/>
      </c>
      <c r="Y1739" s="38">
        <f>IF(L1739=0,"",M1739/L1739)</f>
        <v/>
      </c>
      <c r="Z1739" t="inlineStr">
        <is>
          <t>Managing Director</t>
        </is>
      </c>
      <c r="AA1739" t="inlineStr">
        <is>
          <t>Investments</t>
        </is>
      </c>
      <c r="AB1739" s="50" t="inlineStr"/>
      <c r="AC1739" s="43">
        <f>HYPERLINK("https://projects.propublica.org/nonprofits/organizations/620476822/202331239349300533/full","view filing")</f>
        <v/>
      </c>
      <c r="AD1739" s="50" t="inlineStr"/>
    </row>
    <row r="1740">
      <c r="A1740" t="inlineStr">
        <is>
          <t>Vcu Investment Management Company</t>
        </is>
      </c>
      <c r="B1740" s="50" t="inlineStr">
        <is>
          <t>VA</t>
        </is>
      </c>
      <c r="C1740" s="52" t="n">
        <v>2.89</v>
      </c>
      <c r="D1740" t="inlineStr">
        <is>
          <t>Endowment</t>
        </is>
      </c>
      <c r="E1740" s="50" t="n">
        <v>2025</v>
      </c>
      <c r="F1740" s="50" t="inlineStr">
        <is>
          <t>2026-01-19</t>
        </is>
      </c>
      <c r="G1740" s="50" t="inlineStr">
        <is>
          <t>2025-06-30</t>
        </is>
      </c>
      <c r="H1740" t="inlineStr">
        <is>
          <t>Bruce Macdonald</t>
        </is>
      </c>
      <c r="I1740" t="inlineStr">
        <is>
          <t>CEO AND CIO</t>
        </is>
      </c>
      <c r="J1740" t="inlineStr">
        <is>
          <t>CIO</t>
        </is>
      </c>
      <c r="K1740" t="inlineStr">
        <is>
          <t>CIO - Top Investment Executive</t>
        </is>
      </c>
      <c r="L1740" s="28" t="n">
        <v>518413</v>
      </c>
      <c r="M1740" s="28" t="n">
        <v>407750</v>
      </c>
      <c r="N1740" s="28" t="n">
        <v>0</v>
      </c>
      <c r="O1740" s="28" t="n">
        <v>0</v>
      </c>
      <c r="P1740" s="28" t="n">
        <v>35369</v>
      </c>
      <c r="Q1740" s="28" t="n">
        <v>961532</v>
      </c>
      <c r="R1740" s="28" t="n">
        <v>0</v>
      </c>
      <c r="S1740" s="28">
        <f>Q1740-R1740</f>
        <v/>
      </c>
      <c r="T1740" s="28">
        <f>IF(S1740="","",S1740*(1+in_GrowthRate)^(YEARFRAC(DATE(2025,6,30),in_AgeToDate)*IF(in_AgeToDate&lt;DATE(2025,6,30),-1,1)+1))</f>
        <v/>
      </c>
      <c r="U1740" s="50">
        <f>IF(AND(AND(OR(in_Mode="All Funds",AND(C1740&gt;=in_BandFloor,C1740&lt;=in_BandCeiling,OR(in_Geography="National",COUNTIFS(lst_GeoPreset,in_Geography,lst_GeoState,B1740)&gt;0,AND(in_Geography="Custom",ISNUMBER(SEARCH(B1740,SUBSTITUTE(in_CustomStates," ",""))))),OR(AND(D1740="Endowment",Inputs!$B$14="Y"),AND(D1740="Foundation",Inputs!$B$15="Y"),AND(D1740="Healthcare",Inputs!$B$16="Y"),AND(D1740="Pension",Inputs!$B$17="Y"),AND(D1740="OCIO",Inputs!$B$18="Y"),AND(D1740="Other",Inputs!$B$19="Y")))),A1740&lt;&gt;in_ClientOrg,NOT(AND(in_ExclHarvard="Y",ISNUMBER(SEARCH("Harvard",A1740))))),$AD1740="Y",K1740&lt;&gt;"",S1740&gt;0),"Y","")</f>
        <v/>
      </c>
      <c r="V1740" s="30" t="n">
        <v>1</v>
      </c>
      <c r="W1740" t="inlineStr"/>
      <c r="X1740" s="28">
        <f>IF(L1740+M1740=0,"",L1740+M1740)</f>
        <v/>
      </c>
      <c r="Y1740" s="38">
        <f>IF(L1740=0,"",M1740/L1740)</f>
        <v/>
      </c>
      <c r="Z1740" t="inlineStr">
        <is>
          <t>CIO - Top Investment Executive</t>
        </is>
      </c>
      <c r="AA1740" t="inlineStr">
        <is>
          <t>Leadership</t>
        </is>
      </c>
      <c r="AB1740" s="50" t="inlineStr">
        <is>
          <t>Y</t>
        </is>
      </c>
      <c r="AC1740" s="43">
        <f>HYPERLINK("https://projects.propublica.org/nonprofits/organizations/474815851/202600199349300105/full","view filing")</f>
        <v/>
      </c>
      <c r="AD1740" s="50" t="inlineStr">
        <is>
          <t>Y</t>
        </is>
      </c>
    </row>
    <row r="1741">
      <c r="A1741" t="inlineStr">
        <is>
          <t>Vcu Investment Management Company</t>
        </is>
      </c>
      <c r="B1741" s="50" t="inlineStr">
        <is>
          <t>VA</t>
        </is>
      </c>
      <c r="C1741" s="52" t="n">
        <v>2.89</v>
      </c>
      <c r="D1741" t="inlineStr">
        <is>
          <t>Endowment</t>
        </is>
      </c>
      <c r="E1741" s="50" t="n">
        <v>2025</v>
      </c>
      <c r="F1741" s="50" t="inlineStr">
        <is>
          <t>2026-01-19</t>
        </is>
      </c>
      <c r="G1741" s="50" t="inlineStr">
        <is>
          <t>2025-06-30</t>
        </is>
      </c>
      <c r="H1741" t="inlineStr">
        <is>
          <t>Lucas Hall</t>
        </is>
      </c>
      <c r="I1741" t="inlineStr">
        <is>
          <t>VICE PRESIDENT</t>
        </is>
      </c>
      <c r="J1741" t="inlineStr">
        <is>
          <t>Investment Officer</t>
        </is>
      </c>
      <c r="K1741" t="inlineStr">
        <is>
          <t>Sr Investment Professional</t>
        </is>
      </c>
      <c r="L1741" s="28" t="n">
        <v>0</v>
      </c>
      <c r="M1741" s="28" t="n">
        <v>0</v>
      </c>
      <c r="N1741" s="28" t="n">
        <v>0</v>
      </c>
      <c r="O1741" s="28" t="n">
        <v>0</v>
      </c>
      <c r="P1741" s="28" t="n">
        <v>0</v>
      </c>
      <c r="Q1741" s="28" t="n">
        <v>136830</v>
      </c>
      <c r="R1741" s="28" t="n">
        <v>0</v>
      </c>
      <c r="S1741" s="28">
        <f>Q1741-R1741</f>
        <v/>
      </c>
      <c r="T1741" s="28">
        <f>IF(S1741="","",S1741*(1+in_GrowthRate)^(YEARFRAC(DATE(2025,6,30),in_AgeToDate)*IF(in_AgeToDate&lt;DATE(2025,6,30),-1,1)+1))</f>
        <v/>
      </c>
      <c r="U1741" s="50">
        <f>IF(AND(AND(OR(in_Mode="All Funds",AND(C1741&gt;=in_BandFloor,C1741&lt;=in_BandCeiling,OR(in_Geography="National",COUNTIFS(lst_GeoPreset,in_Geography,lst_GeoState,B1741)&gt;0,AND(in_Geography="Custom",ISNUMBER(SEARCH(B1741,SUBSTITUTE(in_CustomStates," ",""))))),OR(AND(D1741="Endowment",Inputs!$B$14="Y"),AND(D1741="Foundation",Inputs!$B$15="Y"),AND(D1741="Healthcare",Inputs!$B$16="Y"),AND(D1741="Pension",Inputs!$B$17="Y"),AND(D1741="OCIO",Inputs!$B$18="Y"),AND(D1741="Other",Inputs!$B$19="Y")))),A1741&lt;&gt;in_ClientOrg,NOT(AND(in_ExclHarvard="Y",ISNUMBER(SEARCH("Harvard",A1741))))),$AD1741="Y",K1741&lt;&gt;"",S1741&gt;0),"Y","")</f>
        <v/>
      </c>
      <c r="V1741" s="30" t="n">
        <v>0.1423041562839302</v>
      </c>
      <c r="W1741" t="inlineStr"/>
      <c r="X1741" s="28">
        <f>IF(L1741+M1741=0,"",L1741+M1741)</f>
        <v/>
      </c>
      <c r="Y1741" s="38">
        <f>IF(L1741=0,"",M1741/L1741)</f>
        <v/>
      </c>
      <c r="Z1741" t="inlineStr">
        <is>
          <t>Director &amp; Investment Officer</t>
        </is>
      </c>
      <c r="AA1741" t="inlineStr">
        <is>
          <t>Investments</t>
        </is>
      </c>
      <c r="AB1741" s="50" t="inlineStr"/>
      <c r="AC1741" s="43">
        <f>HYPERLINK("https://projects.propublica.org/nonprofits/organizations/474815851/202600199349300105/full","view filing")</f>
        <v/>
      </c>
      <c r="AD1741" s="50" t="inlineStr">
        <is>
          <t>Y</t>
        </is>
      </c>
    </row>
    <row r="1742">
      <c r="A1742" t="inlineStr">
        <is>
          <t>Vcu Investment Management Company</t>
        </is>
      </c>
      <c r="B1742" s="50" t="inlineStr">
        <is>
          <t>VA</t>
        </is>
      </c>
      <c r="C1742" s="52" t="n">
        <v>2.89</v>
      </c>
      <c r="D1742" t="inlineStr">
        <is>
          <t>Endowment</t>
        </is>
      </c>
      <c r="E1742" s="50" t="n">
        <v>2025</v>
      </c>
      <c r="F1742" s="50" t="inlineStr">
        <is>
          <t>2026-01-19</t>
        </is>
      </c>
      <c r="G1742" s="50" t="inlineStr">
        <is>
          <t>2025-06-30</t>
        </is>
      </c>
      <c r="H1742" t="inlineStr">
        <is>
          <t>Michael Peltier</t>
        </is>
      </c>
      <c r="I1742" t="inlineStr">
        <is>
          <t>COO &amp; SECRETARY</t>
        </is>
      </c>
      <c r="J1742" t="inlineStr">
        <is>
          <t>COO (Inv Entity)</t>
        </is>
      </c>
      <c r="K1742" t="inlineStr">
        <is>
          <t>COO (Investment Office)</t>
        </is>
      </c>
      <c r="L1742" s="28" t="n">
        <v>255625</v>
      </c>
      <c r="M1742" s="28" t="n">
        <v>145000</v>
      </c>
      <c r="N1742" s="28" t="n">
        <v>0</v>
      </c>
      <c r="O1742" s="28" t="n">
        <v>0</v>
      </c>
      <c r="P1742" s="28" t="n">
        <v>35369</v>
      </c>
      <c r="Q1742" s="28" t="n">
        <v>435994</v>
      </c>
      <c r="R1742" s="28" t="n">
        <v>0</v>
      </c>
      <c r="S1742" s="28">
        <f>Q1742-R1742</f>
        <v/>
      </c>
      <c r="T1742" s="28">
        <f>IF(S1742="","",S1742*(1+in_GrowthRate)^(YEARFRAC(DATE(2025,6,30),in_AgeToDate)*IF(in_AgeToDate&lt;DATE(2025,6,30),-1,1)+1))</f>
        <v/>
      </c>
      <c r="U1742" s="50">
        <f>IF(AND(AND(OR(in_Mode="All Funds",AND(C1742&gt;=in_BandFloor,C1742&lt;=in_BandCeiling,OR(in_Geography="National",COUNTIFS(lst_GeoPreset,in_Geography,lst_GeoState,B1742)&gt;0,AND(in_Geography="Custom",ISNUMBER(SEARCH(B1742,SUBSTITUTE(in_CustomStates," ",""))))),OR(AND(D1742="Endowment",Inputs!$B$14="Y"),AND(D1742="Foundation",Inputs!$B$15="Y"),AND(D1742="Healthcare",Inputs!$B$16="Y"),AND(D1742="Pension",Inputs!$B$17="Y"),AND(D1742="OCIO",Inputs!$B$18="Y"),AND(D1742="Other",Inputs!$B$19="Y")))),A1742&lt;&gt;in_ClientOrg,NOT(AND(in_ExclHarvard="Y",ISNUMBER(SEARCH("Harvard",A1742))))),$AD1742="Y",K1742&lt;&gt;"",S1742&gt;0),"Y","")</f>
        <v/>
      </c>
      <c r="V1742" s="30" t="n">
        <v>0.4534368070953437</v>
      </c>
      <c r="W1742" t="inlineStr"/>
      <c r="X1742" s="28">
        <f>IF(L1742+M1742=0,"",L1742+M1742)</f>
        <v/>
      </c>
      <c r="Y1742" s="38">
        <f>IF(L1742=0,"",M1742/L1742)</f>
        <v/>
      </c>
      <c r="Z1742" t="inlineStr">
        <is>
          <t>COO (Investment Office)</t>
        </is>
      </c>
      <c r="AA1742" t="inlineStr">
        <is>
          <t>Operations &amp; Control</t>
        </is>
      </c>
      <c r="AB1742" s="50" t="inlineStr"/>
      <c r="AC1742" s="43">
        <f>HYPERLINK("https://projects.propublica.org/nonprofits/organizations/474815851/202600199349300105/full","view filing")</f>
        <v/>
      </c>
      <c r="AD1742" s="50" t="inlineStr">
        <is>
          <t>Y</t>
        </is>
      </c>
    </row>
    <row r="1743">
      <c r="A1743" t="inlineStr">
        <is>
          <t>Vcu Investment Management Company</t>
        </is>
      </c>
      <c r="B1743" s="50" t="inlineStr">
        <is>
          <t>VA</t>
        </is>
      </c>
      <c r="C1743" s="52" t="n">
        <v>2.89</v>
      </c>
      <c r="D1743" t="inlineStr">
        <is>
          <t>Endowment</t>
        </is>
      </c>
      <c r="E1743" s="50" t="n">
        <v>2025</v>
      </c>
      <c r="F1743" s="50" t="inlineStr">
        <is>
          <t>2026-01-19</t>
        </is>
      </c>
      <c r="G1743" s="50" t="inlineStr">
        <is>
          <t>2025-06-30</t>
        </is>
      </c>
      <c r="H1743" t="inlineStr">
        <is>
          <t>Philip Keefe</t>
        </is>
      </c>
      <c r="I1743" t="inlineStr">
        <is>
          <t>MANAGING DIRECTOR</t>
        </is>
      </c>
      <c r="J1743" t="inlineStr">
        <is>
          <t>Managing Director</t>
        </is>
      </c>
      <c r="K1743" t="inlineStr">
        <is>
          <t>Sr Investment Professional</t>
        </is>
      </c>
      <c r="L1743" s="28" t="n">
        <v>286150</v>
      </c>
      <c r="M1743" s="28" t="n">
        <v>238000</v>
      </c>
      <c r="N1743" s="28" t="n">
        <v>0</v>
      </c>
      <c r="O1743" s="28" t="n">
        <v>0</v>
      </c>
      <c r="P1743" s="28" t="n">
        <v>0</v>
      </c>
      <c r="Q1743" s="28" t="n">
        <v>524150</v>
      </c>
      <c r="R1743" s="28" t="n">
        <v>0</v>
      </c>
      <c r="S1743" s="28">
        <f>Q1743-R1743</f>
        <v/>
      </c>
      <c r="T1743" s="28">
        <f>IF(S1743="","",S1743*(1+in_GrowthRate)^(YEARFRAC(DATE(2025,6,30),in_AgeToDate)*IF(in_AgeToDate&lt;DATE(2025,6,30),-1,1)+1))</f>
        <v/>
      </c>
      <c r="U1743" s="50">
        <f>IF(AND(AND(OR(in_Mode="All Funds",AND(C1743&gt;=in_BandFloor,C1743&lt;=in_BandCeiling,OR(in_Geography="National",COUNTIFS(lst_GeoPreset,in_Geography,lst_GeoState,B1743)&gt;0,AND(in_Geography="Custom",ISNUMBER(SEARCH(B1743,SUBSTITUTE(in_CustomStates," ",""))))),OR(AND(D1743="Endowment",Inputs!$B$14="Y"),AND(D1743="Foundation",Inputs!$B$15="Y"),AND(D1743="Healthcare",Inputs!$B$16="Y"),AND(D1743="Pension",Inputs!$B$17="Y"),AND(D1743="OCIO",Inputs!$B$18="Y"),AND(D1743="Other",Inputs!$B$19="Y")))),A1743&lt;&gt;in_ClientOrg,NOT(AND(in_ExclHarvard="Y",ISNUMBER(SEARCH("Harvard",A1743))))),$AD1743="Y",K1743&lt;&gt;"",S1743&gt;0),"Y","")</f>
        <v/>
      </c>
      <c r="V1743" s="30" t="n">
        <v>0.5451196632041367</v>
      </c>
      <c r="W1743" t="inlineStr"/>
      <c r="X1743" s="28">
        <f>IF(L1743+M1743=0,"",L1743+M1743)</f>
        <v/>
      </c>
      <c r="Y1743" s="38">
        <f>IF(L1743=0,"",M1743/L1743)</f>
        <v/>
      </c>
      <c r="Z1743" t="inlineStr">
        <is>
          <t>Managing Director</t>
        </is>
      </c>
      <c r="AA1743" t="inlineStr">
        <is>
          <t>Investments</t>
        </is>
      </c>
      <c r="AB1743" s="50" t="inlineStr"/>
      <c r="AC1743" s="43">
        <f>HYPERLINK("https://projects.propublica.org/nonprofits/organizations/474815851/202600199349300105/full","view filing")</f>
        <v/>
      </c>
      <c r="AD1743" s="50" t="inlineStr">
        <is>
          <t>Y</t>
        </is>
      </c>
    </row>
    <row r="1744">
      <c r="A1744" t="inlineStr">
        <is>
          <t>Vcu Investment Management Company</t>
        </is>
      </c>
      <c r="B1744" s="50" t="inlineStr">
        <is>
          <t>VA</t>
        </is>
      </c>
      <c r="C1744" s="52" t="n">
        <v>2.89</v>
      </c>
      <c r="D1744" t="inlineStr">
        <is>
          <t>Endowment</t>
        </is>
      </c>
      <c r="E1744" s="50" t="n">
        <v>2025</v>
      </c>
      <c r="F1744" s="50" t="inlineStr">
        <is>
          <t>2026-01-19</t>
        </is>
      </c>
      <c r="G1744" s="50" t="inlineStr">
        <is>
          <t>2025-06-30</t>
        </is>
      </c>
      <c r="H1744" t="inlineStr">
        <is>
          <t>Sarah Khouri</t>
        </is>
      </c>
      <c r="I1744" t="inlineStr">
        <is>
          <t>VICE PRESIDENT</t>
        </is>
      </c>
      <c r="J1744" t="inlineStr">
        <is>
          <t>Investment Officer</t>
        </is>
      </c>
      <c r="K1744" t="inlineStr">
        <is>
          <t>Sr Investment Professional</t>
        </is>
      </c>
      <c r="L1744" s="28" t="n">
        <v>137981</v>
      </c>
      <c r="M1744" s="28" t="n">
        <v>39000</v>
      </c>
      <c r="N1744" s="28" t="n">
        <v>0</v>
      </c>
      <c r="O1744" s="28" t="n">
        <v>0</v>
      </c>
      <c r="P1744" s="28" t="n">
        <v>11990</v>
      </c>
      <c r="Q1744" s="28" t="n">
        <v>188971</v>
      </c>
      <c r="R1744" s="28" t="n">
        <v>0</v>
      </c>
      <c r="S1744" s="28">
        <f>Q1744-R1744</f>
        <v/>
      </c>
      <c r="T1744" s="28">
        <f>IF(S1744="","",S1744*(1+in_GrowthRate)^(YEARFRAC(DATE(2025,6,30),in_AgeToDate)*IF(in_AgeToDate&lt;DATE(2025,6,30),-1,1)+1))</f>
        <v/>
      </c>
      <c r="U1744" s="50">
        <f>IF(AND(AND(OR(in_Mode="All Funds",AND(C1744&gt;=in_BandFloor,C1744&lt;=in_BandCeiling,OR(in_Geography="National",COUNTIFS(lst_GeoPreset,in_Geography,lst_GeoState,B1744)&gt;0,AND(in_Geography="Custom",ISNUMBER(SEARCH(B1744,SUBSTITUTE(in_CustomStates," ",""))))),OR(AND(D1744="Endowment",Inputs!$B$14="Y"),AND(D1744="Foundation",Inputs!$B$15="Y"),AND(D1744="Healthcare",Inputs!$B$16="Y"),AND(D1744="Pension",Inputs!$B$17="Y"),AND(D1744="OCIO",Inputs!$B$18="Y"),AND(D1744="Other",Inputs!$B$19="Y")))),A1744&lt;&gt;in_ClientOrg,NOT(AND(in_ExclHarvard="Y",ISNUMBER(SEARCH("Harvard",A1744))))),$AD1744="Y",K1744&lt;&gt;"",S1744&gt;0),"Y","")</f>
        <v/>
      </c>
      <c r="V1744" s="30" t="n">
        <v>0.1965311606893998</v>
      </c>
      <c r="W1744" t="inlineStr"/>
      <c r="X1744" s="28">
        <f>IF(L1744+M1744=0,"",L1744+M1744)</f>
        <v/>
      </c>
      <c r="Y1744" s="38">
        <f>IF(L1744=0,"",M1744/L1744)</f>
        <v/>
      </c>
      <c r="Z1744" t="inlineStr">
        <is>
          <t>Director &amp; Investment Officer</t>
        </is>
      </c>
      <c r="AA1744" t="inlineStr">
        <is>
          <t>Investments</t>
        </is>
      </c>
      <c r="AB1744" s="50" t="inlineStr"/>
      <c r="AC1744" s="43">
        <f>HYPERLINK("https://projects.propublica.org/nonprofits/organizations/474815851/202600199349300105/full","view filing")</f>
        <v/>
      </c>
      <c r="AD1744" s="50" t="inlineStr">
        <is>
          <t>Y</t>
        </is>
      </c>
    </row>
    <row r="1745">
      <c r="A1745" t="inlineStr">
        <is>
          <t>Vcu Investment Management Company</t>
        </is>
      </c>
      <c r="B1745" s="50" t="inlineStr">
        <is>
          <t>VA</t>
        </is>
      </c>
      <c r="C1745" s="52" t="n">
        <v>2.89</v>
      </c>
      <c r="D1745" t="inlineStr">
        <is>
          <t>Endowment</t>
        </is>
      </c>
      <c r="E1745" s="50" t="n">
        <v>2024</v>
      </c>
      <c r="F1745" s="50" t="inlineStr">
        <is>
          <t>2024-11-08</t>
        </is>
      </c>
      <c r="G1745" s="50" t="inlineStr">
        <is>
          <t>2024-06-30</t>
        </is>
      </c>
      <c r="H1745" t="inlineStr">
        <is>
          <t>Bruce Macdonald</t>
        </is>
      </c>
      <c r="I1745" t="inlineStr">
        <is>
          <t>CIO</t>
        </is>
      </c>
      <c r="J1745" t="inlineStr">
        <is>
          <t>CIO</t>
        </is>
      </c>
      <c r="K1745" t="inlineStr">
        <is>
          <t>Sr Investment Professional</t>
        </is>
      </c>
      <c r="L1745" s="28" t="n">
        <v>468600</v>
      </c>
      <c r="M1745" s="28" t="n">
        <v>448500</v>
      </c>
      <c r="N1745" s="28" t="n">
        <v>0</v>
      </c>
      <c r="O1745" s="28" t="n">
        <v>0</v>
      </c>
      <c r="P1745" s="28" t="n">
        <v>41321</v>
      </c>
      <c r="Q1745" s="28" t="n">
        <v>958421</v>
      </c>
      <c r="R1745" s="28" t="n">
        <v>0</v>
      </c>
      <c r="S1745" s="28">
        <f>Q1745-R1745</f>
        <v/>
      </c>
      <c r="T1745" s="28">
        <f>IF(S1745="","",S1745*(1+in_GrowthRate)^(YEARFRAC(DATE(2024,6,30),in_AgeToDate)*IF(in_AgeToDate&lt;DATE(2024,6,30),-1,1)+1))</f>
        <v/>
      </c>
      <c r="U1745" s="50">
        <f>IF(AND(AND(OR(in_Mode="All Funds",AND(C1745&gt;=in_BandFloor,C1745&lt;=in_BandCeiling,OR(in_Geography="National",COUNTIFS(lst_GeoPreset,in_Geography,lst_GeoState,B1745)&gt;0,AND(in_Geography="Custom",ISNUMBER(SEARCH(B1745,SUBSTITUTE(in_CustomStates," ",""))))),OR(AND(D1745="Endowment",Inputs!$B$14="Y"),AND(D1745="Foundation",Inputs!$B$15="Y"),AND(D1745="Healthcare",Inputs!$B$16="Y"),AND(D1745="Pension",Inputs!$B$17="Y"),AND(D1745="OCIO",Inputs!$B$18="Y"),AND(D1745="Other",Inputs!$B$19="Y")))),A1745&lt;&gt;in_ClientOrg,NOT(AND(in_ExclHarvard="Y",ISNUMBER(SEARCH("Harvard",A1745))))),$AD1745="Y",K1745&lt;&gt;"",S1745&gt;0),"Y","")</f>
        <v/>
      </c>
      <c r="V1745" s="30" t="n">
        <v>6.962587084916421</v>
      </c>
      <c r="W1745" t="inlineStr"/>
      <c r="X1745" s="28">
        <f>IF(L1745+M1745=0,"",L1745+M1745)</f>
        <v/>
      </c>
      <c r="Y1745" s="38">
        <f>IF(L1745=0,"",M1745/L1745)</f>
        <v/>
      </c>
      <c r="Z1745" t="inlineStr">
        <is>
          <t>Deputy CIO</t>
        </is>
      </c>
      <c r="AA1745" t="inlineStr">
        <is>
          <t>Leadership</t>
        </is>
      </c>
      <c r="AB1745" s="50" t="inlineStr"/>
      <c r="AC1745" s="43">
        <f>HYPERLINK("https://projects.propublica.org/nonprofits/organizations/474815851/202433139349303493/full","view filing")</f>
        <v/>
      </c>
      <c r="AD1745" s="50" t="inlineStr"/>
    </row>
    <row r="1746">
      <c r="A1746" t="inlineStr">
        <is>
          <t>Vcu Investment Management Company</t>
        </is>
      </c>
      <c r="B1746" s="50" t="inlineStr">
        <is>
          <t>VA</t>
        </is>
      </c>
      <c r="C1746" s="52" t="n">
        <v>2.89</v>
      </c>
      <c r="D1746" t="inlineStr">
        <is>
          <t>Endowment</t>
        </is>
      </c>
      <c r="E1746" s="50" t="n">
        <v>2024</v>
      </c>
      <c r="F1746" s="50" t="inlineStr">
        <is>
          <t>2024-11-08</t>
        </is>
      </c>
      <c r="G1746" s="50" t="inlineStr">
        <is>
          <t>2024-06-30</t>
        </is>
      </c>
      <c r="H1746" t="inlineStr">
        <is>
          <t>Michael Peltier</t>
        </is>
      </c>
      <c r="I1746" t="inlineStr">
        <is>
          <t>COO &amp; SECRETARY</t>
        </is>
      </c>
      <c r="J1746" t="inlineStr">
        <is>
          <t>COO (Inv Entity)</t>
        </is>
      </c>
      <c r="K1746" t="inlineStr">
        <is>
          <t>COO (Investment Office)</t>
        </is>
      </c>
      <c r="L1746" s="28" t="n">
        <v>234250</v>
      </c>
      <c r="M1746" s="28" t="n">
        <v>130800</v>
      </c>
      <c r="N1746" s="28" t="n">
        <v>0</v>
      </c>
      <c r="O1746" s="28" t="n">
        <v>0</v>
      </c>
      <c r="P1746" s="28" t="n">
        <v>41321</v>
      </c>
      <c r="Q1746" s="28" t="n">
        <v>406371</v>
      </c>
      <c r="R1746" s="28" t="n">
        <v>0</v>
      </c>
      <c r="S1746" s="28">
        <f>Q1746-R1746</f>
        <v/>
      </c>
      <c r="T1746" s="28">
        <f>IF(S1746="","",S1746*(1+in_GrowthRate)^(YEARFRAC(DATE(2024,6,30),in_AgeToDate)*IF(in_AgeToDate&lt;DATE(2024,6,30),-1,1)+1))</f>
        <v/>
      </c>
      <c r="U1746" s="50">
        <f>IF(AND(AND(OR(in_Mode="All Funds",AND(C1746&gt;=in_BandFloor,C1746&lt;=in_BandCeiling,OR(in_Geography="National",COUNTIFS(lst_GeoPreset,in_Geography,lst_GeoState,B1746)&gt;0,AND(in_Geography="Custom",ISNUMBER(SEARCH(B1746,SUBSTITUTE(in_CustomStates," ",""))))),OR(AND(D1746="Endowment",Inputs!$B$14="Y"),AND(D1746="Foundation",Inputs!$B$15="Y"),AND(D1746="Healthcare",Inputs!$B$16="Y"),AND(D1746="Pension",Inputs!$B$17="Y"),AND(D1746="OCIO",Inputs!$B$18="Y"),AND(D1746="Other",Inputs!$B$19="Y")))),A1746&lt;&gt;in_ClientOrg,NOT(AND(in_ExclHarvard="Y",ISNUMBER(SEARCH("Harvard",A1746))))),$AD1746="Y",K1746&lt;&gt;"",S1746&gt;0),"Y","")</f>
        <v/>
      </c>
      <c r="V1746" s="30" t="n">
        <v>2.95214052726784</v>
      </c>
      <c r="W1746" t="inlineStr"/>
      <c r="X1746" s="28">
        <f>IF(L1746+M1746=0,"",L1746+M1746)</f>
        <v/>
      </c>
      <c r="Y1746" s="38">
        <f>IF(L1746=0,"",M1746/L1746)</f>
        <v/>
      </c>
      <c r="Z1746" t="inlineStr">
        <is>
          <t>COO (Investment Office)</t>
        </is>
      </c>
      <c r="AA1746" t="inlineStr">
        <is>
          <t>Operations &amp; Control</t>
        </is>
      </c>
      <c r="AB1746" s="50" t="inlineStr"/>
      <c r="AC1746" s="43">
        <f>HYPERLINK("https://projects.propublica.org/nonprofits/organizations/474815851/202433139349303493/full","view filing")</f>
        <v/>
      </c>
      <c r="AD1746" s="50" t="inlineStr"/>
    </row>
    <row r="1747">
      <c r="A1747" t="inlineStr">
        <is>
          <t>Vcu Investment Management Company</t>
        </is>
      </c>
      <c r="B1747" s="50" t="inlineStr">
        <is>
          <t>VA</t>
        </is>
      </c>
      <c r="C1747" s="52" t="n">
        <v>2.89</v>
      </c>
      <c r="D1747" t="inlineStr">
        <is>
          <t>Endowment</t>
        </is>
      </c>
      <c r="E1747" s="50" t="n">
        <v>2024</v>
      </c>
      <c r="F1747" s="50" t="inlineStr">
        <is>
          <t>2024-11-08</t>
        </is>
      </c>
      <c r="G1747" s="50" t="inlineStr">
        <is>
          <t>2024-06-30</t>
        </is>
      </c>
      <c r="H1747" t="inlineStr">
        <is>
          <t>Nancy C Everett</t>
        </is>
      </c>
      <c r="I1747" t="inlineStr">
        <is>
          <t>CEO</t>
        </is>
      </c>
      <c r="J1747" t="inlineStr">
        <is>
          <t>CEO (Inv Entity)</t>
        </is>
      </c>
      <c r="K1747" t="inlineStr">
        <is>
          <t>CIO - Top Investment Executive</t>
        </is>
      </c>
      <c r="L1747" s="28" t="n">
        <v>0</v>
      </c>
      <c r="M1747" s="28" t="n">
        <v>0</v>
      </c>
      <c r="N1747" s="28" t="n">
        <v>0</v>
      </c>
      <c r="O1747" s="28" t="n">
        <v>0</v>
      </c>
      <c r="P1747" s="28" t="n">
        <v>0</v>
      </c>
      <c r="Q1747" s="28" t="n">
        <v>137653</v>
      </c>
      <c r="R1747" s="28" t="n">
        <v>0</v>
      </c>
      <c r="S1747" s="28">
        <f>Q1747-R1747</f>
        <v/>
      </c>
      <c r="T1747" s="28">
        <f>IF(S1747="","",S1747*(1+in_GrowthRate)^(YEARFRAC(DATE(2024,6,30),in_AgeToDate)*IF(in_AgeToDate&lt;DATE(2024,6,30),-1,1)+1))</f>
        <v/>
      </c>
      <c r="U1747" s="50">
        <f>IF(AND(AND(OR(in_Mode="All Funds",AND(C1747&gt;=in_BandFloor,C1747&lt;=in_BandCeiling,OR(in_Geography="National",COUNTIFS(lst_GeoPreset,in_Geography,lst_GeoState,B1747)&gt;0,AND(in_Geography="Custom",ISNUMBER(SEARCH(B1747,SUBSTITUTE(in_CustomStates," ",""))))),OR(AND(D1747="Endowment",Inputs!$B$14="Y"),AND(D1747="Foundation",Inputs!$B$15="Y"),AND(D1747="Healthcare",Inputs!$B$16="Y"),AND(D1747="Pension",Inputs!$B$17="Y"),AND(D1747="OCIO",Inputs!$B$18="Y"),AND(D1747="Other",Inputs!$B$19="Y")))),A1747&lt;&gt;in_ClientOrg,NOT(AND(in_ExclHarvard="Y",ISNUMBER(SEARCH("Harvard",A1747))))),$AD1747="Y",K1747&lt;&gt;"",S1747&gt;0),"Y","")</f>
        <v/>
      </c>
      <c r="V1747" s="30" t="n">
        <v>1</v>
      </c>
      <c r="W1747" t="inlineStr"/>
      <c r="X1747" s="28">
        <f>IF(L1747+M1747=0,"",L1747+M1747)</f>
        <v/>
      </c>
      <c r="Y1747" s="38">
        <f>IF(L1747=0,"",M1747/L1747)</f>
        <v/>
      </c>
      <c r="Z1747" t="inlineStr">
        <is>
          <t>CIO - Top Investment Executive</t>
        </is>
      </c>
      <c r="AA1747" t="inlineStr">
        <is>
          <t>Leadership</t>
        </is>
      </c>
      <c r="AB1747" s="50" t="inlineStr">
        <is>
          <t>Y</t>
        </is>
      </c>
      <c r="AC1747" s="43">
        <f>HYPERLINK("https://projects.propublica.org/nonprofits/organizations/474815851/202433139349303493/full","view filing")</f>
        <v/>
      </c>
      <c r="AD1747" s="50" t="inlineStr"/>
    </row>
    <row r="1748">
      <c r="A1748" t="inlineStr">
        <is>
          <t>Vcu Investment Management Company</t>
        </is>
      </c>
      <c r="B1748" s="50" t="inlineStr">
        <is>
          <t>VA</t>
        </is>
      </c>
      <c r="C1748" s="52" t="n">
        <v>2.89</v>
      </c>
      <c r="D1748" t="inlineStr">
        <is>
          <t>Endowment</t>
        </is>
      </c>
      <c r="E1748" s="50" t="n">
        <v>2024</v>
      </c>
      <c r="F1748" s="50" t="inlineStr">
        <is>
          <t>2024-11-08</t>
        </is>
      </c>
      <c r="G1748" s="50" t="inlineStr">
        <is>
          <t>2024-06-30</t>
        </is>
      </c>
      <c r="H1748" t="inlineStr">
        <is>
          <t>Phil Keefe</t>
        </is>
      </c>
      <c r="I1748" t="inlineStr">
        <is>
          <t>MANAGING DIRECTOR</t>
        </is>
      </c>
      <c r="J1748" t="inlineStr">
        <is>
          <t>Managing Director</t>
        </is>
      </c>
      <c r="K1748" t="inlineStr">
        <is>
          <t>Sr Investment Professional</t>
        </is>
      </c>
      <c r="L1748" s="28" t="n">
        <v>232471</v>
      </c>
      <c r="M1748" s="28" t="n">
        <v>121200</v>
      </c>
      <c r="N1748" s="28" t="n">
        <v>0</v>
      </c>
      <c r="O1748" s="28" t="n">
        <v>0</v>
      </c>
      <c r="P1748" s="28" t="n">
        <v>0</v>
      </c>
      <c r="Q1748" s="28" t="n">
        <v>353671</v>
      </c>
      <c r="R1748" s="28" t="n">
        <v>0</v>
      </c>
      <c r="S1748" s="28">
        <f>Q1748-R1748</f>
        <v/>
      </c>
      <c r="T1748" s="28">
        <f>IF(S1748="","",S1748*(1+in_GrowthRate)^(YEARFRAC(DATE(2024,6,30),in_AgeToDate)*IF(in_AgeToDate&lt;DATE(2024,6,30),-1,1)+1))</f>
        <v/>
      </c>
      <c r="U1748" s="50">
        <f>IF(AND(AND(OR(in_Mode="All Funds",AND(C1748&gt;=in_BandFloor,C1748&lt;=in_BandCeiling,OR(in_Geography="National",COUNTIFS(lst_GeoPreset,in_Geography,lst_GeoState,B1748)&gt;0,AND(in_Geography="Custom",ISNUMBER(SEARCH(B1748,SUBSTITUTE(in_CustomStates," ",""))))),OR(AND(D1748="Endowment",Inputs!$B$14="Y"),AND(D1748="Foundation",Inputs!$B$15="Y"),AND(D1748="Healthcare",Inputs!$B$16="Y"),AND(D1748="Pension",Inputs!$B$17="Y"),AND(D1748="OCIO",Inputs!$B$18="Y"),AND(D1748="Other",Inputs!$B$19="Y")))),A1748&lt;&gt;in_ClientOrg,NOT(AND(in_ExclHarvard="Y",ISNUMBER(SEARCH("Harvard",A1748))))),$AD1748="Y",K1748&lt;&gt;"",S1748&gt;0),"Y","")</f>
        <v/>
      </c>
      <c r="V1748" s="30" t="n">
        <v>2.569293803985384</v>
      </c>
      <c r="W1748" t="inlineStr"/>
      <c r="X1748" s="28">
        <f>IF(L1748+M1748=0,"",L1748+M1748)</f>
        <v/>
      </c>
      <c r="Y1748" s="38">
        <f>IF(L1748=0,"",M1748/L1748)</f>
        <v/>
      </c>
      <c r="Z1748" t="inlineStr">
        <is>
          <t>Managing Director</t>
        </is>
      </c>
      <c r="AA1748" t="inlineStr">
        <is>
          <t>Investments</t>
        </is>
      </c>
      <c r="AB1748" s="50" t="inlineStr"/>
      <c r="AC1748" s="43">
        <f>HYPERLINK("https://projects.propublica.org/nonprofits/organizations/474815851/202433139349303493/full","view filing")</f>
        <v/>
      </c>
      <c r="AD1748" s="50" t="inlineStr"/>
    </row>
    <row r="1749">
      <c r="A1749" t="inlineStr">
        <is>
          <t>Vcu Investment Management Company</t>
        </is>
      </c>
      <c r="B1749" s="50" t="inlineStr">
        <is>
          <t>VA</t>
        </is>
      </c>
      <c r="C1749" s="52" t="n">
        <v>2.89</v>
      </c>
      <c r="D1749" t="inlineStr">
        <is>
          <t>Endowment</t>
        </is>
      </c>
      <c r="E1749" s="50" t="n">
        <v>2024</v>
      </c>
      <c r="F1749" s="50" t="inlineStr">
        <is>
          <t>2024-11-08</t>
        </is>
      </c>
      <c r="G1749" s="50" t="inlineStr">
        <is>
          <t>2024-06-30</t>
        </is>
      </c>
      <c r="H1749" t="inlineStr">
        <is>
          <t>Sarah Khouri</t>
        </is>
      </c>
      <c r="I1749" t="inlineStr">
        <is>
          <t>VICE PRESIDENT</t>
        </is>
      </c>
      <c r="J1749" t="inlineStr">
        <is>
          <t>Investment Officer</t>
        </is>
      </c>
      <c r="K1749" t="inlineStr">
        <is>
          <t>Sr Investment Professional</t>
        </is>
      </c>
      <c r="L1749" s="28" t="n">
        <v>0</v>
      </c>
      <c r="M1749" s="28" t="n">
        <v>0</v>
      </c>
      <c r="N1749" s="28" t="n">
        <v>0</v>
      </c>
      <c r="O1749" s="28" t="n">
        <v>0</v>
      </c>
      <c r="P1749" s="28" t="n">
        <v>0</v>
      </c>
      <c r="Q1749" s="28" t="n">
        <v>137441</v>
      </c>
      <c r="R1749" s="28" t="n">
        <v>0</v>
      </c>
      <c r="S1749" s="28">
        <f>Q1749-R1749</f>
        <v/>
      </c>
      <c r="T1749" s="28">
        <f>IF(S1749="","",S1749*(1+in_GrowthRate)^(YEARFRAC(DATE(2024,6,30),in_AgeToDate)*IF(in_AgeToDate&lt;DATE(2024,6,30),-1,1)+1))</f>
        <v/>
      </c>
      <c r="U1749" s="50">
        <f>IF(AND(AND(OR(in_Mode="All Funds",AND(C1749&gt;=in_BandFloor,C1749&lt;=in_BandCeiling,OR(in_Geography="National",COUNTIFS(lst_GeoPreset,in_Geography,lst_GeoState,B1749)&gt;0,AND(in_Geography="Custom",ISNUMBER(SEARCH(B1749,SUBSTITUTE(in_CustomStates," ",""))))),OR(AND(D1749="Endowment",Inputs!$B$14="Y"),AND(D1749="Foundation",Inputs!$B$15="Y"),AND(D1749="Healthcare",Inputs!$B$16="Y"),AND(D1749="Pension",Inputs!$B$17="Y"),AND(D1749="OCIO",Inputs!$B$18="Y"),AND(D1749="Other",Inputs!$B$19="Y")))),A1749&lt;&gt;in_ClientOrg,NOT(AND(in_ExclHarvard="Y",ISNUMBER(SEARCH("Harvard",A1749))))),$AD1749="Y",K1749&lt;&gt;"",S1749&gt;0),"Y","")</f>
        <v/>
      </c>
      <c r="V1749" s="30" t="n">
        <v>0.9984598955344235</v>
      </c>
      <c r="W1749" t="inlineStr"/>
      <c r="X1749" s="28">
        <f>IF(L1749+M1749=0,"",L1749+M1749)</f>
        <v/>
      </c>
      <c r="Y1749" s="38">
        <f>IF(L1749=0,"",M1749/L1749)</f>
        <v/>
      </c>
      <c r="Z1749" t="inlineStr">
        <is>
          <t>Director &amp; Investment Officer</t>
        </is>
      </c>
      <c r="AA1749" t="inlineStr">
        <is>
          <t>Investments</t>
        </is>
      </c>
      <c r="AB1749" s="50" t="inlineStr"/>
      <c r="AC1749" s="43">
        <f>HYPERLINK("https://projects.propublica.org/nonprofits/organizations/474815851/202433139349303493/full","view filing")</f>
        <v/>
      </c>
      <c r="AD1749" s="50" t="inlineStr"/>
    </row>
    <row r="1750">
      <c r="A1750" t="inlineStr">
        <is>
          <t>Vcu Investment Management Company</t>
        </is>
      </c>
      <c r="B1750" s="50" t="inlineStr">
        <is>
          <t>VA</t>
        </is>
      </c>
      <c r="C1750" s="52" t="n">
        <v>2.89</v>
      </c>
      <c r="D1750" t="inlineStr">
        <is>
          <t>Endowment</t>
        </is>
      </c>
      <c r="E1750" s="50" t="n">
        <v>2023</v>
      </c>
      <c r="F1750" s="50" t="inlineStr">
        <is>
          <t>2023-11-10</t>
        </is>
      </c>
      <c r="G1750" s="50" t="inlineStr">
        <is>
          <t>2023-06-30</t>
        </is>
      </c>
      <c r="H1750" t="inlineStr">
        <is>
          <t>Bruce Macdonald</t>
        </is>
      </c>
      <c r="I1750" t="inlineStr">
        <is>
          <t>CIO</t>
        </is>
      </c>
      <c r="J1750" t="inlineStr">
        <is>
          <t>CIO</t>
        </is>
      </c>
      <c r="K1750" t="inlineStr">
        <is>
          <t>Sr Investment Professional</t>
        </is>
      </c>
      <c r="L1750" s="28" t="n">
        <v>427225</v>
      </c>
      <c r="M1750" s="28" t="n">
        <v>297000</v>
      </c>
      <c r="N1750" s="28" t="n">
        <v>0</v>
      </c>
      <c r="O1750" s="28" t="n">
        <v>0</v>
      </c>
      <c r="P1750" s="28" t="n">
        <v>41292</v>
      </c>
      <c r="Q1750" s="28" t="n">
        <v>765517</v>
      </c>
      <c r="R1750" s="28" t="n">
        <v>0</v>
      </c>
      <c r="S1750" s="28">
        <f>Q1750-R1750</f>
        <v/>
      </c>
      <c r="T1750" s="28">
        <f>IF(S1750="","",S1750*(1+in_GrowthRate)^(YEARFRAC(DATE(2023,6,30),in_AgeToDate)*IF(in_AgeToDate&lt;DATE(2023,6,30),-1,1)+1))</f>
        <v/>
      </c>
      <c r="U1750" s="50">
        <f>IF(AND(AND(OR(in_Mode="All Funds",AND(C1750&gt;=in_BandFloor,C1750&lt;=in_BandCeiling,OR(in_Geography="National",COUNTIFS(lst_GeoPreset,in_Geography,lst_GeoState,B1750)&gt;0,AND(in_Geography="Custom",ISNUMBER(SEARCH(B1750,SUBSTITUTE(in_CustomStates," ",""))))),OR(AND(D1750="Endowment",Inputs!$B$14="Y"),AND(D1750="Foundation",Inputs!$B$15="Y"),AND(D1750="Healthcare",Inputs!$B$16="Y"),AND(D1750="Pension",Inputs!$B$17="Y"),AND(D1750="OCIO",Inputs!$B$18="Y"),AND(D1750="Other",Inputs!$B$19="Y")))),A1750&lt;&gt;in_ClientOrg,NOT(AND(in_ExclHarvard="Y",ISNUMBER(SEARCH("Harvard",A1750))))),$AD1750="Y",K1750&lt;&gt;"",S1750&gt;0),"Y","")</f>
        <v/>
      </c>
      <c r="V1750" s="30" t="n">
        <v>4.099834510681827</v>
      </c>
      <c r="W1750" t="inlineStr"/>
      <c r="X1750" s="28">
        <f>IF(L1750+M1750=0,"",L1750+M1750)</f>
        <v/>
      </c>
      <c r="Y1750" s="38">
        <f>IF(L1750=0,"",M1750/L1750)</f>
        <v/>
      </c>
      <c r="Z1750" t="inlineStr">
        <is>
          <t>Deputy CIO</t>
        </is>
      </c>
      <c r="AA1750" t="inlineStr">
        <is>
          <t>Leadership</t>
        </is>
      </c>
      <c r="AB1750" s="50" t="inlineStr"/>
      <c r="AC1750" s="43">
        <f>HYPERLINK("https://projects.propublica.org/nonprofits/organizations/474815851/202313149349304216/full","view filing")</f>
        <v/>
      </c>
      <c r="AD1750" s="50" t="inlineStr"/>
    </row>
    <row r="1751">
      <c r="A1751" t="inlineStr">
        <is>
          <t>Vcu Investment Management Company</t>
        </is>
      </c>
      <c r="B1751" s="50" t="inlineStr">
        <is>
          <t>VA</t>
        </is>
      </c>
      <c r="C1751" s="52" t="n">
        <v>2.89</v>
      </c>
      <c r="D1751" t="inlineStr">
        <is>
          <t>Endowment</t>
        </is>
      </c>
      <c r="E1751" s="50" t="n">
        <v>2023</v>
      </c>
      <c r="F1751" s="50" t="inlineStr">
        <is>
          <t>2023-11-10</t>
        </is>
      </c>
      <c r="G1751" s="50" t="inlineStr">
        <is>
          <t>2023-06-30</t>
        </is>
      </c>
      <c r="H1751" t="inlineStr">
        <is>
          <t>Michael Peltier</t>
        </is>
      </c>
      <c r="I1751" t="inlineStr">
        <is>
          <t>SECRETARY</t>
        </is>
      </c>
      <c r="J1751" t="inlineStr">
        <is>
          <t>Corporate Officer (Inv Entity)</t>
        </is>
      </c>
      <c r="K1751" t="inlineStr">
        <is>
          <t>Other disclosed professionals</t>
        </is>
      </c>
      <c r="L1751" s="28" t="n">
        <v>206000</v>
      </c>
      <c r="M1751" s="28" t="n">
        <v>105000</v>
      </c>
      <c r="N1751" s="28" t="n">
        <v>0</v>
      </c>
      <c r="O1751" s="28" t="n">
        <v>0</v>
      </c>
      <c r="P1751" s="28" t="n">
        <v>41292</v>
      </c>
      <c r="Q1751" s="28" t="n">
        <v>352292</v>
      </c>
      <c r="R1751" s="28" t="n">
        <v>0</v>
      </c>
      <c r="S1751" s="28">
        <f>Q1751-R1751</f>
        <v/>
      </c>
      <c r="T1751" s="28">
        <f>IF(S1751="","",S1751*(1+in_GrowthRate)^(YEARFRAC(DATE(2023,6,30),in_AgeToDate)*IF(in_AgeToDate&lt;DATE(2023,6,30),-1,1)+1))</f>
        <v/>
      </c>
      <c r="U1751" s="50">
        <f>IF(AND(AND(OR(in_Mode="All Funds",AND(C1751&gt;=in_BandFloor,C1751&lt;=in_BandCeiling,OR(in_Geography="National",COUNTIFS(lst_GeoPreset,in_Geography,lst_GeoState,B1751)&gt;0,AND(in_Geography="Custom",ISNUMBER(SEARCH(B1751,SUBSTITUTE(in_CustomStates," ",""))))),OR(AND(D1751="Endowment",Inputs!$B$14="Y"),AND(D1751="Foundation",Inputs!$B$15="Y"),AND(D1751="Healthcare",Inputs!$B$16="Y"),AND(D1751="Pension",Inputs!$B$17="Y"),AND(D1751="OCIO",Inputs!$B$18="Y"),AND(D1751="Other",Inputs!$B$19="Y")))),A1751&lt;&gt;in_ClientOrg,NOT(AND(in_ExclHarvard="Y",ISNUMBER(SEARCH("Harvard",A1751))))),$AD1751="Y",K1751&lt;&gt;"",S1751&gt;0),"Y","")</f>
        <v/>
      </c>
      <c r="V1751" s="30" t="n">
        <v>1.88674960769927</v>
      </c>
      <c r="W1751" t="inlineStr">
        <is>
          <t>Other disclosed professionals</t>
        </is>
      </c>
      <c r="X1751" s="28">
        <f>IF(L1751+M1751=0,"",L1751+M1751)</f>
        <v/>
      </c>
      <c r="Y1751" s="38">
        <f>IF(L1751=0,"",M1751/L1751)</f>
        <v/>
      </c>
      <c r="Z1751" t="inlineStr">
        <is>
          <t>Other disclosed professionals</t>
        </is>
      </c>
      <c r="AA1751" t="inlineStr">
        <is>
          <t>Operations &amp; Control</t>
        </is>
      </c>
      <c r="AB1751" s="50" t="inlineStr"/>
      <c r="AC1751" s="43">
        <f>HYPERLINK("https://projects.propublica.org/nonprofits/organizations/474815851/202313149349304216/full","view filing")</f>
        <v/>
      </c>
      <c r="AD1751" s="50" t="inlineStr"/>
    </row>
    <row r="1752">
      <c r="A1752" t="inlineStr">
        <is>
          <t>Vcu Investment Management Company</t>
        </is>
      </c>
      <c r="B1752" s="50" t="inlineStr">
        <is>
          <t>VA</t>
        </is>
      </c>
      <c r="C1752" s="52" t="n">
        <v>2.89</v>
      </c>
      <c r="D1752" t="inlineStr">
        <is>
          <t>Endowment</t>
        </is>
      </c>
      <c r="E1752" s="50" t="n">
        <v>2023</v>
      </c>
      <c r="F1752" s="50" t="inlineStr">
        <is>
          <t>2023-11-10</t>
        </is>
      </c>
      <c r="G1752" s="50" t="inlineStr">
        <is>
          <t>2023-06-30</t>
        </is>
      </c>
      <c r="H1752" t="inlineStr">
        <is>
          <t>Nancy C Everett</t>
        </is>
      </c>
      <c r="I1752" t="inlineStr">
        <is>
          <t>CEO</t>
        </is>
      </c>
      <c r="J1752" t="inlineStr">
        <is>
          <t>CEO (Inv Entity)</t>
        </is>
      </c>
      <c r="K1752" t="inlineStr">
        <is>
          <t>CIO - Top Investment Executive</t>
        </is>
      </c>
      <c r="L1752" s="28" t="n">
        <v>58084</v>
      </c>
      <c r="M1752" s="28" t="n">
        <v>100000</v>
      </c>
      <c r="N1752" s="28" t="n">
        <v>0</v>
      </c>
      <c r="O1752" s="28" t="n">
        <v>0</v>
      </c>
      <c r="P1752" s="28" t="n">
        <v>28635</v>
      </c>
      <c r="Q1752" s="28" t="n">
        <v>186719</v>
      </c>
      <c r="R1752" s="28" t="n">
        <v>0</v>
      </c>
      <c r="S1752" s="28">
        <f>Q1752-R1752</f>
        <v/>
      </c>
      <c r="T1752" s="28">
        <f>IF(S1752="","",S1752*(1+in_GrowthRate)^(YEARFRAC(DATE(2023,6,30),in_AgeToDate)*IF(in_AgeToDate&lt;DATE(2023,6,30),-1,1)+1))</f>
        <v/>
      </c>
      <c r="U1752" s="50">
        <f>IF(AND(AND(OR(in_Mode="All Funds",AND(C1752&gt;=in_BandFloor,C1752&lt;=in_BandCeiling,OR(in_Geography="National",COUNTIFS(lst_GeoPreset,in_Geography,lst_GeoState,B1752)&gt;0,AND(in_Geography="Custom",ISNUMBER(SEARCH(B1752,SUBSTITUTE(in_CustomStates," ",""))))),OR(AND(D1752="Endowment",Inputs!$B$14="Y"),AND(D1752="Foundation",Inputs!$B$15="Y"),AND(D1752="Healthcare",Inputs!$B$16="Y"),AND(D1752="Pension",Inputs!$B$17="Y"),AND(D1752="OCIO",Inputs!$B$18="Y"),AND(D1752="Other",Inputs!$B$19="Y")))),A1752&lt;&gt;in_ClientOrg,NOT(AND(in_ExclHarvard="Y",ISNUMBER(SEARCH("Harvard",A1752))))),$AD1752="Y",K1752&lt;&gt;"",S1752&gt;0),"Y","")</f>
        <v/>
      </c>
      <c r="V1752" s="30" t="n">
        <v>1</v>
      </c>
      <c r="W1752" t="inlineStr"/>
      <c r="X1752" s="28">
        <f>IF(L1752+M1752=0,"",L1752+M1752)</f>
        <v/>
      </c>
      <c r="Y1752" s="38">
        <f>IF(L1752=0,"",M1752/L1752)</f>
        <v/>
      </c>
      <c r="Z1752" t="inlineStr">
        <is>
          <t>CIO - Top Investment Executive</t>
        </is>
      </c>
      <c r="AA1752" t="inlineStr">
        <is>
          <t>Leadership</t>
        </is>
      </c>
      <c r="AB1752" s="50" t="inlineStr">
        <is>
          <t>Y</t>
        </is>
      </c>
      <c r="AC1752" s="43">
        <f>HYPERLINK("https://projects.propublica.org/nonprofits/organizations/474815851/202313149349304216/full","view filing")</f>
        <v/>
      </c>
      <c r="AD1752" s="50" t="inlineStr"/>
    </row>
    <row r="1753">
      <c r="A1753" t="inlineStr">
        <is>
          <t>Vcu Investment Management Company</t>
        </is>
      </c>
      <c r="B1753" s="50" t="inlineStr">
        <is>
          <t>VA</t>
        </is>
      </c>
      <c r="C1753" s="52" t="n">
        <v>2.89</v>
      </c>
      <c r="D1753" t="inlineStr">
        <is>
          <t>Endowment</t>
        </is>
      </c>
      <c r="E1753" s="50" t="n">
        <v>2022</v>
      </c>
      <c r="F1753" s="50" t="inlineStr">
        <is>
          <t>2022-11-14</t>
        </is>
      </c>
      <c r="G1753" s="50" t="inlineStr">
        <is>
          <t>2022-06-30</t>
        </is>
      </c>
      <c r="H1753" t="inlineStr">
        <is>
          <t>Bruce Macdonald</t>
        </is>
      </c>
      <c r="I1753" t="inlineStr">
        <is>
          <t>MANAGING DIRECTOR</t>
        </is>
      </c>
      <c r="J1753" t="inlineStr">
        <is>
          <t>Managing Director</t>
        </is>
      </c>
      <c r="K1753" t="inlineStr">
        <is>
          <t>Sr Investment Professional</t>
        </is>
      </c>
      <c r="L1753" s="28" t="n">
        <v>385108</v>
      </c>
      <c r="M1753" s="28" t="n">
        <v>368000</v>
      </c>
      <c r="N1753" s="28" t="n">
        <v>0</v>
      </c>
      <c r="O1753" s="28" t="n">
        <v>0</v>
      </c>
      <c r="P1753" s="28" t="n">
        <v>38031</v>
      </c>
      <c r="Q1753" s="28" t="n">
        <v>791139</v>
      </c>
      <c r="R1753" s="28" t="n">
        <v>0</v>
      </c>
      <c r="S1753" s="28">
        <f>Q1753-R1753</f>
        <v/>
      </c>
      <c r="T1753" s="28">
        <f>IF(S1753="","",S1753*(1+in_GrowthRate)^(YEARFRAC(DATE(2022,6,30),in_AgeToDate)*IF(in_AgeToDate&lt;DATE(2022,6,30),-1,1)+1))</f>
        <v/>
      </c>
      <c r="U1753" s="50">
        <f>IF(AND(AND(OR(in_Mode="All Funds",AND(C1753&gt;=in_BandFloor,C1753&lt;=in_BandCeiling,OR(in_Geography="National",COUNTIFS(lst_GeoPreset,in_Geography,lst_GeoState,B1753)&gt;0,AND(in_Geography="Custom",ISNUMBER(SEARCH(B1753,SUBSTITUTE(in_CustomStates," ",""))))),OR(AND(D1753="Endowment",Inputs!$B$14="Y"),AND(D1753="Foundation",Inputs!$B$15="Y"),AND(D1753="Healthcare",Inputs!$B$16="Y"),AND(D1753="Pension",Inputs!$B$17="Y"),AND(D1753="OCIO",Inputs!$B$18="Y"),AND(D1753="Other",Inputs!$B$19="Y")))),A1753&lt;&gt;in_ClientOrg,NOT(AND(in_ExclHarvard="Y",ISNUMBER(SEARCH("Harvard",A1753))))),$AD1753="Y",K1753&lt;&gt;"",S1753&gt;0),"Y","")</f>
        <v/>
      </c>
      <c r="V1753" s="30" t="n">
        <v>4.235672984259557</v>
      </c>
      <c r="W1753" t="inlineStr"/>
      <c r="X1753" s="28">
        <f>IF(L1753+M1753=0,"",L1753+M1753)</f>
        <v/>
      </c>
      <c r="Y1753" s="38">
        <f>IF(L1753=0,"",M1753/L1753)</f>
        <v/>
      </c>
      <c r="Z1753" t="inlineStr">
        <is>
          <t>Managing Director</t>
        </is>
      </c>
      <c r="AA1753" t="inlineStr">
        <is>
          <t>Investments</t>
        </is>
      </c>
      <c r="AB1753" s="50" t="inlineStr"/>
      <c r="AC1753" s="43">
        <f>HYPERLINK("https://projects.propublica.org/nonprofits/organizations/474815851/202213189349316616/full","view filing")</f>
        <v/>
      </c>
      <c r="AD1753" s="50" t="inlineStr"/>
    </row>
    <row r="1754">
      <c r="A1754" t="inlineStr">
        <is>
          <t>Vcu Investment Management Company</t>
        </is>
      </c>
      <c r="B1754" s="50" t="inlineStr">
        <is>
          <t>VA</t>
        </is>
      </c>
      <c r="C1754" s="52" t="n">
        <v>2.89</v>
      </c>
      <c r="D1754" t="inlineStr">
        <is>
          <t>Endowment</t>
        </is>
      </c>
      <c r="E1754" s="50" t="n">
        <v>2022</v>
      </c>
      <c r="F1754" s="50" t="inlineStr">
        <is>
          <t>2022-11-14</t>
        </is>
      </c>
      <c r="G1754" s="50" t="inlineStr">
        <is>
          <t>2022-06-30</t>
        </is>
      </c>
      <c r="H1754" t="inlineStr">
        <is>
          <t>Michael Peltier</t>
        </is>
      </c>
      <c r="I1754" t="inlineStr">
        <is>
          <t>SECRETARY</t>
        </is>
      </c>
      <c r="J1754" t="inlineStr">
        <is>
          <t>Corporate Officer (Inv Entity)</t>
        </is>
      </c>
      <c r="K1754" t="inlineStr">
        <is>
          <t>Other disclosed professionals</t>
        </is>
      </c>
      <c r="L1754" s="28" t="n">
        <v>174500</v>
      </c>
      <c r="M1754" s="28" t="n">
        <v>90000</v>
      </c>
      <c r="N1754" s="28" t="n">
        <v>0</v>
      </c>
      <c r="O1754" s="28" t="n">
        <v>0</v>
      </c>
      <c r="P1754" s="28" t="n">
        <v>38031</v>
      </c>
      <c r="Q1754" s="28" t="n">
        <v>302531</v>
      </c>
      <c r="R1754" s="28" t="n">
        <v>0</v>
      </c>
      <c r="S1754" s="28">
        <f>Q1754-R1754</f>
        <v/>
      </c>
      <c r="T1754" s="28">
        <f>IF(S1754="","",S1754*(1+in_GrowthRate)^(YEARFRAC(DATE(2022,6,30),in_AgeToDate)*IF(in_AgeToDate&lt;DATE(2022,6,30),-1,1)+1))</f>
        <v/>
      </c>
      <c r="U1754" s="50">
        <f>IF(AND(AND(OR(in_Mode="All Funds",AND(C1754&gt;=in_BandFloor,C1754&lt;=in_BandCeiling,OR(in_Geography="National",COUNTIFS(lst_GeoPreset,in_Geography,lst_GeoState,B1754)&gt;0,AND(in_Geography="Custom",ISNUMBER(SEARCH(B1754,SUBSTITUTE(in_CustomStates," ",""))))),OR(AND(D1754="Endowment",Inputs!$B$14="Y"),AND(D1754="Foundation",Inputs!$B$15="Y"),AND(D1754="Healthcare",Inputs!$B$16="Y"),AND(D1754="Pension",Inputs!$B$17="Y"),AND(D1754="OCIO",Inputs!$B$18="Y"),AND(D1754="Other",Inputs!$B$19="Y")))),A1754&lt;&gt;in_ClientOrg,NOT(AND(in_ExclHarvard="Y",ISNUMBER(SEARCH("Harvard",A1754))))),$AD1754="Y",K1754&lt;&gt;"",S1754&gt;0),"Y","")</f>
        <v/>
      </c>
      <c r="V1754" s="30" t="n">
        <v>1.619718385266088</v>
      </c>
      <c r="W1754" t="inlineStr">
        <is>
          <t>Other disclosed professionals</t>
        </is>
      </c>
      <c r="X1754" s="28">
        <f>IF(L1754+M1754=0,"",L1754+M1754)</f>
        <v/>
      </c>
      <c r="Y1754" s="38">
        <f>IF(L1754=0,"",M1754/L1754)</f>
        <v/>
      </c>
      <c r="Z1754" t="inlineStr">
        <is>
          <t>Other disclosed professionals</t>
        </is>
      </c>
      <c r="AA1754" t="inlineStr">
        <is>
          <t>Operations &amp; Control</t>
        </is>
      </c>
      <c r="AB1754" s="50" t="inlineStr"/>
      <c r="AC1754" s="43">
        <f>HYPERLINK("https://projects.propublica.org/nonprofits/organizations/474815851/202213189349316616/full","view filing")</f>
        <v/>
      </c>
      <c r="AD1754" s="50" t="inlineStr"/>
    </row>
    <row r="1755">
      <c r="A1755" t="inlineStr">
        <is>
          <t>Vcu Investment Management Company</t>
        </is>
      </c>
      <c r="B1755" s="50" t="inlineStr">
        <is>
          <t>VA</t>
        </is>
      </c>
      <c r="C1755" s="52" t="n">
        <v>2.89</v>
      </c>
      <c r="D1755" t="inlineStr">
        <is>
          <t>Endowment</t>
        </is>
      </c>
      <c r="E1755" s="50" t="n">
        <v>2022</v>
      </c>
      <c r="F1755" s="50" t="inlineStr">
        <is>
          <t>2022-11-14</t>
        </is>
      </c>
      <c r="G1755" s="50" t="inlineStr">
        <is>
          <t>2022-06-30</t>
        </is>
      </c>
      <c r="H1755" t="inlineStr">
        <is>
          <t>Nancy C Everett</t>
        </is>
      </c>
      <c r="I1755" t="inlineStr">
        <is>
          <t>CEO &amp; CIO</t>
        </is>
      </c>
      <c r="J1755" t="inlineStr">
        <is>
          <t>CIO</t>
        </is>
      </c>
      <c r="K1755" t="inlineStr">
        <is>
          <t>CIO - Top Investment Executive</t>
        </is>
      </c>
      <c r="L1755" s="28" t="n">
        <v>79742</v>
      </c>
      <c r="M1755" s="28" t="n">
        <v>100000</v>
      </c>
      <c r="N1755" s="28" t="n">
        <v>0</v>
      </c>
      <c r="O1755" s="28" t="n">
        <v>0</v>
      </c>
      <c r="P1755" s="28" t="n">
        <v>7038</v>
      </c>
      <c r="Q1755" s="28" t="n">
        <v>186780</v>
      </c>
      <c r="R1755" s="28" t="n">
        <v>0</v>
      </c>
      <c r="S1755" s="28">
        <f>Q1755-R1755</f>
        <v/>
      </c>
      <c r="T1755" s="28">
        <f>IF(S1755="","",S1755*(1+in_GrowthRate)^(YEARFRAC(DATE(2022,6,30),in_AgeToDate)*IF(in_AgeToDate&lt;DATE(2022,6,30),-1,1)+1))</f>
        <v/>
      </c>
      <c r="U1755" s="50">
        <f>IF(AND(AND(OR(in_Mode="All Funds",AND(C1755&gt;=in_BandFloor,C1755&lt;=in_BandCeiling,OR(in_Geography="National",COUNTIFS(lst_GeoPreset,in_Geography,lst_GeoState,B1755)&gt;0,AND(in_Geography="Custom",ISNUMBER(SEARCH(B1755,SUBSTITUTE(in_CustomStates," ",""))))),OR(AND(D1755="Endowment",Inputs!$B$14="Y"),AND(D1755="Foundation",Inputs!$B$15="Y"),AND(D1755="Healthcare",Inputs!$B$16="Y"),AND(D1755="Pension",Inputs!$B$17="Y"),AND(D1755="OCIO",Inputs!$B$18="Y"),AND(D1755="Other",Inputs!$B$19="Y")))),A1755&lt;&gt;in_ClientOrg,NOT(AND(in_ExclHarvard="Y",ISNUMBER(SEARCH("Harvard",A1755))))),$AD1755="Y",K1755&lt;&gt;"",S1755&gt;0),"Y","")</f>
        <v/>
      </c>
      <c r="V1755" s="30" t="n">
        <v>1</v>
      </c>
      <c r="W1755" t="inlineStr"/>
      <c r="X1755" s="28">
        <f>IF(L1755+M1755=0,"",L1755+M1755)</f>
        <v/>
      </c>
      <c r="Y1755" s="38">
        <f>IF(L1755=0,"",M1755/L1755)</f>
        <v/>
      </c>
      <c r="Z1755" t="inlineStr">
        <is>
          <t>CIO - Top Investment Executive</t>
        </is>
      </c>
      <c r="AA1755" t="inlineStr">
        <is>
          <t>Leadership</t>
        </is>
      </c>
      <c r="AB1755" s="50" t="inlineStr">
        <is>
          <t>Y</t>
        </is>
      </c>
      <c r="AC1755" s="43">
        <f>HYPERLINK("https://projects.propublica.org/nonprofits/organizations/474815851/202213189349316616/full","view filing")</f>
        <v/>
      </c>
      <c r="AD1755" s="50" t="inlineStr"/>
    </row>
    <row r="1756">
      <c r="A1756" t="inlineStr">
        <is>
          <t>Villanova University</t>
        </is>
      </c>
      <c r="B1756" s="50" t="inlineStr">
        <is>
          <t>PA</t>
        </is>
      </c>
      <c r="C1756" s="52" t="n">
        <v>1.47</v>
      </c>
      <c r="D1756" t="inlineStr">
        <is>
          <t>Endowment</t>
        </is>
      </c>
      <c r="E1756" s="50" t="n">
        <v>2025</v>
      </c>
      <c r="F1756" s="50" t="inlineStr">
        <is>
          <t>2026-04-15</t>
        </is>
      </c>
      <c r="G1756" s="50" t="inlineStr">
        <is>
          <t>2025-05-31</t>
        </is>
      </c>
      <c r="H1756" t="inlineStr">
        <is>
          <t>Mr Shane P Mcandrew</t>
        </is>
      </c>
      <c r="I1756" t="inlineStr">
        <is>
          <t>CHIEF INVESTMENT OFFICER</t>
        </is>
      </c>
      <c r="J1756" t="inlineStr">
        <is>
          <t>CIO</t>
        </is>
      </c>
      <c r="K1756" t="inlineStr">
        <is>
          <t>CIO - Top Investment Executive</t>
        </is>
      </c>
      <c r="L1756" s="28" t="n">
        <v>808237</v>
      </c>
      <c r="M1756" s="28" t="n">
        <v>0</v>
      </c>
      <c r="N1756" s="28" t="n">
        <v>0</v>
      </c>
      <c r="O1756" s="28" t="n">
        <v>229325</v>
      </c>
      <c r="P1756" s="28" t="n">
        <v>7355</v>
      </c>
      <c r="Q1756" s="28" t="n">
        <v>1044917</v>
      </c>
      <c r="R1756" s="28" t="n">
        <v>0</v>
      </c>
      <c r="S1756" s="28">
        <f>Q1756-R1756</f>
        <v/>
      </c>
      <c r="T1756" s="28">
        <f>IF(S1756="","",S1756*(1+in_GrowthRate)^(YEARFRAC(DATE(2025,5,31),in_AgeToDate)*IF(in_AgeToDate&lt;DATE(2025,5,31),-1,1)+1))</f>
        <v/>
      </c>
      <c r="U1756" s="50">
        <f>IF(AND(AND(OR(in_Mode="All Funds",AND(C1756&gt;=in_BandFloor,C1756&lt;=in_BandCeiling,OR(in_Geography="National",COUNTIFS(lst_GeoPreset,in_Geography,lst_GeoState,B1756)&gt;0,AND(in_Geography="Custom",ISNUMBER(SEARCH(B1756,SUBSTITUTE(in_CustomStates," ",""))))),OR(AND(D1756="Endowment",Inputs!$B$14="Y"),AND(D1756="Foundation",Inputs!$B$15="Y"),AND(D1756="Healthcare",Inputs!$B$16="Y"),AND(D1756="Pension",Inputs!$B$17="Y"),AND(D1756="OCIO",Inputs!$B$18="Y"),AND(D1756="Other",Inputs!$B$19="Y")))),A1756&lt;&gt;in_ClientOrg,NOT(AND(in_ExclHarvard="Y",ISNUMBER(SEARCH("Harvard",A1756))))),$AD1756="Y",K1756&lt;&gt;"",S1756&gt;0),"Y","")</f>
        <v/>
      </c>
      <c r="V1756" s="30" t="n">
        <v>1</v>
      </c>
      <c r="W1756" t="inlineStr"/>
      <c r="X1756" s="28">
        <f>IF(L1756+M1756=0,"",L1756+M1756)</f>
        <v/>
      </c>
      <c r="Y1756" s="38">
        <f>IF(L1756=0,"",M1756/L1756)</f>
        <v/>
      </c>
      <c r="Z1756" t="inlineStr">
        <is>
          <t>CIO - Top Investment Executive</t>
        </is>
      </c>
      <c r="AA1756" t="inlineStr">
        <is>
          <t>Leadership</t>
        </is>
      </c>
      <c r="AB1756" s="50" t="inlineStr">
        <is>
          <t>Y</t>
        </is>
      </c>
      <c r="AC1756" s="43">
        <f>HYPERLINK("https://projects.propublica.org/nonprofits/organizations/231352688/202641059349301969/full","view filing")</f>
        <v/>
      </c>
      <c r="AD1756" s="50" t="inlineStr">
        <is>
          <t>Y</t>
        </is>
      </c>
    </row>
    <row r="1757">
      <c r="A1757" t="inlineStr">
        <is>
          <t>Villanova University</t>
        </is>
      </c>
      <c r="B1757" s="50" t="inlineStr">
        <is>
          <t>PA</t>
        </is>
      </c>
      <c r="C1757" s="52" t="n">
        <v>1.47</v>
      </c>
      <c r="D1757" t="inlineStr">
        <is>
          <t>Endowment</t>
        </is>
      </c>
      <c r="E1757" s="50" t="n">
        <v>2025</v>
      </c>
      <c r="F1757" s="50" t="inlineStr">
        <is>
          <t>2026-04-15</t>
        </is>
      </c>
      <c r="G1757" s="50" t="inlineStr">
        <is>
          <t>2025-05-31</t>
        </is>
      </c>
      <c r="H1757" t="inlineStr">
        <is>
          <t>Tej M Patel</t>
        </is>
      </c>
      <c r="I1757" t="inlineStr">
        <is>
          <t>VP &amp; CIO</t>
        </is>
      </c>
      <c r="J1757" t="inlineStr">
        <is>
          <t>CIO</t>
        </is>
      </c>
      <c r="K1757" t="inlineStr">
        <is>
          <t>Sr Investment Professional</t>
        </is>
      </c>
      <c r="L1757" s="28" t="n">
        <v>0</v>
      </c>
      <c r="M1757" s="28" t="n">
        <v>0</v>
      </c>
      <c r="N1757" s="28" t="n">
        <v>0</v>
      </c>
      <c r="O1757" s="28" t="n">
        <v>0</v>
      </c>
      <c r="P1757" s="28" t="n">
        <v>0</v>
      </c>
      <c r="Q1757" s="28" t="n">
        <v>140449</v>
      </c>
      <c r="R1757" s="28" t="n">
        <v>0</v>
      </c>
      <c r="S1757" s="28">
        <f>Q1757-R1757</f>
        <v/>
      </c>
      <c r="T1757" s="28">
        <f>IF(S1757="","",S1757*(1+in_GrowthRate)^(YEARFRAC(DATE(2025,5,31),in_AgeToDate)*IF(in_AgeToDate&lt;DATE(2025,5,31),-1,1)+1))</f>
        <v/>
      </c>
      <c r="U1757" s="50">
        <f>IF(AND(AND(OR(in_Mode="All Funds",AND(C1757&gt;=in_BandFloor,C1757&lt;=in_BandCeiling,OR(in_Geography="National",COUNTIFS(lst_GeoPreset,in_Geography,lst_GeoState,B1757)&gt;0,AND(in_Geography="Custom",ISNUMBER(SEARCH(B1757,SUBSTITUTE(in_CustomStates," ",""))))),OR(AND(D1757="Endowment",Inputs!$B$14="Y"),AND(D1757="Foundation",Inputs!$B$15="Y"),AND(D1757="Healthcare",Inputs!$B$16="Y"),AND(D1757="Pension",Inputs!$B$17="Y"),AND(D1757="OCIO",Inputs!$B$18="Y"),AND(D1757="Other",Inputs!$B$19="Y")))),A1757&lt;&gt;in_ClientOrg,NOT(AND(in_ExclHarvard="Y",ISNUMBER(SEARCH("Harvard",A1757))))),$AD1757="Y",K1757&lt;&gt;"",S1757&gt;0),"Y","")</f>
        <v/>
      </c>
      <c r="V1757" s="30" t="n">
        <v>0.1344116326942714</v>
      </c>
      <c r="W1757" t="inlineStr"/>
      <c r="X1757" s="28">
        <f>IF(L1757+M1757=0,"",L1757+M1757)</f>
        <v/>
      </c>
      <c r="Y1757" s="38">
        <f>IF(L1757=0,"",M1757/L1757)</f>
        <v/>
      </c>
      <c r="Z1757" t="inlineStr">
        <is>
          <t>Deputy CIO</t>
        </is>
      </c>
      <c r="AA1757" t="inlineStr">
        <is>
          <t>Leadership</t>
        </is>
      </c>
      <c r="AB1757" s="50" t="inlineStr"/>
      <c r="AC1757" s="43">
        <f>HYPERLINK("https://projects.propublica.org/nonprofits/organizations/231352688/202641059349301969/full","view filing")</f>
        <v/>
      </c>
      <c r="AD1757" s="50" t="inlineStr">
        <is>
          <t>Y</t>
        </is>
      </c>
    </row>
    <row r="1758">
      <c r="A1758" t="inlineStr">
        <is>
          <t>Villanova University</t>
        </is>
      </c>
      <c r="B1758" s="50" t="inlineStr">
        <is>
          <t>PA</t>
        </is>
      </c>
      <c r="C1758" s="52" t="n">
        <v>1.47</v>
      </c>
      <c r="D1758" t="inlineStr">
        <is>
          <t>Endowment</t>
        </is>
      </c>
      <c r="E1758" s="50" t="n">
        <v>2024</v>
      </c>
      <c r="F1758" s="50" t="inlineStr">
        <is>
          <t>2025-04-15</t>
        </is>
      </c>
      <c r="G1758" s="50" t="inlineStr">
        <is>
          <t>2024-05-31</t>
        </is>
      </c>
      <c r="H1758" t="inlineStr">
        <is>
          <t>Mr Shane P Mcandrew</t>
        </is>
      </c>
      <c r="I1758" t="inlineStr">
        <is>
          <t>CHIEF INVESTMENT OFFICER</t>
        </is>
      </c>
      <c r="J1758" t="inlineStr">
        <is>
          <t>CIO</t>
        </is>
      </c>
      <c r="K1758" t="inlineStr">
        <is>
          <t>CIO - Top Investment Executive</t>
        </is>
      </c>
      <c r="L1758" s="28" t="n">
        <v>709568</v>
      </c>
      <c r="M1758" s="28" t="n">
        <v>0</v>
      </c>
      <c r="N1758" s="28" t="n">
        <v>0</v>
      </c>
      <c r="O1758" s="28" t="n">
        <v>228050</v>
      </c>
      <c r="P1758" s="28" t="n">
        <v>7010</v>
      </c>
      <c r="Q1758" s="28" t="n">
        <v>944628</v>
      </c>
      <c r="R1758" s="28" t="n">
        <v>0</v>
      </c>
      <c r="S1758" s="28">
        <f>Q1758-R1758</f>
        <v/>
      </c>
      <c r="T1758" s="28">
        <f>IF(S1758="","",S1758*(1+in_GrowthRate)^(YEARFRAC(DATE(2024,5,31),in_AgeToDate)*IF(in_AgeToDate&lt;DATE(2024,5,31),-1,1)+1))</f>
        <v/>
      </c>
      <c r="U1758" s="50">
        <f>IF(AND(AND(OR(in_Mode="All Funds",AND(C1758&gt;=in_BandFloor,C1758&lt;=in_BandCeiling,OR(in_Geography="National",COUNTIFS(lst_GeoPreset,in_Geography,lst_GeoState,B1758)&gt;0,AND(in_Geography="Custom",ISNUMBER(SEARCH(B1758,SUBSTITUTE(in_CustomStates," ",""))))),OR(AND(D1758="Endowment",Inputs!$B$14="Y"),AND(D1758="Foundation",Inputs!$B$15="Y"),AND(D1758="Healthcare",Inputs!$B$16="Y"),AND(D1758="Pension",Inputs!$B$17="Y"),AND(D1758="OCIO",Inputs!$B$18="Y"),AND(D1758="Other",Inputs!$B$19="Y")))),A1758&lt;&gt;in_ClientOrg,NOT(AND(in_ExclHarvard="Y",ISNUMBER(SEARCH("Harvard",A1758))))),$AD1758="Y",K1758&lt;&gt;"",S1758&gt;0),"Y","")</f>
        <v/>
      </c>
      <c r="V1758" s="30" t="n">
        <v>1</v>
      </c>
      <c r="W1758" t="inlineStr"/>
      <c r="X1758" s="28">
        <f>IF(L1758+M1758=0,"",L1758+M1758)</f>
        <v/>
      </c>
      <c r="Y1758" s="38">
        <f>IF(L1758=0,"",M1758/L1758)</f>
        <v/>
      </c>
      <c r="Z1758" t="inlineStr">
        <is>
          <t>CIO - Top Investment Executive</t>
        </is>
      </c>
      <c r="AA1758" t="inlineStr">
        <is>
          <t>Leadership</t>
        </is>
      </c>
      <c r="AB1758" s="50" t="inlineStr">
        <is>
          <t>Y</t>
        </is>
      </c>
      <c r="AC1758" s="43">
        <f>HYPERLINK("https://projects.propublica.org/nonprofits/organizations/231352688/202521059349301507/full","view filing")</f>
        <v/>
      </c>
      <c r="AD1758" s="50" t="inlineStr"/>
    </row>
    <row r="1759">
      <c r="A1759" t="inlineStr">
        <is>
          <t>Villanova University</t>
        </is>
      </c>
      <c r="B1759" s="50" t="inlineStr">
        <is>
          <t>PA</t>
        </is>
      </c>
      <c r="C1759" s="52" t="n">
        <v>1.47</v>
      </c>
      <c r="D1759" t="inlineStr">
        <is>
          <t>Endowment</t>
        </is>
      </c>
      <c r="E1759" s="50" t="n">
        <v>2023</v>
      </c>
      <c r="F1759" s="50" t="inlineStr">
        <is>
          <t>2024-04-12</t>
        </is>
      </c>
      <c r="G1759" s="50" t="inlineStr">
        <is>
          <t>2023-05-31</t>
        </is>
      </c>
      <c r="H1759" t="inlineStr">
        <is>
          <t>Mr Shane P Mcandrew</t>
        </is>
      </c>
      <c r="I1759" t="inlineStr">
        <is>
          <t>CHIEF INVESTMENT OFFICER</t>
        </is>
      </c>
      <c r="J1759" t="inlineStr">
        <is>
          <t>CIO</t>
        </is>
      </c>
      <c r="K1759" t="inlineStr">
        <is>
          <t>CIO - Top Investment Executive</t>
        </is>
      </c>
      <c r="L1759" s="28" t="n">
        <v>550533</v>
      </c>
      <c r="M1759" s="28" t="n">
        <v>75000</v>
      </c>
      <c r="N1759" s="28" t="n">
        <v>0</v>
      </c>
      <c r="O1759" s="28" t="n">
        <v>225925</v>
      </c>
      <c r="P1759" s="28" t="n">
        <v>6461</v>
      </c>
      <c r="Q1759" s="28" t="n">
        <v>857919</v>
      </c>
      <c r="R1759" s="28" t="n">
        <v>75000</v>
      </c>
      <c r="S1759" s="28">
        <f>Q1759-R1759</f>
        <v/>
      </c>
      <c r="T1759" s="28">
        <f>IF(S1759="","",S1759*(1+in_GrowthRate)^(YEARFRAC(DATE(2023,5,31),in_AgeToDate)*IF(in_AgeToDate&lt;DATE(2023,5,31),-1,1)+1))</f>
        <v/>
      </c>
      <c r="U1759" s="50">
        <f>IF(AND(AND(OR(in_Mode="All Funds",AND(C1759&gt;=in_BandFloor,C1759&lt;=in_BandCeiling,OR(in_Geography="National",COUNTIFS(lst_GeoPreset,in_Geography,lst_GeoState,B1759)&gt;0,AND(in_Geography="Custom",ISNUMBER(SEARCH(B1759,SUBSTITUTE(in_CustomStates," ",""))))),OR(AND(D1759="Endowment",Inputs!$B$14="Y"),AND(D1759="Foundation",Inputs!$B$15="Y"),AND(D1759="Healthcare",Inputs!$B$16="Y"),AND(D1759="Pension",Inputs!$B$17="Y"),AND(D1759="OCIO",Inputs!$B$18="Y"),AND(D1759="Other",Inputs!$B$19="Y")))),A1759&lt;&gt;in_ClientOrg,NOT(AND(in_ExclHarvard="Y",ISNUMBER(SEARCH("Harvard",A1759))))),$AD1759="Y",K1759&lt;&gt;"",S1759&gt;0),"Y","")</f>
        <v/>
      </c>
      <c r="V1759" s="30" t="n">
        <v>1</v>
      </c>
      <c r="W1759" t="inlineStr"/>
      <c r="X1759" s="28">
        <f>IF(L1759+M1759=0,"",L1759+M1759)</f>
        <v/>
      </c>
      <c r="Y1759" s="38">
        <f>IF(L1759=0,"",M1759/L1759)</f>
        <v/>
      </c>
      <c r="Z1759" t="inlineStr">
        <is>
          <t>CIO - Top Investment Executive</t>
        </is>
      </c>
      <c r="AA1759" t="inlineStr">
        <is>
          <t>Leadership</t>
        </is>
      </c>
      <c r="AB1759" s="50" t="inlineStr">
        <is>
          <t>Y</t>
        </is>
      </c>
      <c r="AC1759" s="43">
        <f>HYPERLINK("https://projects.propublica.org/nonprofits/organizations/231352688/202411039349300946/full","view filing")</f>
        <v/>
      </c>
      <c r="AD1759" s="50" t="inlineStr"/>
    </row>
    <row r="1760">
      <c r="A1760" t="inlineStr">
        <is>
          <t>Villanova University</t>
        </is>
      </c>
      <c r="B1760" s="50" t="inlineStr">
        <is>
          <t>PA</t>
        </is>
      </c>
      <c r="C1760" s="52" t="n">
        <v>1.47</v>
      </c>
      <c r="D1760" t="inlineStr">
        <is>
          <t>Endowment</t>
        </is>
      </c>
      <c r="E1760" s="50" t="n">
        <v>2022</v>
      </c>
      <c r="F1760" s="50" t="inlineStr">
        <is>
          <t>2023-04-14</t>
        </is>
      </c>
      <c r="G1760" s="50" t="inlineStr">
        <is>
          <t>2022-05-31</t>
        </is>
      </c>
      <c r="H1760" t="inlineStr">
        <is>
          <t>Mr Shane P Mcandrew</t>
        </is>
      </c>
      <c r="I1760" t="inlineStr">
        <is>
          <t>CHIEF INVESTMENT OFFICER</t>
        </is>
      </c>
      <c r="J1760" t="inlineStr">
        <is>
          <t>CIO</t>
        </is>
      </c>
      <c r="K1760" t="inlineStr">
        <is>
          <t>CIO - Top Investment Executive</t>
        </is>
      </c>
      <c r="L1760" s="28" t="n">
        <v>394166</v>
      </c>
      <c r="M1760" s="28" t="n">
        <v>0</v>
      </c>
      <c r="N1760" s="28" t="n">
        <v>100000</v>
      </c>
      <c r="O1760" s="28" t="n">
        <v>98761</v>
      </c>
      <c r="P1760" s="28" t="n">
        <v>6147</v>
      </c>
      <c r="Q1760" s="28" t="n">
        <v>599074</v>
      </c>
      <c r="R1760" s="28" t="n">
        <v>100000</v>
      </c>
      <c r="S1760" s="28">
        <f>Q1760-R1760</f>
        <v/>
      </c>
      <c r="T1760" s="28">
        <f>IF(S1760="","",S1760*(1+in_GrowthRate)^(YEARFRAC(DATE(2022,5,31),in_AgeToDate)*IF(in_AgeToDate&lt;DATE(2022,5,31),-1,1)+1))</f>
        <v/>
      </c>
      <c r="U1760" s="50">
        <f>IF(AND(AND(OR(in_Mode="All Funds",AND(C1760&gt;=in_BandFloor,C1760&lt;=in_BandCeiling,OR(in_Geography="National",COUNTIFS(lst_GeoPreset,in_Geography,lst_GeoState,B1760)&gt;0,AND(in_Geography="Custom",ISNUMBER(SEARCH(B1760,SUBSTITUTE(in_CustomStates," ",""))))),OR(AND(D1760="Endowment",Inputs!$B$14="Y"),AND(D1760="Foundation",Inputs!$B$15="Y"),AND(D1760="Healthcare",Inputs!$B$16="Y"),AND(D1760="Pension",Inputs!$B$17="Y"),AND(D1760="OCIO",Inputs!$B$18="Y"),AND(D1760="Other",Inputs!$B$19="Y")))),A1760&lt;&gt;in_ClientOrg,NOT(AND(in_ExclHarvard="Y",ISNUMBER(SEARCH("Harvard",A1760))))),$AD1760="Y",K1760&lt;&gt;"",S1760&gt;0),"Y","")</f>
        <v/>
      </c>
      <c r="V1760" s="30" t="n">
        <v>1</v>
      </c>
      <c r="W1760" t="inlineStr"/>
      <c r="X1760" s="28">
        <f>IF(L1760+M1760=0,"",L1760+M1760)</f>
        <v/>
      </c>
      <c r="Y1760" s="38">
        <f>IF(L1760=0,"",M1760/L1760)</f>
        <v/>
      </c>
      <c r="Z1760" t="inlineStr">
        <is>
          <t>CIO - Top Investment Executive</t>
        </is>
      </c>
      <c r="AA1760" t="inlineStr">
        <is>
          <t>Leadership</t>
        </is>
      </c>
      <c r="AB1760" s="50" t="inlineStr">
        <is>
          <t>Y</t>
        </is>
      </c>
      <c r="AC1760" s="43">
        <f>HYPERLINK("https://projects.propublica.org/nonprofits/organizations/231352688/202321049349301727/full","view filing")</f>
        <v/>
      </c>
      <c r="AD1760" s="50" t="inlineStr"/>
    </row>
    <row r="1761">
      <c r="A1761" t="inlineStr">
        <is>
          <t>Villanova University</t>
        </is>
      </c>
      <c r="B1761" s="50" t="inlineStr">
        <is>
          <t>PA</t>
        </is>
      </c>
      <c r="C1761" s="52" t="n">
        <v>1.47</v>
      </c>
      <c r="D1761" t="inlineStr">
        <is>
          <t>Endowment</t>
        </is>
      </c>
      <c r="E1761" s="50" t="n">
        <v>2022</v>
      </c>
      <c r="F1761" s="50" t="inlineStr">
        <is>
          <t>2023-04-14</t>
        </is>
      </c>
      <c r="G1761" s="50" t="inlineStr">
        <is>
          <t>2022-05-31</t>
        </is>
      </c>
      <c r="H1761" t="inlineStr">
        <is>
          <t>Ms Kelly Doney</t>
        </is>
      </c>
      <c r="I1761" t="inlineStr">
        <is>
          <t>VP AND CIO</t>
        </is>
      </c>
      <c r="J1761" t="inlineStr">
        <is>
          <t>CIO</t>
        </is>
      </c>
      <c r="K1761" t="inlineStr">
        <is>
          <t>Sr Investment Professional</t>
        </is>
      </c>
      <c r="L1761" s="28" t="n">
        <v>330550</v>
      </c>
      <c r="M1761" s="28" t="n">
        <v>0</v>
      </c>
      <c r="N1761" s="28" t="n">
        <v>10000</v>
      </c>
      <c r="O1761" s="28" t="n">
        <v>23004</v>
      </c>
      <c r="P1761" s="28" t="n">
        <v>6210</v>
      </c>
      <c r="Q1761" s="28" t="n">
        <v>369764</v>
      </c>
      <c r="R1761" s="28" t="n">
        <v>0</v>
      </c>
      <c r="S1761" s="28">
        <f>Q1761-R1761</f>
        <v/>
      </c>
      <c r="T1761" s="28">
        <f>IF(S1761="","",S1761*(1+in_GrowthRate)^(YEARFRAC(DATE(2022,5,31),in_AgeToDate)*IF(in_AgeToDate&lt;DATE(2022,5,31),-1,1)+1))</f>
        <v/>
      </c>
      <c r="U1761" s="50">
        <f>IF(AND(AND(OR(in_Mode="All Funds",AND(C1761&gt;=in_BandFloor,C1761&lt;=in_BandCeiling,OR(in_Geography="National",COUNTIFS(lst_GeoPreset,in_Geography,lst_GeoState,B1761)&gt;0,AND(in_Geography="Custom",ISNUMBER(SEARCH(B1761,SUBSTITUTE(in_CustomStates," ",""))))),OR(AND(D1761="Endowment",Inputs!$B$14="Y"),AND(D1761="Foundation",Inputs!$B$15="Y"),AND(D1761="Healthcare",Inputs!$B$16="Y"),AND(D1761="Pension",Inputs!$B$17="Y"),AND(D1761="OCIO",Inputs!$B$18="Y"),AND(D1761="Other",Inputs!$B$19="Y")))),A1761&lt;&gt;in_ClientOrg,NOT(AND(in_ExclHarvard="Y",ISNUMBER(SEARCH("Harvard",A1761))))),$AD1761="Y",K1761&lt;&gt;"",S1761&gt;0),"Y","")</f>
        <v/>
      </c>
      <c r="V1761" s="30" t="n">
        <v>0.7409001470723781</v>
      </c>
      <c r="W1761" t="inlineStr"/>
      <c r="X1761" s="28">
        <f>IF(L1761+M1761=0,"",L1761+M1761)</f>
        <v/>
      </c>
      <c r="Y1761" s="38">
        <f>IF(L1761=0,"",M1761/L1761)</f>
        <v/>
      </c>
      <c r="Z1761" t="inlineStr">
        <is>
          <t>Deputy CIO</t>
        </is>
      </c>
      <c r="AA1761" t="inlineStr">
        <is>
          <t>Leadership</t>
        </is>
      </c>
      <c r="AB1761" s="50" t="inlineStr"/>
      <c r="AC1761" s="43">
        <f>HYPERLINK("https://projects.propublica.org/nonprofits/organizations/231352688/202321049349301727/full","view filing")</f>
        <v/>
      </c>
      <c r="AD1761" s="50" t="inlineStr"/>
    </row>
    <row r="1762">
      <c r="A1762" t="inlineStr">
        <is>
          <t>Virginia Tech Foundation Inc</t>
        </is>
      </c>
      <c r="B1762" s="50" t="inlineStr">
        <is>
          <t>VA</t>
        </is>
      </c>
      <c r="C1762" s="52" t="n">
        <v>2.09</v>
      </c>
      <c r="D1762" t="inlineStr">
        <is>
          <t>Foundation</t>
        </is>
      </c>
      <c r="E1762" s="50" t="n">
        <v>2025</v>
      </c>
      <c r="F1762" s="50" t="inlineStr">
        <is>
          <t>2026-06-17</t>
        </is>
      </c>
      <c r="G1762" s="50" t="inlineStr">
        <is>
          <t>2025-06-30</t>
        </is>
      </c>
      <c r="H1762" t="inlineStr">
        <is>
          <t>Mr David Greenberg</t>
        </is>
      </c>
      <c r="I1762" t="inlineStr">
        <is>
          <t>CHIEF INVESTMENT OFFICER</t>
        </is>
      </c>
      <c r="J1762" t="inlineStr">
        <is>
          <t>CIO</t>
        </is>
      </c>
      <c r="K1762" t="inlineStr">
        <is>
          <t>CIO - Top Investment Executive</t>
        </is>
      </c>
      <c r="L1762" s="28" t="n">
        <v>790885</v>
      </c>
      <c r="M1762" s="28" t="n">
        <v>702500</v>
      </c>
      <c r="N1762" s="28" t="n">
        <v>1242</v>
      </c>
      <c r="O1762" s="28" t="n">
        <v>40368</v>
      </c>
      <c r="P1762" s="28" t="n">
        <v>35452</v>
      </c>
      <c r="Q1762" s="28" t="n">
        <v>1570447</v>
      </c>
      <c r="R1762" s="28" t="n">
        <v>0</v>
      </c>
      <c r="S1762" s="28">
        <f>Q1762-R1762</f>
        <v/>
      </c>
      <c r="T1762" s="28">
        <f>IF(S1762="","",S1762*(1+in_GrowthRate)^(YEARFRAC(DATE(2025,6,30),in_AgeToDate)*IF(in_AgeToDate&lt;DATE(2025,6,30),-1,1)+1))</f>
        <v/>
      </c>
      <c r="U1762" s="50">
        <f>IF(AND(AND(OR(in_Mode="All Funds",AND(C1762&gt;=in_BandFloor,C1762&lt;=in_BandCeiling,OR(in_Geography="National",COUNTIFS(lst_GeoPreset,in_Geography,lst_GeoState,B1762)&gt;0,AND(in_Geography="Custom",ISNUMBER(SEARCH(B1762,SUBSTITUTE(in_CustomStates," ",""))))),OR(AND(D1762="Endowment",Inputs!$B$14="Y"),AND(D1762="Foundation",Inputs!$B$15="Y"),AND(D1762="Healthcare",Inputs!$B$16="Y"),AND(D1762="Pension",Inputs!$B$17="Y"),AND(D1762="OCIO",Inputs!$B$18="Y"),AND(D1762="Other",Inputs!$B$19="Y")))),A1762&lt;&gt;in_ClientOrg,NOT(AND(in_ExclHarvard="Y",ISNUMBER(SEARCH("Harvard",A1762))))),$AD1762="Y",K1762&lt;&gt;"",S1762&gt;0),"Y","")</f>
        <v/>
      </c>
      <c r="V1762" s="30" t="n">
        <v>1</v>
      </c>
      <c r="W1762" t="inlineStr"/>
      <c r="X1762" s="28">
        <f>IF(L1762+M1762=0,"",L1762+M1762)</f>
        <v/>
      </c>
      <c r="Y1762" s="38">
        <f>IF(L1762=0,"",M1762/L1762)</f>
        <v/>
      </c>
      <c r="Z1762" t="inlineStr">
        <is>
          <t>CIO - Top Investment Executive</t>
        </is>
      </c>
      <c r="AA1762" t="inlineStr">
        <is>
          <t>Leadership</t>
        </is>
      </c>
      <c r="AB1762" s="50" t="inlineStr">
        <is>
          <t>Y</t>
        </is>
      </c>
      <c r="AC1762" s="43">
        <f>HYPERLINK("https://projects.propublica.org/nonprofits/organizations/540721690/202621689349300007/full","view filing")</f>
        <v/>
      </c>
      <c r="AD1762" s="50" t="inlineStr">
        <is>
          <t>Y</t>
        </is>
      </c>
    </row>
    <row r="1763">
      <c r="A1763" t="inlineStr">
        <is>
          <t>Virginia Tech Foundation Inc</t>
        </is>
      </c>
      <c r="B1763" s="50" t="inlineStr">
        <is>
          <t>VA</t>
        </is>
      </c>
      <c r="C1763" s="52" t="n">
        <v>2.09</v>
      </c>
      <c r="D1763" t="inlineStr">
        <is>
          <t>Foundation</t>
        </is>
      </c>
      <c r="E1763" s="50" t="n">
        <v>2025</v>
      </c>
      <c r="F1763" s="50" t="inlineStr">
        <is>
          <t>2026-06-17</t>
        </is>
      </c>
      <c r="G1763" s="50" t="inlineStr">
        <is>
          <t>2025-06-30</t>
        </is>
      </c>
      <c r="H1763" t="inlineStr">
        <is>
          <t>Mr Louie Vuong</t>
        </is>
      </c>
      <c r="I1763" t="inlineStr">
        <is>
          <t>INVESTMENT MANAGER</t>
        </is>
      </c>
      <c r="J1763" t="inlineStr">
        <is>
          <t>Investment Manager</t>
        </is>
      </c>
      <c r="K1763" t="inlineStr">
        <is>
          <t>Sr Investment Professional</t>
        </is>
      </c>
      <c r="L1763" s="28" t="n">
        <v>237049</v>
      </c>
      <c r="M1763" s="28" t="n">
        <v>162500</v>
      </c>
      <c r="N1763" s="28" t="n">
        <v>6434</v>
      </c>
      <c r="O1763" s="28" t="n">
        <v>43407</v>
      </c>
      <c r="P1763" s="28" t="n">
        <v>12644</v>
      </c>
      <c r="Q1763" s="28" t="n">
        <v>462034</v>
      </c>
      <c r="R1763" s="28" t="n">
        <v>0</v>
      </c>
      <c r="S1763" s="28">
        <f>Q1763-R1763</f>
        <v/>
      </c>
      <c r="T1763" s="28">
        <f>IF(S1763="","",S1763*(1+in_GrowthRate)^(YEARFRAC(DATE(2025,6,30),in_AgeToDate)*IF(in_AgeToDate&lt;DATE(2025,6,30),-1,1)+1))</f>
        <v/>
      </c>
      <c r="U1763" s="50">
        <f>IF(AND(AND(OR(in_Mode="All Funds",AND(C1763&gt;=in_BandFloor,C1763&lt;=in_BandCeiling,OR(in_Geography="National",COUNTIFS(lst_GeoPreset,in_Geography,lst_GeoState,B1763)&gt;0,AND(in_Geography="Custom",ISNUMBER(SEARCH(B1763,SUBSTITUTE(in_CustomStates," ",""))))),OR(AND(D1763="Endowment",Inputs!$B$14="Y"),AND(D1763="Foundation",Inputs!$B$15="Y"),AND(D1763="Healthcare",Inputs!$B$16="Y"),AND(D1763="Pension",Inputs!$B$17="Y"),AND(D1763="OCIO",Inputs!$B$18="Y"),AND(D1763="Other",Inputs!$B$19="Y")))),A1763&lt;&gt;in_ClientOrg,NOT(AND(in_ExclHarvard="Y",ISNUMBER(SEARCH("Harvard",A1763))))),$AD1763="Y",K1763&lt;&gt;"",S1763&gt;0),"Y","")</f>
        <v/>
      </c>
      <c r="V1763" s="30" t="n">
        <v>0.2942054077597016</v>
      </c>
      <c r="W1763" t="inlineStr"/>
      <c r="X1763" s="28">
        <f>IF(L1763+M1763=0,"",L1763+M1763)</f>
        <v/>
      </c>
      <c r="Y1763" s="38">
        <f>IF(L1763=0,"",M1763/L1763)</f>
        <v/>
      </c>
      <c r="Z1763" t="inlineStr">
        <is>
          <t>Director &amp; Investment Officer</t>
        </is>
      </c>
      <c r="AA1763" t="inlineStr">
        <is>
          <t>Investments</t>
        </is>
      </c>
      <c r="AB1763" s="50" t="inlineStr"/>
      <c r="AC1763" s="43">
        <f>HYPERLINK("https://projects.propublica.org/nonprofits/organizations/540721690/202621689349300007/full","view filing")</f>
        <v/>
      </c>
      <c r="AD1763" s="50" t="inlineStr">
        <is>
          <t>Y</t>
        </is>
      </c>
    </row>
    <row r="1764">
      <c r="A1764" t="inlineStr">
        <is>
          <t>Virginia Tech Foundation Inc</t>
        </is>
      </c>
      <c r="B1764" s="50" t="inlineStr">
        <is>
          <t>VA</t>
        </is>
      </c>
      <c r="C1764" s="52" t="n">
        <v>2.09</v>
      </c>
      <c r="D1764" t="inlineStr">
        <is>
          <t>Foundation</t>
        </is>
      </c>
      <c r="E1764" s="50" t="n">
        <v>2025</v>
      </c>
      <c r="F1764" s="50" t="inlineStr">
        <is>
          <t>2026-06-17</t>
        </is>
      </c>
      <c r="G1764" s="50" t="inlineStr">
        <is>
          <t>2025-06-30</t>
        </is>
      </c>
      <c r="H1764" t="inlineStr">
        <is>
          <t>Ms Margaret Millhiser</t>
        </is>
      </c>
      <c r="I1764" t="inlineStr">
        <is>
          <t>MANAGING DIRECTOR - INVESTMENTS</t>
        </is>
      </c>
      <c r="J1764" t="inlineStr">
        <is>
          <t>Managing Director</t>
        </is>
      </c>
      <c r="K1764" t="inlineStr">
        <is>
          <t>Sr Investment Professional</t>
        </is>
      </c>
      <c r="L1764" s="28" t="n">
        <v>284307</v>
      </c>
      <c r="M1764" s="28" t="n">
        <v>85625</v>
      </c>
      <c r="N1764" s="28" t="n">
        <v>446</v>
      </c>
      <c r="O1764" s="28" t="n">
        <v>41364</v>
      </c>
      <c r="P1764" s="28" t="n">
        <v>36049</v>
      </c>
      <c r="Q1764" s="28" t="n">
        <v>447791</v>
      </c>
      <c r="R1764" s="28" t="n">
        <v>0</v>
      </c>
      <c r="S1764" s="28">
        <f>Q1764-R1764</f>
        <v/>
      </c>
      <c r="T1764" s="28">
        <f>IF(S1764="","",S1764*(1+in_GrowthRate)^(YEARFRAC(DATE(2025,6,30),in_AgeToDate)*IF(in_AgeToDate&lt;DATE(2025,6,30),-1,1)+1))</f>
        <v/>
      </c>
      <c r="U1764" s="50">
        <f>IF(AND(AND(OR(in_Mode="All Funds",AND(C1764&gt;=in_BandFloor,C1764&lt;=in_BandCeiling,OR(in_Geography="National",COUNTIFS(lst_GeoPreset,in_Geography,lst_GeoState,B1764)&gt;0,AND(in_Geography="Custom",ISNUMBER(SEARCH(B1764,SUBSTITUTE(in_CustomStates," ",""))))),OR(AND(D1764="Endowment",Inputs!$B$14="Y"),AND(D1764="Foundation",Inputs!$B$15="Y"),AND(D1764="Healthcare",Inputs!$B$16="Y"),AND(D1764="Pension",Inputs!$B$17="Y"),AND(D1764="OCIO",Inputs!$B$18="Y"),AND(D1764="Other",Inputs!$B$19="Y")))),A1764&lt;&gt;in_ClientOrg,NOT(AND(in_ExclHarvard="Y",ISNUMBER(SEARCH("Harvard",A1764))))),$AD1764="Y",K1764&lt;&gt;"",S1764&gt;0),"Y","")</f>
        <v/>
      </c>
      <c r="V1764" s="30" t="n">
        <v>0.2851360154147195</v>
      </c>
      <c r="W1764" t="inlineStr"/>
      <c r="X1764" s="28">
        <f>IF(L1764+M1764=0,"",L1764+M1764)</f>
        <v/>
      </c>
      <c r="Y1764" s="38">
        <f>IF(L1764=0,"",M1764/L1764)</f>
        <v/>
      </c>
      <c r="Z1764" t="inlineStr">
        <is>
          <t>Managing Director</t>
        </is>
      </c>
      <c r="AA1764" t="inlineStr">
        <is>
          <t>Investments</t>
        </is>
      </c>
      <c r="AB1764" s="50" t="inlineStr"/>
      <c r="AC1764" s="43">
        <f>HYPERLINK("https://projects.propublica.org/nonprofits/organizations/540721690/202621689349300007/full","view filing")</f>
        <v/>
      </c>
      <c r="AD1764" s="50" t="inlineStr">
        <is>
          <t>Y</t>
        </is>
      </c>
    </row>
    <row r="1765">
      <c r="A1765" t="inlineStr">
        <is>
          <t>Virginia Tech Foundation Inc</t>
        </is>
      </c>
      <c r="B1765" s="50" t="inlineStr">
        <is>
          <t>VA</t>
        </is>
      </c>
      <c r="C1765" s="52" t="n">
        <v>2.09</v>
      </c>
      <c r="D1765" t="inlineStr">
        <is>
          <t>Foundation</t>
        </is>
      </c>
      <c r="E1765" s="50" t="n">
        <v>2024</v>
      </c>
      <c r="F1765" s="50" t="inlineStr">
        <is>
          <t>2025-05-14</t>
        </is>
      </c>
      <c r="G1765" s="50" t="inlineStr">
        <is>
          <t>2024-06-30</t>
        </is>
      </c>
      <c r="H1765" t="inlineStr">
        <is>
          <t>Mr David Greenberg</t>
        </is>
      </c>
      <c r="I1765" t="inlineStr">
        <is>
          <t>CHIEF INVESMENT OFFICER</t>
        </is>
      </c>
      <c r="J1765" t="inlineStr">
        <is>
          <t>CIO</t>
        </is>
      </c>
      <c r="K1765" t="inlineStr">
        <is>
          <t>CIO - Top Investment Executive</t>
        </is>
      </c>
      <c r="L1765" s="28" t="n">
        <v>495204</v>
      </c>
      <c r="M1765" s="28" t="n">
        <v>350000</v>
      </c>
      <c r="N1765" s="28" t="n">
        <v>75925</v>
      </c>
      <c r="O1765" s="28" t="n">
        <v>0</v>
      </c>
      <c r="P1765" s="28" t="n">
        <v>19014</v>
      </c>
      <c r="Q1765" s="28" t="n">
        <v>940143</v>
      </c>
      <c r="R1765" s="28" t="n">
        <v>0</v>
      </c>
      <c r="S1765" s="28">
        <f>Q1765-R1765</f>
        <v/>
      </c>
      <c r="T1765" s="28">
        <f>IF(S1765="","",S1765*(1+in_GrowthRate)^(YEARFRAC(DATE(2024,6,30),in_AgeToDate)*IF(in_AgeToDate&lt;DATE(2024,6,30),-1,1)+1))</f>
        <v/>
      </c>
      <c r="U1765" s="50">
        <f>IF(AND(AND(OR(in_Mode="All Funds",AND(C1765&gt;=in_BandFloor,C1765&lt;=in_BandCeiling,OR(in_Geography="National",COUNTIFS(lst_GeoPreset,in_Geography,lst_GeoState,B1765)&gt;0,AND(in_Geography="Custom",ISNUMBER(SEARCH(B1765,SUBSTITUTE(in_CustomStates," ",""))))),OR(AND(D1765="Endowment",Inputs!$B$14="Y"),AND(D1765="Foundation",Inputs!$B$15="Y"),AND(D1765="Healthcare",Inputs!$B$16="Y"),AND(D1765="Pension",Inputs!$B$17="Y"),AND(D1765="OCIO",Inputs!$B$18="Y"),AND(D1765="Other",Inputs!$B$19="Y")))),A1765&lt;&gt;in_ClientOrg,NOT(AND(in_ExclHarvard="Y",ISNUMBER(SEARCH("Harvard",A1765))))),$AD1765="Y",K1765&lt;&gt;"",S1765&gt;0),"Y","")</f>
        <v/>
      </c>
      <c r="V1765" s="30" t="n">
        <v>1</v>
      </c>
      <c r="W1765" t="inlineStr"/>
      <c r="X1765" s="28">
        <f>IF(L1765+M1765=0,"",L1765+M1765)</f>
        <v/>
      </c>
      <c r="Y1765" s="38">
        <f>IF(L1765=0,"",M1765/L1765)</f>
        <v/>
      </c>
      <c r="Z1765" t="inlineStr">
        <is>
          <t>CIO - Top Investment Executive</t>
        </is>
      </c>
      <c r="AA1765" t="inlineStr">
        <is>
          <t>Leadership</t>
        </is>
      </c>
      <c r="AB1765" s="50" t="inlineStr">
        <is>
          <t>Y</t>
        </is>
      </c>
      <c r="AC1765" s="43">
        <f>HYPERLINK("https://projects.propublica.org/nonprofits/organizations/540721690/202531349349313083/full","view filing")</f>
        <v/>
      </c>
      <c r="AD1765" s="50" t="inlineStr"/>
    </row>
    <row r="1766">
      <c r="A1766" t="inlineStr">
        <is>
          <t>Virginia Tech Foundation Inc</t>
        </is>
      </c>
      <c r="B1766" s="50" t="inlineStr">
        <is>
          <t>VA</t>
        </is>
      </c>
      <c r="C1766" s="52" t="n">
        <v>2.09</v>
      </c>
      <c r="D1766" t="inlineStr">
        <is>
          <t>Foundation</t>
        </is>
      </c>
      <c r="E1766" s="50" t="n">
        <v>2022</v>
      </c>
      <c r="F1766" s="50" t="inlineStr">
        <is>
          <t>2023-05-15</t>
        </is>
      </c>
      <c r="G1766" s="50" t="inlineStr">
        <is>
          <t>2022-06-30</t>
        </is>
      </c>
      <c r="H1766" t="inlineStr">
        <is>
          <t>Mr Bryan H Boehling</t>
        </is>
      </c>
      <c r="I1766" t="inlineStr">
        <is>
          <t>INVESTMENT MANAGER</t>
        </is>
      </c>
      <c r="J1766" t="inlineStr">
        <is>
          <t>Investment Manager</t>
        </is>
      </c>
      <c r="K1766" t="inlineStr">
        <is>
          <t>Sr Investment Professional</t>
        </is>
      </c>
      <c r="L1766" s="28" t="n">
        <v>227438</v>
      </c>
      <c r="M1766" s="28" t="n">
        <v>0</v>
      </c>
      <c r="N1766" s="28" t="n">
        <v>0</v>
      </c>
      <c r="O1766" s="28" t="n">
        <v>24368</v>
      </c>
      <c r="P1766" s="28" t="n">
        <v>8939</v>
      </c>
      <c r="Q1766" s="28" t="n">
        <v>260745</v>
      </c>
      <c r="R1766" s="28" t="n">
        <v>0</v>
      </c>
      <c r="S1766" s="28">
        <f>Q1766-R1766</f>
        <v/>
      </c>
      <c r="T1766" s="28">
        <f>IF(S1766="","",S1766*(1+in_GrowthRate)^(YEARFRAC(DATE(2022,6,30),in_AgeToDate)*IF(in_AgeToDate&lt;DATE(2022,6,30),-1,1)+1))</f>
        <v/>
      </c>
      <c r="U1766" s="50">
        <f>IF(AND(AND(OR(in_Mode="All Funds",AND(C1766&gt;=in_BandFloor,C1766&lt;=in_BandCeiling,OR(in_Geography="National",COUNTIFS(lst_GeoPreset,in_Geography,lst_GeoState,B1766)&gt;0,AND(in_Geography="Custom",ISNUMBER(SEARCH(B1766,SUBSTITUTE(in_CustomStates," ",""))))),OR(AND(D1766="Endowment",Inputs!$B$14="Y"),AND(D1766="Foundation",Inputs!$B$15="Y"),AND(D1766="Healthcare",Inputs!$B$16="Y"),AND(D1766="Pension",Inputs!$B$17="Y"),AND(D1766="OCIO",Inputs!$B$18="Y"),AND(D1766="Other",Inputs!$B$19="Y")))),A1766&lt;&gt;in_ClientOrg,NOT(AND(in_ExclHarvard="Y",ISNUMBER(SEARCH("Harvard",A1766))))),$AD1766="Y",K1766&lt;&gt;"",S1766&gt;0),"Y","")</f>
        <v/>
      </c>
      <c r="V1766" s="30" t="n">
        <v>0.4595597306919525</v>
      </c>
      <c r="W1766" t="inlineStr"/>
      <c r="X1766" s="28">
        <f>IF(L1766+M1766=0,"",L1766+M1766)</f>
        <v/>
      </c>
      <c r="Y1766" s="38">
        <f>IF(L1766=0,"",M1766/L1766)</f>
        <v/>
      </c>
      <c r="Z1766" t="inlineStr">
        <is>
          <t>Director &amp; Investment Officer</t>
        </is>
      </c>
      <c r="AA1766" t="inlineStr">
        <is>
          <t>Investments</t>
        </is>
      </c>
      <c r="AB1766" s="50" t="inlineStr"/>
      <c r="AC1766" s="43">
        <f>HYPERLINK("https://projects.propublica.org/nonprofits/organizations/540721690/202331359349302283/full","view filing")</f>
        <v/>
      </c>
      <c r="AD1766" s="50" t="inlineStr"/>
    </row>
    <row r="1767">
      <c r="A1767" t="inlineStr">
        <is>
          <t>Virginia Tech Foundation Inc</t>
        </is>
      </c>
      <c r="B1767" s="50" t="inlineStr">
        <is>
          <t>VA</t>
        </is>
      </c>
      <c r="C1767" s="52" t="n">
        <v>2.09</v>
      </c>
      <c r="D1767" t="inlineStr">
        <is>
          <t>Foundation</t>
        </is>
      </c>
      <c r="E1767" s="50" t="n">
        <v>2022</v>
      </c>
      <c r="F1767" s="50" t="inlineStr">
        <is>
          <t>2023-05-15</t>
        </is>
      </c>
      <c r="G1767" s="50" t="inlineStr">
        <is>
          <t>2022-06-30</t>
        </is>
      </c>
      <c r="H1767" t="inlineStr">
        <is>
          <t>Mr Daniel Ward</t>
        </is>
      </c>
      <c r="I1767" t="inlineStr">
        <is>
          <t>CIO ENDOWMENT</t>
        </is>
      </c>
      <c r="J1767" t="inlineStr">
        <is>
          <t>CIO</t>
        </is>
      </c>
      <c r="K1767" t="inlineStr">
        <is>
          <t>CIO - Top Investment Executive</t>
        </is>
      </c>
      <c r="L1767" s="28" t="n">
        <v>508178</v>
      </c>
      <c r="M1767" s="28" t="n">
        <v>0</v>
      </c>
      <c r="N1767" s="28" t="n">
        <v>0</v>
      </c>
      <c r="O1767" s="28" t="n">
        <v>36933</v>
      </c>
      <c r="P1767" s="28" t="n">
        <v>22269</v>
      </c>
      <c r="Q1767" s="28" t="n">
        <v>567380</v>
      </c>
      <c r="R1767" s="28" t="n">
        <v>0</v>
      </c>
      <c r="S1767" s="28">
        <f>Q1767-R1767</f>
        <v/>
      </c>
      <c r="T1767" s="28">
        <f>IF(S1767="","",S1767*(1+in_GrowthRate)^(YEARFRAC(DATE(2022,6,30),in_AgeToDate)*IF(in_AgeToDate&lt;DATE(2022,6,30),-1,1)+1))</f>
        <v/>
      </c>
      <c r="U1767" s="50">
        <f>IF(AND(AND(OR(in_Mode="All Funds",AND(C1767&gt;=in_BandFloor,C1767&lt;=in_BandCeiling,OR(in_Geography="National",COUNTIFS(lst_GeoPreset,in_Geography,lst_GeoState,B1767)&gt;0,AND(in_Geography="Custom",ISNUMBER(SEARCH(B1767,SUBSTITUTE(in_CustomStates," ",""))))),OR(AND(D1767="Endowment",Inputs!$B$14="Y"),AND(D1767="Foundation",Inputs!$B$15="Y"),AND(D1767="Healthcare",Inputs!$B$16="Y"),AND(D1767="Pension",Inputs!$B$17="Y"),AND(D1767="OCIO",Inputs!$B$18="Y"),AND(D1767="Other",Inputs!$B$19="Y")))),A1767&lt;&gt;in_ClientOrg,NOT(AND(in_ExclHarvard="Y",ISNUMBER(SEARCH("Harvard",A1767))))),$AD1767="Y",K1767&lt;&gt;"",S1767&gt;0),"Y","")</f>
        <v/>
      </c>
      <c r="V1767" s="30" t="n">
        <v>1</v>
      </c>
      <c r="W1767" t="inlineStr"/>
      <c r="X1767" s="28">
        <f>IF(L1767+M1767=0,"",L1767+M1767)</f>
        <v/>
      </c>
      <c r="Y1767" s="38">
        <f>IF(L1767=0,"",M1767/L1767)</f>
        <v/>
      </c>
      <c r="Z1767" t="inlineStr">
        <is>
          <t>CIO - Top Investment Executive</t>
        </is>
      </c>
      <c r="AA1767" t="inlineStr">
        <is>
          <t>Leadership</t>
        </is>
      </c>
      <c r="AB1767" s="50" t="inlineStr">
        <is>
          <t>Y</t>
        </is>
      </c>
      <c r="AC1767" s="43">
        <f>HYPERLINK("https://projects.propublica.org/nonprofits/organizations/540721690/202331359349302283/full","view filing")</f>
        <v/>
      </c>
      <c r="AD1767" s="50" t="inlineStr"/>
    </row>
    <row r="1768">
      <c r="A1768" t="inlineStr">
        <is>
          <t>Virginia Tech Foundation Inc</t>
        </is>
      </c>
      <c r="B1768" s="50" t="inlineStr">
        <is>
          <t>VA</t>
        </is>
      </c>
      <c r="C1768" s="52" t="n">
        <v>2.09</v>
      </c>
      <c r="D1768" t="inlineStr">
        <is>
          <t>Foundation</t>
        </is>
      </c>
      <c r="E1768" s="50" t="n">
        <v>2022</v>
      </c>
      <c r="F1768" s="50" t="inlineStr">
        <is>
          <t>2023-05-15</t>
        </is>
      </c>
      <c r="G1768" s="50" t="inlineStr">
        <is>
          <t>2022-06-30</t>
        </is>
      </c>
      <c r="H1768" t="inlineStr">
        <is>
          <t>Mr Ebenhard Stoddard</t>
        </is>
      </c>
      <c r="I1768" t="inlineStr">
        <is>
          <t>INVESTMENT MANAGER</t>
        </is>
      </c>
      <c r="J1768" t="inlineStr">
        <is>
          <t>Investment Manager</t>
        </is>
      </c>
      <c r="K1768" t="inlineStr">
        <is>
          <t>Sr Investment Professional</t>
        </is>
      </c>
      <c r="L1768" s="28" t="n">
        <v>228792</v>
      </c>
      <c r="M1768" s="28" t="n">
        <v>0</v>
      </c>
      <c r="N1768" s="28" t="n">
        <v>0</v>
      </c>
      <c r="O1768" s="28" t="n">
        <v>24892</v>
      </c>
      <c r="P1768" s="28" t="n">
        <v>22411</v>
      </c>
      <c r="Q1768" s="28" t="n">
        <v>276095</v>
      </c>
      <c r="R1768" s="28" t="n">
        <v>0</v>
      </c>
      <c r="S1768" s="28">
        <f>Q1768-R1768</f>
        <v/>
      </c>
      <c r="T1768" s="28">
        <f>IF(S1768="","",S1768*(1+in_GrowthRate)^(YEARFRAC(DATE(2022,6,30),in_AgeToDate)*IF(in_AgeToDate&lt;DATE(2022,6,30),-1,1)+1))</f>
        <v/>
      </c>
      <c r="U1768" s="50">
        <f>IF(AND(AND(OR(in_Mode="All Funds",AND(C1768&gt;=in_BandFloor,C1768&lt;=in_BandCeiling,OR(in_Geography="National",COUNTIFS(lst_GeoPreset,in_Geography,lst_GeoState,B1768)&gt;0,AND(in_Geography="Custom",ISNUMBER(SEARCH(B1768,SUBSTITUTE(in_CustomStates," ",""))))),OR(AND(D1768="Endowment",Inputs!$B$14="Y"),AND(D1768="Foundation",Inputs!$B$15="Y"),AND(D1768="Healthcare",Inputs!$B$16="Y"),AND(D1768="Pension",Inputs!$B$17="Y"),AND(D1768="OCIO",Inputs!$B$18="Y"),AND(D1768="Other",Inputs!$B$19="Y")))),A1768&lt;&gt;in_ClientOrg,NOT(AND(in_ExclHarvard="Y",ISNUMBER(SEARCH("Harvard",A1768))))),$AD1768="Y",K1768&lt;&gt;"",S1768&gt;0),"Y","")</f>
        <v/>
      </c>
      <c r="V1768" s="30" t="n">
        <v>0.4866139095491558</v>
      </c>
      <c r="W1768" t="inlineStr"/>
      <c r="X1768" s="28">
        <f>IF(L1768+M1768=0,"",L1768+M1768)</f>
        <v/>
      </c>
      <c r="Y1768" s="38">
        <f>IF(L1768=0,"",M1768/L1768)</f>
        <v/>
      </c>
      <c r="Z1768" t="inlineStr">
        <is>
          <t>Director &amp; Investment Officer</t>
        </is>
      </c>
      <c r="AA1768" t="inlineStr">
        <is>
          <t>Investments</t>
        </is>
      </c>
      <c r="AB1768" s="50" t="inlineStr"/>
      <c r="AC1768" s="43">
        <f>HYPERLINK("https://projects.propublica.org/nonprofits/organizations/540721690/202331359349302283/full","view filing")</f>
        <v/>
      </c>
      <c r="AD1768" s="50" t="inlineStr"/>
    </row>
    <row r="1769">
      <c r="A1769" t="inlineStr">
        <is>
          <t>W K Kellogg Foundation</t>
        </is>
      </c>
      <c r="B1769" s="50" t="inlineStr">
        <is>
          <t>MI</t>
        </is>
      </c>
      <c r="C1769" s="52" t="n">
        <v>0.38</v>
      </c>
      <c r="D1769" t="inlineStr">
        <is>
          <t>Foundation</t>
        </is>
      </c>
      <c r="E1769" s="50" t="n">
        <v>2025</v>
      </c>
      <c r="F1769" s="50" t="inlineStr">
        <is>
          <t>2026-06-08</t>
        </is>
      </c>
      <c r="G1769" s="50" t="inlineStr">
        <is>
          <t>2025-08-31</t>
        </is>
      </c>
      <c r="H1769" t="inlineStr">
        <is>
          <t>Carlos Rangel</t>
        </is>
      </c>
      <c r="I1769" t="inlineStr">
        <is>
          <t>CHIEF INVESTMENTS OFFICER</t>
        </is>
      </c>
      <c r="J1769" t="inlineStr">
        <is>
          <t>CIO</t>
        </is>
      </c>
      <c r="K1769" t="inlineStr">
        <is>
          <t>CIO - Top Investment Executive</t>
        </is>
      </c>
      <c r="L1769" s="28" t="n">
        <v>0</v>
      </c>
      <c r="M1769" s="28" t="n">
        <v>0</v>
      </c>
      <c r="N1769" s="28" t="n">
        <v>0</v>
      </c>
      <c r="O1769" s="28" t="n">
        <v>0</v>
      </c>
      <c r="P1769" s="28" t="n">
        <v>148519</v>
      </c>
      <c r="Q1769" s="28" t="n">
        <v>1135709</v>
      </c>
      <c r="R1769" s="28" t="n">
        <v>0</v>
      </c>
      <c r="S1769" s="28">
        <f>Q1769-R1769</f>
        <v/>
      </c>
      <c r="T1769" s="28">
        <f>IF(S1769="","",S1769*(1+in_GrowthRate)^(YEARFRAC(DATE(2025,8,31),in_AgeToDate)*IF(in_AgeToDate&lt;DATE(2025,8,31),-1,1)+1))</f>
        <v/>
      </c>
      <c r="U1769" s="50">
        <f>IF(AND(AND(OR(in_Mode="All Funds",AND(C1769&gt;=in_BandFloor,C1769&lt;=in_BandCeiling,OR(in_Geography="National",COUNTIFS(lst_GeoPreset,in_Geography,lst_GeoState,B1769)&gt;0,AND(in_Geography="Custom",ISNUMBER(SEARCH(B1769,SUBSTITUTE(in_CustomStates," ",""))))),OR(AND(D1769="Endowment",Inputs!$B$14="Y"),AND(D1769="Foundation",Inputs!$B$15="Y"),AND(D1769="Healthcare",Inputs!$B$16="Y"),AND(D1769="Pension",Inputs!$B$17="Y"),AND(D1769="OCIO",Inputs!$B$18="Y"),AND(D1769="Other",Inputs!$B$19="Y")))),A1769&lt;&gt;in_ClientOrg,NOT(AND(in_ExclHarvard="Y",ISNUMBER(SEARCH("Harvard",A1769))))),$AD1769="Y",K1769&lt;&gt;"",S1769&gt;0),"Y","")</f>
        <v/>
      </c>
      <c r="V1769" s="30" t="n">
        <v>1</v>
      </c>
      <c r="W1769" t="inlineStr"/>
      <c r="X1769" s="28">
        <f>IF(L1769+M1769=0,"",L1769+M1769)</f>
        <v/>
      </c>
      <c r="Y1769" s="38">
        <f>IF(L1769=0,"",M1769/L1769)</f>
        <v/>
      </c>
      <c r="Z1769" t="inlineStr">
        <is>
          <t>CIO - Top Investment Executive</t>
        </is>
      </c>
      <c r="AA1769" t="inlineStr">
        <is>
          <t>Leadership</t>
        </is>
      </c>
      <c r="AB1769" s="50" t="inlineStr">
        <is>
          <t>Y</t>
        </is>
      </c>
      <c r="AC1769" s="43">
        <f>HYPERLINK("https://projects.propublica.org/nonprofits/organizations/381359264/202641599349100729/full","view filing")</f>
        <v/>
      </c>
      <c r="AD1769" s="50" t="inlineStr">
        <is>
          <t>Y</t>
        </is>
      </c>
    </row>
    <row r="1770">
      <c r="A1770" t="inlineStr">
        <is>
          <t>W K Kellogg Foundation</t>
        </is>
      </c>
      <c r="B1770" s="50" t="inlineStr">
        <is>
          <t>MI</t>
        </is>
      </c>
      <c r="C1770" s="52" t="n">
        <v>0.38</v>
      </c>
      <c r="D1770" t="inlineStr">
        <is>
          <t>Foundation</t>
        </is>
      </c>
      <c r="E1770" s="50" t="n">
        <v>2025</v>
      </c>
      <c r="F1770" s="50" t="inlineStr">
        <is>
          <t>2026-06-08</t>
        </is>
      </c>
      <c r="G1770" s="50" t="inlineStr">
        <is>
          <t>2025-08-31</t>
        </is>
      </c>
      <c r="H1770" t="inlineStr">
        <is>
          <t>Neal Graziano</t>
        </is>
      </c>
      <c r="I1770" t="inlineStr">
        <is>
          <t>DIR OF INVESTMENTS</t>
        </is>
      </c>
      <c r="J1770" t="inlineStr">
        <is>
          <t>Director of Investments</t>
        </is>
      </c>
      <c r="K1770" t="inlineStr">
        <is>
          <t>Sr Investment Professional</t>
        </is>
      </c>
      <c r="L1770" s="28" t="n">
        <v>0</v>
      </c>
      <c r="M1770" s="28" t="n">
        <v>0</v>
      </c>
      <c r="N1770" s="28" t="n">
        <v>0</v>
      </c>
      <c r="O1770" s="28" t="n">
        <v>0</v>
      </c>
      <c r="P1770" s="28" t="n">
        <v>0</v>
      </c>
      <c r="Q1770" s="28" t="n">
        <v>512766</v>
      </c>
      <c r="R1770" s="28" t="n">
        <v>0</v>
      </c>
      <c r="S1770" s="28">
        <f>Q1770-R1770</f>
        <v/>
      </c>
      <c r="T1770" s="28">
        <f>IF(S1770="","",S1770*(1+in_GrowthRate)^(YEARFRAC(DATE(2025,8,31),in_AgeToDate)*IF(in_AgeToDate&lt;DATE(2025,8,31),-1,1)+1))</f>
        <v/>
      </c>
      <c r="U1770" s="50">
        <f>IF(AND(AND(OR(in_Mode="All Funds",AND(C1770&gt;=in_BandFloor,C1770&lt;=in_BandCeiling,OR(in_Geography="National",COUNTIFS(lst_GeoPreset,in_Geography,lst_GeoState,B1770)&gt;0,AND(in_Geography="Custom",ISNUMBER(SEARCH(B1770,SUBSTITUTE(in_CustomStates," ",""))))),OR(AND(D1770="Endowment",Inputs!$B$14="Y"),AND(D1770="Foundation",Inputs!$B$15="Y"),AND(D1770="Healthcare",Inputs!$B$16="Y"),AND(D1770="Pension",Inputs!$B$17="Y"),AND(D1770="OCIO",Inputs!$B$18="Y"),AND(D1770="Other",Inputs!$B$19="Y")))),A1770&lt;&gt;in_ClientOrg,NOT(AND(in_ExclHarvard="Y",ISNUMBER(SEARCH("Harvard",A1770))))),$AD1770="Y",K1770&lt;&gt;"",S1770&gt;0),"Y","")</f>
        <v/>
      </c>
      <c r="V1770" s="30" t="n">
        <v>0.451494176765351</v>
      </c>
      <c r="W1770" t="inlineStr"/>
      <c r="X1770" s="28">
        <f>IF(L1770+M1770=0,"",L1770+M1770)</f>
        <v/>
      </c>
      <c r="Y1770" s="38">
        <f>IF(L1770=0,"",M1770/L1770)</f>
        <v/>
      </c>
      <c r="Z1770" t="inlineStr">
        <is>
          <t>Director &amp; Investment Officer</t>
        </is>
      </c>
      <c r="AA1770" t="inlineStr">
        <is>
          <t>Investments</t>
        </is>
      </c>
      <c r="AB1770" s="50" t="inlineStr"/>
      <c r="AC1770" s="43">
        <f>HYPERLINK("https://projects.propublica.org/nonprofits/organizations/381359264/202641599349100729/full","view filing")</f>
        <v/>
      </c>
      <c r="AD1770" s="50" t="inlineStr">
        <is>
          <t>Y</t>
        </is>
      </c>
    </row>
    <row r="1771">
      <c r="A1771" t="inlineStr">
        <is>
          <t>W K Kellogg Foundation</t>
        </is>
      </c>
      <c r="B1771" s="50" t="inlineStr">
        <is>
          <t>MI</t>
        </is>
      </c>
      <c r="C1771" s="52" t="n">
        <v>0.38</v>
      </c>
      <c r="D1771" t="inlineStr">
        <is>
          <t>Foundation</t>
        </is>
      </c>
      <c r="E1771" s="50" t="n">
        <v>2025</v>
      </c>
      <c r="F1771" s="50" t="inlineStr">
        <is>
          <t>2026-06-08</t>
        </is>
      </c>
      <c r="G1771" s="50" t="inlineStr">
        <is>
          <t>2025-08-31</t>
        </is>
      </c>
      <c r="H1771" t="inlineStr">
        <is>
          <t>Reginald Sanders</t>
        </is>
      </c>
      <c r="I1771" t="inlineStr">
        <is>
          <t>DIR OF INVESTMENTS</t>
        </is>
      </c>
      <c r="J1771" t="inlineStr">
        <is>
          <t>Director of Investments</t>
        </is>
      </c>
      <c r="K1771" t="inlineStr">
        <is>
          <t>Sr Investment Professional</t>
        </is>
      </c>
      <c r="L1771" s="28" t="n">
        <v>0</v>
      </c>
      <c r="M1771" s="28" t="n">
        <v>0</v>
      </c>
      <c r="N1771" s="28" t="n">
        <v>0</v>
      </c>
      <c r="O1771" s="28" t="n">
        <v>0</v>
      </c>
      <c r="P1771" s="28" t="n">
        <v>0</v>
      </c>
      <c r="Q1771" s="28" t="n">
        <v>605199</v>
      </c>
      <c r="R1771" s="28" t="n">
        <v>0</v>
      </c>
      <c r="S1771" s="28">
        <f>Q1771-R1771</f>
        <v/>
      </c>
      <c r="T1771" s="28">
        <f>IF(S1771="","",S1771*(1+in_GrowthRate)^(YEARFRAC(DATE(2025,8,31),in_AgeToDate)*IF(in_AgeToDate&lt;DATE(2025,8,31),-1,1)+1))</f>
        <v/>
      </c>
      <c r="U1771" s="50">
        <f>IF(AND(AND(OR(in_Mode="All Funds",AND(C1771&gt;=in_BandFloor,C1771&lt;=in_BandCeiling,OR(in_Geography="National",COUNTIFS(lst_GeoPreset,in_Geography,lst_GeoState,B1771)&gt;0,AND(in_Geography="Custom",ISNUMBER(SEARCH(B1771,SUBSTITUTE(in_CustomStates," ",""))))),OR(AND(D1771="Endowment",Inputs!$B$14="Y"),AND(D1771="Foundation",Inputs!$B$15="Y"),AND(D1771="Healthcare",Inputs!$B$16="Y"),AND(D1771="Pension",Inputs!$B$17="Y"),AND(D1771="OCIO",Inputs!$B$18="Y"),AND(D1771="Other",Inputs!$B$19="Y")))),A1771&lt;&gt;in_ClientOrg,NOT(AND(in_ExclHarvard="Y",ISNUMBER(SEARCH("Harvard",A1771))))),$AD1771="Y",K1771&lt;&gt;"",S1771&gt;0),"Y","")</f>
        <v/>
      </c>
      <c r="V1771" s="30" t="n">
        <v>0.532882102721736</v>
      </c>
      <c r="W1771" t="inlineStr"/>
      <c r="X1771" s="28">
        <f>IF(L1771+M1771=0,"",L1771+M1771)</f>
        <v/>
      </c>
      <c r="Y1771" s="38">
        <f>IF(L1771=0,"",M1771/L1771)</f>
        <v/>
      </c>
      <c r="Z1771" t="inlineStr">
        <is>
          <t>Director &amp; Investment Officer</t>
        </is>
      </c>
      <c r="AA1771" t="inlineStr">
        <is>
          <t>Investments</t>
        </is>
      </c>
      <c r="AB1771" s="50" t="inlineStr"/>
      <c r="AC1771" s="43">
        <f>HYPERLINK("https://projects.propublica.org/nonprofits/organizations/381359264/202641599349100729/full","view filing")</f>
        <v/>
      </c>
      <c r="AD1771" s="50" t="inlineStr">
        <is>
          <t>Y</t>
        </is>
      </c>
    </row>
    <row r="1772">
      <c r="A1772" t="inlineStr">
        <is>
          <t>W K Kellogg Foundation</t>
        </is>
      </c>
      <c r="B1772" s="50" t="inlineStr">
        <is>
          <t>MI</t>
        </is>
      </c>
      <c r="C1772" s="52" t="n">
        <v>0.38</v>
      </c>
      <c r="D1772" t="inlineStr">
        <is>
          <t>Foundation</t>
        </is>
      </c>
      <c r="E1772" s="50" t="n">
        <v>2025</v>
      </c>
      <c r="F1772" s="50" t="inlineStr">
        <is>
          <t>2026-06-08</t>
        </is>
      </c>
      <c r="G1772" s="50" t="inlineStr">
        <is>
          <t>2025-08-31</t>
        </is>
      </c>
      <c r="H1772" t="inlineStr">
        <is>
          <t>Shanelle Brown</t>
        </is>
      </c>
      <c r="I1772" t="inlineStr">
        <is>
          <t>DIR OF INVESTMENTS</t>
        </is>
      </c>
      <c r="J1772" t="inlineStr">
        <is>
          <t>Director of Investments</t>
        </is>
      </c>
      <c r="K1772" t="inlineStr">
        <is>
          <t>Sr Investment Professional</t>
        </is>
      </c>
      <c r="L1772" s="28" t="n">
        <v>0</v>
      </c>
      <c r="M1772" s="28" t="n">
        <v>0</v>
      </c>
      <c r="N1772" s="28" t="n">
        <v>0</v>
      </c>
      <c r="O1772" s="28" t="n">
        <v>0</v>
      </c>
      <c r="P1772" s="28" t="n">
        <v>0</v>
      </c>
      <c r="Q1772" s="28" t="n">
        <v>577595</v>
      </c>
      <c r="R1772" s="28" t="n">
        <v>0</v>
      </c>
      <c r="S1772" s="28">
        <f>Q1772-R1772</f>
        <v/>
      </c>
      <c r="T1772" s="28">
        <f>IF(S1772="","",S1772*(1+in_GrowthRate)^(YEARFRAC(DATE(2025,8,31),in_AgeToDate)*IF(in_AgeToDate&lt;DATE(2025,8,31),-1,1)+1))</f>
        <v/>
      </c>
      <c r="U1772" s="50">
        <f>IF(AND(AND(OR(in_Mode="All Funds",AND(C1772&gt;=in_BandFloor,C1772&lt;=in_BandCeiling,OR(in_Geography="National",COUNTIFS(lst_GeoPreset,in_Geography,lst_GeoState,B1772)&gt;0,AND(in_Geography="Custom",ISNUMBER(SEARCH(B1772,SUBSTITUTE(in_CustomStates," ",""))))),OR(AND(D1772="Endowment",Inputs!$B$14="Y"),AND(D1772="Foundation",Inputs!$B$15="Y"),AND(D1772="Healthcare",Inputs!$B$16="Y"),AND(D1772="Pension",Inputs!$B$17="Y"),AND(D1772="OCIO",Inputs!$B$18="Y"),AND(D1772="Other",Inputs!$B$19="Y")))),A1772&lt;&gt;in_ClientOrg,NOT(AND(in_ExclHarvard="Y",ISNUMBER(SEARCH("Harvard",A1772))))),$AD1772="Y",K1772&lt;&gt;"",S1772&gt;0),"Y","")</f>
        <v/>
      </c>
      <c r="V1772" s="30" t="n">
        <v>0.5085765807966653</v>
      </c>
      <c r="W1772" t="inlineStr"/>
      <c r="X1772" s="28">
        <f>IF(L1772+M1772=0,"",L1772+M1772)</f>
        <v/>
      </c>
      <c r="Y1772" s="38">
        <f>IF(L1772=0,"",M1772/L1772)</f>
        <v/>
      </c>
      <c r="Z1772" t="inlineStr">
        <is>
          <t>Director &amp; Investment Officer</t>
        </is>
      </c>
      <c r="AA1772" t="inlineStr">
        <is>
          <t>Investments</t>
        </is>
      </c>
      <c r="AB1772" s="50" t="inlineStr"/>
      <c r="AC1772" s="43">
        <f>HYPERLINK("https://projects.propublica.org/nonprofits/organizations/381359264/202641599349100729/full","view filing")</f>
        <v/>
      </c>
      <c r="AD1772" s="50" t="inlineStr">
        <is>
          <t>Y</t>
        </is>
      </c>
    </row>
    <row r="1773">
      <c r="A1773" t="inlineStr">
        <is>
          <t>W K Kellogg Foundation</t>
        </is>
      </c>
      <c r="B1773" s="50" t="inlineStr">
        <is>
          <t>MI</t>
        </is>
      </c>
      <c r="C1773" s="52" t="n">
        <v>0.38</v>
      </c>
      <c r="D1773" t="inlineStr">
        <is>
          <t>Foundation</t>
        </is>
      </c>
      <c r="E1773" s="50" t="n">
        <v>2024</v>
      </c>
      <c r="F1773" s="50" t="inlineStr">
        <is>
          <t>2025-07-07</t>
        </is>
      </c>
      <c r="G1773" s="50" t="inlineStr">
        <is>
          <t>2024-08-31</t>
        </is>
      </c>
      <c r="H1773" t="inlineStr">
        <is>
          <t>Carlos Rangel</t>
        </is>
      </c>
      <c r="I1773" t="inlineStr">
        <is>
          <t>CHIEF INVESTMENTS OFFICER</t>
        </is>
      </c>
      <c r="J1773" t="inlineStr">
        <is>
          <t>CIO</t>
        </is>
      </c>
      <c r="K1773" t="inlineStr">
        <is>
          <t>CIO - Top Investment Executive</t>
        </is>
      </c>
      <c r="L1773" s="28" t="n">
        <v>0</v>
      </c>
      <c r="M1773" s="28" t="n">
        <v>0</v>
      </c>
      <c r="N1773" s="28" t="n">
        <v>0</v>
      </c>
      <c r="O1773" s="28" t="n">
        <v>0</v>
      </c>
      <c r="P1773" s="28" t="n">
        <v>147284</v>
      </c>
      <c r="Q1773" s="28" t="n">
        <v>1573122</v>
      </c>
      <c r="R1773" s="28" t="n">
        <v>0</v>
      </c>
      <c r="S1773" s="28">
        <f>Q1773-R1773</f>
        <v/>
      </c>
      <c r="T1773" s="28">
        <f>IF(S1773="","",S1773*(1+in_GrowthRate)^(YEARFRAC(DATE(2024,8,31),in_AgeToDate)*IF(in_AgeToDate&lt;DATE(2024,8,31),-1,1)+1))</f>
        <v/>
      </c>
      <c r="U1773" s="50">
        <f>IF(AND(AND(OR(in_Mode="All Funds",AND(C1773&gt;=in_BandFloor,C1773&lt;=in_BandCeiling,OR(in_Geography="National",COUNTIFS(lst_GeoPreset,in_Geography,lst_GeoState,B1773)&gt;0,AND(in_Geography="Custom",ISNUMBER(SEARCH(B1773,SUBSTITUTE(in_CustomStates," ",""))))),OR(AND(D1773="Endowment",Inputs!$B$14="Y"),AND(D1773="Foundation",Inputs!$B$15="Y"),AND(D1773="Healthcare",Inputs!$B$16="Y"),AND(D1773="Pension",Inputs!$B$17="Y"),AND(D1773="OCIO",Inputs!$B$18="Y"),AND(D1773="Other",Inputs!$B$19="Y")))),A1773&lt;&gt;in_ClientOrg,NOT(AND(in_ExclHarvard="Y",ISNUMBER(SEARCH("Harvard",A1773))))),$AD1773="Y",K1773&lt;&gt;"",S1773&gt;0),"Y","")</f>
        <v/>
      </c>
      <c r="V1773" s="30" t="n">
        <v>1</v>
      </c>
      <c r="W1773" t="inlineStr"/>
      <c r="X1773" s="28">
        <f>IF(L1773+M1773=0,"",L1773+M1773)</f>
        <v/>
      </c>
      <c r="Y1773" s="38">
        <f>IF(L1773=0,"",M1773/L1773)</f>
        <v/>
      </c>
      <c r="Z1773" t="inlineStr">
        <is>
          <t>CIO - Top Investment Executive</t>
        </is>
      </c>
      <c r="AA1773" t="inlineStr">
        <is>
          <t>Leadership</t>
        </is>
      </c>
      <c r="AB1773" s="50" t="inlineStr">
        <is>
          <t>Y</t>
        </is>
      </c>
      <c r="AC1773" s="43">
        <f>HYPERLINK("https://projects.propublica.org/nonprofits/organizations/381359264/202541889349100144/full","view filing")</f>
        <v/>
      </c>
      <c r="AD1773" s="50" t="inlineStr"/>
    </row>
    <row r="1774">
      <c r="A1774" t="inlineStr">
        <is>
          <t>W K Kellogg Foundation</t>
        </is>
      </c>
      <c r="B1774" s="50" t="inlineStr">
        <is>
          <t>MI</t>
        </is>
      </c>
      <c r="C1774" s="52" t="n">
        <v>0.38</v>
      </c>
      <c r="D1774" t="inlineStr">
        <is>
          <t>Foundation</t>
        </is>
      </c>
      <c r="E1774" s="50" t="n">
        <v>2024</v>
      </c>
      <c r="F1774" s="50" t="inlineStr">
        <is>
          <t>2025-07-07</t>
        </is>
      </c>
      <c r="G1774" s="50" t="inlineStr">
        <is>
          <t>2024-08-31</t>
        </is>
      </c>
      <c r="H1774" t="inlineStr">
        <is>
          <t>Neal Graziano</t>
        </is>
      </c>
      <c r="I1774" t="inlineStr">
        <is>
          <t>DIR OF INVESTMENTS</t>
        </is>
      </c>
      <c r="J1774" t="inlineStr">
        <is>
          <t>Director of Investments</t>
        </is>
      </c>
      <c r="K1774" t="inlineStr">
        <is>
          <t>Sr Investment Professional</t>
        </is>
      </c>
      <c r="L1774" s="28" t="n">
        <v>0</v>
      </c>
      <c r="M1774" s="28" t="n">
        <v>0</v>
      </c>
      <c r="N1774" s="28" t="n">
        <v>0</v>
      </c>
      <c r="O1774" s="28" t="n">
        <v>0</v>
      </c>
      <c r="P1774" s="28" t="n">
        <v>0</v>
      </c>
      <c r="Q1774" s="28" t="n">
        <v>797768</v>
      </c>
      <c r="R1774" s="28" t="n">
        <v>0</v>
      </c>
      <c r="S1774" s="28">
        <f>Q1774-R1774</f>
        <v/>
      </c>
      <c r="T1774" s="28">
        <f>IF(S1774="","",S1774*(1+in_GrowthRate)^(YEARFRAC(DATE(2024,8,31),in_AgeToDate)*IF(in_AgeToDate&lt;DATE(2024,8,31),-1,1)+1))</f>
        <v/>
      </c>
      <c r="U1774" s="50">
        <f>IF(AND(AND(OR(in_Mode="All Funds",AND(C1774&gt;=in_BandFloor,C1774&lt;=in_BandCeiling,OR(in_Geography="National",COUNTIFS(lst_GeoPreset,in_Geography,lst_GeoState,B1774)&gt;0,AND(in_Geography="Custom",ISNUMBER(SEARCH(B1774,SUBSTITUTE(in_CustomStates," ",""))))),OR(AND(D1774="Endowment",Inputs!$B$14="Y"),AND(D1774="Foundation",Inputs!$B$15="Y"),AND(D1774="Healthcare",Inputs!$B$16="Y"),AND(D1774="Pension",Inputs!$B$17="Y"),AND(D1774="OCIO",Inputs!$B$18="Y"),AND(D1774="Other",Inputs!$B$19="Y")))),A1774&lt;&gt;in_ClientOrg,NOT(AND(in_ExclHarvard="Y",ISNUMBER(SEARCH("Harvard",A1774))))),$AD1774="Y",K1774&lt;&gt;"",S1774&gt;0),"Y","")</f>
        <v/>
      </c>
      <c r="V1774" s="30" t="n">
        <v>0.507124050137243</v>
      </c>
      <c r="W1774" t="inlineStr"/>
      <c r="X1774" s="28">
        <f>IF(L1774+M1774=0,"",L1774+M1774)</f>
        <v/>
      </c>
      <c r="Y1774" s="38">
        <f>IF(L1774=0,"",M1774/L1774)</f>
        <v/>
      </c>
      <c r="Z1774" t="inlineStr">
        <is>
          <t>Director &amp; Investment Officer</t>
        </is>
      </c>
      <c r="AA1774" t="inlineStr">
        <is>
          <t>Investments</t>
        </is>
      </c>
      <c r="AB1774" s="50" t="inlineStr"/>
      <c r="AC1774" s="43">
        <f>HYPERLINK("https://projects.propublica.org/nonprofits/organizations/381359264/202541889349100144/full","view filing")</f>
        <v/>
      </c>
      <c r="AD1774" s="50" t="inlineStr"/>
    </row>
    <row r="1775">
      <c r="A1775" t="inlineStr">
        <is>
          <t>W K Kellogg Foundation</t>
        </is>
      </c>
      <c r="B1775" s="50" t="inlineStr">
        <is>
          <t>MI</t>
        </is>
      </c>
      <c r="C1775" s="52" t="n">
        <v>0.38</v>
      </c>
      <c r="D1775" t="inlineStr">
        <is>
          <t>Foundation</t>
        </is>
      </c>
      <c r="E1775" s="50" t="n">
        <v>2024</v>
      </c>
      <c r="F1775" s="50" t="inlineStr">
        <is>
          <t>2025-07-07</t>
        </is>
      </c>
      <c r="G1775" s="50" t="inlineStr">
        <is>
          <t>2024-08-31</t>
        </is>
      </c>
      <c r="H1775" t="inlineStr">
        <is>
          <t>Reginald Sandars</t>
        </is>
      </c>
      <c r="I1775" t="inlineStr">
        <is>
          <t>DIR OF INVESTMENTS</t>
        </is>
      </c>
      <c r="J1775" t="inlineStr">
        <is>
          <t>Director of Investments</t>
        </is>
      </c>
      <c r="K1775" t="inlineStr">
        <is>
          <t>Sr Investment Professional</t>
        </is>
      </c>
      <c r="L1775" s="28" t="n">
        <v>0</v>
      </c>
      <c r="M1775" s="28" t="n">
        <v>0</v>
      </c>
      <c r="N1775" s="28" t="n">
        <v>0</v>
      </c>
      <c r="O1775" s="28" t="n">
        <v>0</v>
      </c>
      <c r="P1775" s="28" t="n">
        <v>0</v>
      </c>
      <c r="Q1775" s="28" t="n">
        <v>835934</v>
      </c>
      <c r="R1775" s="28" t="n">
        <v>0</v>
      </c>
      <c r="S1775" s="28">
        <f>Q1775-R1775</f>
        <v/>
      </c>
      <c r="T1775" s="28">
        <f>IF(S1775="","",S1775*(1+in_GrowthRate)^(YEARFRAC(DATE(2024,8,31),in_AgeToDate)*IF(in_AgeToDate&lt;DATE(2024,8,31),-1,1)+1))</f>
        <v/>
      </c>
      <c r="U1775" s="50">
        <f>IF(AND(AND(OR(in_Mode="All Funds",AND(C1775&gt;=in_BandFloor,C1775&lt;=in_BandCeiling,OR(in_Geography="National",COUNTIFS(lst_GeoPreset,in_Geography,lst_GeoState,B1775)&gt;0,AND(in_Geography="Custom",ISNUMBER(SEARCH(B1775,SUBSTITUTE(in_CustomStates," ",""))))),OR(AND(D1775="Endowment",Inputs!$B$14="Y"),AND(D1775="Foundation",Inputs!$B$15="Y"),AND(D1775="Healthcare",Inputs!$B$16="Y"),AND(D1775="Pension",Inputs!$B$17="Y"),AND(D1775="OCIO",Inputs!$B$18="Y"),AND(D1775="Other",Inputs!$B$19="Y")))),A1775&lt;&gt;in_ClientOrg,NOT(AND(in_ExclHarvard="Y",ISNUMBER(SEARCH("Harvard",A1775))))),$AD1775="Y",K1775&lt;&gt;"",S1775&gt;0),"Y","")</f>
        <v/>
      </c>
      <c r="V1775" s="30" t="n">
        <v>0.5313853598131614</v>
      </c>
      <c r="W1775" t="inlineStr"/>
      <c r="X1775" s="28">
        <f>IF(L1775+M1775=0,"",L1775+M1775)</f>
        <v/>
      </c>
      <c r="Y1775" s="38">
        <f>IF(L1775=0,"",M1775/L1775)</f>
        <v/>
      </c>
      <c r="Z1775" t="inlineStr">
        <is>
          <t>Director &amp; Investment Officer</t>
        </is>
      </c>
      <c r="AA1775" t="inlineStr">
        <is>
          <t>Investments</t>
        </is>
      </c>
      <c r="AB1775" s="50" t="inlineStr"/>
      <c r="AC1775" s="43">
        <f>HYPERLINK("https://projects.propublica.org/nonprofits/organizations/381359264/202541889349100144/full","view filing")</f>
        <v/>
      </c>
      <c r="AD1775" s="50" t="inlineStr"/>
    </row>
    <row r="1776">
      <c r="A1776" t="inlineStr">
        <is>
          <t>W K Kellogg Foundation</t>
        </is>
      </c>
      <c r="B1776" s="50" t="inlineStr">
        <is>
          <t>MI</t>
        </is>
      </c>
      <c r="C1776" s="52" t="n">
        <v>0.38</v>
      </c>
      <c r="D1776" t="inlineStr">
        <is>
          <t>Foundation</t>
        </is>
      </c>
      <c r="E1776" s="50" t="n">
        <v>2024</v>
      </c>
      <c r="F1776" s="50" t="inlineStr">
        <is>
          <t>2025-07-07</t>
        </is>
      </c>
      <c r="G1776" s="50" t="inlineStr">
        <is>
          <t>2024-08-31</t>
        </is>
      </c>
      <c r="H1776" t="inlineStr">
        <is>
          <t>Shanelle Brown</t>
        </is>
      </c>
      <c r="I1776" t="inlineStr">
        <is>
          <t>DIR OF INVESTMENTS</t>
        </is>
      </c>
      <c r="J1776" t="inlineStr">
        <is>
          <t>Director of Investments</t>
        </is>
      </c>
      <c r="K1776" t="inlineStr">
        <is>
          <t>Sr Investment Professional</t>
        </is>
      </c>
      <c r="L1776" s="28" t="n">
        <v>0</v>
      </c>
      <c r="M1776" s="28" t="n">
        <v>0</v>
      </c>
      <c r="N1776" s="28" t="n">
        <v>0</v>
      </c>
      <c r="O1776" s="28" t="n">
        <v>0</v>
      </c>
      <c r="P1776" s="28" t="n">
        <v>0</v>
      </c>
      <c r="Q1776" s="28" t="n">
        <v>851361</v>
      </c>
      <c r="R1776" s="28" t="n">
        <v>0</v>
      </c>
      <c r="S1776" s="28">
        <f>Q1776-R1776</f>
        <v/>
      </c>
      <c r="T1776" s="28">
        <f>IF(S1776="","",S1776*(1+in_GrowthRate)^(YEARFRAC(DATE(2024,8,31),in_AgeToDate)*IF(in_AgeToDate&lt;DATE(2024,8,31),-1,1)+1))</f>
        <v/>
      </c>
      <c r="U1776" s="50">
        <f>IF(AND(AND(OR(in_Mode="All Funds",AND(C1776&gt;=in_BandFloor,C1776&lt;=in_BandCeiling,OR(in_Geography="National",COUNTIFS(lst_GeoPreset,in_Geography,lst_GeoState,B1776)&gt;0,AND(in_Geography="Custom",ISNUMBER(SEARCH(B1776,SUBSTITUTE(in_CustomStates," ",""))))),OR(AND(D1776="Endowment",Inputs!$B$14="Y"),AND(D1776="Foundation",Inputs!$B$15="Y"),AND(D1776="Healthcare",Inputs!$B$16="Y"),AND(D1776="Pension",Inputs!$B$17="Y"),AND(D1776="OCIO",Inputs!$B$18="Y"),AND(D1776="Other",Inputs!$B$19="Y")))),A1776&lt;&gt;in_ClientOrg,NOT(AND(in_ExclHarvard="Y",ISNUMBER(SEARCH("Harvard",A1776))))),$AD1776="Y",K1776&lt;&gt;"",S1776&gt;0),"Y","")</f>
        <v/>
      </c>
      <c r="V1776" s="30" t="n">
        <v>0.5411919736676494</v>
      </c>
      <c r="W1776" t="inlineStr"/>
      <c r="X1776" s="28">
        <f>IF(L1776+M1776=0,"",L1776+M1776)</f>
        <v/>
      </c>
      <c r="Y1776" s="38">
        <f>IF(L1776=0,"",M1776/L1776)</f>
        <v/>
      </c>
      <c r="Z1776" t="inlineStr">
        <is>
          <t>Director &amp; Investment Officer</t>
        </is>
      </c>
      <c r="AA1776" t="inlineStr">
        <is>
          <t>Investments</t>
        </is>
      </c>
      <c r="AB1776" s="50" t="inlineStr"/>
      <c r="AC1776" s="43">
        <f>HYPERLINK("https://projects.propublica.org/nonprofits/organizations/381359264/202541889349100144/full","view filing")</f>
        <v/>
      </c>
      <c r="AD1776" s="50" t="inlineStr"/>
    </row>
    <row r="1777">
      <c r="A1777" t="inlineStr">
        <is>
          <t>W K Kellogg Foundation</t>
        </is>
      </c>
      <c r="B1777" s="50" t="inlineStr">
        <is>
          <t>MI</t>
        </is>
      </c>
      <c r="C1777" s="52" t="n">
        <v>0.38</v>
      </c>
      <c r="D1777" t="inlineStr">
        <is>
          <t>Foundation</t>
        </is>
      </c>
      <c r="E1777" s="50" t="n">
        <v>2023</v>
      </c>
      <c r="F1777" s="50" t="inlineStr">
        <is>
          <t>2024-05-30</t>
        </is>
      </c>
      <c r="G1777" s="50" t="inlineStr">
        <is>
          <t>2023-08-31</t>
        </is>
      </c>
      <c r="H1777" t="inlineStr">
        <is>
          <t>Carlos Rangel</t>
        </is>
      </c>
      <c r="I1777" t="inlineStr">
        <is>
          <t>VP &amp; CHIEF INVESTMENT OFFICER</t>
        </is>
      </c>
      <c r="J1777" t="inlineStr">
        <is>
          <t>CIO</t>
        </is>
      </c>
      <c r="K1777" t="inlineStr">
        <is>
          <t>CIO - Top Investment Executive</t>
        </is>
      </c>
      <c r="L1777" s="28" t="n">
        <v>0</v>
      </c>
      <c r="M1777" s="28" t="n">
        <v>0</v>
      </c>
      <c r="N1777" s="28" t="n">
        <v>0</v>
      </c>
      <c r="O1777" s="28" t="n">
        <v>0</v>
      </c>
      <c r="P1777" s="28" t="n">
        <v>129145</v>
      </c>
      <c r="Q1777" s="28" t="n">
        <v>1530977</v>
      </c>
      <c r="R1777" s="28" t="n">
        <v>0</v>
      </c>
      <c r="S1777" s="28">
        <f>Q1777-R1777</f>
        <v/>
      </c>
      <c r="T1777" s="28">
        <f>IF(S1777="","",S1777*(1+in_GrowthRate)^(YEARFRAC(DATE(2023,8,31),in_AgeToDate)*IF(in_AgeToDate&lt;DATE(2023,8,31),-1,1)+1))</f>
        <v/>
      </c>
      <c r="U1777" s="50">
        <f>IF(AND(AND(OR(in_Mode="All Funds",AND(C1777&gt;=in_BandFloor,C1777&lt;=in_BandCeiling,OR(in_Geography="National",COUNTIFS(lst_GeoPreset,in_Geography,lst_GeoState,B1777)&gt;0,AND(in_Geography="Custom",ISNUMBER(SEARCH(B1777,SUBSTITUTE(in_CustomStates," ",""))))),OR(AND(D1777="Endowment",Inputs!$B$14="Y"),AND(D1777="Foundation",Inputs!$B$15="Y"),AND(D1777="Healthcare",Inputs!$B$16="Y"),AND(D1777="Pension",Inputs!$B$17="Y"),AND(D1777="OCIO",Inputs!$B$18="Y"),AND(D1777="Other",Inputs!$B$19="Y")))),A1777&lt;&gt;in_ClientOrg,NOT(AND(in_ExclHarvard="Y",ISNUMBER(SEARCH("Harvard",A1777))))),$AD1777="Y",K1777&lt;&gt;"",S1777&gt;0),"Y","")</f>
        <v/>
      </c>
      <c r="V1777" s="30" t="n">
        <v>1</v>
      </c>
      <c r="W1777" t="inlineStr"/>
      <c r="X1777" s="28">
        <f>IF(L1777+M1777=0,"",L1777+M1777)</f>
        <v/>
      </c>
      <c r="Y1777" s="38">
        <f>IF(L1777=0,"",M1777/L1777)</f>
        <v/>
      </c>
      <c r="Z1777" t="inlineStr">
        <is>
          <t>CIO - Top Investment Executive</t>
        </is>
      </c>
      <c r="AA1777" t="inlineStr">
        <is>
          <t>Leadership</t>
        </is>
      </c>
      <c r="AB1777" s="50" t="inlineStr">
        <is>
          <t>Y</t>
        </is>
      </c>
      <c r="AC1777" s="43">
        <f>HYPERLINK("https://projects.propublica.org/nonprofits/organizations/381359264/202431519349100813/full","view filing")</f>
        <v/>
      </c>
      <c r="AD1777" s="50" t="inlineStr"/>
    </row>
    <row r="1778">
      <c r="A1778" t="inlineStr">
        <is>
          <t>W K Kellogg Foundation</t>
        </is>
      </c>
      <c r="B1778" s="50" t="inlineStr">
        <is>
          <t>MI</t>
        </is>
      </c>
      <c r="C1778" s="52" t="n">
        <v>0.38</v>
      </c>
      <c r="D1778" t="inlineStr">
        <is>
          <t>Foundation</t>
        </is>
      </c>
      <c r="E1778" s="50" t="n">
        <v>2023</v>
      </c>
      <c r="F1778" s="50" t="inlineStr">
        <is>
          <t>2024-05-30</t>
        </is>
      </c>
      <c r="G1778" s="50" t="inlineStr">
        <is>
          <t>2023-08-31</t>
        </is>
      </c>
      <c r="H1778" t="inlineStr">
        <is>
          <t>Neal Graziano</t>
        </is>
      </c>
      <c r="I1778" t="inlineStr">
        <is>
          <t>DIR OF INVESTMENTS</t>
        </is>
      </c>
      <c r="J1778" t="inlineStr">
        <is>
          <t>Director of Investments</t>
        </is>
      </c>
      <c r="K1778" t="inlineStr">
        <is>
          <t>Sr Investment Professional</t>
        </is>
      </c>
      <c r="L1778" s="28" t="n">
        <v>0</v>
      </c>
      <c r="M1778" s="28" t="n">
        <v>0</v>
      </c>
      <c r="N1778" s="28" t="n">
        <v>0</v>
      </c>
      <c r="O1778" s="28" t="n">
        <v>0</v>
      </c>
      <c r="P1778" s="28" t="n">
        <v>0</v>
      </c>
      <c r="Q1778" s="28" t="n">
        <v>785977</v>
      </c>
      <c r="R1778" s="28" t="n">
        <v>0</v>
      </c>
      <c r="S1778" s="28">
        <f>Q1778-R1778</f>
        <v/>
      </c>
      <c r="T1778" s="28">
        <f>IF(S1778="","",S1778*(1+in_GrowthRate)^(YEARFRAC(DATE(2023,8,31),in_AgeToDate)*IF(in_AgeToDate&lt;DATE(2023,8,31),-1,1)+1))</f>
        <v/>
      </c>
      <c r="U1778" s="50">
        <f>IF(AND(AND(OR(in_Mode="All Funds",AND(C1778&gt;=in_BandFloor,C1778&lt;=in_BandCeiling,OR(in_Geography="National",COUNTIFS(lst_GeoPreset,in_Geography,lst_GeoState,B1778)&gt;0,AND(in_Geography="Custom",ISNUMBER(SEARCH(B1778,SUBSTITUTE(in_CustomStates," ",""))))),OR(AND(D1778="Endowment",Inputs!$B$14="Y"),AND(D1778="Foundation",Inputs!$B$15="Y"),AND(D1778="Healthcare",Inputs!$B$16="Y"),AND(D1778="Pension",Inputs!$B$17="Y"),AND(D1778="OCIO",Inputs!$B$18="Y"),AND(D1778="Other",Inputs!$B$19="Y")))),A1778&lt;&gt;in_ClientOrg,NOT(AND(in_ExclHarvard="Y",ISNUMBER(SEARCH("Harvard",A1778))))),$AD1778="Y",K1778&lt;&gt;"",S1778&gt;0),"Y","")</f>
        <v/>
      </c>
      <c r="V1778" s="30" t="n">
        <v>0.5133826308298557</v>
      </c>
      <c r="W1778" t="inlineStr"/>
      <c r="X1778" s="28">
        <f>IF(L1778+M1778=0,"",L1778+M1778)</f>
        <v/>
      </c>
      <c r="Y1778" s="38">
        <f>IF(L1778=0,"",M1778/L1778)</f>
        <v/>
      </c>
      <c r="Z1778" t="inlineStr">
        <is>
          <t>Director &amp; Investment Officer</t>
        </is>
      </c>
      <c r="AA1778" t="inlineStr">
        <is>
          <t>Investments</t>
        </is>
      </c>
      <c r="AB1778" s="50" t="inlineStr"/>
      <c r="AC1778" s="43">
        <f>HYPERLINK("https://projects.propublica.org/nonprofits/organizations/381359264/202431519349100813/full","view filing")</f>
        <v/>
      </c>
      <c r="AD1778" s="50" t="inlineStr"/>
    </row>
    <row r="1779">
      <c r="A1779" t="inlineStr">
        <is>
          <t>W K Kellogg Foundation</t>
        </is>
      </c>
      <c r="B1779" s="50" t="inlineStr">
        <is>
          <t>MI</t>
        </is>
      </c>
      <c r="C1779" s="52" t="n">
        <v>0.38</v>
      </c>
      <c r="D1779" t="inlineStr">
        <is>
          <t>Foundation</t>
        </is>
      </c>
      <c r="E1779" s="50" t="n">
        <v>2023</v>
      </c>
      <c r="F1779" s="50" t="inlineStr">
        <is>
          <t>2024-05-30</t>
        </is>
      </c>
      <c r="G1779" s="50" t="inlineStr">
        <is>
          <t>2023-08-31</t>
        </is>
      </c>
      <c r="H1779" t="inlineStr">
        <is>
          <t>Reginald Sanders</t>
        </is>
      </c>
      <c r="I1779" t="inlineStr">
        <is>
          <t>DIR OF INVESTMENTS</t>
        </is>
      </c>
      <c r="J1779" t="inlineStr">
        <is>
          <t>Director of Investments</t>
        </is>
      </c>
      <c r="K1779" t="inlineStr">
        <is>
          <t>Sr Investment Professional</t>
        </is>
      </c>
      <c r="L1779" s="28" t="n">
        <v>0</v>
      </c>
      <c r="M1779" s="28" t="n">
        <v>0</v>
      </c>
      <c r="N1779" s="28" t="n">
        <v>0</v>
      </c>
      <c r="O1779" s="28" t="n">
        <v>0</v>
      </c>
      <c r="P1779" s="28" t="n">
        <v>0</v>
      </c>
      <c r="Q1779" s="28" t="n">
        <v>823846</v>
      </c>
      <c r="R1779" s="28" t="n">
        <v>0</v>
      </c>
      <c r="S1779" s="28">
        <f>Q1779-R1779</f>
        <v/>
      </c>
      <c r="T1779" s="28">
        <f>IF(S1779="","",S1779*(1+in_GrowthRate)^(YEARFRAC(DATE(2023,8,31),in_AgeToDate)*IF(in_AgeToDate&lt;DATE(2023,8,31),-1,1)+1))</f>
        <v/>
      </c>
      <c r="U1779" s="50">
        <f>IF(AND(AND(OR(in_Mode="All Funds",AND(C1779&gt;=in_BandFloor,C1779&lt;=in_BandCeiling,OR(in_Geography="National",COUNTIFS(lst_GeoPreset,in_Geography,lst_GeoState,B1779)&gt;0,AND(in_Geography="Custom",ISNUMBER(SEARCH(B1779,SUBSTITUTE(in_CustomStates," ",""))))),OR(AND(D1779="Endowment",Inputs!$B$14="Y"),AND(D1779="Foundation",Inputs!$B$15="Y"),AND(D1779="Healthcare",Inputs!$B$16="Y"),AND(D1779="Pension",Inputs!$B$17="Y"),AND(D1779="OCIO",Inputs!$B$18="Y"),AND(D1779="Other",Inputs!$B$19="Y")))),A1779&lt;&gt;in_ClientOrg,NOT(AND(in_ExclHarvard="Y",ISNUMBER(SEARCH("Harvard",A1779))))),$AD1779="Y",K1779&lt;&gt;"",S1779&gt;0),"Y","")</f>
        <v/>
      </c>
      <c r="V1779" s="30" t="n">
        <v>0.538117816270264</v>
      </c>
      <c r="W1779" t="inlineStr"/>
      <c r="X1779" s="28">
        <f>IF(L1779+M1779=0,"",L1779+M1779)</f>
        <v/>
      </c>
      <c r="Y1779" s="38">
        <f>IF(L1779=0,"",M1779/L1779)</f>
        <v/>
      </c>
      <c r="Z1779" t="inlineStr">
        <is>
          <t>Director &amp; Investment Officer</t>
        </is>
      </c>
      <c r="AA1779" t="inlineStr">
        <is>
          <t>Investments</t>
        </is>
      </c>
      <c r="AB1779" s="50" t="inlineStr"/>
      <c r="AC1779" s="43">
        <f>HYPERLINK("https://projects.propublica.org/nonprofits/organizations/381359264/202431519349100813/full","view filing")</f>
        <v/>
      </c>
      <c r="AD1779" s="50" t="inlineStr"/>
    </row>
    <row r="1780">
      <c r="A1780" t="inlineStr">
        <is>
          <t>W K Kellogg Foundation</t>
        </is>
      </c>
      <c r="B1780" s="50" t="inlineStr">
        <is>
          <t>MI</t>
        </is>
      </c>
      <c r="C1780" s="52" t="n">
        <v>0.38</v>
      </c>
      <c r="D1780" t="inlineStr">
        <is>
          <t>Foundation</t>
        </is>
      </c>
      <c r="E1780" s="50" t="n">
        <v>2023</v>
      </c>
      <c r="F1780" s="50" t="inlineStr">
        <is>
          <t>2024-05-30</t>
        </is>
      </c>
      <c r="G1780" s="50" t="inlineStr">
        <is>
          <t>2023-08-31</t>
        </is>
      </c>
      <c r="H1780" t="inlineStr">
        <is>
          <t>Shanelle Brown</t>
        </is>
      </c>
      <c r="I1780" t="inlineStr">
        <is>
          <t>DIR OF INVESTMENTS</t>
        </is>
      </c>
      <c r="J1780" t="inlineStr">
        <is>
          <t>Director of Investments</t>
        </is>
      </c>
      <c r="K1780" t="inlineStr">
        <is>
          <t>Sr Investment Professional</t>
        </is>
      </c>
      <c r="L1780" s="28" t="n">
        <v>0</v>
      </c>
      <c r="M1780" s="28" t="n">
        <v>0</v>
      </c>
      <c r="N1780" s="28" t="n">
        <v>0</v>
      </c>
      <c r="O1780" s="28" t="n">
        <v>0</v>
      </c>
      <c r="P1780" s="28" t="n">
        <v>0</v>
      </c>
      <c r="Q1780" s="28" t="n">
        <v>785508</v>
      </c>
      <c r="R1780" s="28" t="n">
        <v>0</v>
      </c>
      <c r="S1780" s="28">
        <f>Q1780-R1780</f>
        <v/>
      </c>
      <c r="T1780" s="28">
        <f>IF(S1780="","",S1780*(1+in_GrowthRate)^(YEARFRAC(DATE(2023,8,31),in_AgeToDate)*IF(in_AgeToDate&lt;DATE(2023,8,31),-1,1)+1))</f>
        <v/>
      </c>
      <c r="U1780" s="50">
        <f>IF(AND(AND(OR(in_Mode="All Funds",AND(C1780&gt;=in_BandFloor,C1780&lt;=in_BandCeiling,OR(in_Geography="National",COUNTIFS(lst_GeoPreset,in_Geography,lst_GeoState,B1780)&gt;0,AND(in_Geography="Custom",ISNUMBER(SEARCH(B1780,SUBSTITUTE(in_CustomStates," ",""))))),OR(AND(D1780="Endowment",Inputs!$B$14="Y"),AND(D1780="Foundation",Inputs!$B$15="Y"),AND(D1780="Healthcare",Inputs!$B$16="Y"),AND(D1780="Pension",Inputs!$B$17="Y"),AND(D1780="OCIO",Inputs!$B$18="Y"),AND(D1780="Other",Inputs!$B$19="Y")))),A1780&lt;&gt;in_ClientOrg,NOT(AND(in_ExclHarvard="Y",ISNUMBER(SEARCH("Harvard",A1780))))),$AD1780="Y",K1780&lt;&gt;"",S1780&gt;0),"Y","")</f>
        <v/>
      </c>
      <c r="V1780" s="30" t="n">
        <v>0.5130762904994653</v>
      </c>
      <c r="W1780" t="inlineStr"/>
      <c r="X1780" s="28">
        <f>IF(L1780+M1780=0,"",L1780+M1780)</f>
        <v/>
      </c>
      <c r="Y1780" s="38">
        <f>IF(L1780=0,"",M1780/L1780)</f>
        <v/>
      </c>
      <c r="Z1780" t="inlineStr">
        <is>
          <t>Director &amp; Investment Officer</t>
        </is>
      </c>
      <c r="AA1780" t="inlineStr">
        <is>
          <t>Investments</t>
        </is>
      </c>
      <c r="AB1780" s="50" t="inlineStr"/>
      <c r="AC1780" s="43">
        <f>HYPERLINK("https://projects.propublica.org/nonprofits/organizations/381359264/202431519349100813/full","view filing")</f>
        <v/>
      </c>
      <c r="AD1780" s="50" t="inlineStr"/>
    </row>
    <row r="1781">
      <c r="A1781" t="inlineStr">
        <is>
          <t>W K Kellogg Foundation</t>
        </is>
      </c>
      <c r="B1781" s="50" t="inlineStr">
        <is>
          <t>MI</t>
        </is>
      </c>
      <c r="C1781" s="52" t="n">
        <v>0.38</v>
      </c>
      <c r="D1781" t="inlineStr">
        <is>
          <t>Foundation</t>
        </is>
      </c>
      <c r="E1781" s="50" t="n">
        <v>2022</v>
      </c>
      <c r="F1781" s="50" t="inlineStr">
        <is>
          <t>2023-06-20</t>
        </is>
      </c>
      <c r="G1781" s="50" t="inlineStr">
        <is>
          <t>2022-08-31</t>
        </is>
      </c>
      <c r="H1781" t="inlineStr">
        <is>
          <t>Carlos Rangel</t>
        </is>
      </c>
      <c r="I1781" t="inlineStr">
        <is>
          <t>VP CHIEF INVESTMENT OFFICER</t>
        </is>
      </c>
      <c r="J1781" t="inlineStr">
        <is>
          <t>CIO</t>
        </is>
      </c>
      <c r="K1781" t="inlineStr">
        <is>
          <t>CIO - Top Investment Executive</t>
        </is>
      </c>
      <c r="L1781" s="28" t="n">
        <v>0</v>
      </c>
      <c r="M1781" s="28" t="n">
        <v>0</v>
      </c>
      <c r="N1781" s="28" t="n">
        <v>0</v>
      </c>
      <c r="O1781" s="28" t="n">
        <v>0</v>
      </c>
      <c r="P1781" s="28" t="n">
        <v>111005</v>
      </c>
      <c r="Q1781" s="28" t="n">
        <v>1364221</v>
      </c>
      <c r="R1781" s="28" t="n">
        <v>0</v>
      </c>
      <c r="S1781" s="28">
        <f>Q1781-R1781</f>
        <v/>
      </c>
      <c r="T1781" s="28">
        <f>IF(S1781="","",S1781*(1+in_GrowthRate)^(YEARFRAC(DATE(2022,8,31),in_AgeToDate)*IF(in_AgeToDate&lt;DATE(2022,8,31),-1,1)+1))</f>
        <v/>
      </c>
      <c r="U1781" s="50">
        <f>IF(AND(AND(OR(in_Mode="All Funds",AND(C1781&gt;=in_BandFloor,C1781&lt;=in_BandCeiling,OR(in_Geography="National",COUNTIFS(lst_GeoPreset,in_Geography,lst_GeoState,B1781)&gt;0,AND(in_Geography="Custom",ISNUMBER(SEARCH(B1781,SUBSTITUTE(in_CustomStates," ",""))))),OR(AND(D1781="Endowment",Inputs!$B$14="Y"),AND(D1781="Foundation",Inputs!$B$15="Y"),AND(D1781="Healthcare",Inputs!$B$16="Y"),AND(D1781="Pension",Inputs!$B$17="Y"),AND(D1781="OCIO",Inputs!$B$18="Y"),AND(D1781="Other",Inputs!$B$19="Y")))),A1781&lt;&gt;in_ClientOrg,NOT(AND(in_ExclHarvard="Y",ISNUMBER(SEARCH("Harvard",A1781))))),$AD1781="Y",K1781&lt;&gt;"",S1781&gt;0),"Y","")</f>
        <v/>
      </c>
      <c r="V1781" s="30" t="n">
        <v>1</v>
      </c>
      <c r="W1781" t="inlineStr"/>
      <c r="X1781" s="28">
        <f>IF(L1781+M1781=0,"",L1781+M1781)</f>
        <v/>
      </c>
      <c r="Y1781" s="38">
        <f>IF(L1781=0,"",M1781/L1781)</f>
        <v/>
      </c>
      <c r="Z1781" t="inlineStr">
        <is>
          <t>CIO - Top Investment Executive</t>
        </is>
      </c>
      <c r="AA1781" t="inlineStr">
        <is>
          <t>Leadership</t>
        </is>
      </c>
      <c r="AB1781" s="50" t="inlineStr">
        <is>
          <t>Y</t>
        </is>
      </c>
      <c r="AC1781" s="43">
        <f>HYPERLINK("https://projects.propublica.org/nonprofits/organizations/381359264/202321719349100307/full","view filing")</f>
        <v/>
      </c>
      <c r="AD1781" s="50" t="inlineStr"/>
    </row>
    <row r="1782">
      <c r="A1782" t="inlineStr">
        <is>
          <t>W K Kellogg Foundation</t>
        </is>
      </c>
      <c r="B1782" s="50" t="inlineStr">
        <is>
          <t>MI</t>
        </is>
      </c>
      <c r="C1782" s="52" t="n">
        <v>0.38</v>
      </c>
      <c r="D1782" t="inlineStr">
        <is>
          <t>Foundation</t>
        </is>
      </c>
      <c r="E1782" s="50" t="n">
        <v>2022</v>
      </c>
      <c r="F1782" s="50" t="inlineStr">
        <is>
          <t>2023-06-20</t>
        </is>
      </c>
      <c r="G1782" s="50" t="inlineStr">
        <is>
          <t>2022-08-31</t>
        </is>
      </c>
      <c r="H1782" t="inlineStr">
        <is>
          <t>Neal Graziano</t>
        </is>
      </c>
      <c r="I1782" t="inlineStr">
        <is>
          <t>DIR OF INVESTMENTS</t>
        </is>
      </c>
      <c r="J1782" t="inlineStr">
        <is>
          <t>Director of Investments</t>
        </is>
      </c>
      <c r="K1782" t="inlineStr">
        <is>
          <t>Sr Investment Professional</t>
        </is>
      </c>
      <c r="L1782" s="28" t="n">
        <v>0</v>
      </c>
      <c r="M1782" s="28" t="n">
        <v>0</v>
      </c>
      <c r="N1782" s="28" t="n">
        <v>0</v>
      </c>
      <c r="O1782" s="28" t="n">
        <v>0</v>
      </c>
      <c r="P1782" s="28" t="n">
        <v>0</v>
      </c>
      <c r="Q1782" s="28" t="n">
        <v>713310</v>
      </c>
      <c r="R1782" s="28" t="n">
        <v>0</v>
      </c>
      <c r="S1782" s="28">
        <f>Q1782-R1782</f>
        <v/>
      </c>
      <c r="T1782" s="28">
        <f>IF(S1782="","",S1782*(1+in_GrowthRate)^(YEARFRAC(DATE(2022,8,31),in_AgeToDate)*IF(in_AgeToDate&lt;DATE(2022,8,31),-1,1)+1))</f>
        <v/>
      </c>
      <c r="U1782" s="50">
        <f>IF(AND(AND(OR(in_Mode="All Funds",AND(C1782&gt;=in_BandFloor,C1782&lt;=in_BandCeiling,OR(in_Geography="National",COUNTIFS(lst_GeoPreset,in_Geography,lst_GeoState,B1782)&gt;0,AND(in_Geography="Custom",ISNUMBER(SEARCH(B1782,SUBSTITUTE(in_CustomStates," ",""))))),OR(AND(D1782="Endowment",Inputs!$B$14="Y"),AND(D1782="Foundation",Inputs!$B$15="Y"),AND(D1782="Healthcare",Inputs!$B$16="Y"),AND(D1782="Pension",Inputs!$B$17="Y"),AND(D1782="OCIO",Inputs!$B$18="Y"),AND(D1782="Other",Inputs!$B$19="Y")))),A1782&lt;&gt;in_ClientOrg,NOT(AND(in_ExclHarvard="Y",ISNUMBER(SEARCH("Harvard",A1782))))),$AD1782="Y",K1782&lt;&gt;"",S1782&gt;0),"Y","")</f>
        <v/>
      </c>
      <c r="V1782" s="30" t="n">
        <v>0.522869828275624</v>
      </c>
      <c r="W1782" t="inlineStr"/>
      <c r="X1782" s="28">
        <f>IF(L1782+M1782=0,"",L1782+M1782)</f>
        <v/>
      </c>
      <c r="Y1782" s="38">
        <f>IF(L1782=0,"",M1782/L1782)</f>
        <v/>
      </c>
      <c r="Z1782" t="inlineStr">
        <is>
          <t>Director &amp; Investment Officer</t>
        </is>
      </c>
      <c r="AA1782" t="inlineStr">
        <is>
          <t>Investments</t>
        </is>
      </c>
      <c r="AB1782" s="50" t="inlineStr"/>
      <c r="AC1782" s="43">
        <f>HYPERLINK("https://projects.propublica.org/nonprofits/organizations/381359264/202321719349100307/full","view filing")</f>
        <v/>
      </c>
      <c r="AD1782" s="50" t="inlineStr"/>
    </row>
    <row r="1783">
      <c r="A1783" t="inlineStr">
        <is>
          <t>W K Kellogg Foundation</t>
        </is>
      </c>
      <c r="B1783" s="50" t="inlineStr">
        <is>
          <t>MI</t>
        </is>
      </c>
      <c r="C1783" s="52" t="n">
        <v>0.38</v>
      </c>
      <c r="D1783" t="inlineStr">
        <is>
          <t>Foundation</t>
        </is>
      </c>
      <c r="E1783" s="50" t="n">
        <v>2022</v>
      </c>
      <c r="F1783" s="50" t="inlineStr">
        <is>
          <t>2023-06-20</t>
        </is>
      </c>
      <c r="G1783" s="50" t="inlineStr">
        <is>
          <t>2022-08-31</t>
        </is>
      </c>
      <c r="H1783" t="inlineStr">
        <is>
          <t>Reginald Sanders</t>
        </is>
      </c>
      <c r="I1783" t="inlineStr">
        <is>
          <t>DIR OF INVESTMENTS</t>
        </is>
      </c>
      <c r="J1783" t="inlineStr">
        <is>
          <t>Director of Investments</t>
        </is>
      </c>
      <c r="K1783" t="inlineStr">
        <is>
          <t>Sr Investment Professional</t>
        </is>
      </c>
      <c r="L1783" s="28" t="n">
        <v>0</v>
      </c>
      <c r="M1783" s="28" t="n">
        <v>0</v>
      </c>
      <c r="N1783" s="28" t="n">
        <v>0</v>
      </c>
      <c r="O1783" s="28" t="n">
        <v>0</v>
      </c>
      <c r="P1783" s="28" t="n">
        <v>0</v>
      </c>
      <c r="Q1783" s="28" t="n">
        <v>760408</v>
      </c>
      <c r="R1783" s="28" t="n">
        <v>0</v>
      </c>
      <c r="S1783" s="28">
        <f>Q1783-R1783</f>
        <v/>
      </c>
      <c r="T1783" s="28">
        <f>IF(S1783="","",S1783*(1+in_GrowthRate)^(YEARFRAC(DATE(2022,8,31),in_AgeToDate)*IF(in_AgeToDate&lt;DATE(2022,8,31),-1,1)+1))</f>
        <v/>
      </c>
      <c r="U1783" s="50">
        <f>IF(AND(AND(OR(in_Mode="All Funds",AND(C1783&gt;=in_BandFloor,C1783&lt;=in_BandCeiling,OR(in_Geography="National",COUNTIFS(lst_GeoPreset,in_Geography,lst_GeoState,B1783)&gt;0,AND(in_Geography="Custom",ISNUMBER(SEARCH(B1783,SUBSTITUTE(in_CustomStates," ",""))))),OR(AND(D1783="Endowment",Inputs!$B$14="Y"),AND(D1783="Foundation",Inputs!$B$15="Y"),AND(D1783="Healthcare",Inputs!$B$16="Y"),AND(D1783="Pension",Inputs!$B$17="Y"),AND(D1783="OCIO",Inputs!$B$18="Y"),AND(D1783="Other",Inputs!$B$19="Y")))),A1783&lt;&gt;in_ClientOrg,NOT(AND(in_ExclHarvard="Y",ISNUMBER(SEARCH("Harvard",A1783))))),$AD1783="Y",K1783&lt;&gt;"",S1783&gt;0),"Y","")</f>
        <v/>
      </c>
      <c r="V1783" s="30" t="n">
        <v>0.5573935601343184</v>
      </c>
      <c r="W1783" t="inlineStr"/>
      <c r="X1783" s="28">
        <f>IF(L1783+M1783=0,"",L1783+M1783)</f>
        <v/>
      </c>
      <c r="Y1783" s="38">
        <f>IF(L1783=0,"",M1783/L1783)</f>
        <v/>
      </c>
      <c r="Z1783" t="inlineStr">
        <is>
          <t>Director &amp; Investment Officer</t>
        </is>
      </c>
      <c r="AA1783" t="inlineStr">
        <is>
          <t>Investments</t>
        </is>
      </c>
      <c r="AB1783" s="50" t="inlineStr"/>
      <c r="AC1783" s="43">
        <f>HYPERLINK("https://projects.propublica.org/nonprofits/organizations/381359264/202321719349100307/full","view filing")</f>
        <v/>
      </c>
      <c r="AD1783" s="50" t="inlineStr"/>
    </row>
    <row r="1784">
      <c r="A1784" t="inlineStr">
        <is>
          <t>W K Kellogg Foundation</t>
        </is>
      </c>
      <c r="B1784" s="50" t="inlineStr">
        <is>
          <t>MI</t>
        </is>
      </c>
      <c r="C1784" s="52" t="n">
        <v>0.38</v>
      </c>
      <c r="D1784" t="inlineStr">
        <is>
          <t>Foundation</t>
        </is>
      </c>
      <c r="E1784" s="50" t="n">
        <v>2022</v>
      </c>
      <c r="F1784" s="50" t="inlineStr">
        <is>
          <t>2023-06-20</t>
        </is>
      </c>
      <c r="G1784" s="50" t="inlineStr">
        <is>
          <t>2022-08-31</t>
        </is>
      </c>
      <c r="H1784" t="inlineStr">
        <is>
          <t>Shanelle Brown</t>
        </is>
      </c>
      <c r="I1784" t="inlineStr">
        <is>
          <t>DIR OF INVESTMENTS</t>
        </is>
      </c>
      <c r="J1784" t="inlineStr">
        <is>
          <t>Director of Investments</t>
        </is>
      </c>
      <c r="K1784" t="inlineStr">
        <is>
          <t>Sr Investment Professional</t>
        </is>
      </c>
      <c r="L1784" s="28" t="n">
        <v>0</v>
      </c>
      <c r="M1784" s="28" t="n">
        <v>0</v>
      </c>
      <c r="N1784" s="28" t="n">
        <v>0</v>
      </c>
      <c r="O1784" s="28" t="n">
        <v>0</v>
      </c>
      <c r="P1784" s="28" t="n">
        <v>0</v>
      </c>
      <c r="Q1784" s="28" t="n">
        <v>528400</v>
      </c>
      <c r="R1784" s="28" t="n">
        <v>0</v>
      </c>
      <c r="S1784" s="28">
        <f>Q1784-R1784</f>
        <v/>
      </c>
      <c r="T1784" s="28">
        <f>IF(S1784="","",S1784*(1+in_GrowthRate)^(YEARFRAC(DATE(2022,8,31),in_AgeToDate)*IF(in_AgeToDate&lt;DATE(2022,8,31),-1,1)+1))</f>
        <v/>
      </c>
      <c r="U1784" s="50">
        <f>IF(AND(AND(OR(in_Mode="All Funds",AND(C1784&gt;=in_BandFloor,C1784&lt;=in_BandCeiling,OR(in_Geography="National",COUNTIFS(lst_GeoPreset,in_Geography,lst_GeoState,B1784)&gt;0,AND(in_Geography="Custom",ISNUMBER(SEARCH(B1784,SUBSTITUTE(in_CustomStates," ",""))))),OR(AND(D1784="Endowment",Inputs!$B$14="Y"),AND(D1784="Foundation",Inputs!$B$15="Y"),AND(D1784="Healthcare",Inputs!$B$16="Y"),AND(D1784="Pension",Inputs!$B$17="Y"),AND(D1784="OCIO",Inputs!$B$18="Y"),AND(D1784="Other",Inputs!$B$19="Y")))),A1784&lt;&gt;in_ClientOrg,NOT(AND(in_ExclHarvard="Y",ISNUMBER(SEARCH("Harvard",A1784))))),$AD1784="Y",K1784&lt;&gt;"",S1784&gt;0),"Y","")</f>
        <v/>
      </c>
      <c r="V1784" s="30" t="n">
        <v>0.3873272732203946</v>
      </c>
      <c r="W1784" t="inlineStr"/>
      <c r="X1784" s="28">
        <f>IF(L1784+M1784=0,"",L1784+M1784)</f>
        <v/>
      </c>
      <c r="Y1784" s="38">
        <f>IF(L1784=0,"",M1784/L1784)</f>
        <v/>
      </c>
      <c r="Z1784" t="inlineStr">
        <is>
          <t>Director &amp; Investment Officer</t>
        </is>
      </c>
      <c r="AA1784" t="inlineStr">
        <is>
          <t>Investments</t>
        </is>
      </c>
      <c r="AB1784" s="50" t="inlineStr"/>
      <c r="AC1784" s="43">
        <f>HYPERLINK("https://projects.propublica.org/nonprofits/organizations/381359264/202321719349100307/full","view filing")</f>
        <v/>
      </c>
      <c r="AD1784" s="50" t="inlineStr"/>
    </row>
    <row r="1785">
      <c r="A1785" t="inlineStr">
        <is>
          <t>Washington University</t>
        </is>
      </c>
      <c r="B1785" s="50" t="inlineStr">
        <is>
          <t>MO</t>
        </is>
      </c>
      <c r="C1785" s="52" t="n">
        <v>13.3</v>
      </c>
      <c r="D1785" t="inlineStr">
        <is>
          <t>Endowment</t>
        </is>
      </c>
      <c r="E1785" s="50" t="n">
        <v>2025</v>
      </c>
      <c r="F1785" s="50" t="inlineStr">
        <is>
          <t>2026-05-15</t>
        </is>
      </c>
      <c r="G1785" s="50" t="inlineStr">
        <is>
          <t>2025-06-30</t>
        </is>
      </c>
      <c r="H1785" t="inlineStr">
        <is>
          <t>Andrew Choquette</t>
        </is>
      </c>
      <c r="I1785" t="inlineStr">
        <is>
          <t>DEP CHIEF INVESTMENT OFFICER</t>
        </is>
      </c>
      <c r="J1785" t="inlineStr">
        <is>
          <t>Deputy CIO</t>
        </is>
      </c>
      <c r="K1785" t="inlineStr">
        <is>
          <t>Sr Investment Professional</t>
        </is>
      </c>
      <c r="L1785" s="28" t="n">
        <v>718740</v>
      </c>
      <c r="M1785" s="28" t="n">
        <v>3612883</v>
      </c>
      <c r="N1785" s="28" t="n">
        <v>67357</v>
      </c>
      <c r="O1785" s="28" t="n">
        <v>537460</v>
      </c>
      <c r="P1785" s="28" t="n">
        <v>36827</v>
      </c>
      <c r="Q1785" s="28" t="n">
        <v>4973267</v>
      </c>
      <c r="R1785" s="28" t="n">
        <v>246934</v>
      </c>
      <c r="S1785" s="28">
        <f>Q1785-R1785</f>
        <v/>
      </c>
      <c r="T1785" s="28">
        <f>IF(S1785="","",S1785*(1+in_GrowthRate)^(YEARFRAC(DATE(2025,6,30),in_AgeToDate)*IF(in_AgeToDate&lt;DATE(2025,6,30),-1,1)+1))</f>
        <v/>
      </c>
      <c r="U1785" s="50">
        <f>IF(AND(AND(OR(in_Mode="All Funds",AND(C1785&gt;=in_BandFloor,C1785&lt;=in_BandCeiling,OR(in_Geography="National",COUNTIFS(lst_GeoPreset,in_Geography,lst_GeoState,B1785)&gt;0,AND(in_Geography="Custom",ISNUMBER(SEARCH(B1785,SUBSTITUTE(in_CustomStates," ",""))))),OR(AND(D1785="Endowment",Inputs!$B$14="Y"),AND(D1785="Foundation",Inputs!$B$15="Y"),AND(D1785="Healthcare",Inputs!$B$16="Y"),AND(D1785="Pension",Inputs!$B$17="Y"),AND(D1785="OCIO",Inputs!$B$18="Y"),AND(D1785="Other",Inputs!$B$19="Y")))),A1785&lt;&gt;in_ClientOrg,NOT(AND(in_ExclHarvard="Y",ISNUMBER(SEARCH("Harvard",A1785))))),$AD1785="Y",K1785&lt;&gt;"",S1785&gt;0),"Y","")</f>
        <v/>
      </c>
      <c r="V1785" s="30" t="n">
        <v>0.3766109521999949</v>
      </c>
      <c r="W1785" t="inlineStr"/>
      <c r="X1785" s="28">
        <f>IF(L1785+M1785=0,"",L1785+M1785)</f>
        <v/>
      </c>
      <c r="Y1785" s="38">
        <f>IF(L1785=0,"",M1785/L1785)</f>
        <v/>
      </c>
      <c r="Z1785" t="inlineStr">
        <is>
          <t>Deputy CIO</t>
        </is>
      </c>
      <c r="AA1785" t="inlineStr">
        <is>
          <t>Leadership</t>
        </is>
      </c>
      <c r="AB1785" s="50" t="inlineStr"/>
      <c r="AC1785" s="43">
        <f>HYPERLINK("https://projects.propublica.org/nonprofits/organizations/430653611/202641359349315719/full","view filing")</f>
        <v/>
      </c>
      <c r="AD1785" s="50" t="inlineStr">
        <is>
          <t>Y</t>
        </is>
      </c>
    </row>
    <row r="1786">
      <c r="A1786" t="inlineStr">
        <is>
          <t>Washington University</t>
        </is>
      </c>
      <c r="B1786" s="50" t="inlineStr">
        <is>
          <t>MO</t>
        </is>
      </c>
      <c r="C1786" s="52" t="n">
        <v>13.3</v>
      </c>
      <c r="D1786" t="inlineStr">
        <is>
          <t>Endowment</t>
        </is>
      </c>
      <c r="E1786" s="50" t="n">
        <v>2025</v>
      </c>
      <c r="F1786" s="50" t="inlineStr">
        <is>
          <t>2026-05-15</t>
        </is>
      </c>
      <c r="G1786" s="50" t="inlineStr">
        <is>
          <t>2025-06-30</t>
        </is>
      </c>
      <c r="H1786" t="inlineStr">
        <is>
          <t>Jennifer Voelker</t>
        </is>
      </c>
      <c r="I1786" t="inlineStr">
        <is>
          <t>COO - INVESTMENT MGMT</t>
        </is>
      </c>
      <c r="J1786" t="inlineStr">
        <is>
          <t>COO (Inv Entity)</t>
        </is>
      </c>
      <c r="K1786" t="inlineStr">
        <is>
          <t>COO (Investment Office)</t>
        </is>
      </c>
      <c r="L1786" s="28" t="n">
        <v>534005</v>
      </c>
      <c r="M1786" s="28" t="n">
        <v>1062257</v>
      </c>
      <c r="N1786" s="28" t="n">
        <v>49198</v>
      </c>
      <c r="O1786" s="28" t="n">
        <v>481324</v>
      </c>
      <c r="P1786" s="28" t="n">
        <v>17501</v>
      </c>
      <c r="Q1786" s="28" t="n">
        <v>2144285</v>
      </c>
      <c r="R1786" s="28" t="n">
        <v>146434</v>
      </c>
      <c r="S1786" s="28">
        <f>Q1786-R1786</f>
        <v/>
      </c>
      <c r="T1786" s="28">
        <f>IF(S1786="","",S1786*(1+in_GrowthRate)^(YEARFRAC(DATE(2025,6,30),in_AgeToDate)*IF(in_AgeToDate&lt;DATE(2025,6,30),-1,1)+1))</f>
        <v/>
      </c>
      <c r="U1786" s="50">
        <f>IF(AND(AND(OR(in_Mode="All Funds",AND(C1786&gt;=in_BandFloor,C1786&lt;=in_BandCeiling,OR(in_Geography="National",COUNTIFS(lst_GeoPreset,in_Geography,lst_GeoState,B1786)&gt;0,AND(in_Geography="Custom",ISNUMBER(SEARCH(B1786,SUBSTITUTE(in_CustomStates," ",""))))),OR(AND(D1786="Endowment",Inputs!$B$14="Y"),AND(D1786="Foundation",Inputs!$B$15="Y"),AND(D1786="Healthcare",Inputs!$B$16="Y"),AND(D1786="Pension",Inputs!$B$17="Y"),AND(D1786="OCIO",Inputs!$B$18="Y"),AND(D1786="Other",Inputs!$B$19="Y")))),A1786&lt;&gt;in_ClientOrg,NOT(AND(in_ExclHarvard="Y",ISNUMBER(SEARCH("Harvard",A1786))))),$AD1786="Y",K1786&lt;&gt;"",S1786&gt;0),"Y","")</f>
        <v/>
      </c>
      <c r="V1786" s="30" t="n">
        <v>0.1591958432602426</v>
      </c>
      <c r="W1786" t="inlineStr"/>
      <c r="X1786" s="28">
        <f>IF(L1786+M1786=0,"",L1786+M1786)</f>
        <v/>
      </c>
      <c r="Y1786" s="38">
        <f>IF(L1786=0,"",M1786/L1786)</f>
        <v/>
      </c>
      <c r="Z1786" t="inlineStr">
        <is>
          <t>COO (Investment Office)</t>
        </is>
      </c>
      <c r="AA1786" t="inlineStr">
        <is>
          <t>Operations &amp; Control</t>
        </is>
      </c>
      <c r="AB1786" s="50" t="inlineStr"/>
      <c r="AC1786" s="43">
        <f>HYPERLINK("https://projects.propublica.org/nonprofits/organizations/430653611/202641359349315719/full","view filing")</f>
        <v/>
      </c>
      <c r="AD1786" s="50" t="inlineStr">
        <is>
          <t>Y</t>
        </is>
      </c>
    </row>
    <row r="1787">
      <c r="A1787" t="inlineStr">
        <is>
          <t>Washington University</t>
        </is>
      </c>
      <c r="B1787" s="50" t="inlineStr">
        <is>
          <t>MO</t>
        </is>
      </c>
      <c r="C1787" s="52" t="n">
        <v>13.3</v>
      </c>
      <c r="D1787" t="inlineStr">
        <is>
          <t>Endowment</t>
        </is>
      </c>
      <c r="E1787" s="50" t="n">
        <v>2025</v>
      </c>
      <c r="F1787" s="50" t="inlineStr">
        <is>
          <t>2026-05-15</t>
        </is>
      </c>
      <c r="G1787" s="50" t="inlineStr">
        <is>
          <t>2025-06-30</t>
        </is>
      </c>
      <c r="H1787" t="inlineStr">
        <is>
          <t>Scott Wilson</t>
        </is>
      </c>
      <c r="I1787" t="inlineStr">
        <is>
          <t>CHIEF INVESTMENT OFFICER</t>
        </is>
      </c>
      <c r="J1787" t="inlineStr">
        <is>
          <t>CIO</t>
        </is>
      </c>
      <c r="K1787" t="inlineStr">
        <is>
          <t>CIO - Top Investment Executive</t>
        </is>
      </c>
      <c r="L1787" s="28" t="n">
        <v>1069710</v>
      </c>
      <c r="M1787" s="28" t="n">
        <v>10792533</v>
      </c>
      <c r="N1787" s="28" t="n">
        <v>109001</v>
      </c>
      <c r="O1787" s="28" t="n">
        <v>1029743</v>
      </c>
      <c r="P1787" s="28" t="n">
        <v>31012</v>
      </c>
      <c r="Q1787" s="28" t="n">
        <v>13031999</v>
      </c>
      <c r="R1787" s="28" t="n">
        <v>482356</v>
      </c>
      <c r="S1787" s="28">
        <f>Q1787-R1787</f>
        <v/>
      </c>
      <c r="T1787" s="28">
        <f>IF(S1787="","",S1787*(1+in_GrowthRate)^(YEARFRAC(DATE(2025,6,30),in_AgeToDate)*IF(in_AgeToDate&lt;DATE(2025,6,30),-1,1)+1))</f>
        <v/>
      </c>
      <c r="U1787" s="50">
        <f>IF(AND(AND(OR(in_Mode="All Funds",AND(C1787&gt;=in_BandFloor,C1787&lt;=in_BandCeiling,OR(in_Geography="National",COUNTIFS(lst_GeoPreset,in_Geography,lst_GeoState,B1787)&gt;0,AND(in_Geography="Custom",ISNUMBER(SEARCH(B1787,SUBSTITUTE(in_CustomStates," ",""))))),OR(AND(D1787="Endowment",Inputs!$B$14="Y"),AND(D1787="Foundation",Inputs!$B$15="Y"),AND(D1787="Healthcare",Inputs!$B$16="Y"),AND(D1787="Pension",Inputs!$B$17="Y"),AND(D1787="OCIO",Inputs!$B$18="Y"),AND(D1787="Other",Inputs!$B$19="Y")))),A1787&lt;&gt;in_ClientOrg,NOT(AND(in_ExclHarvard="Y",ISNUMBER(SEARCH("Harvard",A1787))))),$AD1787="Y",K1787&lt;&gt;"",S1787&gt;0),"Y","")</f>
        <v/>
      </c>
      <c r="V1787" s="30" t="n">
        <v>1</v>
      </c>
      <c r="W1787" t="inlineStr"/>
      <c r="X1787" s="28">
        <f>IF(L1787+M1787=0,"",L1787+M1787)</f>
        <v/>
      </c>
      <c r="Y1787" s="38">
        <f>IF(L1787=0,"",M1787/L1787)</f>
        <v/>
      </c>
      <c r="Z1787" t="inlineStr">
        <is>
          <t>CIO - Top Investment Executive</t>
        </is>
      </c>
      <c r="AA1787" t="inlineStr">
        <is>
          <t>Leadership</t>
        </is>
      </c>
      <c r="AB1787" s="50" t="inlineStr">
        <is>
          <t>Y</t>
        </is>
      </c>
      <c r="AC1787" s="43">
        <f>HYPERLINK("https://projects.propublica.org/nonprofits/organizations/430653611/202641359349315719/full","view filing")</f>
        <v/>
      </c>
      <c r="AD1787" s="50" t="inlineStr">
        <is>
          <t>Y</t>
        </is>
      </c>
    </row>
    <row r="1788">
      <c r="A1788" t="inlineStr">
        <is>
          <t>Washington University</t>
        </is>
      </c>
      <c r="B1788" s="50" t="inlineStr">
        <is>
          <t>MO</t>
        </is>
      </c>
      <c r="C1788" s="52" t="n">
        <v>13.3</v>
      </c>
      <c r="D1788" t="inlineStr">
        <is>
          <t>Endowment</t>
        </is>
      </c>
      <c r="E1788" s="50" t="n">
        <v>2024</v>
      </c>
      <c r="F1788" s="50" t="inlineStr">
        <is>
          <t>2025-05-14</t>
        </is>
      </c>
      <c r="G1788" s="50" t="inlineStr">
        <is>
          <t>2024-06-30</t>
        </is>
      </c>
      <c r="H1788" t="inlineStr">
        <is>
          <t>Adam Kurkiewicz</t>
        </is>
      </c>
      <c r="I1788" t="inlineStr">
        <is>
          <t>MANAGING DIR. OF INVESTMENTS</t>
        </is>
      </c>
      <c r="J1788" t="inlineStr">
        <is>
          <t>Managing Director</t>
        </is>
      </c>
      <c r="K1788" t="inlineStr">
        <is>
          <t>Sr Investment Professional</t>
        </is>
      </c>
      <c r="L1788" s="28" t="n">
        <v>452201</v>
      </c>
      <c r="M1788" s="28" t="n">
        <v>1495138</v>
      </c>
      <c r="N1788" s="28" t="n">
        <v>23024</v>
      </c>
      <c r="O1788" s="28" t="n">
        <v>273602</v>
      </c>
      <c r="P1788" s="28" t="n">
        <v>20681</v>
      </c>
      <c r="Q1788" s="28" t="n">
        <v>2264646</v>
      </c>
      <c r="R1788" s="28" t="n">
        <v>0</v>
      </c>
      <c r="S1788" s="28">
        <f>Q1788-R1788</f>
        <v/>
      </c>
      <c r="T1788" s="28">
        <f>IF(S1788="","",S1788*(1+in_GrowthRate)^(YEARFRAC(DATE(2024,6,30),in_AgeToDate)*IF(in_AgeToDate&lt;DATE(2024,6,30),-1,1)+1))</f>
        <v/>
      </c>
      <c r="U1788" s="50">
        <f>IF(AND(AND(OR(in_Mode="All Funds",AND(C1788&gt;=in_BandFloor,C1788&lt;=in_BandCeiling,OR(in_Geography="National",COUNTIFS(lst_GeoPreset,in_Geography,lst_GeoState,B1788)&gt;0,AND(in_Geography="Custom",ISNUMBER(SEARCH(B1788,SUBSTITUTE(in_CustomStates," ",""))))),OR(AND(D1788="Endowment",Inputs!$B$14="Y"),AND(D1788="Foundation",Inputs!$B$15="Y"),AND(D1788="Healthcare",Inputs!$B$16="Y"),AND(D1788="Pension",Inputs!$B$17="Y"),AND(D1788="OCIO",Inputs!$B$18="Y"),AND(D1788="Other",Inputs!$B$19="Y")))),A1788&lt;&gt;in_ClientOrg,NOT(AND(in_ExclHarvard="Y",ISNUMBER(SEARCH("Harvard",A1788))))),$AD1788="Y",K1788&lt;&gt;"",S1788&gt;0),"Y","")</f>
        <v/>
      </c>
      <c r="V1788" s="30" t="n">
        <v>0.1973830843186744</v>
      </c>
      <c r="W1788" t="inlineStr"/>
      <c r="X1788" s="28">
        <f>IF(L1788+M1788=0,"",L1788+M1788)</f>
        <v/>
      </c>
      <c r="Y1788" s="38">
        <f>IF(L1788=0,"",M1788/L1788)</f>
        <v/>
      </c>
      <c r="Z1788" t="inlineStr">
        <is>
          <t>Managing Director</t>
        </is>
      </c>
      <c r="AA1788" t="inlineStr">
        <is>
          <t>Investments</t>
        </is>
      </c>
      <c r="AB1788" s="50" t="inlineStr"/>
      <c r="AC1788" s="43">
        <f>HYPERLINK("https://projects.propublica.org/nonprofits/organizations/430653611/202531349349312818/full","view filing")</f>
        <v/>
      </c>
      <c r="AD1788" s="50" t="inlineStr"/>
    </row>
    <row r="1789">
      <c r="A1789" t="inlineStr">
        <is>
          <t>Washington University</t>
        </is>
      </c>
      <c r="B1789" s="50" t="inlineStr">
        <is>
          <t>MO</t>
        </is>
      </c>
      <c r="C1789" s="52" t="n">
        <v>13.3</v>
      </c>
      <c r="D1789" t="inlineStr">
        <is>
          <t>Endowment</t>
        </is>
      </c>
      <c r="E1789" s="50" t="n">
        <v>2024</v>
      </c>
      <c r="F1789" s="50" t="inlineStr">
        <is>
          <t>2025-05-14</t>
        </is>
      </c>
      <c r="G1789" s="50" t="inlineStr">
        <is>
          <t>2024-06-30</t>
        </is>
      </c>
      <c r="H1789" t="inlineStr">
        <is>
          <t>Andrew Choquette</t>
        </is>
      </c>
      <c r="I1789" t="inlineStr">
        <is>
          <t>DEP CHIEF INVESTMENT OFFICER</t>
        </is>
      </c>
      <c r="J1789" t="inlineStr">
        <is>
          <t>Deputy CIO</t>
        </is>
      </c>
      <c r="K1789" t="inlineStr">
        <is>
          <t>Sr Investment Professional</t>
        </is>
      </c>
      <c r="L1789" s="28" t="n">
        <v>695192</v>
      </c>
      <c r="M1789" s="28" t="n">
        <v>3110520</v>
      </c>
      <c r="N1789" s="28" t="n">
        <v>23776</v>
      </c>
      <c r="O1789" s="28" t="n">
        <v>475812</v>
      </c>
      <c r="P1789" s="28" t="n">
        <v>27603</v>
      </c>
      <c r="Q1789" s="28" t="n">
        <v>4332903</v>
      </c>
      <c r="R1789" s="28" t="n">
        <v>0</v>
      </c>
      <c r="S1789" s="28">
        <f>Q1789-R1789</f>
        <v/>
      </c>
      <c r="T1789" s="28">
        <f>IF(S1789="","",S1789*(1+in_GrowthRate)^(YEARFRAC(DATE(2024,6,30),in_AgeToDate)*IF(in_AgeToDate&lt;DATE(2024,6,30),-1,1)+1))</f>
        <v/>
      </c>
      <c r="U1789" s="50">
        <f>IF(AND(AND(OR(in_Mode="All Funds",AND(C1789&gt;=in_BandFloor,C1789&lt;=in_BandCeiling,OR(in_Geography="National",COUNTIFS(lst_GeoPreset,in_Geography,lst_GeoState,B1789)&gt;0,AND(in_Geography="Custom",ISNUMBER(SEARCH(B1789,SUBSTITUTE(in_CustomStates," ",""))))),OR(AND(D1789="Endowment",Inputs!$B$14="Y"),AND(D1789="Foundation",Inputs!$B$15="Y"),AND(D1789="Healthcare",Inputs!$B$16="Y"),AND(D1789="Pension",Inputs!$B$17="Y"),AND(D1789="OCIO",Inputs!$B$18="Y"),AND(D1789="Other",Inputs!$B$19="Y")))),A1789&lt;&gt;in_ClientOrg,NOT(AND(in_ExclHarvard="Y",ISNUMBER(SEARCH("Harvard",A1789))))),$AD1789="Y",K1789&lt;&gt;"",S1789&gt;0),"Y","")</f>
        <v/>
      </c>
      <c r="V1789" s="30" t="n">
        <v>0.3776492035371697</v>
      </c>
      <c r="W1789" t="inlineStr"/>
      <c r="X1789" s="28">
        <f>IF(L1789+M1789=0,"",L1789+M1789)</f>
        <v/>
      </c>
      <c r="Y1789" s="38">
        <f>IF(L1789=0,"",M1789/L1789)</f>
        <v/>
      </c>
      <c r="Z1789" t="inlineStr">
        <is>
          <t>Deputy CIO</t>
        </is>
      </c>
      <c r="AA1789" t="inlineStr">
        <is>
          <t>Leadership</t>
        </is>
      </c>
      <c r="AB1789" s="50" t="inlineStr"/>
      <c r="AC1789" s="43">
        <f>HYPERLINK("https://projects.propublica.org/nonprofits/organizations/430653611/202531349349312818/full","view filing")</f>
        <v/>
      </c>
      <c r="AD1789" s="50" t="inlineStr"/>
    </row>
    <row r="1790">
      <c r="A1790" t="inlineStr">
        <is>
          <t>Washington University</t>
        </is>
      </c>
      <c r="B1790" s="50" t="inlineStr">
        <is>
          <t>MO</t>
        </is>
      </c>
      <c r="C1790" s="52" t="n">
        <v>13.3</v>
      </c>
      <c r="D1790" t="inlineStr">
        <is>
          <t>Endowment</t>
        </is>
      </c>
      <c r="E1790" s="50" t="n">
        <v>2024</v>
      </c>
      <c r="F1790" s="50" t="inlineStr">
        <is>
          <t>2025-05-14</t>
        </is>
      </c>
      <c r="G1790" s="50" t="inlineStr">
        <is>
          <t>2024-06-30</t>
        </is>
      </c>
      <c r="H1790" t="inlineStr">
        <is>
          <t>Jennifer Voelker</t>
        </is>
      </c>
      <c r="I1790" t="inlineStr">
        <is>
          <t>COO - INVESTMENT MGMT</t>
        </is>
      </c>
      <c r="J1790" t="inlineStr">
        <is>
          <t>COO (Inv Entity)</t>
        </is>
      </c>
      <c r="K1790" t="inlineStr">
        <is>
          <t>COO (Investment Office)</t>
        </is>
      </c>
      <c r="L1790" s="28" t="n">
        <v>512593</v>
      </c>
      <c r="M1790" s="28" t="n">
        <v>1584916</v>
      </c>
      <c r="N1790" s="28" t="n">
        <v>23144</v>
      </c>
      <c r="O1790" s="28" t="n">
        <v>291561</v>
      </c>
      <c r="P1790" s="28" t="n">
        <v>14570</v>
      </c>
      <c r="Q1790" s="28" t="n">
        <v>2426784</v>
      </c>
      <c r="R1790" s="28" t="n">
        <v>0</v>
      </c>
      <c r="S1790" s="28">
        <f>Q1790-R1790</f>
        <v/>
      </c>
      <c r="T1790" s="28">
        <f>IF(S1790="","",S1790*(1+in_GrowthRate)^(YEARFRAC(DATE(2024,6,30),in_AgeToDate)*IF(in_AgeToDate&lt;DATE(2024,6,30),-1,1)+1))</f>
        <v/>
      </c>
      <c r="U1790" s="50">
        <f>IF(AND(AND(OR(in_Mode="All Funds",AND(C1790&gt;=in_BandFloor,C1790&lt;=in_BandCeiling,OR(in_Geography="National",COUNTIFS(lst_GeoPreset,in_Geography,lst_GeoState,B1790)&gt;0,AND(in_Geography="Custom",ISNUMBER(SEARCH(B1790,SUBSTITUTE(in_CustomStates," ",""))))),OR(AND(D1790="Endowment",Inputs!$B$14="Y"),AND(D1790="Foundation",Inputs!$B$15="Y"),AND(D1790="Healthcare",Inputs!$B$16="Y"),AND(D1790="Pension",Inputs!$B$17="Y"),AND(D1790="OCIO",Inputs!$B$18="Y"),AND(D1790="Other",Inputs!$B$19="Y")))),A1790&lt;&gt;in_ClientOrg,NOT(AND(in_ExclHarvard="Y",ISNUMBER(SEARCH("Harvard",A1790))))),$AD1790="Y",K1790&lt;&gt;"",S1790&gt;0),"Y","")</f>
        <v/>
      </c>
      <c r="V1790" s="30" t="n">
        <v>0.2115147846043973</v>
      </c>
      <c r="W1790" t="inlineStr"/>
      <c r="X1790" s="28">
        <f>IF(L1790+M1790=0,"",L1790+M1790)</f>
        <v/>
      </c>
      <c r="Y1790" s="38">
        <f>IF(L1790=0,"",M1790/L1790)</f>
        <v/>
      </c>
      <c r="Z1790" t="inlineStr">
        <is>
          <t>COO (Investment Office)</t>
        </is>
      </c>
      <c r="AA1790" t="inlineStr">
        <is>
          <t>Operations &amp; Control</t>
        </is>
      </c>
      <c r="AB1790" s="50" t="inlineStr"/>
      <c r="AC1790" s="43">
        <f>HYPERLINK("https://projects.propublica.org/nonprofits/organizations/430653611/202531349349312818/full","view filing")</f>
        <v/>
      </c>
      <c r="AD1790" s="50" t="inlineStr"/>
    </row>
    <row r="1791">
      <c r="A1791" t="inlineStr">
        <is>
          <t>Washington University</t>
        </is>
      </c>
      <c r="B1791" s="50" t="inlineStr">
        <is>
          <t>MO</t>
        </is>
      </c>
      <c r="C1791" s="52" t="n">
        <v>13.3</v>
      </c>
      <c r="D1791" t="inlineStr">
        <is>
          <t>Endowment</t>
        </is>
      </c>
      <c r="E1791" s="50" t="n">
        <v>2024</v>
      </c>
      <c r="F1791" s="50" t="inlineStr">
        <is>
          <t>2025-05-14</t>
        </is>
      </c>
      <c r="G1791" s="50" t="inlineStr">
        <is>
          <t>2024-06-30</t>
        </is>
      </c>
      <c r="H1791" t="inlineStr">
        <is>
          <t>Michael Dore</t>
        </is>
      </c>
      <c r="I1791" t="inlineStr">
        <is>
          <t>MANAGING DIR. OF INVESTMENTS</t>
        </is>
      </c>
      <c r="J1791" t="inlineStr">
        <is>
          <t>Managing Director</t>
        </is>
      </c>
      <c r="K1791" t="inlineStr">
        <is>
          <t>Sr Investment Professional</t>
        </is>
      </c>
      <c r="L1791" s="28" t="n">
        <v>450055</v>
      </c>
      <c r="M1791" s="28" t="n">
        <v>1495138</v>
      </c>
      <c r="N1791" s="28" t="n">
        <v>23076</v>
      </c>
      <c r="O1791" s="28" t="n">
        <v>273602</v>
      </c>
      <c r="P1791" s="28" t="n">
        <v>27603</v>
      </c>
      <c r="Q1791" s="28" t="n">
        <v>2269474</v>
      </c>
      <c r="R1791" s="28" t="n">
        <v>0</v>
      </c>
      <c r="S1791" s="28">
        <f>Q1791-R1791</f>
        <v/>
      </c>
      <c r="T1791" s="28">
        <f>IF(S1791="","",S1791*(1+in_GrowthRate)^(YEARFRAC(DATE(2024,6,30),in_AgeToDate)*IF(in_AgeToDate&lt;DATE(2024,6,30),-1,1)+1))</f>
        <v/>
      </c>
      <c r="U1791" s="50">
        <f>IF(AND(AND(OR(in_Mode="All Funds",AND(C1791&gt;=in_BandFloor,C1791&lt;=in_BandCeiling,OR(in_Geography="National",COUNTIFS(lst_GeoPreset,in_Geography,lst_GeoState,B1791)&gt;0,AND(in_Geography="Custom",ISNUMBER(SEARCH(B1791,SUBSTITUTE(in_CustomStates," ",""))))),OR(AND(D1791="Endowment",Inputs!$B$14="Y"),AND(D1791="Foundation",Inputs!$B$15="Y"),AND(D1791="Healthcare",Inputs!$B$16="Y"),AND(D1791="Pension",Inputs!$B$17="Y"),AND(D1791="OCIO",Inputs!$B$18="Y"),AND(D1791="Other",Inputs!$B$19="Y")))),A1791&lt;&gt;in_ClientOrg,NOT(AND(in_ExclHarvard="Y",ISNUMBER(SEARCH("Harvard",A1791))))),$AD1791="Y",K1791&lt;&gt;"",S1791&gt;0),"Y","")</f>
        <v/>
      </c>
      <c r="V1791" s="30" t="n">
        <v>0.1978038854200786</v>
      </c>
      <c r="W1791" t="inlineStr"/>
      <c r="X1791" s="28">
        <f>IF(L1791+M1791=0,"",L1791+M1791)</f>
        <v/>
      </c>
      <c r="Y1791" s="38">
        <f>IF(L1791=0,"",M1791/L1791)</f>
        <v/>
      </c>
      <c r="Z1791" t="inlineStr">
        <is>
          <t>Managing Director</t>
        </is>
      </c>
      <c r="AA1791" t="inlineStr">
        <is>
          <t>Investments</t>
        </is>
      </c>
      <c r="AB1791" s="50" t="inlineStr"/>
      <c r="AC1791" s="43">
        <f>HYPERLINK("https://projects.propublica.org/nonprofits/organizations/430653611/202531349349312818/full","view filing")</f>
        <v/>
      </c>
      <c r="AD1791" s="50" t="inlineStr"/>
    </row>
    <row r="1792">
      <c r="A1792" t="inlineStr">
        <is>
          <t>Washington University</t>
        </is>
      </c>
      <c r="B1792" s="50" t="inlineStr">
        <is>
          <t>MO</t>
        </is>
      </c>
      <c r="C1792" s="52" t="n">
        <v>13.3</v>
      </c>
      <c r="D1792" t="inlineStr">
        <is>
          <t>Endowment</t>
        </is>
      </c>
      <c r="E1792" s="50" t="n">
        <v>2024</v>
      </c>
      <c r="F1792" s="50" t="inlineStr">
        <is>
          <t>2025-05-14</t>
        </is>
      </c>
      <c r="G1792" s="50" t="inlineStr">
        <is>
          <t>2024-06-30</t>
        </is>
      </c>
      <c r="H1792" t="inlineStr">
        <is>
          <t>Scott Wilson</t>
        </is>
      </c>
      <c r="I1792" t="inlineStr">
        <is>
          <t>CHIEF INVESTMENT OFFICER</t>
        </is>
      </c>
      <c r="J1792" t="inlineStr">
        <is>
          <t>CIO</t>
        </is>
      </c>
      <c r="K1792" t="inlineStr">
        <is>
          <t>CIO - Top Investment Executive</t>
        </is>
      </c>
      <c r="L1792" s="28" t="n">
        <v>957587</v>
      </c>
      <c r="M1792" s="28" t="n">
        <v>9460096</v>
      </c>
      <c r="N1792" s="28" t="n">
        <v>24399</v>
      </c>
      <c r="O1792" s="28" t="n">
        <v>991419</v>
      </c>
      <c r="P1792" s="28" t="n">
        <v>39853</v>
      </c>
      <c r="Q1792" s="28" t="n">
        <v>11473354</v>
      </c>
      <c r="R1792" s="28" t="n">
        <v>0</v>
      </c>
      <c r="S1792" s="28">
        <f>Q1792-R1792</f>
        <v/>
      </c>
      <c r="T1792" s="28">
        <f>IF(S1792="","",S1792*(1+in_GrowthRate)^(YEARFRAC(DATE(2024,6,30),in_AgeToDate)*IF(in_AgeToDate&lt;DATE(2024,6,30),-1,1)+1))</f>
        <v/>
      </c>
      <c r="U1792" s="50">
        <f>IF(AND(AND(OR(in_Mode="All Funds",AND(C1792&gt;=in_BandFloor,C1792&lt;=in_BandCeiling,OR(in_Geography="National",COUNTIFS(lst_GeoPreset,in_Geography,lst_GeoState,B1792)&gt;0,AND(in_Geography="Custom",ISNUMBER(SEARCH(B1792,SUBSTITUTE(in_CustomStates," ",""))))),OR(AND(D1792="Endowment",Inputs!$B$14="Y"),AND(D1792="Foundation",Inputs!$B$15="Y"),AND(D1792="Healthcare",Inputs!$B$16="Y"),AND(D1792="Pension",Inputs!$B$17="Y"),AND(D1792="OCIO",Inputs!$B$18="Y"),AND(D1792="Other",Inputs!$B$19="Y")))),A1792&lt;&gt;in_ClientOrg,NOT(AND(in_ExclHarvard="Y",ISNUMBER(SEARCH("Harvard",A1792))))),$AD1792="Y",K1792&lt;&gt;"",S1792&gt;0),"Y","")</f>
        <v/>
      </c>
      <c r="V1792" s="30" t="n">
        <v>1</v>
      </c>
      <c r="W1792" t="inlineStr"/>
      <c r="X1792" s="28">
        <f>IF(L1792+M1792=0,"",L1792+M1792)</f>
        <v/>
      </c>
      <c r="Y1792" s="38">
        <f>IF(L1792=0,"",M1792/L1792)</f>
        <v/>
      </c>
      <c r="Z1792" t="inlineStr">
        <is>
          <t>CIO - Top Investment Executive</t>
        </is>
      </c>
      <c r="AA1792" t="inlineStr">
        <is>
          <t>Leadership</t>
        </is>
      </c>
      <c r="AB1792" s="50" t="inlineStr">
        <is>
          <t>Y</t>
        </is>
      </c>
      <c r="AC1792" s="43">
        <f>HYPERLINK("https://projects.propublica.org/nonprofits/organizations/430653611/202531349349312818/full","view filing")</f>
        <v/>
      </c>
      <c r="AD1792" s="50" t="inlineStr"/>
    </row>
    <row r="1793">
      <c r="A1793" t="inlineStr">
        <is>
          <t>Washington University</t>
        </is>
      </c>
      <c r="B1793" s="50" t="inlineStr">
        <is>
          <t>MO</t>
        </is>
      </c>
      <c r="C1793" s="52" t="n">
        <v>13.3</v>
      </c>
      <c r="D1793" t="inlineStr">
        <is>
          <t>Endowment</t>
        </is>
      </c>
      <c r="E1793" s="50" t="n">
        <v>2023</v>
      </c>
      <c r="F1793" s="50" t="inlineStr">
        <is>
          <t>2024-05-14</t>
        </is>
      </c>
      <c r="G1793" s="50" t="inlineStr">
        <is>
          <t>2023-06-30</t>
        </is>
      </c>
      <c r="H1793" t="inlineStr">
        <is>
          <t>Adam Kurkiewicz</t>
        </is>
      </c>
      <c r="I1793" t="inlineStr">
        <is>
          <t>MANAGING DIR. OF INVESTMENTS</t>
        </is>
      </c>
      <c r="J1793" t="inlineStr">
        <is>
          <t>Managing Director</t>
        </is>
      </c>
      <c r="K1793" t="inlineStr">
        <is>
          <t>Sr Investment Professional</t>
        </is>
      </c>
      <c r="L1793" s="28" t="n">
        <v>433637</v>
      </c>
      <c r="M1793" s="28" t="n">
        <v>1406066</v>
      </c>
      <c r="N1793" s="28" t="n">
        <v>21126</v>
      </c>
      <c r="O1793" s="28" t="n">
        <v>22563</v>
      </c>
      <c r="P1793" s="28" t="n">
        <v>21603</v>
      </c>
      <c r="Q1793" s="28" t="n">
        <v>1904995</v>
      </c>
      <c r="R1793" s="28" t="n">
        <v>0</v>
      </c>
      <c r="S1793" s="28">
        <f>Q1793-R1793</f>
        <v/>
      </c>
      <c r="T1793" s="28">
        <f>IF(S1793="","",S1793*(1+in_GrowthRate)^(YEARFRAC(DATE(2023,6,30),in_AgeToDate)*IF(in_AgeToDate&lt;DATE(2023,6,30),-1,1)+1))</f>
        <v/>
      </c>
      <c r="U1793" s="50">
        <f>IF(AND(AND(OR(in_Mode="All Funds",AND(C1793&gt;=in_BandFloor,C1793&lt;=in_BandCeiling,OR(in_Geography="National",COUNTIFS(lst_GeoPreset,in_Geography,lst_GeoState,B1793)&gt;0,AND(in_Geography="Custom",ISNUMBER(SEARCH(B1793,SUBSTITUTE(in_CustomStates," ",""))))),OR(AND(D1793="Endowment",Inputs!$B$14="Y"),AND(D1793="Foundation",Inputs!$B$15="Y"),AND(D1793="Healthcare",Inputs!$B$16="Y"),AND(D1793="Pension",Inputs!$B$17="Y"),AND(D1793="OCIO",Inputs!$B$18="Y"),AND(D1793="Other",Inputs!$B$19="Y")))),A1793&lt;&gt;in_ClientOrg,NOT(AND(in_ExclHarvard="Y",ISNUMBER(SEARCH("Harvard",A1793))))),$AD1793="Y",K1793&lt;&gt;"",S1793&gt;0),"Y","")</f>
        <v/>
      </c>
      <c r="V1793" s="30" t="n">
        <v>0.2668777130887541</v>
      </c>
      <c r="W1793" t="inlineStr"/>
      <c r="X1793" s="28">
        <f>IF(L1793+M1793=0,"",L1793+M1793)</f>
        <v/>
      </c>
      <c r="Y1793" s="38">
        <f>IF(L1793=0,"",M1793/L1793)</f>
        <v/>
      </c>
      <c r="Z1793" t="inlineStr">
        <is>
          <t>Managing Director</t>
        </is>
      </c>
      <c r="AA1793" t="inlineStr">
        <is>
          <t>Investments</t>
        </is>
      </c>
      <c r="AB1793" s="50" t="inlineStr"/>
      <c r="AC1793" s="43">
        <f>HYPERLINK("https://projects.propublica.org/nonprofits/organizations/430653611/202421359349312512/full","view filing")</f>
        <v/>
      </c>
      <c r="AD1793" s="50" t="inlineStr"/>
    </row>
    <row r="1794">
      <c r="A1794" t="inlineStr">
        <is>
          <t>Washington University</t>
        </is>
      </c>
      <c r="B1794" s="50" t="inlineStr">
        <is>
          <t>MO</t>
        </is>
      </c>
      <c r="C1794" s="52" t="n">
        <v>13.3</v>
      </c>
      <c r="D1794" t="inlineStr">
        <is>
          <t>Endowment</t>
        </is>
      </c>
      <c r="E1794" s="50" t="n">
        <v>2023</v>
      </c>
      <c r="F1794" s="50" t="inlineStr">
        <is>
          <t>2024-05-14</t>
        </is>
      </c>
      <c r="G1794" s="50" t="inlineStr">
        <is>
          <t>2023-06-30</t>
        </is>
      </c>
      <c r="H1794" t="inlineStr">
        <is>
          <t>Andrew Choquette</t>
        </is>
      </c>
      <c r="I1794" t="inlineStr">
        <is>
          <t>DEP CHIEF INVESTMENT OFFICER</t>
        </is>
      </c>
      <c r="J1794" t="inlineStr">
        <is>
          <t>Deputy CIO</t>
        </is>
      </c>
      <c r="K1794" t="inlineStr">
        <is>
          <t>Sr Investment Professional</t>
        </is>
      </c>
      <c r="L1794" s="28" t="n">
        <v>677782</v>
      </c>
      <c r="M1794" s="28" t="n">
        <v>3041776</v>
      </c>
      <c r="N1794" s="28" t="n">
        <v>21469</v>
      </c>
      <c r="O1794" s="28" t="n">
        <v>21350</v>
      </c>
      <c r="P1794" s="28" t="n">
        <v>25869</v>
      </c>
      <c r="Q1794" s="28" t="n">
        <v>3788246</v>
      </c>
      <c r="R1794" s="28" t="n">
        <v>0</v>
      </c>
      <c r="S1794" s="28">
        <f>Q1794-R1794</f>
        <v/>
      </c>
      <c r="T1794" s="28">
        <f>IF(S1794="","",S1794*(1+in_GrowthRate)^(YEARFRAC(DATE(2023,6,30),in_AgeToDate)*IF(in_AgeToDate&lt;DATE(2023,6,30),-1,1)+1))</f>
        <v/>
      </c>
      <c r="U1794" s="50">
        <f>IF(AND(AND(OR(in_Mode="All Funds",AND(C1794&gt;=in_BandFloor,C1794&lt;=in_BandCeiling,OR(in_Geography="National",COUNTIFS(lst_GeoPreset,in_Geography,lst_GeoState,B1794)&gt;0,AND(in_Geography="Custom",ISNUMBER(SEARCH(B1794,SUBSTITUTE(in_CustomStates," ",""))))),OR(AND(D1794="Endowment",Inputs!$B$14="Y"),AND(D1794="Foundation",Inputs!$B$15="Y"),AND(D1794="Healthcare",Inputs!$B$16="Y"),AND(D1794="Pension",Inputs!$B$17="Y"),AND(D1794="OCIO",Inputs!$B$18="Y"),AND(D1794="Other",Inputs!$B$19="Y")))),A1794&lt;&gt;in_ClientOrg,NOT(AND(in_ExclHarvard="Y",ISNUMBER(SEARCH("Harvard",A1794))))),$AD1794="Y",K1794&lt;&gt;"",S1794&gt;0),"Y","")</f>
        <v/>
      </c>
      <c r="V1794" s="30" t="n">
        <v>0.5307092297342619</v>
      </c>
      <c r="W1794" t="inlineStr"/>
      <c r="X1794" s="28">
        <f>IF(L1794+M1794=0,"",L1794+M1794)</f>
        <v/>
      </c>
      <c r="Y1794" s="38">
        <f>IF(L1794=0,"",M1794/L1794)</f>
        <v/>
      </c>
      <c r="Z1794" t="inlineStr">
        <is>
          <t>Deputy CIO</t>
        </is>
      </c>
      <c r="AA1794" t="inlineStr">
        <is>
          <t>Leadership</t>
        </is>
      </c>
      <c r="AB1794" s="50" t="inlineStr"/>
      <c r="AC1794" s="43">
        <f>HYPERLINK("https://projects.propublica.org/nonprofits/organizations/430653611/202421359349312512/full","view filing")</f>
        <v/>
      </c>
      <c r="AD1794" s="50" t="inlineStr"/>
    </row>
    <row r="1795">
      <c r="A1795" t="inlineStr">
        <is>
          <t>Washington University</t>
        </is>
      </c>
      <c r="B1795" s="50" t="inlineStr">
        <is>
          <t>MO</t>
        </is>
      </c>
      <c r="C1795" s="52" t="n">
        <v>13.3</v>
      </c>
      <c r="D1795" t="inlineStr">
        <is>
          <t>Endowment</t>
        </is>
      </c>
      <c r="E1795" s="50" t="n">
        <v>2023</v>
      </c>
      <c r="F1795" s="50" t="inlineStr">
        <is>
          <t>2024-05-14</t>
        </is>
      </c>
      <c r="G1795" s="50" t="inlineStr">
        <is>
          <t>2023-06-30</t>
        </is>
      </c>
      <c r="H1795" t="inlineStr">
        <is>
          <t>Jennifer Voelker</t>
        </is>
      </c>
      <c r="I1795" t="inlineStr">
        <is>
          <t>COO - INVESTMENT MGMT</t>
        </is>
      </c>
      <c r="J1795" t="inlineStr">
        <is>
          <t>COO (Inv Entity)</t>
        </is>
      </c>
      <c r="K1795" t="inlineStr">
        <is>
          <t>COO (Investment Office)</t>
        </is>
      </c>
      <c r="L1795" s="28" t="n">
        <v>490574</v>
      </c>
      <c r="M1795" s="28" t="n">
        <v>1467452</v>
      </c>
      <c r="N1795" s="28" t="n">
        <v>21238</v>
      </c>
      <c r="O1795" s="28" t="n">
        <v>21350</v>
      </c>
      <c r="P1795" s="28" t="n">
        <v>13784</v>
      </c>
      <c r="Q1795" s="28" t="n">
        <v>2014398</v>
      </c>
      <c r="R1795" s="28" t="n">
        <v>0</v>
      </c>
      <c r="S1795" s="28">
        <f>Q1795-R1795</f>
        <v/>
      </c>
      <c r="T1795" s="28">
        <f>IF(S1795="","",S1795*(1+in_GrowthRate)^(YEARFRAC(DATE(2023,6,30),in_AgeToDate)*IF(in_AgeToDate&lt;DATE(2023,6,30),-1,1)+1))</f>
        <v/>
      </c>
      <c r="U1795" s="50">
        <f>IF(AND(AND(OR(in_Mode="All Funds",AND(C1795&gt;=in_BandFloor,C1795&lt;=in_BandCeiling,OR(in_Geography="National",COUNTIFS(lst_GeoPreset,in_Geography,lst_GeoState,B1795)&gt;0,AND(in_Geography="Custom",ISNUMBER(SEARCH(B1795,SUBSTITUTE(in_CustomStates," ",""))))),OR(AND(D1795="Endowment",Inputs!$B$14="Y"),AND(D1795="Foundation",Inputs!$B$15="Y"),AND(D1795="Healthcare",Inputs!$B$16="Y"),AND(D1795="Pension",Inputs!$B$17="Y"),AND(D1795="OCIO",Inputs!$B$18="Y"),AND(D1795="Other",Inputs!$B$19="Y")))),A1795&lt;&gt;in_ClientOrg,NOT(AND(in_ExclHarvard="Y",ISNUMBER(SEARCH("Harvard",A1795))))),$AD1795="Y",K1795&lt;&gt;"",S1795&gt;0),"Y","")</f>
        <v/>
      </c>
      <c r="V1795" s="30" t="n">
        <v>0.2822043792716307</v>
      </c>
      <c r="W1795" t="inlineStr"/>
      <c r="X1795" s="28">
        <f>IF(L1795+M1795=0,"",L1795+M1795)</f>
        <v/>
      </c>
      <c r="Y1795" s="38">
        <f>IF(L1795=0,"",M1795/L1795)</f>
        <v/>
      </c>
      <c r="Z1795" t="inlineStr">
        <is>
          <t>COO (Investment Office)</t>
        </is>
      </c>
      <c r="AA1795" t="inlineStr">
        <is>
          <t>Operations &amp; Control</t>
        </is>
      </c>
      <c r="AB1795" s="50" t="inlineStr"/>
      <c r="AC1795" s="43">
        <f>HYPERLINK("https://projects.propublica.org/nonprofits/organizations/430653611/202421359349312512/full","view filing")</f>
        <v/>
      </c>
      <c r="AD1795" s="50" t="inlineStr"/>
    </row>
    <row r="1796">
      <c r="A1796" t="inlineStr">
        <is>
          <t>Washington University</t>
        </is>
      </c>
      <c r="B1796" s="50" t="inlineStr">
        <is>
          <t>MO</t>
        </is>
      </c>
      <c r="C1796" s="52" t="n">
        <v>13.3</v>
      </c>
      <c r="D1796" t="inlineStr">
        <is>
          <t>Endowment</t>
        </is>
      </c>
      <c r="E1796" s="50" t="n">
        <v>2023</v>
      </c>
      <c r="F1796" s="50" t="inlineStr">
        <is>
          <t>2024-05-14</t>
        </is>
      </c>
      <c r="G1796" s="50" t="inlineStr">
        <is>
          <t>2023-06-30</t>
        </is>
      </c>
      <c r="H1796" t="inlineStr">
        <is>
          <t>Jessie Minton</t>
        </is>
      </c>
      <c r="I1796" t="inlineStr">
        <is>
          <t>VC &amp; CIO (ASOF 4/22)</t>
        </is>
      </c>
      <c r="J1796" t="inlineStr">
        <is>
          <t>CIO</t>
        </is>
      </c>
      <c r="K1796" t="inlineStr">
        <is>
          <t>Sr Investment Professional</t>
        </is>
      </c>
      <c r="L1796" s="28" t="n">
        <v>472197</v>
      </c>
      <c r="M1796" s="28" t="n">
        <v>100000</v>
      </c>
      <c r="N1796" s="28" t="n">
        <v>5244</v>
      </c>
      <c r="O1796" s="28" t="n">
        <v>0</v>
      </c>
      <c r="P1796" s="28" t="n">
        <v>13326</v>
      </c>
      <c r="Q1796" s="28" t="n">
        <v>590767</v>
      </c>
      <c r="R1796" s="28" t="n">
        <v>0</v>
      </c>
      <c r="S1796" s="28">
        <f>Q1796-R1796</f>
        <v/>
      </c>
      <c r="T1796" s="28">
        <f>IF(S1796="","",S1796*(1+in_GrowthRate)^(YEARFRAC(DATE(2023,6,30),in_AgeToDate)*IF(in_AgeToDate&lt;DATE(2023,6,30),-1,1)+1))</f>
        <v/>
      </c>
      <c r="U1796" s="50">
        <f>IF(AND(AND(OR(in_Mode="All Funds",AND(C1796&gt;=in_BandFloor,C1796&lt;=in_BandCeiling,OR(in_Geography="National",COUNTIFS(lst_GeoPreset,in_Geography,lst_GeoState,B1796)&gt;0,AND(in_Geography="Custom",ISNUMBER(SEARCH(B1796,SUBSTITUTE(in_CustomStates," ",""))))),OR(AND(D1796="Endowment",Inputs!$B$14="Y"),AND(D1796="Foundation",Inputs!$B$15="Y"),AND(D1796="Healthcare",Inputs!$B$16="Y"),AND(D1796="Pension",Inputs!$B$17="Y"),AND(D1796="OCIO",Inputs!$B$18="Y"),AND(D1796="Other",Inputs!$B$19="Y")))),A1796&lt;&gt;in_ClientOrg,NOT(AND(in_ExclHarvard="Y",ISNUMBER(SEARCH("Harvard",A1796))))),$AD1796="Y",K1796&lt;&gt;"",S1796&gt;0),"Y","")</f>
        <v/>
      </c>
      <c r="V1796" s="30" t="n">
        <v>0.08276270852590374</v>
      </c>
      <c r="W1796" t="inlineStr"/>
      <c r="X1796" s="28">
        <f>IF(L1796+M1796=0,"",L1796+M1796)</f>
        <v/>
      </c>
      <c r="Y1796" s="38">
        <f>IF(L1796=0,"",M1796/L1796)</f>
        <v/>
      </c>
      <c r="Z1796" t="inlineStr">
        <is>
          <t>Deputy CIO</t>
        </is>
      </c>
      <c r="AA1796" t="inlineStr">
        <is>
          <t>Leadership</t>
        </is>
      </c>
      <c r="AB1796" s="50" t="inlineStr"/>
      <c r="AC1796" s="43">
        <f>HYPERLINK("https://projects.propublica.org/nonprofits/organizations/430653611/202421359349312512/full","view filing")</f>
        <v/>
      </c>
      <c r="AD1796" s="50" t="inlineStr"/>
    </row>
    <row r="1797">
      <c r="A1797" t="inlineStr">
        <is>
          <t>Washington University</t>
        </is>
      </c>
      <c r="B1797" s="50" t="inlineStr">
        <is>
          <t>MO</t>
        </is>
      </c>
      <c r="C1797" s="52" t="n">
        <v>13.3</v>
      </c>
      <c r="D1797" t="inlineStr">
        <is>
          <t>Endowment</t>
        </is>
      </c>
      <c r="E1797" s="50" t="n">
        <v>2023</v>
      </c>
      <c r="F1797" s="50" t="inlineStr">
        <is>
          <t>2024-05-14</t>
        </is>
      </c>
      <c r="G1797" s="50" t="inlineStr">
        <is>
          <t>2023-06-30</t>
        </is>
      </c>
      <c r="H1797" t="inlineStr">
        <is>
          <t>Michael Dore</t>
        </is>
      </c>
      <c r="I1797" t="inlineStr">
        <is>
          <t>MANAGING DIR. OF INVESTMENTS</t>
        </is>
      </c>
      <c r="J1797" t="inlineStr">
        <is>
          <t>Managing Director</t>
        </is>
      </c>
      <c r="K1797" t="inlineStr">
        <is>
          <t>Sr Investment Professional</t>
        </is>
      </c>
      <c r="L1797" s="28" t="n">
        <v>432069</v>
      </c>
      <c r="M1797" s="28" t="n">
        <v>1406066</v>
      </c>
      <c r="N1797" s="28" t="n">
        <v>21175</v>
      </c>
      <c r="O1797" s="28" t="n">
        <v>23750</v>
      </c>
      <c r="P1797" s="28" t="n">
        <v>25859</v>
      </c>
      <c r="Q1797" s="28" t="n">
        <v>1908919</v>
      </c>
      <c r="R1797" s="28" t="n">
        <v>0</v>
      </c>
      <c r="S1797" s="28">
        <f>Q1797-R1797</f>
        <v/>
      </c>
      <c r="T1797" s="28">
        <f>IF(S1797="","",S1797*(1+in_GrowthRate)^(YEARFRAC(DATE(2023,6,30),in_AgeToDate)*IF(in_AgeToDate&lt;DATE(2023,6,30),-1,1)+1))</f>
        <v/>
      </c>
      <c r="U1797" s="50">
        <f>IF(AND(AND(OR(in_Mode="All Funds",AND(C1797&gt;=in_BandFloor,C1797&lt;=in_BandCeiling,OR(in_Geography="National",COUNTIFS(lst_GeoPreset,in_Geography,lst_GeoState,B1797)&gt;0,AND(in_Geography="Custom",ISNUMBER(SEARCH(B1797,SUBSTITUTE(in_CustomStates," ",""))))),OR(AND(D1797="Endowment",Inputs!$B$14="Y"),AND(D1797="Foundation",Inputs!$B$15="Y"),AND(D1797="Healthcare",Inputs!$B$16="Y"),AND(D1797="Pension",Inputs!$B$17="Y"),AND(D1797="OCIO",Inputs!$B$18="Y"),AND(D1797="Other",Inputs!$B$19="Y")))),A1797&lt;&gt;in_ClientOrg,NOT(AND(in_ExclHarvard="Y",ISNUMBER(SEARCH("Harvard",A1797))))),$AD1797="Y",K1797&lt;&gt;"",S1797&gt;0),"Y","")</f>
        <v/>
      </c>
      <c r="V1797" s="30" t="n">
        <v>0.2674274405925849</v>
      </c>
      <c r="W1797" t="inlineStr"/>
      <c r="X1797" s="28">
        <f>IF(L1797+M1797=0,"",L1797+M1797)</f>
        <v/>
      </c>
      <c r="Y1797" s="38">
        <f>IF(L1797=0,"",M1797/L1797)</f>
        <v/>
      </c>
      <c r="Z1797" t="inlineStr">
        <is>
          <t>Managing Director</t>
        </is>
      </c>
      <c r="AA1797" t="inlineStr">
        <is>
          <t>Investments</t>
        </is>
      </c>
      <c r="AB1797" s="50" t="inlineStr"/>
      <c r="AC1797" s="43">
        <f>HYPERLINK("https://projects.propublica.org/nonprofits/organizations/430653611/202421359349312512/full","view filing")</f>
        <v/>
      </c>
      <c r="AD1797" s="50" t="inlineStr"/>
    </row>
    <row r="1798">
      <c r="A1798" t="inlineStr">
        <is>
          <t>Washington University</t>
        </is>
      </c>
      <c r="B1798" s="50" t="inlineStr">
        <is>
          <t>MO</t>
        </is>
      </c>
      <c r="C1798" s="52" t="n">
        <v>13.3</v>
      </c>
      <c r="D1798" t="inlineStr">
        <is>
          <t>Endowment</t>
        </is>
      </c>
      <c r="E1798" s="50" t="n">
        <v>2023</v>
      </c>
      <c r="F1798" s="50" t="inlineStr">
        <is>
          <t>2024-05-14</t>
        </is>
      </c>
      <c r="G1798" s="50" t="inlineStr">
        <is>
          <t>2023-06-30</t>
        </is>
      </c>
      <c r="H1798" t="inlineStr">
        <is>
          <t>Scott Wilson</t>
        </is>
      </c>
      <c r="I1798" t="inlineStr">
        <is>
          <t>CHIEF INVESTMENT OFFICER</t>
        </is>
      </c>
      <c r="J1798" t="inlineStr">
        <is>
          <t>CIO</t>
        </is>
      </c>
      <c r="K1798" t="inlineStr">
        <is>
          <t>CIO - Top Investment Executive</t>
        </is>
      </c>
      <c r="L1798" s="28" t="n">
        <v>992123</v>
      </c>
      <c r="M1798" s="28" t="n">
        <v>6065399</v>
      </c>
      <c r="N1798" s="28" t="n">
        <v>22433</v>
      </c>
      <c r="O1798" s="28" t="n">
        <v>21350</v>
      </c>
      <c r="P1798" s="28" t="n">
        <v>36777</v>
      </c>
      <c r="Q1798" s="28" t="n">
        <v>7138082</v>
      </c>
      <c r="R1798" s="28" t="n">
        <v>0</v>
      </c>
      <c r="S1798" s="28">
        <f>Q1798-R1798</f>
        <v/>
      </c>
      <c r="T1798" s="28">
        <f>IF(S1798="","",S1798*(1+in_GrowthRate)^(YEARFRAC(DATE(2023,6,30),in_AgeToDate)*IF(in_AgeToDate&lt;DATE(2023,6,30),-1,1)+1))</f>
        <v/>
      </c>
      <c r="U1798" s="50">
        <f>IF(AND(AND(OR(in_Mode="All Funds",AND(C1798&gt;=in_BandFloor,C1798&lt;=in_BandCeiling,OR(in_Geography="National",COUNTIFS(lst_GeoPreset,in_Geography,lst_GeoState,B1798)&gt;0,AND(in_Geography="Custom",ISNUMBER(SEARCH(B1798,SUBSTITUTE(in_CustomStates," ",""))))),OR(AND(D1798="Endowment",Inputs!$B$14="Y"),AND(D1798="Foundation",Inputs!$B$15="Y"),AND(D1798="Healthcare",Inputs!$B$16="Y"),AND(D1798="Pension",Inputs!$B$17="Y"),AND(D1798="OCIO",Inputs!$B$18="Y"),AND(D1798="Other",Inputs!$B$19="Y")))),A1798&lt;&gt;in_ClientOrg,NOT(AND(in_ExclHarvard="Y",ISNUMBER(SEARCH("Harvard",A1798))))),$AD1798="Y",K1798&lt;&gt;"",S1798&gt;0),"Y","")</f>
        <v/>
      </c>
      <c r="V1798" s="30" t="n">
        <v>1</v>
      </c>
      <c r="W1798" t="inlineStr"/>
      <c r="X1798" s="28">
        <f>IF(L1798+M1798=0,"",L1798+M1798)</f>
        <v/>
      </c>
      <c r="Y1798" s="38">
        <f>IF(L1798=0,"",M1798/L1798)</f>
        <v/>
      </c>
      <c r="Z1798" t="inlineStr">
        <is>
          <t>CIO - Top Investment Executive</t>
        </is>
      </c>
      <c r="AA1798" t="inlineStr">
        <is>
          <t>Leadership</t>
        </is>
      </c>
      <c r="AB1798" s="50" t="inlineStr">
        <is>
          <t>Y</t>
        </is>
      </c>
      <c r="AC1798" s="43">
        <f>HYPERLINK("https://projects.propublica.org/nonprofits/organizations/430653611/202421359349312512/full","view filing")</f>
        <v/>
      </c>
      <c r="AD1798" s="50" t="inlineStr"/>
    </row>
    <row r="1799">
      <c r="A1799" t="inlineStr">
        <is>
          <t>Washington University</t>
        </is>
      </c>
      <c r="B1799" s="50" t="inlineStr">
        <is>
          <t>MO</t>
        </is>
      </c>
      <c r="C1799" s="52" t="n">
        <v>13.3</v>
      </c>
      <c r="D1799" t="inlineStr">
        <is>
          <t>Endowment</t>
        </is>
      </c>
      <c r="E1799" s="50" t="n">
        <v>2022</v>
      </c>
      <c r="F1799" s="50" t="inlineStr">
        <is>
          <t>2023-05-15</t>
        </is>
      </c>
      <c r="G1799" s="50" t="inlineStr">
        <is>
          <t>2022-06-30</t>
        </is>
      </c>
      <c r="H1799" t="inlineStr">
        <is>
          <t>Adam Kurkiewicz</t>
        </is>
      </c>
      <c r="I1799" t="inlineStr">
        <is>
          <t>MANAGING DIR. OF INVESTMENTS</t>
        </is>
      </c>
      <c r="J1799" t="inlineStr">
        <is>
          <t>Managing Director</t>
        </is>
      </c>
      <c r="K1799" t="inlineStr">
        <is>
          <t>Sr Investment Professional</t>
        </is>
      </c>
      <c r="L1799" s="28" t="n">
        <v>396989</v>
      </c>
      <c r="M1799" s="28" t="n">
        <v>1247709</v>
      </c>
      <c r="N1799" s="28" t="n">
        <v>19905</v>
      </c>
      <c r="O1799" s="28" t="n">
        <v>20300</v>
      </c>
      <c r="P1799" s="28" t="n">
        <v>25469</v>
      </c>
      <c r="Q1799" s="28" t="n">
        <v>1710372</v>
      </c>
      <c r="R1799" s="28" t="n">
        <v>0</v>
      </c>
      <c r="S1799" s="28">
        <f>Q1799-R1799</f>
        <v/>
      </c>
      <c r="T1799" s="28">
        <f>IF(S1799="","",S1799*(1+in_GrowthRate)^(YEARFRAC(DATE(2022,6,30),in_AgeToDate)*IF(in_AgeToDate&lt;DATE(2022,6,30),-1,1)+1))</f>
        <v/>
      </c>
      <c r="U1799" s="50">
        <f>IF(AND(AND(OR(in_Mode="All Funds",AND(C1799&gt;=in_BandFloor,C1799&lt;=in_BandCeiling,OR(in_Geography="National",COUNTIFS(lst_GeoPreset,in_Geography,lst_GeoState,B1799)&gt;0,AND(in_Geography="Custom",ISNUMBER(SEARCH(B1799,SUBSTITUTE(in_CustomStates," ",""))))),OR(AND(D1799="Endowment",Inputs!$B$14="Y"),AND(D1799="Foundation",Inputs!$B$15="Y"),AND(D1799="Healthcare",Inputs!$B$16="Y"),AND(D1799="Pension",Inputs!$B$17="Y"),AND(D1799="OCIO",Inputs!$B$18="Y"),AND(D1799="Other",Inputs!$B$19="Y")))),A1799&lt;&gt;in_ClientOrg,NOT(AND(in_ExclHarvard="Y",ISNUMBER(SEARCH("Harvard",A1799))))),$AD1799="Y",K1799&lt;&gt;"",S1799&gt;0),"Y","")</f>
        <v/>
      </c>
      <c r="V1799" s="30" t="n">
        <v>0.2624276984818407</v>
      </c>
      <c r="W1799" t="inlineStr"/>
      <c r="X1799" s="28">
        <f>IF(L1799+M1799=0,"",L1799+M1799)</f>
        <v/>
      </c>
      <c r="Y1799" s="38">
        <f>IF(L1799=0,"",M1799/L1799)</f>
        <v/>
      </c>
      <c r="Z1799" t="inlineStr">
        <is>
          <t>Managing Director</t>
        </is>
      </c>
      <c r="AA1799" t="inlineStr">
        <is>
          <t>Investments</t>
        </is>
      </c>
      <c r="AB1799" s="50" t="inlineStr"/>
      <c r="AC1799" s="43">
        <f>HYPERLINK("https://projects.propublica.org/nonprofits/organizations/430653611/202321359349319812/full","view filing")</f>
        <v/>
      </c>
      <c r="AD1799" s="50" t="inlineStr"/>
    </row>
    <row r="1800">
      <c r="A1800" t="inlineStr">
        <is>
          <t>Washington University</t>
        </is>
      </c>
      <c r="B1800" s="50" t="inlineStr">
        <is>
          <t>MO</t>
        </is>
      </c>
      <c r="C1800" s="52" t="n">
        <v>13.3</v>
      </c>
      <c r="D1800" t="inlineStr">
        <is>
          <t>Endowment</t>
        </is>
      </c>
      <c r="E1800" s="50" t="n">
        <v>2022</v>
      </c>
      <c r="F1800" s="50" t="inlineStr">
        <is>
          <t>2023-05-15</t>
        </is>
      </c>
      <c r="G1800" s="50" t="inlineStr">
        <is>
          <t>2022-06-30</t>
        </is>
      </c>
      <c r="H1800" t="inlineStr">
        <is>
          <t>Andrew Choquette</t>
        </is>
      </c>
      <c r="I1800" t="inlineStr">
        <is>
          <t>DEP CHIEF INVESTMENT OFFICER</t>
        </is>
      </c>
      <c r="J1800" t="inlineStr">
        <is>
          <t>Deputy CIO</t>
        </is>
      </c>
      <c r="K1800" t="inlineStr">
        <is>
          <t>Sr Investment Professional</t>
        </is>
      </c>
      <c r="L1800" s="28" t="n">
        <v>643617</v>
      </c>
      <c r="M1800" s="28" t="n">
        <v>2883941</v>
      </c>
      <c r="N1800" s="28" t="n">
        <v>20250</v>
      </c>
      <c r="O1800" s="28" t="n">
        <v>20300</v>
      </c>
      <c r="P1800" s="28" t="n">
        <v>46636</v>
      </c>
      <c r="Q1800" s="28" t="n">
        <v>3614744</v>
      </c>
      <c r="R1800" s="28" t="n">
        <v>0</v>
      </c>
      <c r="S1800" s="28">
        <f>Q1800-R1800</f>
        <v/>
      </c>
      <c r="T1800" s="28">
        <f>IF(S1800="","",S1800*(1+in_GrowthRate)^(YEARFRAC(DATE(2022,6,30),in_AgeToDate)*IF(in_AgeToDate&lt;DATE(2022,6,30),-1,1)+1))</f>
        <v/>
      </c>
      <c r="U1800" s="50">
        <f>IF(AND(AND(OR(in_Mode="All Funds",AND(C1800&gt;=in_BandFloor,C1800&lt;=in_BandCeiling,OR(in_Geography="National",COUNTIFS(lst_GeoPreset,in_Geography,lst_GeoState,B1800)&gt;0,AND(in_Geography="Custom",ISNUMBER(SEARCH(B1800,SUBSTITUTE(in_CustomStates," ",""))))),OR(AND(D1800="Endowment",Inputs!$B$14="Y"),AND(D1800="Foundation",Inputs!$B$15="Y"),AND(D1800="Healthcare",Inputs!$B$16="Y"),AND(D1800="Pension",Inputs!$B$17="Y"),AND(D1800="OCIO",Inputs!$B$18="Y"),AND(D1800="Other",Inputs!$B$19="Y")))),A1800&lt;&gt;in_ClientOrg,NOT(AND(in_ExclHarvard="Y",ISNUMBER(SEARCH("Harvard",A1800))))),$AD1800="Y",K1800&lt;&gt;"",S1800&gt;0),"Y","")</f>
        <v/>
      </c>
      <c r="V1800" s="30" t="n">
        <v>0.5546214206740071</v>
      </c>
      <c r="W1800" t="inlineStr"/>
      <c r="X1800" s="28">
        <f>IF(L1800+M1800=0,"",L1800+M1800)</f>
        <v/>
      </c>
      <c r="Y1800" s="38">
        <f>IF(L1800=0,"",M1800/L1800)</f>
        <v/>
      </c>
      <c r="Z1800" t="inlineStr">
        <is>
          <t>Deputy CIO</t>
        </is>
      </c>
      <c r="AA1800" t="inlineStr">
        <is>
          <t>Leadership</t>
        </is>
      </c>
      <c r="AB1800" s="50" t="inlineStr"/>
      <c r="AC1800" s="43">
        <f>HYPERLINK("https://projects.propublica.org/nonprofits/organizations/430653611/202321359349319812/full","view filing")</f>
        <v/>
      </c>
      <c r="AD1800" s="50" t="inlineStr"/>
    </row>
    <row r="1801">
      <c r="A1801" t="inlineStr">
        <is>
          <t>Washington University</t>
        </is>
      </c>
      <c r="B1801" s="50" t="inlineStr">
        <is>
          <t>MO</t>
        </is>
      </c>
      <c r="C1801" s="52" t="n">
        <v>13.3</v>
      </c>
      <c r="D1801" t="inlineStr">
        <is>
          <t>Endowment</t>
        </is>
      </c>
      <c r="E1801" s="50" t="n">
        <v>2022</v>
      </c>
      <c r="F1801" s="50" t="inlineStr">
        <is>
          <t>2023-05-15</t>
        </is>
      </c>
      <c r="G1801" s="50" t="inlineStr">
        <is>
          <t>2022-06-30</t>
        </is>
      </c>
      <c r="H1801" t="inlineStr">
        <is>
          <t>Michael Stohler</t>
        </is>
      </c>
      <c r="I1801" t="inlineStr">
        <is>
          <t>MANAGING DIR. OF INVESTMENTS</t>
        </is>
      </c>
      <c r="J1801" t="inlineStr">
        <is>
          <t>Managing Director</t>
        </is>
      </c>
      <c r="K1801" t="inlineStr">
        <is>
          <t>Sr Investment Professional</t>
        </is>
      </c>
      <c r="L1801" s="28" t="n">
        <v>354382</v>
      </c>
      <c r="M1801" s="28" t="n">
        <v>1583444</v>
      </c>
      <c r="N1801" s="28" t="n">
        <v>563</v>
      </c>
      <c r="O1801" s="28" t="n">
        <v>20300</v>
      </c>
      <c r="P1801" s="28" t="n">
        <v>26435</v>
      </c>
      <c r="Q1801" s="28" t="n">
        <v>1985124</v>
      </c>
      <c r="R1801" s="28" t="n">
        <v>0</v>
      </c>
      <c r="S1801" s="28">
        <f>Q1801-R1801</f>
        <v/>
      </c>
      <c r="T1801" s="28">
        <f>IF(S1801="","",S1801*(1+in_GrowthRate)^(YEARFRAC(DATE(2022,6,30),in_AgeToDate)*IF(in_AgeToDate&lt;DATE(2022,6,30),-1,1)+1))</f>
        <v/>
      </c>
      <c r="U1801" s="50">
        <f>IF(AND(AND(OR(in_Mode="All Funds",AND(C1801&gt;=in_BandFloor,C1801&lt;=in_BandCeiling,OR(in_Geography="National",COUNTIFS(lst_GeoPreset,in_Geography,lst_GeoState,B1801)&gt;0,AND(in_Geography="Custom",ISNUMBER(SEARCH(B1801,SUBSTITUTE(in_CustomStates," ",""))))),OR(AND(D1801="Endowment",Inputs!$B$14="Y"),AND(D1801="Foundation",Inputs!$B$15="Y"),AND(D1801="Healthcare",Inputs!$B$16="Y"),AND(D1801="Pension",Inputs!$B$17="Y"),AND(D1801="OCIO",Inputs!$B$18="Y"),AND(D1801="Other",Inputs!$B$19="Y")))),A1801&lt;&gt;in_ClientOrg,NOT(AND(in_ExclHarvard="Y",ISNUMBER(SEARCH("Harvard",A1801))))),$AD1801="Y",K1801&lt;&gt;"",S1801&gt;0),"Y","")</f>
        <v/>
      </c>
      <c r="V1801" s="30" t="n">
        <v>0.3045837528450335</v>
      </c>
      <c r="W1801" t="inlineStr"/>
      <c r="X1801" s="28">
        <f>IF(L1801+M1801=0,"",L1801+M1801)</f>
        <v/>
      </c>
      <c r="Y1801" s="38">
        <f>IF(L1801=0,"",M1801/L1801)</f>
        <v/>
      </c>
      <c r="Z1801" t="inlineStr">
        <is>
          <t>Managing Director</t>
        </is>
      </c>
      <c r="AA1801" t="inlineStr">
        <is>
          <t>Investments</t>
        </is>
      </c>
      <c r="AB1801" s="50" t="inlineStr"/>
      <c r="AC1801" s="43">
        <f>HYPERLINK("https://projects.propublica.org/nonprofits/organizations/430653611/202321359349319812/full","view filing")</f>
        <v/>
      </c>
      <c r="AD1801" s="50" t="inlineStr"/>
    </row>
    <row r="1802">
      <c r="A1802" t="inlineStr">
        <is>
          <t>Washington University</t>
        </is>
      </c>
      <c r="B1802" s="50" t="inlineStr">
        <is>
          <t>MO</t>
        </is>
      </c>
      <c r="C1802" s="52" t="n">
        <v>13.3</v>
      </c>
      <c r="D1802" t="inlineStr">
        <is>
          <t>Endowment</t>
        </is>
      </c>
      <c r="E1802" s="50" t="n">
        <v>2022</v>
      </c>
      <c r="F1802" s="50" t="inlineStr">
        <is>
          <t>2023-05-15</t>
        </is>
      </c>
      <c r="G1802" s="50" t="inlineStr">
        <is>
          <t>2022-06-30</t>
        </is>
      </c>
      <c r="H1802" t="inlineStr">
        <is>
          <t>Scott Wilson</t>
        </is>
      </c>
      <c r="I1802" t="inlineStr">
        <is>
          <t>CHIEF INVESTMENT OFFICER</t>
        </is>
      </c>
      <c r="J1802" t="inlineStr">
        <is>
          <t>CIO</t>
        </is>
      </c>
      <c r="K1802" t="inlineStr">
        <is>
          <t>CIO - Top Investment Executive</t>
        </is>
      </c>
      <c r="L1802" s="28" t="n">
        <v>884975</v>
      </c>
      <c r="M1802" s="28" t="n">
        <v>5495804</v>
      </c>
      <c r="N1802" s="28" t="n">
        <v>21166</v>
      </c>
      <c r="O1802" s="28" t="n">
        <v>80300</v>
      </c>
      <c r="P1802" s="28" t="n">
        <v>35253</v>
      </c>
      <c r="Q1802" s="28" t="n">
        <v>6517498</v>
      </c>
      <c r="R1802" s="28" t="n">
        <v>0</v>
      </c>
      <c r="S1802" s="28">
        <f>Q1802-R1802</f>
        <v/>
      </c>
      <c r="T1802" s="28">
        <f>IF(S1802="","",S1802*(1+in_GrowthRate)^(YEARFRAC(DATE(2022,6,30),in_AgeToDate)*IF(in_AgeToDate&lt;DATE(2022,6,30),-1,1)+1))</f>
        <v/>
      </c>
      <c r="U1802" s="50">
        <f>IF(AND(AND(OR(in_Mode="All Funds",AND(C1802&gt;=in_BandFloor,C1802&lt;=in_BandCeiling,OR(in_Geography="National",COUNTIFS(lst_GeoPreset,in_Geography,lst_GeoState,B1802)&gt;0,AND(in_Geography="Custom",ISNUMBER(SEARCH(B1802,SUBSTITUTE(in_CustomStates," ",""))))),OR(AND(D1802="Endowment",Inputs!$B$14="Y"),AND(D1802="Foundation",Inputs!$B$15="Y"),AND(D1802="Healthcare",Inputs!$B$16="Y"),AND(D1802="Pension",Inputs!$B$17="Y"),AND(D1802="OCIO",Inputs!$B$18="Y"),AND(D1802="Other",Inputs!$B$19="Y")))),A1802&lt;&gt;in_ClientOrg,NOT(AND(in_ExclHarvard="Y",ISNUMBER(SEARCH("Harvard",A1802))))),$AD1802="Y",K1802&lt;&gt;"",S1802&gt;0),"Y","")</f>
        <v/>
      </c>
      <c r="V1802" s="30" t="n">
        <v>1</v>
      </c>
      <c r="W1802" t="inlineStr"/>
      <c r="X1802" s="28">
        <f>IF(L1802+M1802=0,"",L1802+M1802)</f>
        <v/>
      </c>
      <c r="Y1802" s="38">
        <f>IF(L1802=0,"",M1802/L1802)</f>
        <v/>
      </c>
      <c r="Z1802" t="inlineStr">
        <is>
          <t>CIO - Top Investment Executive</t>
        </is>
      </c>
      <c r="AA1802" t="inlineStr">
        <is>
          <t>Leadership</t>
        </is>
      </c>
      <c r="AB1802" s="50" t="inlineStr">
        <is>
          <t>Y</t>
        </is>
      </c>
      <c r="AC1802" s="43">
        <f>HYPERLINK("https://projects.propublica.org/nonprofits/organizations/430653611/202321359349319812/full","view filing")</f>
        <v/>
      </c>
      <c r="AD1802" s="50" t="inlineStr"/>
    </row>
    <row r="1803">
      <c r="A1803" t="inlineStr">
        <is>
          <t>Washington University</t>
        </is>
      </c>
      <c r="B1803" s="50" t="inlineStr">
        <is>
          <t>MO</t>
        </is>
      </c>
      <c r="C1803" s="52" t="n">
        <v>13.3</v>
      </c>
      <c r="D1803" t="inlineStr">
        <is>
          <t>Endowment</t>
        </is>
      </c>
      <c r="E1803" s="50" t="n">
        <v>2022</v>
      </c>
      <c r="F1803" s="50" t="inlineStr">
        <is>
          <t>2023-05-15</t>
        </is>
      </c>
      <c r="G1803" s="50" t="inlineStr">
        <is>
          <t>2022-06-30</t>
        </is>
      </c>
      <c r="H1803" t="inlineStr">
        <is>
          <t>Sean Arp</t>
        </is>
      </c>
      <c r="I1803" t="inlineStr">
        <is>
          <t>COO - INVESTMENT MGMT</t>
        </is>
      </c>
      <c r="J1803" t="inlineStr">
        <is>
          <t>COO (Inv Entity)</t>
        </is>
      </c>
      <c r="K1803" t="inlineStr">
        <is>
          <t>COO (Investment Office)</t>
        </is>
      </c>
      <c r="L1803" s="28" t="n">
        <v>519951</v>
      </c>
      <c r="M1803" s="28" t="n">
        <v>1280280</v>
      </c>
      <c r="N1803" s="28" t="n">
        <v>17330</v>
      </c>
      <c r="O1803" s="28" t="n">
        <v>20300</v>
      </c>
      <c r="P1803" s="28" t="n">
        <v>29987</v>
      </c>
      <c r="Q1803" s="28" t="n">
        <v>1867848</v>
      </c>
      <c r="R1803" s="28" t="n">
        <v>0</v>
      </c>
      <c r="S1803" s="28">
        <f>Q1803-R1803</f>
        <v/>
      </c>
      <c r="T1803" s="28">
        <f>IF(S1803="","",S1803*(1+in_GrowthRate)^(YEARFRAC(DATE(2022,6,30),in_AgeToDate)*IF(in_AgeToDate&lt;DATE(2022,6,30),-1,1)+1))</f>
        <v/>
      </c>
      <c r="U1803" s="50">
        <f>IF(AND(AND(OR(in_Mode="All Funds",AND(C1803&gt;=in_BandFloor,C1803&lt;=in_BandCeiling,OR(in_Geography="National",COUNTIFS(lst_GeoPreset,in_Geography,lst_GeoState,B1803)&gt;0,AND(in_Geography="Custom",ISNUMBER(SEARCH(B1803,SUBSTITUTE(in_CustomStates," ",""))))),OR(AND(D1803="Endowment",Inputs!$B$14="Y"),AND(D1803="Foundation",Inputs!$B$15="Y"),AND(D1803="Healthcare",Inputs!$B$16="Y"),AND(D1803="Pension",Inputs!$B$17="Y"),AND(D1803="OCIO",Inputs!$B$18="Y"),AND(D1803="Other",Inputs!$B$19="Y")))),A1803&lt;&gt;in_ClientOrg,NOT(AND(in_ExclHarvard="Y",ISNUMBER(SEARCH("Harvard",A1803))))),$AD1803="Y",K1803&lt;&gt;"",S1803&gt;0),"Y","")</f>
        <v/>
      </c>
      <c r="V1803" s="30" t="n">
        <v>0.2865897312128059</v>
      </c>
      <c r="W1803" t="inlineStr"/>
      <c r="X1803" s="28">
        <f>IF(L1803+M1803=0,"",L1803+M1803)</f>
        <v/>
      </c>
      <c r="Y1803" s="38">
        <f>IF(L1803=0,"",M1803/L1803)</f>
        <v/>
      </c>
      <c r="Z1803" t="inlineStr">
        <is>
          <t>COO (Investment Office)</t>
        </is>
      </c>
      <c r="AA1803" t="inlineStr">
        <is>
          <t>Operations &amp; Control</t>
        </is>
      </c>
      <c r="AB1803" s="50" t="inlineStr"/>
      <c r="AC1803" s="43">
        <f>HYPERLINK("https://projects.propublica.org/nonprofits/organizations/430653611/202321359349319812/full","view filing")</f>
        <v/>
      </c>
      <c r="AD1803" s="50" t="inlineStr"/>
    </row>
    <row r="1804">
      <c r="A1804" t="inlineStr">
        <is>
          <t>Wellesley College</t>
        </is>
      </c>
      <c r="B1804" s="50" t="inlineStr">
        <is>
          <t>MA</t>
        </is>
      </c>
      <c r="C1804" s="52" t="n">
        <v>3.19</v>
      </c>
      <c r="D1804" t="inlineStr">
        <is>
          <t>Endowment</t>
        </is>
      </c>
      <c r="E1804" s="50" t="n">
        <v>2025</v>
      </c>
      <c r="F1804" s="50" t="inlineStr">
        <is>
          <t>2026-05-15</t>
        </is>
      </c>
      <c r="G1804" s="50" t="inlineStr">
        <is>
          <t>2025-06-30</t>
        </is>
      </c>
      <c r="H1804" t="inlineStr">
        <is>
          <t>Christopher Parker</t>
        </is>
      </c>
      <c r="I1804" t="inlineStr">
        <is>
          <t>Investment Director</t>
        </is>
      </c>
      <c r="J1804" t="inlineStr">
        <is>
          <t>Director of Investments</t>
        </is>
      </c>
      <c r="K1804" t="inlineStr">
        <is>
          <t>Sr Investment Professional</t>
        </is>
      </c>
      <c r="L1804" s="28" t="n">
        <v>306441</v>
      </c>
      <c r="M1804" s="28" t="n">
        <v>97500</v>
      </c>
      <c r="N1804" s="28" t="n">
        <v>324</v>
      </c>
      <c r="O1804" s="28" t="n">
        <v>61928</v>
      </c>
      <c r="P1804" s="28" t="n">
        <v>31562</v>
      </c>
      <c r="Q1804" s="28" t="n">
        <v>497755</v>
      </c>
      <c r="R1804" s="28" t="n">
        <v>0</v>
      </c>
      <c r="S1804" s="28">
        <f>Q1804-R1804</f>
        <v/>
      </c>
      <c r="T1804" s="28">
        <f>IF(S1804="","",S1804*(1+in_GrowthRate)^(YEARFRAC(DATE(2025,6,30),in_AgeToDate)*IF(in_AgeToDate&lt;DATE(2025,6,30),-1,1)+1))</f>
        <v/>
      </c>
      <c r="U1804" s="50">
        <f>IF(AND(AND(OR(in_Mode="All Funds",AND(C1804&gt;=in_BandFloor,C1804&lt;=in_BandCeiling,OR(in_Geography="National",COUNTIFS(lst_GeoPreset,in_Geography,lst_GeoState,B1804)&gt;0,AND(in_Geography="Custom",ISNUMBER(SEARCH(B1804,SUBSTITUTE(in_CustomStates," ",""))))),OR(AND(D1804="Endowment",Inputs!$B$14="Y"),AND(D1804="Foundation",Inputs!$B$15="Y"),AND(D1804="Healthcare",Inputs!$B$16="Y"),AND(D1804="Pension",Inputs!$B$17="Y"),AND(D1804="OCIO",Inputs!$B$18="Y"),AND(D1804="Other",Inputs!$B$19="Y")))),A1804&lt;&gt;in_ClientOrg,NOT(AND(in_ExclHarvard="Y",ISNUMBER(SEARCH("Harvard",A1804))))),$AD1804="Y",K1804&lt;&gt;"",S1804&gt;0),"Y","")</f>
        <v/>
      </c>
      <c r="V1804" s="30" t="n">
        <v>0.2670592975673302</v>
      </c>
      <c r="W1804" t="inlineStr"/>
      <c r="X1804" s="28">
        <f>IF(L1804+M1804=0,"",L1804+M1804)</f>
        <v/>
      </c>
      <c r="Y1804" s="38">
        <f>IF(L1804=0,"",M1804/L1804)</f>
        <v/>
      </c>
      <c r="Z1804" t="inlineStr">
        <is>
          <t>Director &amp; Investment Officer</t>
        </is>
      </c>
      <c r="AA1804" t="inlineStr">
        <is>
          <t>Investments</t>
        </is>
      </c>
      <c r="AB1804" s="50" t="inlineStr"/>
      <c r="AC1804" s="43">
        <f>HYPERLINK("https://projects.propublica.org/nonprofits/organizations/42103637/202601359349304805/full","view filing")</f>
        <v/>
      </c>
      <c r="AD1804" s="50" t="inlineStr">
        <is>
          <t>Y</t>
        </is>
      </c>
    </row>
    <row r="1805">
      <c r="A1805" t="inlineStr">
        <is>
          <t>Wellesley College</t>
        </is>
      </c>
      <c r="B1805" s="50" t="inlineStr">
        <is>
          <t>MA</t>
        </is>
      </c>
      <c r="C1805" s="52" t="n">
        <v>3.19</v>
      </c>
      <c r="D1805" t="inlineStr">
        <is>
          <t>Endowment</t>
        </is>
      </c>
      <c r="E1805" s="50" t="n">
        <v>2025</v>
      </c>
      <c r="F1805" s="50" t="inlineStr">
        <is>
          <t>2026-05-15</t>
        </is>
      </c>
      <c r="G1805" s="50" t="inlineStr">
        <is>
          <t>2025-06-30</t>
        </is>
      </c>
      <c r="H1805" t="inlineStr">
        <is>
          <t>Deborah F Kuenstner</t>
        </is>
      </c>
      <c r="I1805" t="inlineStr">
        <is>
          <t>Chief Investment Officer</t>
        </is>
      </c>
      <c r="J1805" t="inlineStr">
        <is>
          <t>CIO</t>
        </is>
      </c>
      <c r="K1805" t="inlineStr">
        <is>
          <t>CIO - Top Investment Executive</t>
        </is>
      </c>
      <c r="L1805" s="28" t="n">
        <v>740399</v>
      </c>
      <c r="M1805" s="28" t="n">
        <v>1050815</v>
      </c>
      <c r="N1805" s="28" t="n">
        <v>6096</v>
      </c>
      <c r="O1805" s="28" t="n">
        <v>36225</v>
      </c>
      <c r="P1805" s="28" t="n">
        <v>30302</v>
      </c>
      <c r="Q1805" s="28" t="n">
        <v>1863837</v>
      </c>
      <c r="R1805" s="28" t="n">
        <v>0</v>
      </c>
      <c r="S1805" s="28">
        <f>Q1805-R1805</f>
        <v/>
      </c>
      <c r="T1805" s="28">
        <f>IF(S1805="","",S1805*(1+in_GrowthRate)^(YEARFRAC(DATE(2025,6,30),in_AgeToDate)*IF(in_AgeToDate&lt;DATE(2025,6,30),-1,1)+1))</f>
        <v/>
      </c>
      <c r="U1805" s="50">
        <f>IF(AND(AND(OR(in_Mode="All Funds",AND(C1805&gt;=in_BandFloor,C1805&lt;=in_BandCeiling,OR(in_Geography="National",COUNTIFS(lst_GeoPreset,in_Geography,lst_GeoState,B1805)&gt;0,AND(in_Geography="Custom",ISNUMBER(SEARCH(B1805,SUBSTITUTE(in_CustomStates," ",""))))),OR(AND(D1805="Endowment",Inputs!$B$14="Y"),AND(D1805="Foundation",Inputs!$B$15="Y"),AND(D1805="Healthcare",Inputs!$B$16="Y"),AND(D1805="Pension",Inputs!$B$17="Y"),AND(D1805="OCIO",Inputs!$B$18="Y"),AND(D1805="Other",Inputs!$B$19="Y")))),A1805&lt;&gt;in_ClientOrg,NOT(AND(in_ExclHarvard="Y",ISNUMBER(SEARCH("Harvard",A1805))))),$AD1805="Y",K1805&lt;&gt;"",S1805&gt;0),"Y","")</f>
        <v/>
      </c>
      <c r="V1805" s="30" t="n">
        <v>1</v>
      </c>
      <c r="W1805" t="inlineStr"/>
      <c r="X1805" s="28">
        <f>IF(L1805+M1805=0,"",L1805+M1805)</f>
        <v/>
      </c>
      <c r="Y1805" s="38">
        <f>IF(L1805=0,"",M1805/L1805)</f>
        <v/>
      </c>
      <c r="Z1805" t="inlineStr">
        <is>
          <t>CIO - Top Investment Executive</t>
        </is>
      </c>
      <c r="AA1805" t="inlineStr">
        <is>
          <t>Leadership</t>
        </is>
      </c>
      <c r="AB1805" s="50" t="inlineStr">
        <is>
          <t>Y</t>
        </is>
      </c>
      <c r="AC1805" s="43">
        <f>HYPERLINK("https://projects.propublica.org/nonprofits/organizations/42103637/202601359349304805/full","view filing")</f>
        <v/>
      </c>
      <c r="AD1805" s="50" t="inlineStr">
        <is>
          <t>Y</t>
        </is>
      </c>
    </row>
    <row r="1806">
      <c r="A1806" t="inlineStr">
        <is>
          <t>Wellesley College</t>
        </is>
      </c>
      <c r="B1806" s="50" t="inlineStr">
        <is>
          <t>MA</t>
        </is>
      </c>
      <c r="C1806" s="52" t="n">
        <v>3.19</v>
      </c>
      <c r="D1806" t="inlineStr">
        <is>
          <t>Endowment</t>
        </is>
      </c>
      <c r="E1806" s="50" t="n">
        <v>2025</v>
      </c>
      <c r="F1806" s="50" t="inlineStr">
        <is>
          <t>2026-05-15</t>
        </is>
      </c>
      <c r="G1806" s="50" t="inlineStr">
        <is>
          <t>2025-06-30</t>
        </is>
      </c>
      <c r="H1806" t="inlineStr">
        <is>
          <t>Matthew Veilleux</t>
        </is>
      </c>
      <c r="I1806" t="inlineStr">
        <is>
          <t>Investment Director</t>
        </is>
      </c>
      <c r="J1806" t="inlineStr">
        <is>
          <t>Director of Investments</t>
        </is>
      </c>
      <c r="K1806" t="inlineStr">
        <is>
          <t>Sr Investment Professional</t>
        </is>
      </c>
      <c r="L1806" s="28" t="n">
        <v>313782</v>
      </c>
      <c r="M1806" s="28" t="n">
        <v>193278</v>
      </c>
      <c r="N1806" s="28" t="n">
        <v>1324</v>
      </c>
      <c r="O1806" s="28" t="n">
        <v>74398</v>
      </c>
      <c r="P1806" s="28" t="n">
        <v>6945</v>
      </c>
      <c r="Q1806" s="28" t="n">
        <v>589727</v>
      </c>
      <c r="R1806" s="28" t="n">
        <v>0</v>
      </c>
      <c r="S1806" s="28">
        <f>Q1806-R1806</f>
        <v/>
      </c>
      <c r="T1806" s="28">
        <f>IF(S1806="","",S1806*(1+in_GrowthRate)^(YEARFRAC(DATE(2025,6,30),in_AgeToDate)*IF(in_AgeToDate&lt;DATE(2025,6,30),-1,1)+1))</f>
        <v/>
      </c>
      <c r="U1806" s="50">
        <f>IF(AND(AND(OR(in_Mode="All Funds",AND(C1806&gt;=in_BandFloor,C1806&lt;=in_BandCeiling,OR(in_Geography="National",COUNTIFS(lst_GeoPreset,in_Geography,lst_GeoState,B1806)&gt;0,AND(in_Geography="Custom",ISNUMBER(SEARCH(B1806,SUBSTITUTE(in_CustomStates," ",""))))),OR(AND(D1806="Endowment",Inputs!$B$14="Y"),AND(D1806="Foundation",Inputs!$B$15="Y"),AND(D1806="Healthcare",Inputs!$B$16="Y"),AND(D1806="Pension",Inputs!$B$17="Y"),AND(D1806="OCIO",Inputs!$B$18="Y"),AND(D1806="Other",Inputs!$B$19="Y")))),A1806&lt;&gt;in_ClientOrg,NOT(AND(in_ExclHarvard="Y",ISNUMBER(SEARCH("Harvard",A1806))))),$AD1806="Y",K1806&lt;&gt;"",S1806&gt;0),"Y","")</f>
        <v/>
      </c>
      <c r="V1806" s="30" t="n">
        <v>0.3164048143694969</v>
      </c>
      <c r="W1806" t="inlineStr"/>
      <c r="X1806" s="28">
        <f>IF(L1806+M1806=0,"",L1806+M1806)</f>
        <v/>
      </c>
      <c r="Y1806" s="38">
        <f>IF(L1806=0,"",M1806/L1806)</f>
        <v/>
      </c>
      <c r="Z1806" t="inlineStr">
        <is>
          <t>Director &amp; Investment Officer</t>
        </is>
      </c>
      <c r="AA1806" t="inlineStr">
        <is>
          <t>Investments</t>
        </is>
      </c>
      <c r="AB1806" s="50" t="inlineStr"/>
      <c r="AC1806" s="43">
        <f>HYPERLINK("https://projects.propublica.org/nonprofits/organizations/42103637/202601359349304805/full","view filing")</f>
        <v/>
      </c>
      <c r="AD1806" s="50" t="inlineStr">
        <is>
          <t>Y</t>
        </is>
      </c>
    </row>
    <row r="1807">
      <c r="A1807" t="inlineStr">
        <is>
          <t>Wellesley College</t>
        </is>
      </c>
      <c r="B1807" s="50" t="inlineStr">
        <is>
          <t>MA</t>
        </is>
      </c>
      <c r="C1807" s="52" t="n">
        <v>3.19</v>
      </c>
      <c r="D1807" t="inlineStr">
        <is>
          <t>Endowment</t>
        </is>
      </c>
      <c r="E1807" s="50" t="n">
        <v>2025</v>
      </c>
      <c r="F1807" s="50" t="inlineStr">
        <is>
          <t>2026-05-15</t>
        </is>
      </c>
      <c r="G1807" s="50" t="inlineStr">
        <is>
          <t>2025-06-30</t>
        </is>
      </c>
      <c r="H1807" t="inlineStr">
        <is>
          <t>Rose C Carpenter</t>
        </is>
      </c>
      <c r="I1807" t="inlineStr">
        <is>
          <t>Deputy CIO</t>
        </is>
      </c>
      <c r="J1807" t="inlineStr">
        <is>
          <t>Deputy CIO</t>
        </is>
      </c>
      <c r="K1807" t="inlineStr">
        <is>
          <t>Sr Investment Professional</t>
        </is>
      </c>
      <c r="L1807" s="28" t="n">
        <v>575960</v>
      </c>
      <c r="M1807" s="28" t="n">
        <v>450000</v>
      </c>
      <c r="N1807" s="28" t="n">
        <v>480</v>
      </c>
      <c r="O1807" s="28" t="n">
        <v>141105</v>
      </c>
      <c r="P1807" s="28" t="n">
        <v>32975</v>
      </c>
      <c r="Q1807" s="28" t="n">
        <v>1200520</v>
      </c>
      <c r="R1807" s="28" t="n">
        <v>0</v>
      </c>
      <c r="S1807" s="28">
        <f>Q1807-R1807</f>
        <v/>
      </c>
      <c r="T1807" s="28">
        <f>IF(S1807="","",S1807*(1+in_GrowthRate)^(YEARFRAC(DATE(2025,6,30),in_AgeToDate)*IF(in_AgeToDate&lt;DATE(2025,6,30),-1,1)+1))</f>
        <v/>
      </c>
      <c r="U1807" s="50">
        <f>IF(AND(AND(OR(in_Mode="All Funds",AND(C1807&gt;=in_BandFloor,C1807&lt;=in_BandCeiling,OR(in_Geography="National",COUNTIFS(lst_GeoPreset,in_Geography,lst_GeoState,B1807)&gt;0,AND(in_Geography="Custom",ISNUMBER(SEARCH(B1807,SUBSTITUTE(in_CustomStates," ",""))))),OR(AND(D1807="Endowment",Inputs!$B$14="Y"),AND(D1807="Foundation",Inputs!$B$15="Y"),AND(D1807="Healthcare",Inputs!$B$16="Y"),AND(D1807="Pension",Inputs!$B$17="Y"),AND(D1807="OCIO",Inputs!$B$18="Y"),AND(D1807="Other",Inputs!$B$19="Y")))),A1807&lt;&gt;in_ClientOrg,NOT(AND(in_ExclHarvard="Y",ISNUMBER(SEARCH("Harvard",A1807))))),$AD1807="Y",K1807&lt;&gt;"",S1807&gt;0),"Y","")</f>
        <v/>
      </c>
      <c r="V1807" s="30" t="n">
        <v>0.6441121192464792</v>
      </c>
      <c r="W1807" t="inlineStr"/>
      <c r="X1807" s="28">
        <f>IF(L1807+M1807=0,"",L1807+M1807)</f>
        <v/>
      </c>
      <c r="Y1807" s="38">
        <f>IF(L1807=0,"",M1807/L1807)</f>
        <v/>
      </c>
      <c r="Z1807" t="inlineStr">
        <is>
          <t>Deputy CIO</t>
        </is>
      </c>
      <c r="AA1807" t="inlineStr">
        <is>
          <t>Leadership</t>
        </is>
      </c>
      <c r="AB1807" s="50" t="inlineStr"/>
      <c r="AC1807" s="43">
        <f>HYPERLINK("https://projects.propublica.org/nonprofits/organizations/42103637/202601359349304805/full","view filing")</f>
        <v/>
      </c>
      <c r="AD1807" s="50" t="inlineStr">
        <is>
          <t>Y</t>
        </is>
      </c>
    </row>
    <row r="1808">
      <c r="A1808" t="inlineStr">
        <is>
          <t>Wellesley College</t>
        </is>
      </c>
      <c r="B1808" s="50" t="inlineStr">
        <is>
          <t>MA</t>
        </is>
      </c>
      <c r="C1808" s="52" t="n">
        <v>3.19</v>
      </c>
      <c r="D1808" t="inlineStr">
        <is>
          <t>Endowment</t>
        </is>
      </c>
      <c r="E1808" s="50" t="n">
        <v>2024</v>
      </c>
      <c r="F1808" s="50" t="inlineStr">
        <is>
          <t>2025-05-14</t>
        </is>
      </c>
      <c r="G1808" s="50" t="inlineStr">
        <is>
          <t>2024-06-30</t>
        </is>
      </c>
      <c r="H1808" t="inlineStr">
        <is>
          <t>Deborah F Kuenstner</t>
        </is>
      </c>
      <c r="I1808" t="inlineStr">
        <is>
          <t>CHIEF INVESTMENT OFFICER</t>
        </is>
      </c>
      <c r="J1808" t="inlineStr">
        <is>
          <t>CIO</t>
        </is>
      </c>
      <c r="K1808" t="inlineStr">
        <is>
          <t>CIO - Top Investment Executive</t>
        </is>
      </c>
      <c r="L1808" s="28" t="n">
        <v>721169</v>
      </c>
      <c r="M1808" s="28" t="n">
        <v>539467</v>
      </c>
      <c r="N1808" s="28" t="n">
        <v>6096</v>
      </c>
      <c r="O1808" s="28" t="n">
        <v>34650</v>
      </c>
      <c r="P1808" s="28" t="n">
        <v>31584</v>
      </c>
      <c r="Q1808" s="28" t="n">
        <v>1332966</v>
      </c>
      <c r="R1808" s="28" t="n">
        <v>0</v>
      </c>
      <c r="S1808" s="28">
        <f>Q1808-R1808</f>
        <v/>
      </c>
      <c r="T1808" s="28">
        <f>IF(S1808="","",S1808*(1+in_GrowthRate)^(YEARFRAC(DATE(2024,6,30),in_AgeToDate)*IF(in_AgeToDate&lt;DATE(2024,6,30),-1,1)+1))</f>
        <v/>
      </c>
      <c r="U1808" s="50">
        <f>IF(AND(AND(OR(in_Mode="All Funds",AND(C1808&gt;=in_BandFloor,C1808&lt;=in_BandCeiling,OR(in_Geography="National",COUNTIFS(lst_GeoPreset,in_Geography,lst_GeoState,B1808)&gt;0,AND(in_Geography="Custom",ISNUMBER(SEARCH(B1808,SUBSTITUTE(in_CustomStates," ",""))))),OR(AND(D1808="Endowment",Inputs!$B$14="Y"),AND(D1808="Foundation",Inputs!$B$15="Y"),AND(D1808="Healthcare",Inputs!$B$16="Y"),AND(D1808="Pension",Inputs!$B$17="Y"),AND(D1808="OCIO",Inputs!$B$18="Y"),AND(D1808="Other",Inputs!$B$19="Y")))),A1808&lt;&gt;in_ClientOrg,NOT(AND(in_ExclHarvard="Y",ISNUMBER(SEARCH("Harvard",A1808))))),$AD1808="Y",K1808&lt;&gt;"",S1808&gt;0),"Y","")</f>
        <v/>
      </c>
      <c r="V1808" s="30" t="n">
        <v>1</v>
      </c>
      <c r="W1808" t="inlineStr"/>
      <c r="X1808" s="28">
        <f>IF(L1808+M1808=0,"",L1808+M1808)</f>
        <v/>
      </c>
      <c r="Y1808" s="38">
        <f>IF(L1808=0,"",M1808/L1808)</f>
        <v/>
      </c>
      <c r="Z1808" t="inlineStr">
        <is>
          <t>CIO - Top Investment Executive</t>
        </is>
      </c>
      <c r="AA1808" t="inlineStr">
        <is>
          <t>Leadership</t>
        </is>
      </c>
      <c r="AB1808" s="50" t="inlineStr">
        <is>
          <t>Y</t>
        </is>
      </c>
      <c r="AC1808" s="43">
        <f>HYPERLINK("https://projects.propublica.org/nonprofits/organizations/42103637/202511349349304996/full","view filing")</f>
        <v/>
      </c>
      <c r="AD1808" s="50" t="inlineStr"/>
    </row>
    <row r="1809">
      <c r="A1809" t="inlineStr">
        <is>
          <t>Wellesley College</t>
        </is>
      </c>
      <c r="B1809" s="50" t="inlineStr">
        <is>
          <t>MA</t>
        </is>
      </c>
      <c r="C1809" s="52" t="n">
        <v>3.19</v>
      </c>
      <c r="D1809" t="inlineStr">
        <is>
          <t>Endowment</t>
        </is>
      </c>
      <c r="E1809" s="50" t="n">
        <v>2024</v>
      </c>
      <c r="F1809" s="50" t="inlineStr">
        <is>
          <t>2025-05-14</t>
        </is>
      </c>
      <c r="G1809" s="50" t="inlineStr">
        <is>
          <t>2024-06-30</t>
        </is>
      </c>
      <c r="H1809" t="inlineStr">
        <is>
          <t>Matthew Veilleux</t>
        </is>
      </c>
      <c r="I1809" t="inlineStr">
        <is>
          <t>INVESTMENT DIRECTOR</t>
        </is>
      </c>
      <c r="J1809" t="inlineStr">
        <is>
          <t>Director of Investments</t>
        </is>
      </c>
      <c r="K1809" t="inlineStr">
        <is>
          <t>Sr Investment Professional</t>
        </is>
      </c>
      <c r="L1809" s="28" t="n">
        <v>298788</v>
      </c>
      <c r="M1809" s="28" t="n">
        <v>184222</v>
      </c>
      <c r="N1809" s="28" t="n">
        <v>1307</v>
      </c>
      <c r="O1809" s="28" t="n">
        <v>28580</v>
      </c>
      <c r="P1809" s="28" t="n">
        <v>7894</v>
      </c>
      <c r="Q1809" s="28" t="n">
        <v>520791</v>
      </c>
      <c r="R1809" s="28" t="n">
        <v>0</v>
      </c>
      <c r="S1809" s="28">
        <f>Q1809-R1809</f>
        <v/>
      </c>
      <c r="T1809" s="28">
        <f>IF(S1809="","",S1809*(1+in_GrowthRate)^(YEARFRAC(DATE(2024,6,30),in_AgeToDate)*IF(in_AgeToDate&lt;DATE(2024,6,30),-1,1)+1))</f>
        <v/>
      </c>
      <c r="U1809" s="50">
        <f>IF(AND(AND(OR(in_Mode="All Funds",AND(C1809&gt;=in_BandFloor,C1809&lt;=in_BandCeiling,OR(in_Geography="National",COUNTIFS(lst_GeoPreset,in_Geography,lst_GeoState,B1809)&gt;0,AND(in_Geography="Custom",ISNUMBER(SEARCH(B1809,SUBSTITUTE(in_CustomStates," ",""))))),OR(AND(D1809="Endowment",Inputs!$B$14="Y"),AND(D1809="Foundation",Inputs!$B$15="Y"),AND(D1809="Healthcare",Inputs!$B$16="Y"),AND(D1809="Pension",Inputs!$B$17="Y"),AND(D1809="OCIO",Inputs!$B$18="Y"),AND(D1809="Other",Inputs!$B$19="Y")))),A1809&lt;&gt;in_ClientOrg,NOT(AND(in_ExclHarvard="Y",ISNUMBER(SEARCH("Harvard",A1809))))),$AD1809="Y",K1809&lt;&gt;"",S1809&gt;0),"Y","")</f>
        <v/>
      </c>
      <c r="V1809" s="30" t="n">
        <v>0.3907008880946701</v>
      </c>
      <c r="W1809" t="inlineStr"/>
      <c r="X1809" s="28">
        <f>IF(L1809+M1809=0,"",L1809+M1809)</f>
        <v/>
      </c>
      <c r="Y1809" s="38">
        <f>IF(L1809=0,"",M1809/L1809)</f>
        <v/>
      </c>
      <c r="Z1809" t="inlineStr">
        <is>
          <t>Director &amp; Investment Officer</t>
        </is>
      </c>
      <c r="AA1809" t="inlineStr">
        <is>
          <t>Investments</t>
        </is>
      </c>
      <c r="AB1809" s="50" t="inlineStr"/>
      <c r="AC1809" s="43">
        <f>HYPERLINK("https://projects.propublica.org/nonprofits/organizations/42103637/202511349349304996/full","view filing")</f>
        <v/>
      </c>
      <c r="AD1809" s="50" t="inlineStr"/>
    </row>
    <row r="1810">
      <c r="A1810" t="inlineStr">
        <is>
          <t>Wellesley College</t>
        </is>
      </c>
      <c r="B1810" s="50" t="inlineStr">
        <is>
          <t>MA</t>
        </is>
      </c>
      <c r="C1810" s="52" t="n">
        <v>3.19</v>
      </c>
      <c r="D1810" t="inlineStr">
        <is>
          <t>Endowment</t>
        </is>
      </c>
      <c r="E1810" s="50" t="n">
        <v>2024</v>
      </c>
      <c r="F1810" s="50" t="inlineStr">
        <is>
          <t>2025-05-14</t>
        </is>
      </c>
      <c r="G1810" s="50" t="inlineStr">
        <is>
          <t>2024-06-30</t>
        </is>
      </c>
      <c r="H1810" t="inlineStr">
        <is>
          <t>Rose C Carpenter</t>
        </is>
      </c>
      <c r="I1810" t="inlineStr">
        <is>
          <t>DEPUTY CIO</t>
        </is>
      </c>
      <c r="J1810" t="inlineStr">
        <is>
          <t>Deputy CIO</t>
        </is>
      </c>
      <c r="K1810" t="inlineStr">
        <is>
          <t>Sr Investment Professional</t>
        </is>
      </c>
      <c r="L1810" s="28" t="n">
        <v>547619</v>
      </c>
      <c r="M1810" s="28" t="n">
        <v>439385</v>
      </c>
      <c r="N1810" s="28" t="n">
        <v>480</v>
      </c>
      <c r="O1810" s="28" t="n">
        <v>34650</v>
      </c>
      <c r="P1810" s="28" t="n">
        <v>29470</v>
      </c>
      <c r="Q1810" s="28" t="n">
        <v>1051604</v>
      </c>
      <c r="R1810" s="28" t="n">
        <v>0</v>
      </c>
      <c r="S1810" s="28">
        <f>Q1810-R1810</f>
        <v/>
      </c>
      <c r="T1810" s="28">
        <f>IF(S1810="","",S1810*(1+in_GrowthRate)^(YEARFRAC(DATE(2024,6,30),in_AgeToDate)*IF(in_AgeToDate&lt;DATE(2024,6,30),-1,1)+1))</f>
        <v/>
      </c>
      <c r="U1810" s="50">
        <f>IF(AND(AND(OR(in_Mode="All Funds",AND(C1810&gt;=in_BandFloor,C1810&lt;=in_BandCeiling,OR(in_Geography="National",COUNTIFS(lst_GeoPreset,in_Geography,lst_GeoState,B1810)&gt;0,AND(in_Geography="Custom",ISNUMBER(SEARCH(B1810,SUBSTITUTE(in_CustomStates," ",""))))),OR(AND(D1810="Endowment",Inputs!$B$14="Y"),AND(D1810="Foundation",Inputs!$B$15="Y"),AND(D1810="Healthcare",Inputs!$B$16="Y"),AND(D1810="Pension",Inputs!$B$17="Y"),AND(D1810="OCIO",Inputs!$B$18="Y"),AND(D1810="Other",Inputs!$B$19="Y")))),A1810&lt;&gt;in_ClientOrg,NOT(AND(in_ExclHarvard="Y",ISNUMBER(SEARCH("Harvard",A1810))))),$AD1810="Y",K1810&lt;&gt;"",S1810&gt;0),"Y","")</f>
        <v/>
      </c>
      <c r="V1810" s="30" t="n">
        <v>0.7889203475557516</v>
      </c>
      <c r="W1810" t="inlineStr"/>
      <c r="X1810" s="28">
        <f>IF(L1810+M1810=0,"",L1810+M1810)</f>
        <v/>
      </c>
      <c r="Y1810" s="38">
        <f>IF(L1810=0,"",M1810/L1810)</f>
        <v/>
      </c>
      <c r="Z1810" t="inlineStr">
        <is>
          <t>Deputy CIO</t>
        </is>
      </c>
      <c r="AA1810" t="inlineStr">
        <is>
          <t>Leadership</t>
        </is>
      </c>
      <c r="AB1810" s="50" t="inlineStr"/>
      <c r="AC1810" s="43">
        <f>HYPERLINK("https://projects.propublica.org/nonprofits/organizations/42103637/202511349349304996/full","view filing")</f>
        <v/>
      </c>
      <c r="AD1810" s="50" t="inlineStr"/>
    </row>
    <row r="1811">
      <c r="A1811" t="inlineStr">
        <is>
          <t>Wellesley College</t>
        </is>
      </c>
      <c r="B1811" s="50" t="inlineStr">
        <is>
          <t>MA</t>
        </is>
      </c>
      <c r="C1811" s="52" t="n">
        <v>3.19</v>
      </c>
      <c r="D1811" t="inlineStr">
        <is>
          <t>Endowment</t>
        </is>
      </c>
      <c r="E1811" s="50" t="n">
        <v>2023</v>
      </c>
      <c r="F1811" s="50" t="inlineStr">
        <is>
          <t>2024-05-14</t>
        </is>
      </c>
      <c r="G1811" s="50" t="inlineStr">
        <is>
          <t>2023-06-30</t>
        </is>
      </c>
      <c r="H1811" t="inlineStr">
        <is>
          <t>Deborah F Kuenstner</t>
        </is>
      </c>
      <c r="I1811" t="inlineStr">
        <is>
          <t>CHIEF INVESTMENT OFFICER</t>
        </is>
      </c>
      <c r="J1811" t="inlineStr">
        <is>
          <t>CIO</t>
        </is>
      </c>
      <c r="K1811" t="inlineStr">
        <is>
          <t>CIO - Top Investment Executive</t>
        </is>
      </c>
      <c r="L1811" s="28" t="n">
        <v>652668</v>
      </c>
      <c r="M1811" s="28" t="n">
        <v>528728</v>
      </c>
      <c r="N1811" s="28" t="n">
        <v>3168</v>
      </c>
      <c r="O1811" s="28" t="n">
        <v>32025</v>
      </c>
      <c r="P1811" s="28" t="n">
        <v>29302</v>
      </c>
      <c r="Q1811" s="28" t="n">
        <v>1245891</v>
      </c>
      <c r="R1811" s="28" t="n">
        <v>0</v>
      </c>
      <c r="S1811" s="28">
        <f>Q1811-R1811</f>
        <v/>
      </c>
      <c r="T1811" s="28">
        <f>IF(S1811="","",S1811*(1+in_GrowthRate)^(YEARFRAC(DATE(2023,6,30),in_AgeToDate)*IF(in_AgeToDate&lt;DATE(2023,6,30),-1,1)+1))</f>
        <v/>
      </c>
      <c r="U1811" s="50">
        <f>IF(AND(AND(OR(in_Mode="All Funds",AND(C1811&gt;=in_BandFloor,C1811&lt;=in_BandCeiling,OR(in_Geography="National",COUNTIFS(lst_GeoPreset,in_Geography,lst_GeoState,B1811)&gt;0,AND(in_Geography="Custom",ISNUMBER(SEARCH(B1811,SUBSTITUTE(in_CustomStates," ",""))))),OR(AND(D1811="Endowment",Inputs!$B$14="Y"),AND(D1811="Foundation",Inputs!$B$15="Y"),AND(D1811="Healthcare",Inputs!$B$16="Y"),AND(D1811="Pension",Inputs!$B$17="Y"),AND(D1811="OCIO",Inputs!$B$18="Y"),AND(D1811="Other",Inputs!$B$19="Y")))),A1811&lt;&gt;in_ClientOrg,NOT(AND(in_ExclHarvard="Y",ISNUMBER(SEARCH("Harvard",A1811))))),$AD1811="Y",K1811&lt;&gt;"",S1811&gt;0),"Y","")</f>
        <v/>
      </c>
      <c r="V1811" s="30" t="n">
        <v>1</v>
      </c>
      <c r="W1811" t="inlineStr"/>
      <c r="X1811" s="28">
        <f>IF(L1811+M1811=0,"",L1811+M1811)</f>
        <v/>
      </c>
      <c r="Y1811" s="38">
        <f>IF(L1811=0,"",M1811/L1811)</f>
        <v/>
      </c>
      <c r="Z1811" t="inlineStr">
        <is>
          <t>CIO - Top Investment Executive</t>
        </is>
      </c>
      <c r="AA1811" t="inlineStr">
        <is>
          <t>Leadership</t>
        </is>
      </c>
      <c r="AB1811" s="50" t="inlineStr">
        <is>
          <t>Y</t>
        </is>
      </c>
      <c r="AC1811" s="43">
        <f>HYPERLINK("https://projects.propublica.org/nonprofits/organizations/42103637/202441359349302624/full","view filing")</f>
        <v/>
      </c>
      <c r="AD1811" s="50" t="inlineStr"/>
    </row>
    <row r="1812">
      <c r="A1812" t="inlineStr">
        <is>
          <t>Wellesley College</t>
        </is>
      </c>
      <c r="B1812" s="50" t="inlineStr">
        <is>
          <t>MA</t>
        </is>
      </c>
      <c r="C1812" s="52" t="n">
        <v>3.19</v>
      </c>
      <c r="D1812" t="inlineStr">
        <is>
          <t>Endowment</t>
        </is>
      </c>
      <c r="E1812" s="50" t="n">
        <v>2023</v>
      </c>
      <c r="F1812" s="50" t="inlineStr">
        <is>
          <t>2024-05-14</t>
        </is>
      </c>
      <c r="G1812" s="50" t="inlineStr">
        <is>
          <t>2023-06-30</t>
        </is>
      </c>
      <c r="H1812" t="inlineStr">
        <is>
          <t>Greg Rozolsky</t>
        </is>
      </c>
      <c r="I1812" t="inlineStr">
        <is>
          <t>INVESTMENT DIRECTOR</t>
        </is>
      </c>
      <c r="J1812" t="inlineStr">
        <is>
          <t>Director of Investments</t>
        </is>
      </c>
      <c r="K1812" t="inlineStr">
        <is>
          <t>Sr Investment Professional</t>
        </is>
      </c>
      <c r="L1812" s="28" t="n">
        <v>338065</v>
      </c>
      <c r="M1812" s="28" t="n">
        <v>305419</v>
      </c>
      <c r="N1812" s="28" t="n">
        <v>93</v>
      </c>
      <c r="O1812" s="28" t="n">
        <v>32025</v>
      </c>
      <c r="P1812" s="28" t="n">
        <v>11996</v>
      </c>
      <c r="Q1812" s="28" t="n">
        <v>687598</v>
      </c>
      <c r="R1812" s="28" t="n">
        <v>0</v>
      </c>
      <c r="S1812" s="28">
        <f>Q1812-R1812</f>
        <v/>
      </c>
      <c r="T1812" s="28">
        <f>IF(S1812="","",S1812*(1+in_GrowthRate)^(YEARFRAC(DATE(2023,6,30),in_AgeToDate)*IF(in_AgeToDate&lt;DATE(2023,6,30),-1,1)+1))</f>
        <v/>
      </c>
      <c r="U1812" s="50">
        <f>IF(AND(AND(OR(in_Mode="All Funds",AND(C1812&gt;=in_BandFloor,C1812&lt;=in_BandCeiling,OR(in_Geography="National",COUNTIFS(lst_GeoPreset,in_Geography,lst_GeoState,B1812)&gt;0,AND(in_Geography="Custom",ISNUMBER(SEARCH(B1812,SUBSTITUTE(in_CustomStates," ",""))))),OR(AND(D1812="Endowment",Inputs!$B$14="Y"),AND(D1812="Foundation",Inputs!$B$15="Y"),AND(D1812="Healthcare",Inputs!$B$16="Y"),AND(D1812="Pension",Inputs!$B$17="Y"),AND(D1812="OCIO",Inputs!$B$18="Y"),AND(D1812="Other",Inputs!$B$19="Y")))),A1812&lt;&gt;in_ClientOrg,NOT(AND(in_ExclHarvard="Y",ISNUMBER(SEARCH("Harvard",A1812))))),$AD1812="Y",K1812&lt;&gt;"",S1812&gt;0),"Y","")</f>
        <v/>
      </c>
      <c r="V1812" s="30" t="n">
        <v>0.551892581293227</v>
      </c>
      <c r="W1812" t="inlineStr"/>
      <c r="X1812" s="28">
        <f>IF(L1812+M1812=0,"",L1812+M1812)</f>
        <v/>
      </c>
      <c r="Y1812" s="38">
        <f>IF(L1812=0,"",M1812/L1812)</f>
        <v/>
      </c>
      <c r="Z1812" t="inlineStr">
        <is>
          <t>Director &amp; Investment Officer</t>
        </is>
      </c>
      <c r="AA1812" t="inlineStr">
        <is>
          <t>Investments</t>
        </is>
      </c>
      <c r="AB1812" s="50" t="inlineStr"/>
      <c r="AC1812" s="43">
        <f>HYPERLINK("https://projects.propublica.org/nonprofits/organizations/42103637/202441359349302624/full","view filing")</f>
        <v/>
      </c>
      <c r="AD1812" s="50" t="inlineStr"/>
    </row>
    <row r="1813">
      <c r="A1813" t="inlineStr">
        <is>
          <t>Wellesley College</t>
        </is>
      </c>
      <c r="B1813" s="50" t="inlineStr">
        <is>
          <t>MA</t>
        </is>
      </c>
      <c r="C1813" s="52" t="n">
        <v>3.19</v>
      </c>
      <c r="D1813" t="inlineStr">
        <is>
          <t>Endowment</t>
        </is>
      </c>
      <c r="E1813" s="50" t="n">
        <v>2023</v>
      </c>
      <c r="F1813" s="50" t="inlineStr">
        <is>
          <t>2024-05-14</t>
        </is>
      </c>
      <c r="G1813" s="50" t="inlineStr">
        <is>
          <t>2023-06-30</t>
        </is>
      </c>
      <c r="H1813" t="inlineStr">
        <is>
          <t>Matthew Veilleux</t>
        </is>
      </c>
      <c r="I1813" t="inlineStr">
        <is>
          <t>INVESTMENT DIRECTOR</t>
        </is>
      </c>
      <c r="J1813" t="inlineStr">
        <is>
          <t>Director of Investments</t>
        </is>
      </c>
      <c r="K1813" t="inlineStr">
        <is>
          <t>Sr Investment Professional</t>
        </is>
      </c>
      <c r="L1813" s="28" t="n">
        <v>272009</v>
      </c>
      <c r="M1813" s="28" t="n">
        <v>271002</v>
      </c>
      <c r="N1813" s="28" t="n">
        <v>1276</v>
      </c>
      <c r="O1813" s="28" t="n">
        <v>31650</v>
      </c>
      <c r="P1813" s="28" t="n">
        <v>8670</v>
      </c>
      <c r="Q1813" s="28" t="n">
        <v>584607</v>
      </c>
      <c r="R1813" s="28" t="n">
        <v>0</v>
      </c>
      <c r="S1813" s="28">
        <f>Q1813-R1813</f>
        <v/>
      </c>
      <c r="T1813" s="28">
        <f>IF(S1813="","",S1813*(1+in_GrowthRate)^(YEARFRAC(DATE(2023,6,30),in_AgeToDate)*IF(in_AgeToDate&lt;DATE(2023,6,30),-1,1)+1))</f>
        <v/>
      </c>
      <c r="U1813" s="50">
        <f>IF(AND(AND(OR(in_Mode="All Funds",AND(C1813&gt;=in_BandFloor,C1813&lt;=in_BandCeiling,OR(in_Geography="National",COUNTIFS(lst_GeoPreset,in_Geography,lst_GeoState,B1813)&gt;0,AND(in_Geography="Custom",ISNUMBER(SEARCH(B1813,SUBSTITUTE(in_CustomStates," ",""))))),OR(AND(D1813="Endowment",Inputs!$B$14="Y"),AND(D1813="Foundation",Inputs!$B$15="Y"),AND(D1813="Healthcare",Inputs!$B$16="Y"),AND(D1813="Pension",Inputs!$B$17="Y"),AND(D1813="OCIO",Inputs!$B$18="Y"),AND(D1813="Other",Inputs!$B$19="Y")))),A1813&lt;&gt;in_ClientOrg,NOT(AND(in_ExclHarvard="Y",ISNUMBER(SEARCH("Harvard",A1813))))),$AD1813="Y",K1813&lt;&gt;"",S1813&gt;0),"Y","")</f>
        <v/>
      </c>
      <c r="V1813" s="30" t="n">
        <v>0.4692280464342387</v>
      </c>
      <c r="W1813" t="inlineStr"/>
      <c r="X1813" s="28">
        <f>IF(L1813+M1813=0,"",L1813+M1813)</f>
        <v/>
      </c>
      <c r="Y1813" s="38">
        <f>IF(L1813=0,"",M1813/L1813)</f>
        <v/>
      </c>
      <c r="Z1813" t="inlineStr">
        <is>
          <t>Director &amp; Investment Officer</t>
        </is>
      </c>
      <c r="AA1813" t="inlineStr">
        <is>
          <t>Investments</t>
        </is>
      </c>
      <c r="AB1813" s="50" t="inlineStr"/>
      <c r="AC1813" s="43">
        <f>HYPERLINK("https://projects.propublica.org/nonprofits/organizations/42103637/202441359349302624/full","view filing")</f>
        <v/>
      </c>
      <c r="AD1813" s="50" t="inlineStr"/>
    </row>
    <row r="1814">
      <c r="A1814" t="inlineStr">
        <is>
          <t>Wellesley College</t>
        </is>
      </c>
      <c r="B1814" s="50" t="inlineStr">
        <is>
          <t>MA</t>
        </is>
      </c>
      <c r="C1814" s="52" t="n">
        <v>3.19</v>
      </c>
      <c r="D1814" t="inlineStr">
        <is>
          <t>Endowment</t>
        </is>
      </c>
      <c r="E1814" s="50" t="n">
        <v>2023</v>
      </c>
      <c r="F1814" s="50" t="inlineStr">
        <is>
          <t>2024-05-14</t>
        </is>
      </c>
      <c r="G1814" s="50" t="inlineStr">
        <is>
          <t>2023-06-30</t>
        </is>
      </c>
      <c r="H1814" t="inlineStr">
        <is>
          <t>Rose C Carpenter</t>
        </is>
      </c>
      <c r="I1814" t="inlineStr">
        <is>
          <t>MANAGING DIRECTOR TO DEPUTY CIO</t>
        </is>
      </c>
      <c r="J1814" t="inlineStr">
        <is>
          <t>Deputy CIO</t>
        </is>
      </c>
      <c r="K1814" t="inlineStr">
        <is>
          <t>Sr Investment Professional</t>
        </is>
      </c>
      <c r="L1814" s="28" t="n">
        <v>490568</v>
      </c>
      <c r="M1814" s="28" t="n">
        <v>497447</v>
      </c>
      <c r="N1814" s="28" t="n">
        <v>480</v>
      </c>
      <c r="O1814" s="28" t="n">
        <v>32025</v>
      </c>
      <c r="P1814" s="28" t="n">
        <v>27809</v>
      </c>
      <c r="Q1814" s="28" t="n">
        <v>1048329</v>
      </c>
      <c r="R1814" s="28" t="n">
        <v>0</v>
      </c>
      <c r="S1814" s="28">
        <f>Q1814-R1814</f>
        <v/>
      </c>
      <c r="T1814" s="28">
        <f>IF(S1814="","",S1814*(1+in_GrowthRate)^(YEARFRAC(DATE(2023,6,30),in_AgeToDate)*IF(in_AgeToDate&lt;DATE(2023,6,30),-1,1)+1))</f>
        <v/>
      </c>
      <c r="U1814" s="50">
        <f>IF(AND(AND(OR(in_Mode="All Funds",AND(C1814&gt;=in_BandFloor,C1814&lt;=in_BandCeiling,OR(in_Geography="National",COUNTIFS(lst_GeoPreset,in_Geography,lst_GeoState,B1814)&gt;0,AND(in_Geography="Custom",ISNUMBER(SEARCH(B1814,SUBSTITUTE(in_CustomStates," ",""))))),OR(AND(D1814="Endowment",Inputs!$B$14="Y"),AND(D1814="Foundation",Inputs!$B$15="Y"),AND(D1814="Healthcare",Inputs!$B$16="Y"),AND(D1814="Pension",Inputs!$B$17="Y"),AND(D1814="OCIO",Inputs!$B$18="Y"),AND(D1814="Other",Inputs!$B$19="Y")))),A1814&lt;&gt;in_ClientOrg,NOT(AND(in_ExclHarvard="Y",ISNUMBER(SEARCH("Harvard",A1814))))),$AD1814="Y",K1814&lt;&gt;"",S1814&gt;0),"Y","")</f>
        <v/>
      </c>
      <c r="V1814" s="30" t="n">
        <v>0.8414291458883643</v>
      </c>
      <c r="W1814" t="inlineStr"/>
      <c r="X1814" s="28">
        <f>IF(L1814+M1814=0,"",L1814+M1814)</f>
        <v/>
      </c>
      <c r="Y1814" s="38">
        <f>IF(L1814=0,"",M1814/L1814)</f>
        <v/>
      </c>
      <c r="Z1814" t="inlineStr">
        <is>
          <t>Deputy CIO</t>
        </is>
      </c>
      <c r="AA1814" t="inlineStr">
        <is>
          <t>Leadership</t>
        </is>
      </c>
      <c r="AB1814" s="50" t="inlineStr"/>
      <c r="AC1814" s="43">
        <f>HYPERLINK("https://projects.propublica.org/nonprofits/organizations/42103637/202441359349302624/full","view filing")</f>
        <v/>
      </c>
      <c r="AD1814" s="50" t="inlineStr"/>
    </row>
    <row r="1815">
      <c r="A1815" t="inlineStr">
        <is>
          <t>Wellesley College</t>
        </is>
      </c>
      <c r="B1815" s="50" t="inlineStr">
        <is>
          <t>MA</t>
        </is>
      </c>
      <c r="C1815" s="52" t="n">
        <v>3.19</v>
      </c>
      <c r="D1815" t="inlineStr">
        <is>
          <t>Endowment</t>
        </is>
      </c>
      <c r="E1815" s="50" t="n">
        <v>2022</v>
      </c>
      <c r="F1815" s="50" t="inlineStr">
        <is>
          <t>2023-05-15</t>
        </is>
      </c>
      <c r="G1815" s="50" t="inlineStr">
        <is>
          <t>2022-06-30</t>
        </is>
      </c>
      <c r="H1815" t="inlineStr">
        <is>
          <t>Deborah F Kuenstner</t>
        </is>
      </c>
      <c r="I1815" t="inlineStr">
        <is>
          <t>CHIEF INVESTMENT OFFICER</t>
        </is>
      </c>
      <c r="J1815" t="inlineStr">
        <is>
          <t>CIO</t>
        </is>
      </c>
      <c r="K1815" t="inlineStr">
        <is>
          <t>CIO - Top Investment Executive</t>
        </is>
      </c>
      <c r="L1815" s="28" t="n">
        <v>561962</v>
      </c>
      <c r="M1815" s="28" t="n">
        <v>425400</v>
      </c>
      <c r="N1815" s="28" t="n">
        <v>3168</v>
      </c>
      <c r="O1815" s="28" t="n">
        <v>26100</v>
      </c>
      <c r="P1815" s="28" t="n">
        <v>28360</v>
      </c>
      <c r="Q1815" s="28" t="n">
        <v>1044990</v>
      </c>
      <c r="R1815" s="28" t="n">
        <v>0</v>
      </c>
      <c r="S1815" s="28">
        <f>Q1815-R1815</f>
        <v/>
      </c>
      <c r="T1815" s="28">
        <f>IF(S1815="","",S1815*(1+in_GrowthRate)^(YEARFRAC(DATE(2022,6,30),in_AgeToDate)*IF(in_AgeToDate&lt;DATE(2022,6,30),-1,1)+1))</f>
        <v/>
      </c>
      <c r="U1815" s="50">
        <f>IF(AND(AND(OR(in_Mode="All Funds",AND(C1815&gt;=in_BandFloor,C1815&lt;=in_BandCeiling,OR(in_Geography="National",COUNTIFS(lst_GeoPreset,in_Geography,lst_GeoState,B1815)&gt;0,AND(in_Geography="Custom",ISNUMBER(SEARCH(B1815,SUBSTITUTE(in_CustomStates," ",""))))),OR(AND(D1815="Endowment",Inputs!$B$14="Y"),AND(D1815="Foundation",Inputs!$B$15="Y"),AND(D1815="Healthcare",Inputs!$B$16="Y"),AND(D1815="Pension",Inputs!$B$17="Y"),AND(D1815="OCIO",Inputs!$B$18="Y"),AND(D1815="Other",Inputs!$B$19="Y")))),A1815&lt;&gt;in_ClientOrg,NOT(AND(in_ExclHarvard="Y",ISNUMBER(SEARCH("Harvard",A1815))))),$AD1815="Y",K1815&lt;&gt;"",S1815&gt;0),"Y","")</f>
        <v/>
      </c>
      <c r="V1815" s="30" t="n">
        <v>1</v>
      </c>
      <c r="W1815" t="inlineStr"/>
      <c r="X1815" s="28">
        <f>IF(L1815+M1815=0,"",L1815+M1815)</f>
        <v/>
      </c>
      <c r="Y1815" s="38">
        <f>IF(L1815=0,"",M1815/L1815)</f>
        <v/>
      </c>
      <c r="Z1815" t="inlineStr">
        <is>
          <t>CIO - Top Investment Executive</t>
        </is>
      </c>
      <c r="AA1815" t="inlineStr">
        <is>
          <t>Leadership</t>
        </is>
      </c>
      <c r="AB1815" s="50" t="inlineStr">
        <is>
          <t>Y</t>
        </is>
      </c>
      <c r="AC1815" s="43">
        <f>HYPERLINK("https://projects.propublica.org/nonprofits/organizations/42103637/202331359349311153/full","view filing")</f>
        <v/>
      </c>
      <c r="AD1815" s="50" t="inlineStr"/>
    </row>
    <row r="1816">
      <c r="A1816" t="inlineStr">
        <is>
          <t>Wellesley College</t>
        </is>
      </c>
      <c r="B1816" s="50" t="inlineStr">
        <is>
          <t>MA</t>
        </is>
      </c>
      <c r="C1816" s="52" t="n">
        <v>3.19</v>
      </c>
      <c r="D1816" t="inlineStr">
        <is>
          <t>Endowment</t>
        </is>
      </c>
      <c r="E1816" s="50" t="n">
        <v>2022</v>
      </c>
      <c r="F1816" s="50" t="inlineStr">
        <is>
          <t>2023-05-15</t>
        </is>
      </c>
      <c r="G1816" s="50" t="inlineStr">
        <is>
          <t>2022-06-30</t>
        </is>
      </c>
      <c r="H1816" t="inlineStr">
        <is>
          <t>Greg Rozolsky</t>
        </is>
      </c>
      <c r="I1816" t="inlineStr">
        <is>
          <t>INVESTMENT DIRECTOR</t>
        </is>
      </c>
      <c r="J1816" t="inlineStr">
        <is>
          <t>Director of Investments</t>
        </is>
      </c>
      <c r="K1816" t="inlineStr">
        <is>
          <t>Sr Investment Professional</t>
        </is>
      </c>
      <c r="L1816" s="28" t="n">
        <v>269587</v>
      </c>
      <c r="M1816" s="28" t="n">
        <v>206200</v>
      </c>
      <c r="N1816" s="28" t="n">
        <v>275</v>
      </c>
      <c r="O1816" s="28" t="n">
        <v>19314</v>
      </c>
      <c r="P1816" s="28" t="n">
        <v>20559</v>
      </c>
      <c r="Q1816" s="28" t="n">
        <v>515935</v>
      </c>
      <c r="R1816" s="28" t="n">
        <v>0</v>
      </c>
      <c r="S1816" s="28">
        <f>Q1816-R1816</f>
        <v/>
      </c>
      <c r="T1816" s="28">
        <f>IF(S1816="","",S1816*(1+in_GrowthRate)^(YEARFRAC(DATE(2022,6,30),in_AgeToDate)*IF(in_AgeToDate&lt;DATE(2022,6,30),-1,1)+1))</f>
        <v/>
      </c>
      <c r="U1816" s="50">
        <f>IF(AND(AND(OR(in_Mode="All Funds",AND(C1816&gt;=in_BandFloor,C1816&lt;=in_BandCeiling,OR(in_Geography="National",COUNTIFS(lst_GeoPreset,in_Geography,lst_GeoState,B1816)&gt;0,AND(in_Geography="Custom",ISNUMBER(SEARCH(B1816,SUBSTITUTE(in_CustomStates," ",""))))),OR(AND(D1816="Endowment",Inputs!$B$14="Y"),AND(D1816="Foundation",Inputs!$B$15="Y"),AND(D1816="Healthcare",Inputs!$B$16="Y"),AND(D1816="Pension",Inputs!$B$17="Y"),AND(D1816="OCIO",Inputs!$B$18="Y"),AND(D1816="Other",Inputs!$B$19="Y")))),A1816&lt;&gt;in_ClientOrg,NOT(AND(in_ExclHarvard="Y",ISNUMBER(SEARCH("Harvard",A1816))))),$AD1816="Y",K1816&lt;&gt;"",S1816&gt;0),"Y","")</f>
        <v/>
      </c>
      <c r="V1816" s="30" t="n">
        <v>0.4937224279658178</v>
      </c>
      <c r="W1816" t="inlineStr"/>
      <c r="X1816" s="28">
        <f>IF(L1816+M1816=0,"",L1816+M1816)</f>
        <v/>
      </c>
      <c r="Y1816" s="38">
        <f>IF(L1816=0,"",M1816/L1816)</f>
        <v/>
      </c>
      <c r="Z1816" t="inlineStr">
        <is>
          <t>Director &amp; Investment Officer</t>
        </is>
      </c>
      <c r="AA1816" t="inlineStr">
        <is>
          <t>Investments</t>
        </is>
      </c>
      <c r="AB1816" s="50" t="inlineStr"/>
      <c r="AC1816" s="43">
        <f>HYPERLINK("https://projects.propublica.org/nonprofits/organizations/42103637/202331359349311153/full","view filing")</f>
        <v/>
      </c>
      <c r="AD1816" s="50" t="inlineStr"/>
    </row>
    <row r="1817">
      <c r="A1817" t="inlineStr">
        <is>
          <t>Wellesley College</t>
        </is>
      </c>
      <c r="B1817" s="50" t="inlineStr">
        <is>
          <t>MA</t>
        </is>
      </c>
      <c r="C1817" s="52" t="n">
        <v>3.19</v>
      </c>
      <c r="D1817" t="inlineStr">
        <is>
          <t>Endowment</t>
        </is>
      </c>
      <c r="E1817" s="50" t="n">
        <v>2022</v>
      </c>
      <c r="F1817" s="50" t="inlineStr">
        <is>
          <t>2023-05-15</t>
        </is>
      </c>
      <c r="G1817" s="50" t="inlineStr">
        <is>
          <t>2022-06-30</t>
        </is>
      </c>
      <c r="H1817" t="inlineStr">
        <is>
          <t>Matthew Veileux</t>
        </is>
      </c>
      <c r="I1817" t="inlineStr">
        <is>
          <t>INVESTMENT DIRECTOR</t>
        </is>
      </c>
      <c r="J1817" t="inlineStr">
        <is>
          <t>Director of Investments</t>
        </is>
      </c>
      <c r="K1817" t="inlineStr">
        <is>
          <t>Sr Investment Professional</t>
        </is>
      </c>
      <c r="L1817" s="28" t="n">
        <v>226844</v>
      </c>
      <c r="M1817" s="28" t="n">
        <v>167560</v>
      </c>
      <c r="N1817" s="28" t="n">
        <v>1202</v>
      </c>
      <c r="O1817" s="28" t="n">
        <v>18125</v>
      </c>
      <c r="P1817" s="28" t="n">
        <v>11230</v>
      </c>
      <c r="Q1817" s="28" t="n">
        <v>424961</v>
      </c>
      <c r="R1817" s="28" t="n">
        <v>0</v>
      </c>
      <c r="S1817" s="28">
        <f>Q1817-R1817</f>
        <v/>
      </c>
      <c r="T1817" s="28">
        <f>IF(S1817="","",S1817*(1+in_GrowthRate)^(YEARFRAC(DATE(2022,6,30),in_AgeToDate)*IF(in_AgeToDate&lt;DATE(2022,6,30),-1,1)+1))</f>
        <v/>
      </c>
      <c r="U1817" s="50">
        <f>IF(AND(AND(OR(in_Mode="All Funds",AND(C1817&gt;=in_BandFloor,C1817&lt;=in_BandCeiling,OR(in_Geography="National",COUNTIFS(lst_GeoPreset,in_Geography,lst_GeoState,B1817)&gt;0,AND(in_Geography="Custom",ISNUMBER(SEARCH(B1817,SUBSTITUTE(in_CustomStates," ",""))))),OR(AND(D1817="Endowment",Inputs!$B$14="Y"),AND(D1817="Foundation",Inputs!$B$15="Y"),AND(D1817="Healthcare",Inputs!$B$16="Y"),AND(D1817="Pension",Inputs!$B$17="Y"),AND(D1817="OCIO",Inputs!$B$18="Y"),AND(D1817="Other",Inputs!$B$19="Y")))),A1817&lt;&gt;in_ClientOrg,NOT(AND(in_ExclHarvard="Y",ISNUMBER(SEARCH("Harvard",A1817))))),$AD1817="Y",K1817&lt;&gt;"",S1817&gt;0),"Y","")</f>
        <v/>
      </c>
      <c r="V1817" s="30" t="n">
        <v>0.4066651355515364</v>
      </c>
      <c r="W1817" t="inlineStr"/>
      <c r="X1817" s="28">
        <f>IF(L1817+M1817=0,"",L1817+M1817)</f>
        <v/>
      </c>
      <c r="Y1817" s="38">
        <f>IF(L1817=0,"",M1817/L1817)</f>
        <v/>
      </c>
      <c r="Z1817" t="inlineStr">
        <is>
          <t>Director &amp; Investment Officer</t>
        </is>
      </c>
      <c r="AA1817" t="inlineStr">
        <is>
          <t>Investments</t>
        </is>
      </c>
      <c r="AB1817" s="50" t="inlineStr"/>
      <c r="AC1817" s="43">
        <f>HYPERLINK("https://projects.propublica.org/nonprofits/organizations/42103637/202331359349311153/full","view filing")</f>
        <v/>
      </c>
      <c r="AD1817" s="50" t="inlineStr"/>
    </row>
    <row r="1818">
      <c r="A1818" t="inlineStr">
        <is>
          <t>Wellesley College</t>
        </is>
      </c>
      <c r="B1818" s="50" t="inlineStr">
        <is>
          <t>MA</t>
        </is>
      </c>
      <c r="C1818" s="52" t="n">
        <v>3.19</v>
      </c>
      <c r="D1818" t="inlineStr">
        <is>
          <t>Endowment</t>
        </is>
      </c>
      <c r="E1818" s="50" t="n">
        <v>2022</v>
      </c>
      <c r="F1818" s="50" t="inlineStr">
        <is>
          <t>2023-05-15</t>
        </is>
      </c>
      <c r="G1818" s="50" t="inlineStr">
        <is>
          <t>2022-06-30</t>
        </is>
      </c>
      <c r="H1818" t="inlineStr">
        <is>
          <t>Rose C Carpenter</t>
        </is>
      </c>
      <c r="I1818" t="inlineStr">
        <is>
          <t>MANAGING DIRECTOR TO DEPUTY CIO</t>
        </is>
      </c>
      <c r="J1818" t="inlineStr">
        <is>
          <t>Deputy CIO</t>
        </is>
      </c>
      <c r="K1818" t="inlineStr">
        <is>
          <t>Sr Investment Professional</t>
        </is>
      </c>
      <c r="L1818" s="28" t="n">
        <v>413462</v>
      </c>
      <c r="M1818" s="28" t="n">
        <v>530000</v>
      </c>
      <c r="N1818" s="28" t="n">
        <v>450</v>
      </c>
      <c r="O1818" s="28" t="n">
        <v>26100</v>
      </c>
      <c r="P1818" s="28" t="n">
        <v>31704</v>
      </c>
      <c r="Q1818" s="28" t="n">
        <v>1001716</v>
      </c>
      <c r="R1818" s="28" t="n">
        <v>0</v>
      </c>
      <c r="S1818" s="28">
        <f>Q1818-R1818</f>
        <v/>
      </c>
      <c r="T1818" s="28">
        <f>IF(S1818="","",S1818*(1+in_GrowthRate)^(YEARFRAC(DATE(2022,6,30),in_AgeToDate)*IF(in_AgeToDate&lt;DATE(2022,6,30),-1,1)+1))</f>
        <v/>
      </c>
      <c r="U1818" s="50">
        <f>IF(AND(AND(OR(in_Mode="All Funds",AND(C1818&gt;=in_BandFloor,C1818&lt;=in_BandCeiling,OR(in_Geography="National",COUNTIFS(lst_GeoPreset,in_Geography,lst_GeoState,B1818)&gt;0,AND(in_Geography="Custom",ISNUMBER(SEARCH(B1818,SUBSTITUTE(in_CustomStates," ",""))))),OR(AND(D1818="Endowment",Inputs!$B$14="Y"),AND(D1818="Foundation",Inputs!$B$15="Y"),AND(D1818="Healthcare",Inputs!$B$16="Y"),AND(D1818="Pension",Inputs!$B$17="Y"),AND(D1818="OCIO",Inputs!$B$18="Y"),AND(D1818="Other",Inputs!$B$19="Y")))),A1818&lt;&gt;in_ClientOrg,NOT(AND(in_ExclHarvard="Y",ISNUMBER(SEARCH("Harvard",A1818))))),$AD1818="Y",K1818&lt;&gt;"",S1818&gt;0),"Y","")</f>
        <v/>
      </c>
      <c r="V1818" s="30" t="n">
        <v>0.9585890774074393</v>
      </c>
      <c r="W1818" t="inlineStr"/>
      <c r="X1818" s="28">
        <f>IF(L1818+M1818=0,"",L1818+M1818)</f>
        <v/>
      </c>
      <c r="Y1818" s="38">
        <f>IF(L1818=0,"",M1818/L1818)</f>
        <v/>
      </c>
      <c r="Z1818" t="inlineStr">
        <is>
          <t>Deputy CIO</t>
        </is>
      </c>
      <c r="AA1818" t="inlineStr">
        <is>
          <t>Leadership</t>
        </is>
      </c>
      <c r="AB1818" s="50" t="inlineStr"/>
      <c r="AC1818" s="43">
        <f>HYPERLINK("https://projects.propublica.org/nonprofits/organizations/42103637/202331359349311153/full","view filing")</f>
        <v/>
      </c>
      <c r="AD1818" s="50" t="inlineStr"/>
    </row>
    <row r="1819">
      <c r="A1819" t="inlineStr">
        <is>
          <t>Wesleyan University</t>
        </is>
      </c>
      <c r="B1819" s="50" t="inlineStr">
        <is>
          <t>CT</t>
        </is>
      </c>
      <c r="C1819" s="52" t="n">
        <v>1.64</v>
      </c>
      <c r="D1819" t="inlineStr">
        <is>
          <t>Endowment</t>
        </is>
      </c>
      <c r="E1819" s="50" t="n">
        <v>2025</v>
      </c>
      <c r="F1819" s="50" t="inlineStr">
        <is>
          <t>2026-05-13</t>
        </is>
      </c>
      <c r="G1819" s="50" t="inlineStr">
        <is>
          <t>2025-06-30</t>
        </is>
      </c>
      <c r="H1819" t="inlineStr">
        <is>
          <t>Anne Martin</t>
        </is>
      </c>
      <c r="I1819" t="inlineStr">
        <is>
          <t>CHIEF INVESTMENT OFFICER</t>
        </is>
      </c>
      <c r="J1819" t="inlineStr">
        <is>
          <t>CIO</t>
        </is>
      </c>
      <c r="K1819" t="inlineStr">
        <is>
          <t>CIO - Top Investment Executive</t>
        </is>
      </c>
      <c r="L1819" s="28" t="n">
        <v>644379</v>
      </c>
      <c r="M1819" s="28" t="n">
        <v>603023</v>
      </c>
      <c r="N1819" s="28" t="n">
        <v>23050</v>
      </c>
      <c r="O1819" s="28" t="n">
        <v>46000</v>
      </c>
      <c r="P1819" s="28" t="n">
        <v>59154</v>
      </c>
      <c r="Q1819" s="28" t="n">
        <v>1375606</v>
      </c>
      <c r="R1819" s="28" t="n">
        <v>0</v>
      </c>
      <c r="S1819" s="28">
        <f>Q1819-R1819</f>
        <v/>
      </c>
      <c r="T1819" s="28">
        <f>IF(S1819="","",S1819*(1+in_GrowthRate)^(YEARFRAC(DATE(2025,6,30),in_AgeToDate)*IF(in_AgeToDate&lt;DATE(2025,6,30),-1,1)+1))</f>
        <v/>
      </c>
      <c r="U1819" s="50">
        <f>IF(AND(AND(OR(in_Mode="All Funds",AND(C1819&gt;=in_BandFloor,C1819&lt;=in_BandCeiling,OR(in_Geography="National",COUNTIFS(lst_GeoPreset,in_Geography,lst_GeoState,B1819)&gt;0,AND(in_Geography="Custom",ISNUMBER(SEARCH(B1819,SUBSTITUTE(in_CustomStates," ",""))))),OR(AND(D1819="Endowment",Inputs!$B$14="Y"),AND(D1819="Foundation",Inputs!$B$15="Y"),AND(D1819="Healthcare",Inputs!$B$16="Y"),AND(D1819="Pension",Inputs!$B$17="Y"),AND(D1819="OCIO",Inputs!$B$18="Y"),AND(D1819="Other",Inputs!$B$19="Y")))),A1819&lt;&gt;in_ClientOrg,NOT(AND(in_ExclHarvard="Y",ISNUMBER(SEARCH("Harvard",A1819))))),$AD1819="Y",K1819&lt;&gt;"",S1819&gt;0),"Y","")</f>
        <v/>
      </c>
      <c r="V1819" s="30" t="n">
        <v>1</v>
      </c>
      <c r="W1819" t="inlineStr"/>
      <c r="X1819" s="28">
        <f>IF(L1819+M1819=0,"",L1819+M1819)</f>
        <v/>
      </c>
      <c r="Y1819" s="38">
        <f>IF(L1819=0,"",M1819/L1819)</f>
        <v/>
      </c>
      <c r="Z1819" t="inlineStr">
        <is>
          <t>CIO - Top Investment Executive</t>
        </is>
      </c>
      <c r="AA1819" t="inlineStr">
        <is>
          <t>Leadership</t>
        </is>
      </c>
      <c r="AB1819" s="50" t="inlineStr">
        <is>
          <t>Y</t>
        </is>
      </c>
      <c r="AC1819" s="43">
        <f>HYPERLINK("https://projects.propublica.org/nonprofits/organizations/60646959/202641339349307904/full","view filing")</f>
        <v/>
      </c>
      <c r="AD1819" s="50" t="inlineStr">
        <is>
          <t>Y</t>
        </is>
      </c>
    </row>
    <row r="1820">
      <c r="A1820" t="inlineStr">
        <is>
          <t>Wesleyan University</t>
        </is>
      </c>
      <c r="B1820" s="50" t="inlineStr">
        <is>
          <t>CT</t>
        </is>
      </c>
      <c r="C1820" s="52" t="n">
        <v>1.64</v>
      </c>
      <c r="D1820" t="inlineStr">
        <is>
          <t>Endowment</t>
        </is>
      </c>
      <c r="E1820" s="50" t="n">
        <v>2025</v>
      </c>
      <c r="F1820" s="50" t="inlineStr">
        <is>
          <t>2026-05-13</t>
        </is>
      </c>
      <c r="G1820" s="50" t="inlineStr">
        <is>
          <t>2025-06-30</t>
        </is>
      </c>
      <c r="H1820" t="inlineStr">
        <is>
          <t>Jonathan Don Farrar</t>
        </is>
      </c>
      <c r="I1820" t="inlineStr">
        <is>
          <t>DIRECTOR OF INVESTMENTS</t>
        </is>
      </c>
      <c r="J1820" t="inlineStr">
        <is>
          <t>Director of Investments</t>
        </is>
      </c>
      <c r="K1820" t="inlineStr">
        <is>
          <t>Sr Investment Professional</t>
        </is>
      </c>
      <c r="L1820" s="28" t="n">
        <v>311442</v>
      </c>
      <c r="M1820" s="28" t="n">
        <v>275303</v>
      </c>
      <c r="N1820" s="28" t="n">
        <v>23000</v>
      </c>
      <c r="O1820" s="28" t="n">
        <v>43010</v>
      </c>
      <c r="P1820" s="28" t="n">
        <v>63038</v>
      </c>
      <c r="Q1820" s="28" t="n">
        <v>715793</v>
      </c>
      <c r="R1820" s="28" t="n">
        <v>0</v>
      </c>
      <c r="S1820" s="28">
        <f>Q1820-R1820</f>
        <v/>
      </c>
      <c r="T1820" s="28">
        <f>IF(S1820="","",S1820*(1+in_GrowthRate)^(YEARFRAC(DATE(2025,6,30),in_AgeToDate)*IF(in_AgeToDate&lt;DATE(2025,6,30),-1,1)+1))</f>
        <v/>
      </c>
      <c r="U1820" s="50">
        <f>IF(AND(AND(OR(in_Mode="All Funds",AND(C1820&gt;=in_BandFloor,C1820&lt;=in_BandCeiling,OR(in_Geography="National",COUNTIFS(lst_GeoPreset,in_Geography,lst_GeoState,B1820)&gt;0,AND(in_Geography="Custom",ISNUMBER(SEARCH(B1820,SUBSTITUTE(in_CustomStates," ",""))))),OR(AND(D1820="Endowment",Inputs!$B$14="Y"),AND(D1820="Foundation",Inputs!$B$15="Y"),AND(D1820="Healthcare",Inputs!$B$16="Y"),AND(D1820="Pension",Inputs!$B$17="Y"),AND(D1820="OCIO",Inputs!$B$18="Y"),AND(D1820="Other",Inputs!$B$19="Y")))),A1820&lt;&gt;in_ClientOrg,NOT(AND(in_ExclHarvard="Y",ISNUMBER(SEARCH("Harvard",A1820))))),$AD1820="Y",K1820&lt;&gt;"",S1820&gt;0),"Y","")</f>
        <v/>
      </c>
      <c r="V1820" s="30" t="n">
        <v>0.5203473959840245</v>
      </c>
      <c r="W1820" t="inlineStr"/>
      <c r="X1820" s="28">
        <f>IF(L1820+M1820=0,"",L1820+M1820)</f>
        <v/>
      </c>
      <c r="Y1820" s="38">
        <f>IF(L1820=0,"",M1820/L1820)</f>
        <v/>
      </c>
      <c r="Z1820" t="inlineStr">
        <is>
          <t>Director &amp; Investment Officer</t>
        </is>
      </c>
      <c r="AA1820" t="inlineStr">
        <is>
          <t>Investments</t>
        </is>
      </c>
      <c r="AB1820" s="50" t="inlineStr"/>
      <c r="AC1820" s="43">
        <f>HYPERLINK("https://projects.propublica.org/nonprofits/organizations/60646959/202641339349307904/full","view filing")</f>
        <v/>
      </c>
      <c r="AD1820" s="50" t="inlineStr">
        <is>
          <t>Y</t>
        </is>
      </c>
    </row>
    <row r="1821">
      <c r="A1821" t="inlineStr">
        <is>
          <t>Wesleyan University</t>
        </is>
      </c>
      <c r="B1821" s="50" t="inlineStr">
        <is>
          <t>CT</t>
        </is>
      </c>
      <c r="C1821" s="52" t="n">
        <v>1.64</v>
      </c>
      <c r="D1821" t="inlineStr">
        <is>
          <t>Endowment</t>
        </is>
      </c>
      <c r="E1821" s="50" t="n">
        <v>2025</v>
      </c>
      <c r="F1821" s="50" t="inlineStr">
        <is>
          <t>2026-05-13</t>
        </is>
      </c>
      <c r="G1821" s="50" t="inlineStr">
        <is>
          <t>2025-06-30</t>
        </is>
      </c>
      <c r="H1821" t="inlineStr">
        <is>
          <t>Matthew Magenheim</t>
        </is>
      </c>
      <c r="I1821" t="inlineStr">
        <is>
          <t>DIRECTOR INVESTMENT OFFICE</t>
        </is>
      </c>
      <c r="J1821" t="inlineStr">
        <is>
          <t>Director of Investments</t>
        </is>
      </c>
      <c r="K1821" t="inlineStr">
        <is>
          <t>Sr Investment Professional</t>
        </is>
      </c>
      <c r="L1821" s="28" t="n">
        <v>294356</v>
      </c>
      <c r="M1821" s="28" t="n">
        <v>187320</v>
      </c>
      <c r="N1821" s="28" t="n">
        <v>23100</v>
      </c>
      <c r="O1821" s="28" t="n">
        <v>39959</v>
      </c>
      <c r="P1821" s="28" t="n">
        <v>45083</v>
      </c>
      <c r="Q1821" s="28" t="n">
        <v>589818</v>
      </c>
      <c r="R1821" s="28" t="n">
        <v>0</v>
      </c>
      <c r="S1821" s="28">
        <f>Q1821-R1821</f>
        <v/>
      </c>
      <c r="T1821" s="28">
        <f>IF(S1821="","",S1821*(1+in_GrowthRate)^(YEARFRAC(DATE(2025,6,30),in_AgeToDate)*IF(in_AgeToDate&lt;DATE(2025,6,30),-1,1)+1))</f>
        <v/>
      </c>
      <c r="U1821" s="50">
        <f>IF(AND(AND(OR(in_Mode="All Funds",AND(C1821&gt;=in_BandFloor,C1821&lt;=in_BandCeiling,OR(in_Geography="National",COUNTIFS(lst_GeoPreset,in_Geography,lst_GeoState,B1821)&gt;0,AND(in_Geography="Custom",ISNUMBER(SEARCH(B1821,SUBSTITUTE(in_CustomStates," ",""))))),OR(AND(D1821="Endowment",Inputs!$B$14="Y"),AND(D1821="Foundation",Inputs!$B$15="Y"),AND(D1821="Healthcare",Inputs!$B$16="Y"),AND(D1821="Pension",Inputs!$B$17="Y"),AND(D1821="OCIO",Inputs!$B$18="Y"),AND(D1821="Other",Inputs!$B$19="Y")))),A1821&lt;&gt;in_ClientOrg,NOT(AND(in_ExclHarvard="Y",ISNUMBER(SEARCH("Harvard",A1821))))),$AD1821="Y",K1821&lt;&gt;"",S1821&gt;0),"Y","")</f>
        <v/>
      </c>
      <c r="V1821" s="30" t="n">
        <v>0.4287695750091233</v>
      </c>
      <c r="W1821" t="inlineStr"/>
      <c r="X1821" s="28">
        <f>IF(L1821+M1821=0,"",L1821+M1821)</f>
        <v/>
      </c>
      <c r="Y1821" s="38">
        <f>IF(L1821=0,"",M1821/L1821)</f>
        <v/>
      </c>
      <c r="Z1821" t="inlineStr">
        <is>
          <t>Director &amp; Investment Officer</t>
        </is>
      </c>
      <c r="AA1821" t="inlineStr">
        <is>
          <t>Investments</t>
        </is>
      </c>
      <c r="AB1821" s="50" t="inlineStr"/>
      <c r="AC1821" s="43">
        <f>HYPERLINK("https://projects.propublica.org/nonprofits/organizations/60646959/202641339349307904/full","view filing")</f>
        <v/>
      </c>
      <c r="AD1821" s="50" t="inlineStr">
        <is>
          <t>Y</t>
        </is>
      </c>
    </row>
    <row r="1822">
      <c r="A1822" t="inlineStr">
        <is>
          <t>Wesleyan University</t>
        </is>
      </c>
      <c r="B1822" s="50" t="inlineStr">
        <is>
          <t>CT</t>
        </is>
      </c>
      <c r="C1822" s="52" t="n">
        <v>1.64</v>
      </c>
      <c r="D1822" t="inlineStr">
        <is>
          <t>Endowment</t>
        </is>
      </c>
      <c r="E1822" s="50" t="n">
        <v>2024</v>
      </c>
      <c r="F1822" s="50" t="inlineStr">
        <is>
          <t>2025-05-15</t>
        </is>
      </c>
      <c r="G1822" s="50" t="inlineStr">
        <is>
          <t>2024-06-30</t>
        </is>
      </c>
      <c r="H1822" t="inlineStr">
        <is>
          <t>Anne Martin</t>
        </is>
      </c>
      <c r="I1822" t="inlineStr">
        <is>
          <t>CHIEF INVESTMENT OFFICER</t>
        </is>
      </c>
      <c r="J1822" t="inlineStr">
        <is>
          <t>CIO</t>
        </is>
      </c>
      <c r="K1822" t="inlineStr">
        <is>
          <t>CIO - Top Investment Executive</t>
        </is>
      </c>
      <c r="L1822" s="28" t="n">
        <v>641897</v>
      </c>
      <c r="M1822" s="28" t="n">
        <v>693985</v>
      </c>
      <c r="N1822" s="28" t="n">
        <v>0</v>
      </c>
      <c r="O1822" s="28" t="n">
        <v>52145</v>
      </c>
      <c r="P1822" s="28" t="n">
        <v>68566</v>
      </c>
      <c r="Q1822" s="28" t="n">
        <v>1456593</v>
      </c>
      <c r="R1822" s="28" t="n">
        <v>0</v>
      </c>
      <c r="S1822" s="28">
        <f>Q1822-R1822</f>
        <v/>
      </c>
      <c r="T1822" s="28">
        <f>IF(S1822="","",S1822*(1+in_GrowthRate)^(YEARFRAC(DATE(2024,6,30),in_AgeToDate)*IF(in_AgeToDate&lt;DATE(2024,6,30),-1,1)+1))</f>
        <v/>
      </c>
      <c r="U1822" s="50">
        <f>IF(AND(AND(OR(in_Mode="All Funds",AND(C1822&gt;=in_BandFloor,C1822&lt;=in_BandCeiling,OR(in_Geography="National",COUNTIFS(lst_GeoPreset,in_Geography,lst_GeoState,B1822)&gt;0,AND(in_Geography="Custom",ISNUMBER(SEARCH(B1822,SUBSTITUTE(in_CustomStates," ",""))))),OR(AND(D1822="Endowment",Inputs!$B$14="Y"),AND(D1822="Foundation",Inputs!$B$15="Y"),AND(D1822="Healthcare",Inputs!$B$16="Y"),AND(D1822="Pension",Inputs!$B$17="Y"),AND(D1822="OCIO",Inputs!$B$18="Y"),AND(D1822="Other",Inputs!$B$19="Y")))),A1822&lt;&gt;in_ClientOrg,NOT(AND(in_ExclHarvard="Y",ISNUMBER(SEARCH("Harvard",A1822))))),$AD1822="Y",K1822&lt;&gt;"",S1822&gt;0),"Y","")</f>
        <v/>
      </c>
      <c r="V1822" s="30" t="n">
        <v>1</v>
      </c>
      <c r="W1822" t="inlineStr"/>
      <c r="X1822" s="28">
        <f>IF(L1822+M1822=0,"",L1822+M1822)</f>
        <v/>
      </c>
      <c r="Y1822" s="38">
        <f>IF(L1822=0,"",M1822/L1822)</f>
        <v/>
      </c>
      <c r="Z1822" t="inlineStr">
        <is>
          <t>CIO - Top Investment Executive</t>
        </is>
      </c>
      <c r="AA1822" t="inlineStr">
        <is>
          <t>Leadership</t>
        </is>
      </c>
      <c r="AB1822" s="50" t="inlineStr">
        <is>
          <t>Y</t>
        </is>
      </c>
      <c r="AC1822" s="43">
        <f>HYPERLINK("https://projects.propublica.org/nonprofits/organizations/60646959/202531359349305048/full","view filing")</f>
        <v/>
      </c>
      <c r="AD1822" s="50" t="inlineStr"/>
    </row>
    <row r="1823">
      <c r="A1823" t="inlineStr">
        <is>
          <t>Wesleyan University</t>
        </is>
      </c>
      <c r="B1823" s="50" t="inlineStr">
        <is>
          <t>CT</t>
        </is>
      </c>
      <c r="C1823" s="52" t="n">
        <v>1.64</v>
      </c>
      <c r="D1823" t="inlineStr">
        <is>
          <t>Endowment</t>
        </is>
      </c>
      <c r="E1823" s="50" t="n">
        <v>2024</v>
      </c>
      <c r="F1823" s="50" t="inlineStr">
        <is>
          <t>2025-05-15</t>
        </is>
      </c>
      <c r="G1823" s="50" t="inlineStr">
        <is>
          <t>2024-06-30</t>
        </is>
      </c>
      <c r="H1823" t="inlineStr">
        <is>
          <t>Jonathan Don Farrar</t>
        </is>
      </c>
      <c r="I1823" t="inlineStr">
        <is>
          <t>DIRECTOR OF INVESTMENTS</t>
        </is>
      </c>
      <c r="J1823" t="inlineStr">
        <is>
          <t>Director of Investments</t>
        </is>
      </c>
      <c r="K1823" t="inlineStr">
        <is>
          <t>Sr Investment Professional</t>
        </is>
      </c>
      <c r="L1823" s="28" t="n">
        <v>323979</v>
      </c>
      <c r="M1823" s="28" t="n">
        <v>301080</v>
      </c>
      <c r="N1823" s="28" t="n">
        <v>0</v>
      </c>
      <c r="O1823" s="28" t="n">
        <v>53085</v>
      </c>
      <c r="P1823" s="28" t="n">
        <v>66179</v>
      </c>
      <c r="Q1823" s="28" t="n">
        <v>744323</v>
      </c>
      <c r="R1823" s="28" t="n">
        <v>0</v>
      </c>
      <c r="S1823" s="28">
        <f>Q1823-R1823</f>
        <v/>
      </c>
      <c r="T1823" s="28">
        <f>IF(S1823="","",S1823*(1+in_GrowthRate)^(YEARFRAC(DATE(2024,6,30),in_AgeToDate)*IF(in_AgeToDate&lt;DATE(2024,6,30),-1,1)+1))</f>
        <v/>
      </c>
      <c r="U1823" s="50">
        <f>IF(AND(AND(OR(in_Mode="All Funds",AND(C1823&gt;=in_BandFloor,C1823&lt;=in_BandCeiling,OR(in_Geography="National",COUNTIFS(lst_GeoPreset,in_Geography,lst_GeoState,B1823)&gt;0,AND(in_Geography="Custom",ISNUMBER(SEARCH(B1823,SUBSTITUTE(in_CustomStates," ",""))))),OR(AND(D1823="Endowment",Inputs!$B$14="Y"),AND(D1823="Foundation",Inputs!$B$15="Y"),AND(D1823="Healthcare",Inputs!$B$16="Y"),AND(D1823="Pension",Inputs!$B$17="Y"),AND(D1823="OCIO",Inputs!$B$18="Y"),AND(D1823="Other",Inputs!$B$19="Y")))),A1823&lt;&gt;in_ClientOrg,NOT(AND(in_ExclHarvard="Y",ISNUMBER(SEARCH("Harvard",A1823))))),$AD1823="Y",K1823&lt;&gt;"",S1823&gt;0),"Y","")</f>
        <v/>
      </c>
      <c r="V1823" s="30" t="n">
        <v>0.5110027303440289</v>
      </c>
      <c r="W1823" t="inlineStr"/>
      <c r="X1823" s="28">
        <f>IF(L1823+M1823=0,"",L1823+M1823)</f>
        <v/>
      </c>
      <c r="Y1823" s="38">
        <f>IF(L1823=0,"",M1823/L1823)</f>
        <v/>
      </c>
      <c r="Z1823" t="inlineStr">
        <is>
          <t>Director &amp; Investment Officer</t>
        </is>
      </c>
      <c r="AA1823" t="inlineStr">
        <is>
          <t>Investments</t>
        </is>
      </c>
      <c r="AB1823" s="50" t="inlineStr"/>
      <c r="AC1823" s="43">
        <f>HYPERLINK("https://projects.propublica.org/nonprofits/organizations/60646959/202531359349305048/full","view filing")</f>
        <v/>
      </c>
      <c r="AD1823" s="50" t="inlineStr"/>
    </row>
    <row r="1824">
      <c r="A1824" t="inlineStr">
        <is>
          <t>Wesleyan University</t>
        </is>
      </c>
      <c r="B1824" s="50" t="inlineStr">
        <is>
          <t>CT</t>
        </is>
      </c>
      <c r="C1824" s="52" t="n">
        <v>1.64</v>
      </c>
      <c r="D1824" t="inlineStr">
        <is>
          <t>Endowment</t>
        </is>
      </c>
      <c r="E1824" s="50" t="n">
        <v>2024</v>
      </c>
      <c r="F1824" s="50" t="inlineStr">
        <is>
          <t>2025-05-15</t>
        </is>
      </c>
      <c r="G1824" s="50" t="inlineStr">
        <is>
          <t>2024-06-30</t>
        </is>
      </c>
      <c r="H1824" t="inlineStr">
        <is>
          <t>Matthew Magenheim</t>
        </is>
      </c>
      <c r="I1824" t="inlineStr">
        <is>
          <t>DIRECTOR INVESTMENT OFFICE</t>
        </is>
      </c>
      <c r="J1824" t="inlineStr">
        <is>
          <t>Director of Investments</t>
        </is>
      </c>
      <c r="K1824" t="inlineStr">
        <is>
          <t>Sr Investment Professional</t>
        </is>
      </c>
      <c r="L1824" s="28" t="n">
        <v>286304</v>
      </c>
      <c r="M1824" s="28" t="n">
        <v>189044</v>
      </c>
      <c r="N1824" s="28" t="n">
        <v>0</v>
      </c>
      <c r="O1824" s="28" t="n">
        <v>49722</v>
      </c>
      <c r="P1824" s="28" t="n">
        <v>49239</v>
      </c>
      <c r="Q1824" s="28" t="n">
        <v>574309</v>
      </c>
      <c r="R1824" s="28" t="n">
        <v>0</v>
      </c>
      <c r="S1824" s="28">
        <f>Q1824-R1824</f>
        <v/>
      </c>
      <c r="T1824" s="28">
        <f>IF(S1824="","",S1824*(1+in_GrowthRate)^(YEARFRAC(DATE(2024,6,30),in_AgeToDate)*IF(in_AgeToDate&lt;DATE(2024,6,30),-1,1)+1))</f>
        <v/>
      </c>
      <c r="U1824" s="50">
        <f>IF(AND(AND(OR(in_Mode="All Funds",AND(C1824&gt;=in_BandFloor,C1824&lt;=in_BandCeiling,OR(in_Geography="National",COUNTIFS(lst_GeoPreset,in_Geography,lst_GeoState,B1824)&gt;0,AND(in_Geography="Custom",ISNUMBER(SEARCH(B1824,SUBSTITUTE(in_CustomStates," ",""))))),OR(AND(D1824="Endowment",Inputs!$B$14="Y"),AND(D1824="Foundation",Inputs!$B$15="Y"),AND(D1824="Healthcare",Inputs!$B$16="Y"),AND(D1824="Pension",Inputs!$B$17="Y"),AND(D1824="OCIO",Inputs!$B$18="Y"),AND(D1824="Other",Inputs!$B$19="Y")))),A1824&lt;&gt;in_ClientOrg,NOT(AND(in_ExclHarvard="Y",ISNUMBER(SEARCH("Harvard",A1824))))),$AD1824="Y",K1824&lt;&gt;"",S1824&gt;0),"Y","")</f>
        <v/>
      </c>
      <c r="V1824" s="30" t="n">
        <v>0.394282411078455</v>
      </c>
      <c r="W1824" t="inlineStr"/>
      <c r="X1824" s="28">
        <f>IF(L1824+M1824=0,"",L1824+M1824)</f>
        <v/>
      </c>
      <c r="Y1824" s="38">
        <f>IF(L1824=0,"",M1824/L1824)</f>
        <v/>
      </c>
      <c r="Z1824" t="inlineStr">
        <is>
          <t>Director &amp; Investment Officer</t>
        </is>
      </c>
      <c r="AA1824" t="inlineStr">
        <is>
          <t>Investments</t>
        </is>
      </c>
      <c r="AB1824" s="50" t="inlineStr"/>
      <c r="AC1824" s="43">
        <f>HYPERLINK("https://projects.propublica.org/nonprofits/organizations/60646959/202531359349305048/full","view filing")</f>
        <v/>
      </c>
      <c r="AD1824" s="50" t="inlineStr"/>
    </row>
    <row r="1825">
      <c r="A1825" t="inlineStr">
        <is>
          <t>Wesleyan University</t>
        </is>
      </c>
      <c r="B1825" s="50" t="inlineStr">
        <is>
          <t>CT</t>
        </is>
      </c>
      <c r="C1825" s="52" t="n">
        <v>1.64</v>
      </c>
      <c r="D1825" t="inlineStr">
        <is>
          <t>Endowment</t>
        </is>
      </c>
      <c r="E1825" s="50" t="n">
        <v>2023</v>
      </c>
      <c r="F1825" s="50" t="inlineStr">
        <is>
          <t>2024-05-15</t>
        </is>
      </c>
      <c r="G1825" s="50" t="inlineStr">
        <is>
          <t>2023-06-30</t>
        </is>
      </c>
      <c r="H1825" t="inlineStr">
        <is>
          <t>Anne Martin</t>
        </is>
      </c>
      <c r="I1825" t="inlineStr">
        <is>
          <t>CHIEF INVESTMENT OFFICER</t>
        </is>
      </c>
      <c r="J1825" t="inlineStr">
        <is>
          <t>CIO</t>
        </is>
      </c>
      <c r="K1825" t="inlineStr">
        <is>
          <t>CIO - Top Investment Executive</t>
        </is>
      </c>
      <c r="L1825" s="28" t="n">
        <v>622394</v>
      </c>
      <c r="M1825" s="28" t="n">
        <v>638998</v>
      </c>
      <c r="N1825" s="28" t="n">
        <v>0</v>
      </c>
      <c r="O1825" s="28" t="n">
        <v>48585</v>
      </c>
      <c r="P1825" s="28" t="n">
        <v>66127</v>
      </c>
      <c r="Q1825" s="28" t="n">
        <v>1376104</v>
      </c>
      <c r="R1825" s="28" t="n">
        <v>0</v>
      </c>
      <c r="S1825" s="28">
        <f>Q1825-R1825</f>
        <v/>
      </c>
      <c r="T1825" s="28">
        <f>IF(S1825="","",S1825*(1+in_GrowthRate)^(YEARFRAC(DATE(2023,6,30),in_AgeToDate)*IF(in_AgeToDate&lt;DATE(2023,6,30),-1,1)+1))</f>
        <v/>
      </c>
      <c r="U1825" s="50">
        <f>IF(AND(AND(OR(in_Mode="All Funds",AND(C1825&gt;=in_BandFloor,C1825&lt;=in_BandCeiling,OR(in_Geography="National",COUNTIFS(lst_GeoPreset,in_Geography,lst_GeoState,B1825)&gt;0,AND(in_Geography="Custom",ISNUMBER(SEARCH(B1825,SUBSTITUTE(in_CustomStates," ",""))))),OR(AND(D1825="Endowment",Inputs!$B$14="Y"),AND(D1825="Foundation",Inputs!$B$15="Y"),AND(D1825="Healthcare",Inputs!$B$16="Y"),AND(D1825="Pension",Inputs!$B$17="Y"),AND(D1825="OCIO",Inputs!$B$18="Y"),AND(D1825="Other",Inputs!$B$19="Y")))),A1825&lt;&gt;in_ClientOrg,NOT(AND(in_ExclHarvard="Y",ISNUMBER(SEARCH("Harvard",A1825))))),$AD1825="Y",K1825&lt;&gt;"",S1825&gt;0),"Y","")</f>
        <v/>
      </c>
      <c r="V1825" s="30" t="n">
        <v>1</v>
      </c>
      <c r="W1825" t="inlineStr"/>
      <c r="X1825" s="28">
        <f>IF(L1825+M1825=0,"",L1825+M1825)</f>
        <v/>
      </c>
      <c r="Y1825" s="38">
        <f>IF(L1825=0,"",M1825/L1825)</f>
        <v/>
      </c>
      <c r="Z1825" t="inlineStr">
        <is>
          <t>CIO - Top Investment Executive</t>
        </is>
      </c>
      <c r="AA1825" t="inlineStr">
        <is>
          <t>Leadership</t>
        </is>
      </c>
      <c r="AB1825" s="50" t="inlineStr">
        <is>
          <t>Y</t>
        </is>
      </c>
      <c r="AC1825" s="43">
        <f>HYPERLINK("https://projects.propublica.org/nonprofits/organizations/60646959/202411369349310371/full","view filing")</f>
        <v/>
      </c>
      <c r="AD1825" s="50" t="inlineStr"/>
    </row>
    <row r="1826">
      <c r="A1826" t="inlineStr">
        <is>
          <t>Wesleyan University</t>
        </is>
      </c>
      <c r="B1826" s="50" t="inlineStr">
        <is>
          <t>CT</t>
        </is>
      </c>
      <c r="C1826" s="52" t="n">
        <v>1.64</v>
      </c>
      <c r="D1826" t="inlineStr">
        <is>
          <t>Endowment</t>
        </is>
      </c>
      <c r="E1826" s="50" t="n">
        <v>2023</v>
      </c>
      <c r="F1826" s="50" t="inlineStr">
        <is>
          <t>2024-05-15</t>
        </is>
      </c>
      <c r="G1826" s="50" t="inlineStr">
        <is>
          <t>2023-06-30</t>
        </is>
      </c>
      <c r="H1826" t="inlineStr">
        <is>
          <t>Jonathan Don Farrar</t>
        </is>
      </c>
      <c r="I1826" t="inlineStr">
        <is>
          <t>DIRECTOR OF INVESTMENTS</t>
        </is>
      </c>
      <c r="J1826" t="inlineStr">
        <is>
          <t>Director of Investments</t>
        </is>
      </c>
      <c r="K1826" t="inlineStr">
        <is>
          <t>Sr Investment Professional</t>
        </is>
      </c>
      <c r="L1826" s="28" t="n">
        <v>308903</v>
      </c>
      <c r="M1826" s="28" t="n">
        <v>239843</v>
      </c>
      <c r="N1826" s="28" t="n">
        <v>0</v>
      </c>
      <c r="O1826" s="28" t="n">
        <v>44415</v>
      </c>
      <c r="P1826" s="28" t="n">
        <v>67792</v>
      </c>
      <c r="Q1826" s="28" t="n">
        <v>660953</v>
      </c>
      <c r="R1826" s="28" t="n">
        <v>0</v>
      </c>
      <c r="S1826" s="28">
        <f>Q1826-R1826</f>
        <v/>
      </c>
      <c r="T1826" s="28">
        <f>IF(S1826="","",S1826*(1+in_GrowthRate)^(YEARFRAC(DATE(2023,6,30),in_AgeToDate)*IF(in_AgeToDate&lt;DATE(2023,6,30),-1,1)+1))</f>
        <v/>
      </c>
      <c r="U1826" s="50">
        <f>IF(AND(AND(OR(in_Mode="All Funds",AND(C1826&gt;=in_BandFloor,C1826&lt;=in_BandCeiling,OR(in_Geography="National",COUNTIFS(lst_GeoPreset,in_Geography,lst_GeoState,B1826)&gt;0,AND(in_Geography="Custom",ISNUMBER(SEARCH(B1826,SUBSTITUTE(in_CustomStates," ",""))))),OR(AND(D1826="Endowment",Inputs!$B$14="Y"),AND(D1826="Foundation",Inputs!$B$15="Y"),AND(D1826="Healthcare",Inputs!$B$16="Y"),AND(D1826="Pension",Inputs!$B$17="Y"),AND(D1826="OCIO",Inputs!$B$18="Y"),AND(D1826="Other",Inputs!$B$19="Y")))),A1826&lt;&gt;in_ClientOrg,NOT(AND(in_ExclHarvard="Y",ISNUMBER(SEARCH("Harvard",A1826))))),$AD1826="Y",K1826&lt;&gt;"",S1826&gt;0),"Y","")</f>
        <v/>
      </c>
      <c r="V1826" s="30" t="n">
        <v>0.480307447692907</v>
      </c>
      <c r="W1826" t="inlineStr"/>
      <c r="X1826" s="28">
        <f>IF(L1826+M1826=0,"",L1826+M1826)</f>
        <v/>
      </c>
      <c r="Y1826" s="38">
        <f>IF(L1826=0,"",M1826/L1826)</f>
        <v/>
      </c>
      <c r="Z1826" t="inlineStr">
        <is>
          <t>Director &amp; Investment Officer</t>
        </is>
      </c>
      <c r="AA1826" t="inlineStr">
        <is>
          <t>Investments</t>
        </is>
      </c>
      <c r="AB1826" s="50" t="inlineStr"/>
      <c r="AC1826" s="43">
        <f>HYPERLINK("https://projects.propublica.org/nonprofits/organizations/60646959/202411369349310371/full","view filing")</f>
        <v/>
      </c>
      <c r="AD1826" s="50" t="inlineStr"/>
    </row>
    <row r="1827">
      <c r="A1827" t="inlineStr">
        <is>
          <t>Wesleyan University</t>
        </is>
      </c>
      <c r="B1827" s="50" t="inlineStr">
        <is>
          <t>CT</t>
        </is>
      </c>
      <c r="C1827" s="52" t="n">
        <v>1.64</v>
      </c>
      <c r="D1827" t="inlineStr">
        <is>
          <t>Endowment</t>
        </is>
      </c>
      <c r="E1827" s="50" t="n">
        <v>2023</v>
      </c>
      <c r="F1827" s="50" t="inlineStr">
        <is>
          <t>2024-05-15</t>
        </is>
      </c>
      <c r="G1827" s="50" t="inlineStr">
        <is>
          <t>2023-06-30</t>
        </is>
      </c>
      <c r="H1827" t="inlineStr">
        <is>
          <t>Matthew Magenheim</t>
        </is>
      </c>
      <c r="I1827" t="inlineStr">
        <is>
          <t>DIRECTOR, INVESTMENT OFFICE</t>
        </is>
      </c>
      <c r="J1827" t="inlineStr">
        <is>
          <t>Director of Investments</t>
        </is>
      </c>
      <c r="K1827" t="inlineStr">
        <is>
          <t>Sr Investment Professional</t>
        </is>
      </c>
      <c r="L1827" s="28" t="n">
        <v>225241</v>
      </c>
      <c r="M1827" s="28" t="n">
        <v>140734</v>
      </c>
      <c r="N1827" s="28" t="n">
        <v>8</v>
      </c>
      <c r="O1827" s="28" t="n">
        <v>41131</v>
      </c>
      <c r="P1827" s="28" t="n">
        <v>41650</v>
      </c>
      <c r="Q1827" s="28" t="n">
        <v>448764</v>
      </c>
      <c r="R1827" s="28" t="n">
        <v>0</v>
      </c>
      <c r="S1827" s="28">
        <f>Q1827-R1827</f>
        <v/>
      </c>
      <c r="T1827" s="28">
        <f>IF(S1827="","",S1827*(1+in_GrowthRate)^(YEARFRAC(DATE(2023,6,30),in_AgeToDate)*IF(in_AgeToDate&lt;DATE(2023,6,30),-1,1)+1))</f>
        <v/>
      </c>
      <c r="U1827" s="50">
        <f>IF(AND(AND(OR(in_Mode="All Funds",AND(C1827&gt;=in_BandFloor,C1827&lt;=in_BandCeiling,OR(in_Geography="National",COUNTIFS(lst_GeoPreset,in_Geography,lst_GeoState,B1827)&gt;0,AND(in_Geography="Custom",ISNUMBER(SEARCH(B1827,SUBSTITUTE(in_CustomStates," ",""))))),OR(AND(D1827="Endowment",Inputs!$B$14="Y"),AND(D1827="Foundation",Inputs!$B$15="Y"),AND(D1827="Healthcare",Inputs!$B$16="Y"),AND(D1827="Pension",Inputs!$B$17="Y"),AND(D1827="OCIO",Inputs!$B$18="Y"),AND(D1827="Other",Inputs!$B$19="Y")))),A1827&lt;&gt;in_ClientOrg,NOT(AND(in_ExclHarvard="Y",ISNUMBER(SEARCH("Harvard",A1827))))),$AD1827="Y",K1827&lt;&gt;"",S1827&gt;0),"Y","")</f>
        <v/>
      </c>
      <c r="V1827" s="30" t="n">
        <v>0.3261119799084953</v>
      </c>
      <c r="W1827" t="inlineStr"/>
      <c r="X1827" s="28">
        <f>IF(L1827+M1827=0,"",L1827+M1827)</f>
        <v/>
      </c>
      <c r="Y1827" s="38">
        <f>IF(L1827=0,"",M1827/L1827)</f>
        <v/>
      </c>
      <c r="Z1827" t="inlineStr">
        <is>
          <t>Director &amp; Investment Officer</t>
        </is>
      </c>
      <c r="AA1827" t="inlineStr">
        <is>
          <t>Investments</t>
        </is>
      </c>
      <c r="AB1827" s="50" t="inlineStr"/>
      <c r="AC1827" s="43">
        <f>HYPERLINK("https://projects.propublica.org/nonprofits/organizations/60646959/202411369349310371/full","view filing")</f>
        <v/>
      </c>
      <c r="AD1827" s="50" t="inlineStr"/>
    </row>
    <row r="1828">
      <c r="A1828" t="inlineStr">
        <is>
          <t>Wesleyan University</t>
        </is>
      </c>
      <c r="B1828" s="50" t="inlineStr">
        <is>
          <t>CT</t>
        </is>
      </c>
      <c r="C1828" s="52" t="n">
        <v>1.64</v>
      </c>
      <c r="D1828" t="inlineStr">
        <is>
          <t>Endowment</t>
        </is>
      </c>
      <c r="E1828" s="50" t="n">
        <v>2022</v>
      </c>
      <c r="F1828" s="50" t="inlineStr">
        <is>
          <t>2023-05-15</t>
        </is>
      </c>
      <c r="G1828" s="50" t="inlineStr">
        <is>
          <t>2022-06-30</t>
        </is>
      </c>
      <c r="H1828" t="inlineStr">
        <is>
          <t>Anne Martin</t>
        </is>
      </c>
      <c r="I1828" t="inlineStr">
        <is>
          <t>CHIEF INVESTMENT OFFICER</t>
        </is>
      </c>
      <c r="J1828" t="inlineStr">
        <is>
          <t>CIO</t>
        </is>
      </c>
      <c r="K1828" t="inlineStr">
        <is>
          <t>CIO - Top Investment Executive</t>
        </is>
      </c>
      <c r="L1828" s="28" t="n">
        <v>470307</v>
      </c>
      <c r="M1828" s="28" t="n">
        <v>557802</v>
      </c>
      <c r="N1828" s="28" t="n">
        <v>205</v>
      </c>
      <c r="O1828" s="28" t="n">
        <v>39300</v>
      </c>
      <c r="P1828" s="28" t="n">
        <v>68484</v>
      </c>
      <c r="Q1828" s="28" t="n">
        <v>1136098</v>
      </c>
      <c r="R1828" s="28" t="n">
        <v>0</v>
      </c>
      <c r="S1828" s="28">
        <f>Q1828-R1828</f>
        <v/>
      </c>
      <c r="T1828" s="28">
        <f>IF(S1828="","",S1828*(1+in_GrowthRate)^(YEARFRAC(DATE(2022,6,30),in_AgeToDate)*IF(in_AgeToDate&lt;DATE(2022,6,30),-1,1)+1))</f>
        <v/>
      </c>
      <c r="U1828" s="50">
        <f>IF(AND(AND(OR(in_Mode="All Funds",AND(C1828&gt;=in_BandFloor,C1828&lt;=in_BandCeiling,OR(in_Geography="National",COUNTIFS(lst_GeoPreset,in_Geography,lst_GeoState,B1828)&gt;0,AND(in_Geography="Custom",ISNUMBER(SEARCH(B1828,SUBSTITUTE(in_CustomStates," ",""))))),OR(AND(D1828="Endowment",Inputs!$B$14="Y"),AND(D1828="Foundation",Inputs!$B$15="Y"),AND(D1828="Healthcare",Inputs!$B$16="Y"),AND(D1828="Pension",Inputs!$B$17="Y"),AND(D1828="OCIO",Inputs!$B$18="Y"),AND(D1828="Other",Inputs!$B$19="Y")))),A1828&lt;&gt;in_ClientOrg,NOT(AND(in_ExclHarvard="Y",ISNUMBER(SEARCH("Harvard",A1828))))),$AD1828="Y",K1828&lt;&gt;"",S1828&gt;0),"Y","")</f>
        <v/>
      </c>
      <c r="V1828" s="30" t="n">
        <v>1</v>
      </c>
      <c r="W1828" t="inlineStr"/>
      <c r="X1828" s="28">
        <f>IF(L1828+M1828=0,"",L1828+M1828)</f>
        <v/>
      </c>
      <c r="Y1828" s="38">
        <f>IF(L1828=0,"",M1828/L1828)</f>
        <v/>
      </c>
      <c r="Z1828" t="inlineStr">
        <is>
          <t>CIO - Top Investment Executive</t>
        </is>
      </c>
      <c r="AA1828" t="inlineStr">
        <is>
          <t>Leadership</t>
        </is>
      </c>
      <c r="AB1828" s="50" t="inlineStr">
        <is>
          <t>Y</t>
        </is>
      </c>
      <c r="AC1828" s="43">
        <f>HYPERLINK("https://projects.propublica.org/nonprofits/organizations/60646959/202321359349317822/full","view filing")</f>
        <v/>
      </c>
      <c r="AD1828" s="50" t="inlineStr"/>
    </row>
    <row r="1829">
      <c r="A1829" t="inlineStr">
        <is>
          <t>Wesleyan University</t>
        </is>
      </c>
      <c r="B1829" s="50" t="inlineStr">
        <is>
          <t>CT</t>
        </is>
      </c>
      <c r="C1829" s="52" t="n">
        <v>1.64</v>
      </c>
      <c r="D1829" t="inlineStr">
        <is>
          <t>Endowment</t>
        </is>
      </c>
      <c r="E1829" s="50" t="n">
        <v>2022</v>
      </c>
      <c r="F1829" s="50" t="inlineStr">
        <is>
          <t>2023-05-15</t>
        </is>
      </c>
      <c r="G1829" s="50" t="inlineStr">
        <is>
          <t>2022-06-30</t>
        </is>
      </c>
      <c r="H1829" t="inlineStr">
        <is>
          <t>Jonathan Don Farrar</t>
        </is>
      </c>
      <c r="I1829" t="inlineStr">
        <is>
          <t>DIRECTOR OF INVESTMENTS</t>
        </is>
      </c>
      <c r="J1829" t="inlineStr">
        <is>
          <t>Director of Investments</t>
        </is>
      </c>
      <c r="K1829" t="inlineStr">
        <is>
          <t>Sr Investment Professional</t>
        </is>
      </c>
      <c r="L1829" s="28" t="n">
        <v>219403</v>
      </c>
      <c r="M1829" s="28" t="n">
        <v>175723</v>
      </c>
      <c r="N1829" s="28" t="n">
        <v>30</v>
      </c>
      <c r="O1829" s="28" t="n">
        <v>21218</v>
      </c>
      <c r="P1829" s="28" t="n">
        <v>59702</v>
      </c>
      <c r="Q1829" s="28" t="n">
        <v>476076</v>
      </c>
      <c r="R1829" s="28" t="n">
        <v>0</v>
      </c>
      <c r="S1829" s="28">
        <f>Q1829-R1829</f>
        <v/>
      </c>
      <c r="T1829" s="28">
        <f>IF(S1829="","",S1829*(1+in_GrowthRate)^(YEARFRAC(DATE(2022,6,30),in_AgeToDate)*IF(in_AgeToDate&lt;DATE(2022,6,30),-1,1)+1))</f>
        <v/>
      </c>
      <c r="U1829" s="50">
        <f>IF(AND(AND(OR(in_Mode="All Funds",AND(C1829&gt;=in_BandFloor,C1829&lt;=in_BandCeiling,OR(in_Geography="National",COUNTIFS(lst_GeoPreset,in_Geography,lst_GeoState,B1829)&gt;0,AND(in_Geography="Custom",ISNUMBER(SEARCH(B1829,SUBSTITUTE(in_CustomStates," ",""))))),OR(AND(D1829="Endowment",Inputs!$B$14="Y"),AND(D1829="Foundation",Inputs!$B$15="Y"),AND(D1829="Healthcare",Inputs!$B$16="Y"),AND(D1829="Pension",Inputs!$B$17="Y"),AND(D1829="OCIO",Inputs!$B$18="Y"),AND(D1829="Other",Inputs!$B$19="Y")))),A1829&lt;&gt;in_ClientOrg,NOT(AND(in_ExclHarvard="Y",ISNUMBER(SEARCH("Harvard",A1829))))),$AD1829="Y",K1829&lt;&gt;"",S1829&gt;0),"Y","")</f>
        <v/>
      </c>
      <c r="V1829" s="30" t="n">
        <v>0.4190448359208448</v>
      </c>
      <c r="W1829" t="inlineStr"/>
      <c r="X1829" s="28">
        <f>IF(L1829+M1829=0,"",L1829+M1829)</f>
        <v/>
      </c>
      <c r="Y1829" s="38">
        <f>IF(L1829=0,"",M1829/L1829)</f>
        <v/>
      </c>
      <c r="Z1829" t="inlineStr">
        <is>
          <t>Director &amp; Investment Officer</t>
        </is>
      </c>
      <c r="AA1829" t="inlineStr">
        <is>
          <t>Investments</t>
        </is>
      </c>
      <c r="AB1829" s="50" t="inlineStr"/>
      <c r="AC1829" s="43">
        <f>HYPERLINK("https://projects.propublica.org/nonprofits/organizations/60646959/202321359349317822/full","view filing")</f>
        <v/>
      </c>
      <c r="AD1829" s="50" t="inlineStr"/>
    </row>
    <row r="1830">
      <c r="A1830" t="inlineStr">
        <is>
          <t>Wesleyan University</t>
        </is>
      </c>
      <c r="B1830" s="50" t="inlineStr">
        <is>
          <t>CT</t>
        </is>
      </c>
      <c r="C1830" s="52" t="n">
        <v>1.64</v>
      </c>
      <c r="D1830" t="inlineStr">
        <is>
          <t>Endowment</t>
        </is>
      </c>
      <c r="E1830" s="50" t="n">
        <v>2022</v>
      </c>
      <c r="F1830" s="50" t="inlineStr">
        <is>
          <t>2023-05-15</t>
        </is>
      </c>
      <c r="G1830" s="50" t="inlineStr">
        <is>
          <t>2022-06-30</t>
        </is>
      </c>
      <c r="H1830" t="inlineStr">
        <is>
          <t>Matthew Magenheim</t>
        </is>
      </c>
      <c r="I1830" t="inlineStr">
        <is>
          <t>DIRECTOR, INVESTMENT OFFICE</t>
        </is>
      </c>
      <c r="J1830" t="inlineStr">
        <is>
          <t>Director of Investments</t>
        </is>
      </c>
      <c r="K1830" t="inlineStr">
        <is>
          <t>Sr Investment Professional</t>
        </is>
      </c>
      <c r="L1830" s="28" t="n">
        <v>204360</v>
      </c>
      <c r="M1830" s="28" t="n">
        <v>109482</v>
      </c>
      <c r="N1830" s="28" t="n">
        <v>0</v>
      </c>
      <c r="O1830" s="28" t="n">
        <v>19010</v>
      </c>
      <c r="P1830" s="28" t="n">
        <v>48464</v>
      </c>
      <c r="Q1830" s="28" t="n">
        <v>381316</v>
      </c>
      <c r="R1830" s="28" t="n">
        <v>0</v>
      </c>
      <c r="S1830" s="28">
        <f>Q1830-R1830</f>
        <v/>
      </c>
      <c r="T1830" s="28">
        <f>IF(S1830="","",S1830*(1+in_GrowthRate)^(YEARFRAC(DATE(2022,6,30),in_AgeToDate)*IF(in_AgeToDate&lt;DATE(2022,6,30),-1,1)+1))</f>
        <v/>
      </c>
      <c r="U1830" s="50">
        <f>IF(AND(AND(OR(in_Mode="All Funds",AND(C1830&gt;=in_BandFloor,C1830&lt;=in_BandCeiling,OR(in_Geography="National",COUNTIFS(lst_GeoPreset,in_Geography,lst_GeoState,B1830)&gt;0,AND(in_Geography="Custom",ISNUMBER(SEARCH(B1830,SUBSTITUTE(in_CustomStates," ",""))))),OR(AND(D1830="Endowment",Inputs!$B$14="Y"),AND(D1830="Foundation",Inputs!$B$15="Y"),AND(D1830="Healthcare",Inputs!$B$16="Y"),AND(D1830="Pension",Inputs!$B$17="Y"),AND(D1830="OCIO",Inputs!$B$18="Y"),AND(D1830="Other",Inputs!$B$19="Y")))),A1830&lt;&gt;in_ClientOrg,NOT(AND(in_ExclHarvard="Y",ISNUMBER(SEARCH("Harvard",A1830))))),$AD1830="Y",K1830&lt;&gt;"",S1830&gt;0),"Y","")</f>
        <v/>
      </c>
      <c r="V1830" s="30" t="n">
        <v>0.3356365383972157</v>
      </c>
      <c r="W1830" t="inlineStr"/>
      <c r="X1830" s="28">
        <f>IF(L1830+M1830=0,"",L1830+M1830)</f>
        <v/>
      </c>
      <c r="Y1830" s="38">
        <f>IF(L1830=0,"",M1830/L1830)</f>
        <v/>
      </c>
      <c r="Z1830" t="inlineStr">
        <is>
          <t>Director &amp; Investment Officer</t>
        </is>
      </c>
      <c r="AA1830" t="inlineStr">
        <is>
          <t>Investments</t>
        </is>
      </c>
      <c r="AB1830" s="50" t="inlineStr"/>
      <c r="AC1830" s="43">
        <f>HYPERLINK("https://projects.propublica.org/nonprofits/organizations/60646959/202321359349317822/full","view filing")</f>
        <v/>
      </c>
      <c r="AD1830" s="50" t="inlineStr"/>
    </row>
    <row r="1831">
      <c r="A1831" t="inlineStr">
        <is>
          <t>West Virginia Univ Foundation Inc</t>
        </is>
      </c>
      <c r="B1831" s="50" t="inlineStr">
        <is>
          <t>WV</t>
        </is>
      </c>
      <c r="C1831" s="52" t="n">
        <v>3.15</v>
      </c>
      <c r="D1831" t="inlineStr">
        <is>
          <t>Foundation</t>
        </is>
      </c>
      <c r="E1831" s="50" t="n">
        <v>2025</v>
      </c>
      <c r="F1831" s="50" t="inlineStr">
        <is>
          <t>2026-04-13</t>
        </is>
      </c>
      <c r="G1831" s="50" t="inlineStr">
        <is>
          <t>2025-06-30</t>
        </is>
      </c>
      <c r="H1831" t="inlineStr">
        <is>
          <t>Jennifer Cunanan</t>
        </is>
      </c>
      <c r="I1831" t="inlineStr">
        <is>
          <t>Assoc VP, Investments</t>
        </is>
      </c>
      <c r="J1831" t="inlineStr">
        <is>
          <t>Director of Investments</t>
        </is>
      </c>
      <c r="K1831" t="inlineStr">
        <is>
          <t>Sr Investment Professional</t>
        </is>
      </c>
      <c r="L1831" s="28" t="n">
        <v>325942</v>
      </c>
      <c r="M1831" s="28" t="n">
        <v>121455</v>
      </c>
      <c r="N1831" s="28" t="n">
        <v>360</v>
      </c>
      <c r="O1831" s="28" t="n">
        <v>41400</v>
      </c>
      <c r="P1831" s="28" t="n">
        <v>29901</v>
      </c>
      <c r="Q1831" s="28" t="n">
        <v>519058</v>
      </c>
      <c r="R1831" s="28" t="n">
        <v>0</v>
      </c>
      <c r="S1831" s="28">
        <f>Q1831-R1831</f>
        <v/>
      </c>
      <c r="T1831" s="28">
        <f>IF(S1831="","",S1831*(1+in_GrowthRate)^(YEARFRAC(DATE(2025,6,30),in_AgeToDate)*IF(in_AgeToDate&lt;DATE(2025,6,30),-1,1)+1))</f>
        <v/>
      </c>
      <c r="U1831" s="50">
        <f>IF(AND(AND(OR(in_Mode="All Funds",AND(C1831&gt;=in_BandFloor,C1831&lt;=in_BandCeiling,OR(in_Geography="National",COUNTIFS(lst_GeoPreset,in_Geography,lst_GeoState,B1831)&gt;0,AND(in_Geography="Custom",ISNUMBER(SEARCH(B1831,SUBSTITUTE(in_CustomStates," ",""))))),OR(AND(D1831="Endowment",Inputs!$B$14="Y"),AND(D1831="Foundation",Inputs!$B$15="Y"),AND(D1831="Healthcare",Inputs!$B$16="Y"),AND(D1831="Pension",Inputs!$B$17="Y"),AND(D1831="OCIO",Inputs!$B$18="Y"),AND(D1831="Other",Inputs!$B$19="Y")))),A1831&lt;&gt;in_ClientOrg,NOT(AND(in_ExclHarvard="Y",ISNUMBER(SEARCH("Harvard",A1831))))),$AD1831="Y",K1831&lt;&gt;"",S1831&gt;0),"Y","")</f>
        <v/>
      </c>
      <c r="V1831" s="30" t="n">
        <v>0.4908772291516338</v>
      </c>
      <c r="W1831" t="inlineStr"/>
      <c r="X1831" s="28">
        <f>IF(L1831+M1831=0,"",L1831+M1831)</f>
        <v/>
      </c>
      <c r="Y1831" s="38">
        <f>IF(L1831=0,"",M1831/L1831)</f>
        <v/>
      </c>
      <c r="Z1831" t="inlineStr">
        <is>
          <t>Director &amp; Investment Officer</t>
        </is>
      </c>
      <c r="AA1831" t="inlineStr">
        <is>
          <t>Investments</t>
        </is>
      </c>
      <c r="AB1831" s="50" t="inlineStr"/>
      <c r="AC1831" s="43">
        <f>HYPERLINK("https://projects.propublica.org/nonprofits/organizations/556017181/202631039349301733/full","view filing")</f>
        <v/>
      </c>
      <c r="AD1831" s="50" t="inlineStr">
        <is>
          <t>Y</t>
        </is>
      </c>
    </row>
    <row r="1832">
      <c r="A1832" t="inlineStr">
        <is>
          <t>West Virginia Univ Foundation Inc</t>
        </is>
      </c>
      <c r="B1832" s="50" t="inlineStr">
        <is>
          <t>WV</t>
        </is>
      </c>
      <c r="C1832" s="52" t="n">
        <v>3.15</v>
      </c>
      <c r="D1832" t="inlineStr">
        <is>
          <t>Foundation</t>
        </is>
      </c>
      <c r="E1832" s="50" t="n">
        <v>2025</v>
      </c>
      <c r="F1832" s="50" t="inlineStr">
        <is>
          <t>2026-04-13</t>
        </is>
      </c>
      <c r="G1832" s="50" t="inlineStr">
        <is>
          <t>2025-06-30</t>
        </is>
      </c>
      <c r="H1832" t="inlineStr">
        <is>
          <t>Kaylon Mcinelly</t>
        </is>
      </c>
      <c r="I1832" t="inlineStr">
        <is>
          <t>Assoc VP, Investments</t>
        </is>
      </c>
      <c r="J1832" t="inlineStr">
        <is>
          <t>Director of Investments</t>
        </is>
      </c>
      <c r="K1832" t="inlineStr">
        <is>
          <t>Sr Investment Professional</t>
        </is>
      </c>
      <c r="L1832" s="28" t="n">
        <v>242819</v>
      </c>
      <c r="M1832" s="28" t="n">
        <v>102858</v>
      </c>
      <c r="N1832" s="28" t="n">
        <v>240</v>
      </c>
      <c r="O1832" s="28" t="n">
        <v>24150</v>
      </c>
      <c r="P1832" s="28" t="n">
        <v>30917</v>
      </c>
      <c r="Q1832" s="28" t="n">
        <v>400984</v>
      </c>
      <c r="R1832" s="28" t="n">
        <v>0</v>
      </c>
      <c r="S1832" s="28">
        <f>Q1832-R1832</f>
        <v/>
      </c>
      <c r="T1832" s="28">
        <f>IF(S1832="","",S1832*(1+in_GrowthRate)^(YEARFRAC(DATE(2025,6,30),in_AgeToDate)*IF(in_AgeToDate&lt;DATE(2025,6,30),-1,1)+1))</f>
        <v/>
      </c>
      <c r="U1832" s="50">
        <f>IF(AND(AND(OR(in_Mode="All Funds",AND(C1832&gt;=in_BandFloor,C1832&lt;=in_BandCeiling,OR(in_Geography="National",COUNTIFS(lst_GeoPreset,in_Geography,lst_GeoState,B1832)&gt;0,AND(in_Geography="Custom",ISNUMBER(SEARCH(B1832,SUBSTITUTE(in_CustomStates," ",""))))),OR(AND(D1832="Endowment",Inputs!$B$14="Y"),AND(D1832="Foundation",Inputs!$B$15="Y"),AND(D1832="Healthcare",Inputs!$B$16="Y"),AND(D1832="Pension",Inputs!$B$17="Y"),AND(D1832="OCIO",Inputs!$B$18="Y"),AND(D1832="Other",Inputs!$B$19="Y")))),A1832&lt;&gt;in_ClientOrg,NOT(AND(in_ExclHarvard="Y",ISNUMBER(SEARCH("Harvard",A1832))))),$AD1832="Y",K1832&lt;&gt;"",S1832&gt;0),"Y","")</f>
        <v/>
      </c>
      <c r="V1832" s="30" t="n">
        <v>0.3792137195730318</v>
      </c>
      <c r="W1832" t="inlineStr"/>
      <c r="X1832" s="28">
        <f>IF(L1832+M1832=0,"",L1832+M1832)</f>
        <v/>
      </c>
      <c r="Y1832" s="38">
        <f>IF(L1832=0,"",M1832/L1832)</f>
        <v/>
      </c>
      <c r="Z1832" t="inlineStr">
        <is>
          <t>Director &amp; Investment Officer</t>
        </is>
      </c>
      <c r="AA1832" t="inlineStr">
        <is>
          <t>Investments</t>
        </is>
      </c>
      <c r="AB1832" s="50" t="inlineStr"/>
      <c r="AC1832" s="43">
        <f>HYPERLINK("https://projects.propublica.org/nonprofits/organizations/556017181/202631039349301733/full","view filing")</f>
        <v/>
      </c>
      <c r="AD1832" s="50" t="inlineStr">
        <is>
          <t>Y</t>
        </is>
      </c>
    </row>
    <row r="1833">
      <c r="A1833" t="inlineStr">
        <is>
          <t>West Virginia Univ Foundation Inc</t>
        </is>
      </c>
      <c r="B1833" s="50" t="inlineStr">
        <is>
          <t>WV</t>
        </is>
      </c>
      <c r="C1833" s="52" t="n">
        <v>3.15</v>
      </c>
      <c r="D1833" t="inlineStr">
        <is>
          <t>Foundation</t>
        </is>
      </c>
      <c r="E1833" s="50" t="n">
        <v>2025</v>
      </c>
      <c r="F1833" s="50" t="inlineStr">
        <is>
          <t>2026-04-13</t>
        </is>
      </c>
      <c r="G1833" s="50" t="inlineStr">
        <is>
          <t>2025-06-30</t>
        </is>
      </c>
      <c r="H1833" t="inlineStr">
        <is>
          <t>Richard Kraich Ret July 2025</t>
        </is>
      </c>
      <c r="I1833" t="inlineStr">
        <is>
          <t>VP Investments, CIO</t>
        </is>
      </c>
      <c r="J1833" t="inlineStr">
        <is>
          <t>CIO</t>
        </is>
      </c>
      <c r="K1833" t="inlineStr">
        <is>
          <t>CIO - Top Investment Executive</t>
        </is>
      </c>
      <c r="L1833" s="28" t="n">
        <v>535990</v>
      </c>
      <c r="M1833" s="28" t="n">
        <v>448001</v>
      </c>
      <c r="N1833" s="28" t="n">
        <v>12668</v>
      </c>
      <c r="O1833" s="28" t="n">
        <v>37950</v>
      </c>
      <c r="P1833" s="28" t="n">
        <v>22800</v>
      </c>
      <c r="Q1833" s="28" t="n">
        <v>1057409</v>
      </c>
      <c r="R1833" s="28" t="n">
        <v>0</v>
      </c>
      <c r="S1833" s="28">
        <f>Q1833-R1833</f>
        <v/>
      </c>
      <c r="T1833" s="28">
        <f>IF(S1833="","",S1833*(1+in_GrowthRate)^(YEARFRAC(DATE(2025,6,30),in_AgeToDate)*IF(in_AgeToDate&lt;DATE(2025,6,30),-1,1)+1))</f>
        <v/>
      </c>
      <c r="U1833" s="50">
        <f>IF(AND(AND(OR(in_Mode="All Funds",AND(C1833&gt;=in_BandFloor,C1833&lt;=in_BandCeiling,OR(in_Geography="National",COUNTIFS(lst_GeoPreset,in_Geography,lst_GeoState,B1833)&gt;0,AND(in_Geography="Custom",ISNUMBER(SEARCH(B1833,SUBSTITUTE(in_CustomStates," ",""))))),OR(AND(D1833="Endowment",Inputs!$B$14="Y"),AND(D1833="Foundation",Inputs!$B$15="Y"),AND(D1833="Healthcare",Inputs!$B$16="Y"),AND(D1833="Pension",Inputs!$B$17="Y"),AND(D1833="OCIO",Inputs!$B$18="Y"),AND(D1833="Other",Inputs!$B$19="Y")))),A1833&lt;&gt;in_ClientOrg,NOT(AND(in_ExclHarvard="Y",ISNUMBER(SEARCH("Harvard",A1833))))),$AD1833="Y",K1833&lt;&gt;"",S1833&gt;0),"Y","")</f>
        <v/>
      </c>
      <c r="V1833" s="30" t="n">
        <v>1</v>
      </c>
      <c r="W1833" t="inlineStr"/>
      <c r="X1833" s="28">
        <f>IF(L1833+M1833=0,"",L1833+M1833)</f>
        <v/>
      </c>
      <c r="Y1833" s="38">
        <f>IF(L1833=0,"",M1833/L1833)</f>
        <v/>
      </c>
      <c r="Z1833" t="inlineStr">
        <is>
          <t>CIO - Top Investment Executive</t>
        </is>
      </c>
      <c r="AA1833" t="inlineStr">
        <is>
          <t>Leadership</t>
        </is>
      </c>
      <c r="AB1833" s="50" t="inlineStr">
        <is>
          <t>Y</t>
        </is>
      </c>
      <c r="AC1833" s="43">
        <f>HYPERLINK("https://projects.propublica.org/nonprofits/organizations/556017181/202631039349301733/full","view filing")</f>
        <v/>
      </c>
      <c r="AD1833" s="50" t="inlineStr">
        <is>
          <t>Y</t>
        </is>
      </c>
    </row>
    <row r="1834">
      <c r="A1834" t="inlineStr">
        <is>
          <t>West Virginia Univ Foundation Inc</t>
        </is>
      </c>
      <c r="B1834" s="50" t="inlineStr">
        <is>
          <t>WV</t>
        </is>
      </c>
      <c r="C1834" s="52" t="n">
        <v>3.15</v>
      </c>
      <c r="D1834" t="inlineStr">
        <is>
          <t>Foundation</t>
        </is>
      </c>
      <c r="E1834" s="50" t="n">
        <v>2024</v>
      </c>
      <c r="F1834" s="50" t="inlineStr">
        <is>
          <t>2025-05-07</t>
        </is>
      </c>
      <c r="G1834" s="50" t="inlineStr">
        <is>
          <t>2024-06-30</t>
        </is>
      </c>
      <c r="H1834" t="inlineStr">
        <is>
          <t>Jennifer Cunanan</t>
        </is>
      </c>
      <c r="I1834" t="inlineStr">
        <is>
          <t>Assoc VP, Investments</t>
        </is>
      </c>
      <c r="J1834" t="inlineStr">
        <is>
          <t>Director of Investments</t>
        </is>
      </c>
      <c r="K1834" t="inlineStr">
        <is>
          <t>Sr Investment Professional</t>
        </is>
      </c>
      <c r="L1834" s="28" t="n">
        <v>311757</v>
      </c>
      <c r="M1834" s="28" t="n">
        <v>128684</v>
      </c>
      <c r="N1834" s="28" t="n">
        <v>360</v>
      </c>
      <c r="O1834" s="28" t="n">
        <v>39600</v>
      </c>
      <c r="P1834" s="28" t="n">
        <v>27531</v>
      </c>
      <c r="Q1834" s="28" t="n">
        <v>507932</v>
      </c>
      <c r="R1834" s="28" t="n">
        <v>0</v>
      </c>
      <c r="S1834" s="28">
        <f>Q1834-R1834</f>
        <v/>
      </c>
      <c r="T1834" s="28">
        <f>IF(S1834="","",S1834*(1+in_GrowthRate)^(YEARFRAC(DATE(2024,6,30),in_AgeToDate)*IF(in_AgeToDate&lt;DATE(2024,6,30),-1,1)+1))</f>
        <v/>
      </c>
      <c r="U1834" s="50">
        <f>IF(AND(AND(OR(in_Mode="All Funds",AND(C1834&gt;=in_BandFloor,C1834&lt;=in_BandCeiling,OR(in_Geography="National",COUNTIFS(lst_GeoPreset,in_Geography,lst_GeoState,B1834)&gt;0,AND(in_Geography="Custom",ISNUMBER(SEARCH(B1834,SUBSTITUTE(in_CustomStates," ",""))))),OR(AND(D1834="Endowment",Inputs!$B$14="Y"),AND(D1834="Foundation",Inputs!$B$15="Y"),AND(D1834="Healthcare",Inputs!$B$16="Y"),AND(D1834="Pension",Inputs!$B$17="Y"),AND(D1834="OCIO",Inputs!$B$18="Y"),AND(D1834="Other",Inputs!$B$19="Y")))),A1834&lt;&gt;in_ClientOrg,NOT(AND(in_ExclHarvard="Y",ISNUMBER(SEARCH("Harvard",A1834))))),$AD1834="Y",K1834&lt;&gt;"",S1834&gt;0),"Y","")</f>
        <v/>
      </c>
      <c r="V1834" s="30" t="n">
        <v>0.483889467898019</v>
      </c>
      <c r="W1834" t="inlineStr"/>
      <c r="X1834" s="28">
        <f>IF(L1834+M1834=0,"",L1834+M1834)</f>
        <v/>
      </c>
      <c r="Y1834" s="38">
        <f>IF(L1834=0,"",M1834/L1834)</f>
        <v/>
      </c>
      <c r="Z1834" t="inlineStr">
        <is>
          <t>Director &amp; Investment Officer</t>
        </is>
      </c>
      <c r="AA1834" t="inlineStr">
        <is>
          <t>Investments</t>
        </is>
      </c>
      <c r="AB1834" s="50" t="inlineStr"/>
      <c r="AC1834" s="43">
        <f>HYPERLINK("https://projects.propublica.org/nonprofits/organizations/556017181/202511279349301141/full","view filing")</f>
        <v/>
      </c>
      <c r="AD1834" s="50" t="inlineStr"/>
    </row>
    <row r="1835">
      <c r="A1835" t="inlineStr">
        <is>
          <t>West Virginia Univ Foundation Inc</t>
        </is>
      </c>
      <c r="B1835" s="50" t="inlineStr">
        <is>
          <t>WV</t>
        </is>
      </c>
      <c r="C1835" s="52" t="n">
        <v>3.15</v>
      </c>
      <c r="D1835" t="inlineStr">
        <is>
          <t>Foundation</t>
        </is>
      </c>
      <c r="E1835" s="50" t="n">
        <v>2024</v>
      </c>
      <c r="F1835" s="50" t="inlineStr">
        <is>
          <t>2025-05-07</t>
        </is>
      </c>
      <c r="G1835" s="50" t="inlineStr">
        <is>
          <t>2024-06-30</t>
        </is>
      </c>
      <c r="H1835" t="inlineStr">
        <is>
          <t>Kaylon Mcinelly</t>
        </is>
      </c>
      <c r="I1835" t="inlineStr">
        <is>
          <t>Assoc VP, Investments</t>
        </is>
      </c>
      <c r="J1835" t="inlineStr">
        <is>
          <t>Director of Investments</t>
        </is>
      </c>
      <c r="K1835" t="inlineStr">
        <is>
          <t>Sr Investment Professional</t>
        </is>
      </c>
      <c r="L1835" s="28" t="n">
        <v>232981</v>
      </c>
      <c r="M1835" s="28" t="n">
        <v>109468</v>
      </c>
      <c r="N1835" s="28" t="n">
        <v>240</v>
      </c>
      <c r="O1835" s="28" t="n">
        <v>23100</v>
      </c>
      <c r="P1835" s="28" t="n">
        <v>27531</v>
      </c>
      <c r="Q1835" s="28" t="n">
        <v>393320</v>
      </c>
      <c r="R1835" s="28" t="n">
        <v>0</v>
      </c>
      <c r="S1835" s="28">
        <f>Q1835-R1835</f>
        <v/>
      </c>
      <c r="T1835" s="28">
        <f>IF(S1835="","",S1835*(1+in_GrowthRate)^(YEARFRAC(DATE(2024,6,30),in_AgeToDate)*IF(in_AgeToDate&lt;DATE(2024,6,30),-1,1)+1))</f>
        <v/>
      </c>
      <c r="U1835" s="50">
        <f>IF(AND(AND(OR(in_Mode="All Funds",AND(C1835&gt;=in_BandFloor,C1835&lt;=in_BandCeiling,OR(in_Geography="National",COUNTIFS(lst_GeoPreset,in_Geography,lst_GeoState,B1835)&gt;0,AND(in_Geography="Custom",ISNUMBER(SEARCH(B1835,SUBSTITUTE(in_CustomStates," ",""))))),OR(AND(D1835="Endowment",Inputs!$B$14="Y"),AND(D1835="Foundation",Inputs!$B$15="Y"),AND(D1835="Healthcare",Inputs!$B$16="Y"),AND(D1835="Pension",Inputs!$B$17="Y"),AND(D1835="OCIO",Inputs!$B$18="Y"),AND(D1835="Other",Inputs!$B$19="Y")))),A1835&lt;&gt;in_ClientOrg,NOT(AND(in_ExclHarvard="Y",ISNUMBER(SEARCH("Harvard",A1835))))),$AD1835="Y",K1835&lt;&gt;"",S1835&gt;0),"Y","")</f>
        <v/>
      </c>
      <c r="V1835" s="30" t="n">
        <v>0.3747025300899507</v>
      </c>
      <c r="W1835" t="inlineStr"/>
      <c r="X1835" s="28">
        <f>IF(L1835+M1835=0,"",L1835+M1835)</f>
        <v/>
      </c>
      <c r="Y1835" s="38">
        <f>IF(L1835=0,"",M1835/L1835)</f>
        <v/>
      </c>
      <c r="Z1835" t="inlineStr">
        <is>
          <t>Director &amp; Investment Officer</t>
        </is>
      </c>
      <c r="AA1835" t="inlineStr">
        <is>
          <t>Investments</t>
        </is>
      </c>
      <c r="AB1835" s="50" t="inlineStr"/>
      <c r="AC1835" s="43">
        <f>HYPERLINK("https://projects.propublica.org/nonprofits/organizations/556017181/202511279349301141/full","view filing")</f>
        <v/>
      </c>
      <c r="AD1835" s="50" t="inlineStr"/>
    </row>
    <row r="1836">
      <c r="A1836" t="inlineStr">
        <is>
          <t>West Virginia Univ Foundation Inc</t>
        </is>
      </c>
      <c r="B1836" s="50" t="inlineStr">
        <is>
          <t>WV</t>
        </is>
      </c>
      <c r="C1836" s="52" t="n">
        <v>3.15</v>
      </c>
      <c r="D1836" t="inlineStr">
        <is>
          <t>Foundation</t>
        </is>
      </c>
      <c r="E1836" s="50" t="n">
        <v>2024</v>
      </c>
      <c r="F1836" s="50" t="inlineStr">
        <is>
          <t>2025-05-07</t>
        </is>
      </c>
      <c r="G1836" s="50" t="inlineStr">
        <is>
          <t>2024-06-30</t>
        </is>
      </c>
      <c r="H1836" t="inlineStr">
        <is>
          <t>Richard Kraich</t>
        </is>
      </c>
      <c r="I1836" t="inlineStr">
        <is>
          <t>VP Investments, CIO</t>
        </is>
      </c>
      <c r="J1836" t="inlineStr">
        <is>
          <t>CIO</t>
        </is>
      </c>
      <c r="K1836" t="inlineStr">
        <is>
          <t>CIO - Top Investment Executive</t>
        </is>
      </c>
      <c r="L1836" s="28" t="n">
        <v>509370</v>
      </c>
      <c r="M1836" s="28" t="n">
        <v>471050</v>
      </c>
      <c r="N1836" s="28" t="n">
        <v>12668</v>
      </c>
      <c r="O1836" s="28" t="n">
        <v>36300</v>
      </c>
      <c r="P1836" s="28" t="n">
        <v>20298</v>
      </c>
      <c r="Q1836" s="28" t="n">
        <v>1049686</v>
      </c>
      <c r="R1836" s="28" t="n">
        <v>0</v>
      </c>
      <c r="S1836" s="28">
        <f>Q1836-R1836</f>
        <v/>
      </c>
      <c r="T1836" s="28">
        <f>IF(S1836="","",S1836*(1+in_GrowthRate)^(YEARFRAC(DATE(2024,6,30),in_AgeToDate)*IF(in_AgeToDate&lt;DATE(2024,6,30),-1,1)+1))</f>
        <v/>
      </c>
      <c r="U1836" s="50">
        <f>IF(AND(AND(OR(in_Mode="All Funds",AND(C1836&gt;=in_BandFloor,C1836&lt;=in_BandCeiling,OR(in_Geography="National",COUNTIFS(lst_GeoPreset,in_Geography,lst_GeoState,B1836)&gt;0,AND(in_Geography="Custom",ISNUMBER(SEARCH(B1836,SUBSTITUTE(in_CustomStates," ",""))))),OR(AND(D1836="Endowment",Inputs!$B$14="Y"),AND(D1836="Foundation",Inputs!$B$15="Y"),AND(D1836="Healthcare",Inputs!$B$16="Y"),AND(D1836="Pension",Inputs!$B$17="Y"),AND(D1836="OCIO",Inputs!$B$18="Y"),AND(D1836="Other",Inputs!$B$19="Y")))),A1836&lt;&gt;in_ClientOrg,NOT(AND(in_ExclHarvard="Y",ISNUMBER(SEARCH("Harvard",A1836))))),$AD1836="Y",K1836&lt;&gt;"",S1836&gt;0),"Y","")</f>
        <v/>
      </c>
      <c r="V1836" s="30" t="n">
        <v>1</v>
      </c>
      <c r="W1836" t="inlineStr"/>
      <c r="X1836" s="28">
        <f>IF(L1836+M1836=0,"",L1836+M1836)</f>
        <v/>
      </c>
      <c r="Y1836" s="38">
        <f>IF(L1836=0,"",M1836/L1836)</f>
        <v/>
      </c>
      <c r="Z1836" t="inlineStr">
        <is>
          <t>CIO - Top Investment Executive</t>
        </is>
      </c>
      <c r="AA1836" t="inlineStr">
        <is>
          <t>Leadership</t>
        </is>
      </c>
      <c r="AB1836" s="50" t="inlineStr">
        <is>
          <t>Y</t>
        </is>
      </c>
      <c r="AC1836" s="43">
        <f>HYPERLINK("https://projects.propublica.org/nonprofits/organizations/556017181/202511279349301141/full","view filing")</f>
        <v/>
      </c>
      <c r="AD1836" s="50" t="inlineStr"/>
    </row>
    <row r="1837">
      <c r="A1837" t="inlineStr">
        <is>
          <t>West Virginia Univ Foundation Inc</t>
        </is>
      </c>
      <c r="B1837" s="50" t="inlineStr">
        <is>
          <t>WV</t>
        </is>
      </c>
      <c r="C1837" s="52" t="n">
        <v>3.15</v>
      </c>
      <c r="D1837" t="inlineStr">
        <is>
          <t>Foundation</t>
        </is>
      </c>
      <c r="E1837" s="50" t="n">
        <v>2023</v>
      </c>
      <c r="F1837" s="50" t="inlineStr">
        <is>
          <t>2024-04-04</t>
        </is>
      </c>
      <c r="G1837" s="50" t="inlineStr">
        <is>
          <t>2023-06-30</t>
        </is>
      </c>
      <c r="H1837" t="inlineStr">
        <is>
          <t>Jennifer Cunanan</t>
        </is>
      </c>
      <c r="I1837" t="inlineStr">
        <is>
          <t>ASSOC VP, INVESTMENTS</t>
        </is>
      </c>
      <c r="J1837" t="inlineStr">
        <is>
          <t>Director of Investments</t>
        </is>
      </c>
      <c r="K1837" t="inlineStr">
        <is>
          <t>Sr Investment Professional</t>
        </is>
      </c>
      <c r="L1837" s="28" t="n">
        <v>301781</v>
      </c>
      <c r="M1837" s="28" t="n">
        <v>106443</v>
      </c>
      <c r="N1837" s="28" t="n">
        <v>360</v>
      </c>
      <c r="O1837" s="28" t="n">
        <v>36600</v>
      </c>
      <c r="P1837" s="28" t="n">
        <v>25382</v>
      </c>
      <c r="Q1837" s="28" t="n">
        <v>470566</v>
      </c>
      <c r="R1837" s="28" t="n">
        <v>0</v>
      </c>
      <c r="S1837" s="28">
        <f>Q1837-R1837</f>
        <v/>
      </c>
      <c r="T1837" s="28">
        <f>IF(S1837="","",S1837*(1+in_GrowthRate)^(YEARFRAC(DATE(2023,6,30),in_AgeToDate)*IF(in_AgeToDate&lt;DATE(2023,6,30),-1,1)+1))</f>
        <v/>
      </c>
      <c r="U1837" s="50">
        <f>IF(AND(AND(OR(in_Mode="All Funds",AND(C1837&gt;=in_BandFloor,C1837&lt;=in_BandCeiling,OR(in_Geography="National",COUNTIFS(lst_GeoPreset,in_Geography,lst_GeoState,B1837)&gt;0,AND(in_Geography="Custom",ISNUMBER(SEARCH(B1837,SUBSTITUTE(in_CustomStates," ",""))))),OR(AND(D1837="Endowment",Inputs!$B$14="Y"),AND(D1837="Foundation",Inputs!$B$15="Y"),AND(D1837="Healthcare",Inputs!$B$16="Y"),AND(D1837="Pension",Inputs!$B$17="Y"),AND(D1837="OCIO",Inputs!$B$18="Y"),AND(D1837="Other",Inputs!$B$19="Y")))),A1837&lt;&gt;in_ClientOrg,NOT(AND(in_ExclHarvard="Y",ISNUMBER(SEARCH("Harvard",A1837))))),$AD1837="Y",K1837&lt;&gt;"",S1837&gt;0),"Y","")</f>
        <v/>
      </c>
      <c r="V1837" s="30" t="n">
        <v>0.4894117793889295</v>
      </c>
      <c r="W1837" t="inlineStr"/>
      <c r="X1837" s="28">
        <f>IF(L1837+M1837=0,"",L1837+M1837)</f>
        <v/>
      </c>
      <c r="Y1837" s="38">
        <f>IF(L1837=0,"",M1837/L1837)</f>
        <v/>
      </c>
      <c r="Z1837" t="inlineStr">
        <is>
          <t>Director &amp; Investment Officer</t>
        </is>
      </c>
      <c r="AA1837" t="inlineStr">
        <is>
          <t>Investments</t>
        </is>
      </c>
      <c r="AB1837" s="50" t="inlineStr"/>
      <c r="AC1837" s="43">
        <f>HYPERLINK("https://projects.propublica.org/nonprofits/organizations/556017181/202400959349301410/full","view filing")</f>
        <v/>
      </c>
      <c r="AD1837" s="50" t="inlineStr"/>
    </row>
    <row r="1838">
      <c r="A1838" t="inlineStr">
        <is>
          <t>West Virginia Univ Foundation Inc</t>
        </is>
      </c>
      <c r="B1838" s="50" t="inlineStr">
        <is>
          <t>WV</t>
        </is>
      </c>
      <c r="C1838" s="52" t="n">
        <v>3.15</v>
      </c>
      <c r="D1838" t="inlineStr">
        <is>
          <t>Foundation</t>
        </is>
      </c>
      <c r="E1838" s="50" t="n">
        <v>2023</v>
      </c>
      <c r="F1838" s="50" t="inlineStr">
        <is>
          <t>2024-04-04</t>
        </is>
      </c>
      <c r="G1838" s="50" t="inlineStr">
        <is>
          <t>2023-06-30</t>
        </is>
      </c>
      <c r="H1838" t="inlineStr">
        <is>
          <t>Kaylon Mcinelly</t>
        </is>
      </c>
      <c r="I1838" t="inlineStr">
        <is>
          <t>ASSOC VP, INVESTMENTS</t>
        </is>
      </c>
      <c r="J1838" t="inlineStr">
        <is>
          <t>Director of Investments</t>
        </is>
      </c>
      <c r="K1838" t="inlineStr">
        <is>
          <t>Sr Investment Professional</t>
        </is>
      </c>
      <c r="L1838" s="28" t="n">
        <v>223111</v>
      </c>
      <c r="M1838" s="28" t="n">
        <v>85592</v>
      </c>
      <c r="N1838" s="28" t="n">
        <v>240</v>
      </c>
      <c r="O1838" s="28" t="n">
        <v>21350</v>
      </c>
      <c r="P1838" s="28" t="n">
        <v>25382</v>
      </c>
      <c r="Q1838" s="28" t="n">
        <v>355675</v>
      </c>
      <c r="R1838" s="28" t="n">
        <v>0</v>
      </c>
      <c r="S1838" s="28">
        <f>Q1838-R1838</f>
        <v/>
      </c>
      <c r="T1838" s="28">
        <f>IF(S1838="","",S1838*(1+in_GrowthRate)^(YEARFRAC(DATE(2023,6,30),in_AgeToDate)*IF(in_AgeToDate&lt;DATE(2023,6,30),-1,1)+1))</f>
        <v/>
      </c>
      <c r="U1838" s="50">
        <f>IF(AND(AND(OR(in_Mode="All Funds",AND(C1838&gt;=in_BandFloor,C1838&lt;=in_BandCeiling,OR(in_Geography="National",COUNTIFS(lst_GeoPreset,in_Geography,lst_GeoState,B1838)&gt;0,AND(in_Geography="Custom",ISNUMBER(SEARCH(B1838,SUBSTITUTE(in_CustomStates," ",""))))),OR(AND(D1838="Endowment",Inputs!$B$14="Y"),AND(D1838="Foundation",Inputs!$B$15="Y"),AND(D1838="Healthcare",Inputs!$B$16="Y"),AND(D1838="Pension",Inputs!$B$17="Y"),AND(D1838="OCIO",Inputs!$B$18="Y"),AND(D1838="Other",Inputs!$B$19="Y")))),A1838&lt;&gt;in_ClientOrg,NOT(AND(in_ExclHarvard="Y",ISNUMBER(SEARCH("Harvard",A1838))))),$AD1838="Y",K1838&lt;&gt;"",S1838&gt;0),"Y","")</f>
        <v/>
      </c>
      <c r="V1838" s="30" t="n">
        <v>0.3699194897934774</v>
      </c>
      <c r="W1838" t="inlineStr"/>
      <c r="X1838" s="28">
        <f>IF(L1838+M1838=0,"",L1838+M1838)</f>
        <v/>
      </c>
      <c r="Y1838" s="38">
        <f>IF(L1838=0,"",M1838/L1838)</f>
        <v/>
      </c>
      <c r="Z1838" t="inlineStr">
        <is>
          <t>Director &amp; Investment Officer</t>
        </is>
      </c>
      <c r="AA1838" t="inlineStr">
        <is>
          <t>Investments</t>
        </is>
      </c>
      <c r="AB1838" s="50" t="inlineStr"/>
      <c r="AC1838" s="43">
        <f>HYPERLINK("https://projects.propublica.org/nonprofits/organizations/556017181/202400959349301410/full","view filing")</f>
        <v/>
      </c>
      <c r="AD1838" s="50" t="inlineStr"/>
    </row>
    <row r="1839">
      <c r="A1839" t="inlineStr">
        <is>
          <t>West Virginia Univ Foundation Inc</t>
        </is>
      </c>
      <c r="B1839" s="50" t="inlineStr">
        <is>
          <t>WV</t>
        </is>
      </c>
      <c r="C1839" s="52" t="n">
        <v>3.15</v>
      </c>
      <c r="D1839" t="inlineStr">
        <is>
          <t>Foundation</t>
        </is>
      </c>
      <c r="E1839" s="50" t="n">
        <v>2023</v>
      </c>
      <c r="F1839" s="50" t="inlineStr">
        <is>
          <t>2024-04-04</t>
        </is>
      </c>
      <c r="G1839" s="50" t="inlineStr">
        <is>
          <t>2023-06-30</t>
        </is>
      </c>
      <c r="H1839" t="inlineStr">
        <is>
          <t>Richard Kraich</t>
        </is>
      </c>
      <c r="I1839" t="inlineStr">
        <is>
          <t>VP INVESTMENTS, CIO</t>
        </is>
      </c>
      <c r="J1839" t="inlineStr">
        <is>
          <t>CIO</t>
        </is>
      </c>
      <c r="K1839" t="inlineStr">
        <is>
          <t>CIO - Top Investment Executive</t>
        </is>
      </c>
      <c r="L1839" s="28" t="n">
        <v>493846</v>
      </c>
      <c r="M1839" s="28" t="n">
        <v>396047</v>
      </c>
      <c r="N1839" s="28" t="n">
        <v>12668</v>
      </c>
      <c r="O1839" s="28" t="n">
        <v>33550</v>
      </c>
      <c r="P1839" s="28" t="n">
        <v>25382</v>
      </c>
      <c r="Q1839" s="28" t="n">
        <v>961493</v>
      </c>
      <c r="R1839" s="28" t="n">
        <v>0</v>
      </c>
      <c r="S1839" s="28">
        <f>Q1839-R1839</f>
        <v/>
      </c>
      <c r="T1839" s="28">
        <f>IF(S1839="","",S1839*(1+in_GrowthRate)^(YEARFRAC(DATE(2023,6,30),in_AgeToDate)*IF(in_AgeToDate&lt;DATE(2023,6,30),-1,1)+1))</f>
        <v/>
      </c>
      <c r="U1839" s="50">
        <f>IF(AND(AND(OR(in_Mode="All Funds",AND(C1839&gt;=in_BandFloor,C1839&lt;=in_BandCeiling,OR(in_Geography="National",COUNTIFS(lst_GeoPreset,in_Geography,lst_GeoState,B1839)&gt;0,AND(in_Geography="Custom",ISNUMBER(SEARCH(B1839,SUBSTITUTE(in_CustomStates," ",""))))),OR(AND(D1839="Endowment",Inputs!$B$14="Y"),AND(D1839="Foundation",Inputs!$B$15="Y"),AND(D1839="Healthcare",Inputs!$B$16="Y"),AND(D1839="Pension",Inputs!$B$17="Y"),AND(D1839="OCIO",Inputs!$B$18="Y"),AND(D1839="Other",Inputs!$B$19="Y")))),A1839&lt;&gt;in_ClientOrg,NOT(AND(in_ExclHarvard="Y",ISNUMBER(SEARCH("Harvard",A1839))))),$AD1839="Y",K1839&lt;&gt;"",S1839&gt;0),"Y","")</f>
        <v/>
      </c>
      <c r="V1839" s="30" t="n">
        <v>1</v>
      </c>
      <c r="W1839" t="inlineStr"/>
      <c r="X1839" s="28">
        <f>IF(L1839+M1839=0,"",L1839+M1839)</f>
        <v/>
      </c>
      <c r="Y1839" s="38">
        <f>IF(L1839=0,"",M1839/L1839)</f>
        <v/>
      </c>
      <c r="Z1839" t="inlineStr">
        <is>
          <t>CIO - Top Investment Executive</t>
        </is>
      </c>
      <c r="AA1839" t="inlineStr">
        <is>
          <t>Leadership</t>
        </is>
      </c>
      <c r="AB1839" s="50" t="inlineStr">
        <is>
          <t>Y</t>
        </is>
      </c>
      <c r="AC1839" s="43">
        <f>HYPERLINK("https://projects.propublica.org/nonprofits/organizations/556017181/202400959349301410/full","view filing")</f>
        <v/>
      </c>
      <c r="AD1839" s="50" t="inlineStr"/>
    </row>
    <row r="1840">
      <c r="A1840" t="inlineStr">
        <is>
          <t>West Virginia Univ Foundation Inc</t>
        </is>
      </c>
      <c r="B1840" s="50" t="inlineStr">
        <is>
          <t>WV</t>
        </is>
      </c>
      <c r="C1840" s="52" t="n">
        <v>3.15</v>
      </c>
      <c r="D1840" t="inlineStr">
        <is>
          <t>Foundation</t>
        </is>
      </c>
      <c r="E1840" s="50" t="n">
        <v>2022</v>
      </c>
      <c r="F1840" s="50" t="inlineStr">
        <is>
          <t>2023-03-16</t>
        </is>
      </c>
      <c r="G1840" s="50" t="inlineStr">
        <is>
          <t>2022-06-30</t>
        </is>
      </c>
      <c r="H1840" t="inlineStr">
        <is>
          <t>Jennifer Cunanan</t>
        </is>
      </c>
      <c r="I1840" t="inlineStr">
        <is>
          <t>ASSOC VP, INVESTMENTS</t>
        </is>
      </c>
      <c r="J1840" t="inlineStr">
        <is>
          <t>Director of Investments</t>
        </is>
      </c>
      <c r="K1840" t="inlineStr">
        <is>
          <t>Sr Investment Professional</t>
        </is>
      </c>
      <c r="L1840" s="28" t="n">
        <v>241091</v>
      </c>
      <c r="M1840" s="28" t="n">
        <v>77905</v>
      </c>
      <c r="N1840" s="28" t="n">
        <v>240</v>
      </c>
      <c r="O1840" s="28" t="n">
        <v>34800</v>
      </c>
      <c r="P1840" s="28" t="n">
        <v>26209</v>
      </c>
      <c r="Q1840" s="28" t="n">
        <v>380245</v>
      </c>
      <c r="R1840" s="28" t="n">
        <v>0</v>
      </c>
      <c r="S1840" s="28">
        <f>Q1840-R1840</f>
        <v/>
      </c>
      <c r="T1840" s="28">
        <f>IF(S1840="","",S1840*(1+in_GrowthRate)^(YEARFRAC(DATE(2022,6,30),in_AgeToDate)*IF(in_AgeToDate&lt;DATE(2022,6,30),-1,1)+1))</f>
        <v/>
      </c>
      <c r="U1840" s="50">
        <f>IF(AND(AND(OR(in_Mode="All Funds",AND(C1840&gt;=in_BandFloor,C1840&lt;=in_BandCeiling,OR(in_Geography="National",COUNTIFS(lst_GeoPreset,in_Geography,lst_GeoState,B1840)&gt;0,AND(in_Geography="Custom",ISNUMBER(SEARCH(B1840,SUBSTITUTE(in_CustomStates," ",""))))),OR(AND(D1840="Endowment",Inputs!$B$14="Y"),AND(D1840="Foundation",Inputs!$B$15="Y"),AND(D1840="Healthcare",Inputs!$B$16="Y"),AND(D1840="Pension",Inputs!$B$17="Y"),AND(D1840="OCIO",Inputs!$B$18="Y"),AND(D1840="Other",Inputs!$B$19="Y")))),A1840&lt;&gt;in_ClientOrg,NOT(AND(in_ExclHarvard="Y",ISNUMBER(SEARCH("Harvard",A1840))))),$AD1840="Y",K1840&lt;&gt;"",S1840&gt;0),"Y","")</f>
        <v/>
      </c>
      <c r="V1840" s="30" t="n">
        <v>0.4795309173821366</v>
      </c>
      <c r="W1840" t="inlineStr"/>
      <c r="X1840" s="28">
        <f>IF(L1840+M1840=0,"",L1840+M1840)</f>
        <v/>
      </c>
      <c r="Y1840" s="38">
        <f>IF(L1840=0,"",M1840/L1840)</f>
        <v/>
      </c>
      <c r="Z1840" t="inlineStr">
        <is>
          <t>Director &amp; Investment Officer</t>
        </is>
      </c>
      <c r="AA1840" t="inlineStr">
        <is>
          <t>Investments</t>
        </is>
      </c>
      <c r="AB1840" s="50" t="inlineStr"/>
      <c r="AC1840" s="43">
        <f>HYPERLINK("https://projects.propublica.org/nonprofits/organizations/556017181/202300759349301500/full","view filing")</f>
        <v/>
      </c>
      <c r="AD1840" s="50" t="inlineStr"/>
    </row>
    <row r="1841">
      <c r="A1841" t="inlineStr">
        <is>
          <t>West Virginia Univ Foundation Inc</t>
        </is>
      </c>
      <c r="B1841" s="50" t="inlineStr">
        <is>
          <t>WV</t>
        </is>
      </c>
      <c r="C1841" s="52" t="n">
        <v>3.15</v>
      </c>
      <c r="D1841" t="inlineStr">
        <is>
          <t>Foundation</t>
        </is>
      </c>
      <c r="E1841" s="50" t="n">
        <v>2022</v>
      </c>
      <c r="F1841" s="50" t="inlineStr">
        <is>
          <t>2023-03-16</t>
        </is>
      </c>
      <c r="G1841" s="50" t="inlineStr">
        <is>
          <t>2022-06-30</t>
        </is>
      </c>
      <c r="H1841" t="inlineStr">
        <is>
          <t>Kaylon Mcinelly</t>
        </is>
      </c>
      <c r="I1841" t="inlineStr">
        <is>
          <t>ASSOC VP, INVESTMENTS</t>
        </is>
      </c>
      <c r="J1841" t="inlineStr">
        <is>
          <t>Director of Investments</t>
        </is>
      </c>
      <c r="K1841" t="inlineStr">
        <is>
          <t>Sr Investment Professional</t>
        </is>
      </c>
      <c r="L1841" s="28" t="n">
        <v>201951</v>
      </c>
      <c r="M1841" s="28" t="n">
        <v>58866</v>
      </c>
      <c r="N1841" s="28" t="n">
        <v>216</v>
      </c>
      <c r="O1841" s="28" t="n">
        <v>27257</v>
      </c>
      <c r="P1841" s="28" t="n">
        <v>25969</v>
      </c>
      <c r="Q1841" s="28" t="n">
        <v>314259</v>
      </c>
      <c r="R1841" s="28" t="n">
        <v>0</v>
      </c>
      <c r="S1841" s="28">
        <f>Q1841-R1841</f>
        <v/>
      </c>
      <c r="T1841" s="28">
        <f>IF(S1841="","",S1841*(1+in_GrowthRate)^(YEARFRAC(DATE(2022,6,30),in_AgeToDate)*IF(in_AgeToDate&lt;DATE(2022,6,30),-1,1)+1))</f>
        <v/>
      </c>
      <c r="U1841" s="50">
        <f>IF(AND(AND(OR(in_Mode="All Funds",AND(C1841&gt;=in_BandFloor,C1841&lt;=in_BandCeiling,OR(in_Geography="National",COUNTIFS(lst_GeoPreset,in_Geography,lst_GeoState,B1841)&gt;0,AND(in_Geography="Custom",ISNUMBER(SEARCH(B1841,SUBSTITUTE(in_CustomStates," ",""))))),OR(AND(D1841="Endowment",Inputs!$B$14="Y"),AND(D1841="Foundation",Inputs!$B$15="Y"),AND(D1841="Healthcare",Inputs!$B$16="Y"),AND(D1841="Pension",Inputs!$B$17="Y"),AND(D1841="OCIO",Inputs!$B$18="Y"),AND(D1841="Other",Inputs!$B$19="Y")))),A1841&lt;&gt;in_ClientOrg,NOT(AND(in_ExclHarvard="Y",ISNUMBER(SEARCH("Harvard",A1841))))),$AD1841="Y",K1841&lt;&gt;"",S1841&gt;0),"Y","")</f>
        <v/>
      </c>
      <c r="V1841" s="30" t="n">
        <v>0.3963152876845005</v>
      </c>
      <c r="W1841" t="inlineStr"/>
      <c r="X1841" s="28">
        <f>IF(L1841+M1841=0,"",L1841+M1841)</f>
        <v/>
      </c>
      <c r="Y1841" s="38">
        <f>IF(L1841=0,"",M1841/L1841)</f>
        <v/>
      </c>
      <c r="Z1841" t="inlineStr">
        <is>
          <t>Director &amp; Investment Officer</t>
        </is>
      </c>
      <c r="AA1841" t="inlineStr">
        <is>
          <t>Investments</t>
        </is>
      </c>
      <c r="AB1841" s="50" t="inlineStr"/>
      <c r="AC1841" s="43">
        <f>HYPERLINK("https://projects.propublica.org/nonprofits/organizations/556017181/202300759349301500/full","view filing")</f>
        <v/>
      </c>
      <c r="AD1841" s="50" t="inlineStr"/>
    </row>
    <row r="1842">
      <c r="A1842" t="inlineStr">
        <is>
          <t>West Virginia Univ Foundation Inc</t>
        </is>
      </c>
      <c r="B1842" s="50" t="inlineStr">
        <is>
          <t>WV</t>
        </is>
      </c>
      <c r="C1842" s="52" t="n">
        <v>3.15</v>
      </c>
      <c r="D1842" t="inlineStr">
        <is>
          <t>Foundation</t>
        </is>
      </c>
      <c r="E1842" s="50" t="n">
        <v>2022</v>
      </c>
      <c r="F1842" s="50" t="inlineStr">
        <is>
          <t>2023-03-16</t>
        </is>
      </c>
      <c r="G1842" s="50" t="inlineStr">
        <is>
          <t>2022-06-30</t>
        </is>
      </c>
      <c r="H1842" t="inlineStr">
        <is>
          <t>Richard Kraich</t>
        </is>
      </c>
      <c r="I1842" t="inlineStr">
        <is>
          <t>VP INVESTMENTS, CIO</t>
        </is>
      </c>
      <c r="J1842" t="inlineStr">
        <is>
          <t>CIO</t>
        </is>
      </c>
      <c r="K1842" t="inlineStr">
        <is>
          <t>CIO - Top Investment Executive</t>
        </is>
      </c>
      <c r="L1842" s="28" t="n">
        <v>428537</v>
      </c>
      <c r="M1842" s="28" t="n">
        <v>292998</v>
      </c>
      <c r="N1842" s="28" t="n">
        <v>12668</v>
      </c>
      <c r="O1842" s="28" t="n">
        <v>31900</v>
      </c>
      <c r="P1842" s="28" t="n">
        <v>26849</v>
      </c>
      <c r="Q1842" s="28" t="n">
        <v>792952</v>
      </c>
      <c r="R1842" s="28" t="n">
        <v>0</v>
      </c>
      <c r="S1842" s="28">
        <f>Q1842-R1842</f>
        <v/>
      </c>
      <c r="T1842" s="28">
        <f>IF(S1842="","",S1842*(1+in_GrowthRate)^(YEARFRAC(DATE(2022,6,30),in_AgeToDate)*IF(in_AgeToDate&lt;DATE(2022,6,30),-1,1)+1))</f>
        <v/>
      </c>
      <c r="U1842" s="50">
        <f>IF(AND(AND(OR(in_Mode="All Funds",AND(C1842&gt;=in_BandFloor,C1842&lt;=in_BandCeiling,OR(in_Geography="National",COUNTIFS(lst_GeoPreset,in_Geography,lst_GeoState,B1842)&gt;0,AND(in_Geography="Custom",ISNUMBER(SEARCH(B1842,SUBSTITUTE(in_CustomStates," ",""))))),OR(AND(D1842="Endowment",Inputs!$B$14="Y"),AND(D1842="Foundation",Inputs!$B$15="Y"),AND(D1842="Healthcare",Inputs!$B$16="Y"),AND(D1842="Pension",Inputs!$B$17="Y"),AND(D1842="OCIO",Inputs!$B$18="Y"),AND(D1842="Other",Inputs!$B$19="Y")))),A1842&lt;&gt;in_ClientOrg,NOT(AND(in_ExclHarvard="Y",ISNUMBER(SEARCH("Harvard",A1842))))),$AD1842="Y",K1842&lt;&gt;"",S1842&gt;0),"Y","")</f>
        <v/>
      </c>
      <c r="V1842" s="30" t="n">
        <v>1</v>
      </c>
      <c r="W1842" t="inlineStr"/>
      <c r="X1842" s="28">
        <f>IF(L1842+M1842=0,"",L1842+M1842)</f>
        <v/>
      </c>
      <c r="Y1842" s="38">
        <f>IF(L1842=0,"",M1842/L1842)</f>
        <v/>
      </c>
      <c r="Z1842" t="inlineStr">
        <is>
          <t>CIO - Top Investment Executive</t>
        </is>
      </c>
      <c r="AA1842" t="inlineStr">
        <is>
          <t>Leadership</t>
        </is>
      </c>
      <c r="AB1842" s="50" t="inlineStr">
        <is>
          <t>Y</t>
        </is>
      </c>
      <c r="AC1842" s="43">
        <f>HYPERLINK("https://projects.propublica.org/nonprofits/organizations/556017181/202300759349301500/full","view filing")</f>
        <v/>
      </c>
      <c r="AD1842" s="50" t="inlineStr"/>
    </row>
    <row r="1843">
      <c r="A1843" t="inlineStr">
        <is>
          <t>Wheaton College</t>
        </is>
      </c>
      <c r="B1843" s="50" t="inlineStr">
        <is>
          <t>IL</t>
        </is>
      </c>
      <c r="C1843" s="52" t="n">
        <v>0.67</v>
      </c>
      <c r="D1843" t="inlineStr">
        <is>
          <t>Endowment</t>
        </is>
      </c>
      <c r="E1843" s="50" t="n">
        <v>2025</v>
      </c>
      <c r="F1843" s="50" t="inlineStr">
        <is>
          <t>2026-05-14</t>
        </is>
      </c>
      <c r="G1843" s="50" t="inlineStr">
        <is>
          <t>2025-06-30</t>
        </is>
      </c>
      <c r="H1843" t="inlineStr">
        <is>
          <t>Kenneth Larson</t>
        </is>
      </c>
      <c r="I1843" t="inlineStr">
        <is>
          <t>Investment Manager</t>
        </is>
      </c>
      <c r="J1843" t="inlineStr">
        <is>
          <t>Investment Manager</t>
        </is>
      </c>
      <c r="K1843" t="inlineStr">
        <is>
          <t>Sr Investment Professional</t>
        </is>
      </c>
      <c r="L1843" s="28" t="n">
        <v>196723</v>
      </c>
      <c r="M1843" s="28" t="n">
        <v>0</v>
      </c>
      <c r="N1843" s="28" t="n">
        <v>2667</v>
      </c>
      <c r="O1843" s="28" t="n">
        <v>12423</v>
      </c>
      <c r="P1843" s="28" t="n">
        <v>28542</v>
      </c>
      <c r="Q1843" s="28" t="n">
        <v>240355</v>
      </c>
      <c r="R1843" s="28" t="n">
        <v>0</v>
      </c>
      <c r="S1843" s="28">
        <f>Q1843-R1843</f>
        <v/>
      </c>
      <c r="T1843" s="28">
        <f>IF(S1843="","",S1843*(1+in_GrowthRate)^(YEARFRAC(DATE(2025,6,30),in_AgeToDate)*IF(in_AgeToDate&lt;DATE(2025,6,30),-1,1)+1))</f>
        <v/>
      </c>
      <c r="U1843" s="50">
        <f>IF(AND(AND(OR(in_Mode="All Funds",AND(C1843&gt;=in_BandFloor,C1843&lt;=in_BandCeiling,OR(in_Geography="National",COUNTIFS(lst_GeoPreset,in_Geography,lst_GeoState,B1843)&gt;0,AND(in_Geography="Custom",ISNUMBER(SEARCH(B1843,SUBSTITUTE(in_CustomStates," ",""))))),OR(AND(D1843="Endowment",Inputs!$B$14="Y"),AND(D1843="Foundation",Inputs!$B$15="Y"),AND(D1843="Healthcare",Inputs!$B$16="Y"),AND(D1843="Pension",Inputs!$B$17="Y"),AND(D1843="OCIO",Inputs!$B$18="Y"),AND(D1843="Other",Inputs!$B$19="Y")))),A1843&lt;&gt;in_ClientOrg,NOT(AND(in_ExclHarvard="Y",ISNUMBER(SEARCH("Harvard",A1843))))),$AD1843="Y",K1843&lt;&gt;"",S1843&gt;0),"Y","")</f>
        <v/>
      </c>
      <c r="V1843" s="30" t="n"/>
      <c r="W1843" t="inlineStr"/>
      <c r="X1843" s="28">
        <f>IF(L1843+M1843=0,"",L1843+M1843)</f>
        <v/>
      </c>
      <c r="Y1843" s="38">
        <f>IF(L1843=0,"",M1843/L1843)</f>
        <v/>
      </c>
      <c r="Z1843" t="inlineStr">
        <is>
          <t>Director &amp; Investment Officer</t>
        </is>
      </c>
      <c r="AA1843" t="inlineStr">
        <is>
          <t>Investments</t>
        </is>
      </c>
      <c r="AB1843" s="50" t="inlineStr"/>
      <c r="AC1843" s="43">
        <f>HYPERLINK("https://projects.propublica.org/nonprofits/organizations/362182171/202621349349312447/full","view filing")</f>
        <v/>
      </c>
      <c r="AD1843" s="50" t="inlineStr">
        <is>
          <t>Y</t>
        </is>
      </c>
    </row>
    <row r="1844">
      <c r="A1844" t="inlineStr">
        <is>
          <t>Wheaton College</t>
        </is>
      </c>
      <c r="B1844" s="50" t="inlineStr">
        <is>
          <t>IL</t>
        </is>
      </c>
      <c r="C1844" s="52" t="n">
        <v>0.67</v>
      </c>
      <c r="D1844" t="inlineStr">
        <is>
          <t>Endowment</t>
        </is>
      </c>
      <c r="E1844" s="50" t="n">
        <v>2024</v>
      </c>
      <c r="F1844" s="50" t="inlineStr">
        <is>
          <t>2025-05-15</t>
        </is>
      </c>
      <c r="G1844" s="50" t="inlineStr">
        <is>
          <t>2024-06-30</t>
        </is>
      </c>
      <c r="H1844" t="inlineStr">
        <is>
          <t>Kenneth Larson</t>
        </is>
      </c>
      <c r="I1844" t="inlineStr">
        <is>
          <t>Investment Manager</t>
        </is>
      </c>
      <c r="J1844" t="inlineStr">
        <is>
          <t>Investment Manager</t>
        </is>
      </c>
      <c r="K1844" t="inlineStr">
        <is>
          <t>Sr Investment Professional</t>
        </is>
      </c>
      <c r="L1844" s="28" t="n">
        <v>183474</v>
      </c>
      <c r="M1844" s="28" t="n">
        <v>0</v>
      </c>
      <c r="N1844" s="28" t="n">
        <v>2266</v>
      </c>
      <c r="O1844" s="28" t="n">
        <v>11704</v>
      </c>
      <c r="P1844" s="28" t="n">
        <v>40009</v>
      </c>
      <c r="Q1844" s="28" t="n">
        <v>237453</v>
      </c>
      <c r="R1844" s="28" t="n">
        <v>0</v>
      </c>
      <c r="S1844" s="28">
        <f>Q1844-R1844</f>
        <v/>
      </c>
      <c r="T1844" s="28">
        <f>IF(S1844="","",S1844*(1+in_GrowthRate)^(YEARFRAC(DATE(2024,6,30),in_AgeToDate)*IF(in_AgeToDate&lt;DATE(2024,6,30),-1,1)+1))</f>
        <v/>
      </c>
      <c r="U1844" s="50">
        <f>IF(AND(AND(OR(in_Mode="All Funds",AND(C1844&gt;=in_BandFloor,C1844&lt;=in_BandCeiling,OR(in_Geography="National",COUNTIFS(lst_GeoPreset,in_Geography,lst_GeoState,B1844)&gt;0,AND(in_Geography="Custom",ISNUMBER(SEARCH(B1844,SUBSTITUTE(in_CustomStates," ",""))))),OR(AND(D1844="Endowment",Inputs!$B$14="Y"),AND(D1844="Foundation",Inputs!$B$15="Y"),AND(D1844="Healthcare",Inputs!$B$16="Y"),AND(D1844="Pension",Inputs!$B$17="Y"),AND(D1844="OCIO",Inputs!$B$18="Y"),AND(D1844="Other",Inputs!$B$19="Y")))),A1844&lt;&gt;in_ClientOrg,NOT(AND(in_ExclHarvard="Y",ISNUMBER(SEARCH("Harvard",A1844))))),$AD1844="Y",K1844&lt;&gt;"",S1844&gt;0),"Y","")</f>
        <v/>
      </c>
      <c r="V1844" s="30" t="n"/>
      <c r="W1844" t="inlineStr"/>
      <c r="X1844" s="28">
        <f>IF(L1844+M1844=0,"",L1844+M1844)</f>
        <v/>
      </c>
      <c r="Y1844" s="38">
        <f>IF(L1844=0,"",M1844/L1844)</f>
        <v/>
      </c>
      <c r="Z1844" t="inlineStr">
        <is>
          <t>Director &amp; Investment Officer</t>
        </is>
      </c>
      <c r="AA1844" t="inlineStr">
        <is>
          <t>Investments</t>
        </is>
      </c>
      <c r="AB1844" s="50" t="inlineStr"/>
      <c r="AC1844" s="43">
        <f>HYPERLINK("https://projects.propublica.org/nonprofits/organizations/362182171/202521359349305702/full","view filing")</f>
        <v/>
      </c>
      <c r="AD1844" s="50" t="inlineStr"/>
    </row>
    <row r="1845">
      <c r="A1845" t="inlineStr">
        <is>
          <t>Wheaton College</t>
        </is>
      </c>
      <c r="B1845" s="50" t="inlineStr">
        <is>
          <t>IL</t>
        </is>
      </c>
      <c r="C1845" s="52" t="n">
        <v>0.67</v>
      </c>
      <c r="D1845" t="inlineStr">
        <is>
          <t>Endowment</t>
        </is>
      </c>
      <c r="E1845" s="50" t="n">
        <v>2023</v>
      </c>
      <c r="F1845" s="50" t="inlineStr">
        <is>
          <t>2024-05-15</t>
        </is>
      </c>
      <c r="G1845" s="50" t="inlineStr">
        <is>
          <t>2023-06-30</t>
        </is>
      </c>
      <c r="H1845" t="inlineStr">
        <is>
          <t>Kenneth Larson</t>
        </is>
      </c>
      <c r="I1845" t="inlineStr">
        <is>
          <t>Investment Manager</t>
        </is>
      </c>
      <c r="J1845" t="inlineStr">
        <is>
          <t>Investment Manager</t>
        </is>
      </c>
      <c r="K1845" t="inlineStr">
        <is>
          <t>Sr Investment Professional</t>
        </is>
      </c>
      <c r="L1845" s="28" t="n">
        <v>179214</v>
      </c>
      <c r="M1845" s="28" t="n">
        <v>0</v>
      </c>
      <c r="N1845" s="28" t="n">
        <v>1814</v>
      </c>
      <c r="O1845" s="28" t="n">
        <v>11403</v>
      </c>
      <c r="P1845" s="28" t="n">
        <v>54824</v>
      </c>
      <c r="Q1845" s="28" t="n">
        <v>247255</v>
      </c>
      <c r="R1845" s="28" t="n">
        <v>0</v>
      </c>
      <c r="S1845" s="28">
        <f>Q1845-R1845</f>
        <v/>
      </c>
      <c r="T1845" s="28">
        <f>IF(S1845="","",S1845*(1+in_GrowthRate)^(YEARFRAC(DATE(2023,6,30),in_AgeToDate)*IF(in_AgeToDate&lt;DATE(2023,6,30),-1,1)+1))</f>
        <v/>
      </c>
      <c r="U1845" s="50">
        <f>IF(AND(AND(OR(in_Mode="All Funds",AND(C1845&gt;=in_BandFloor,C1845&lt;=in_BandCeiling,OR(in_Geography="National",COUNTIFS(lst_GeoPreset,in_Geography,lst_GeoState,B1845)&gt;0,AND(in_Geography="Custom",ISNUMBER(SEARCH(B1845,SUBSTITUTE(in_CustomStates," ",""))))),OR(AND(D1845="Endowment",Inputs!$B$14="Y"),AND(D1845="Foundation",Inputs!$B$15="Y"),AND(D1845="Healthcare",Inputs!$B$16="Y"),AND(D1845="Pension",Inputs!$B$17="Y"),AND(D1845="OCIO",Inputs!$B$18="Y"),AND(D1845="Other",Inputs!$B$19="Y")))),A1845&lt;&gt;in_ClientOrg,NOT(AND(in_ExclHarvard="Y",ISNUMBER(SEARCH("Harvard",A1845))))),$AD1845="Y",K1845&lt;&gt;"",S1845&gt;0),"Y","")</f>
        <v/>
      </c>
      <c r="V1845" s="30" t="n"/>
      <c r="W1845" t="inlineStr"/>
      <c r="X1845" s="28">
        <f>IF(L1845+M1845=0,"",L1845+M1845)</f>
        <v/>
      </c>
      <c r="Y1845" s="38">
        <f>IF(L1845=0,"",M1845/L1845)</f>
        <v/>
      </c>
      <c r="Z1845" t="inlineStr">
        <is>
          <t>Director &amp; Investment Officer</t>
        </is>
      </c>
      <c r="AA1845" t="inlineStr">
        <is>
          <t>Investments</t>
        </is>
      </c>
      <c r="AB1845" s="50" t="inlineStr"/>
      <c r="AC1845" s="43">
        <f>HYPERLINK("https://projects.propublica.org/nonprofits/organizations/362182171/202421369349315667/full","view filing")</f>
        <v/>
      </c>
      <c r="AD1845" s="50" t="inlineStr"/>
    </row>
    <row r="1846">
      <c r="A1846" t="inlineStr">
        <is>
          <t>Wheaton College</t>
        </is>
      </c>
      <c r="B1846" s="50" t="inlineStr">
        <is>
          <t>IL</t>
        </is>
      </c>
      <c r="C1846" s="52" t="n">
        <v>0.67</v>
      </c>
      <c r="D1846" t="inlineStr">
        <is>
          <t>Endowment</t>
        </is>
      </c>
      <c r="E1846" s="50" t="n">
        <v>2022</v>
      </c>
      <c r="F1846" s="50" t="inlineStr">
        <is>
          <t>2023-05-15</t>
        </is>
      </c>
      <c r="G1846" s="50" t="inlineStr">
        <is>
          <t>2022-06-30</t>
        </is>
      </c>
      <c r="H1846" t="inlineStr">
        <is>
          <t>Kenneth Larson</t>
        </is>
      </c>
      <c r="I1846" t="inlineStr">
        <is>
          <t>Investment Manager</t>
        </is>
      </c>
      <c r="J1846" t="inlineStr">
        <is>
          <t>Investment Manager</t>
        </is>
      </c>
      <c r="K1846" t="inlineStr">
        <is>
          <t>Sr Investment Professional</t>
        </is>
      </c>
      <c r="L1846" s="28" t="n">
        <v>170815</v>
      </c>
      <c r="M1846" s="28" t="n">
        <v>0</v>
      </c>
      <c r="N1846" s="28" t="n">
        <v>1153</v>
      </c>
      <c r="O1846" s="28" t="n">
        <v>10884</v>
      </c>
      <c r="P1846" s="28" t="n">
        <v>52621</v>
      </c>
      <c r="Q1846" s="28" t="n">
        <v>235473</v>
      </c>
      <c r="R1846" s="28" t="n">
        <v>0</v>
      </c>
      <c r="S1846" s="28">
        <f>Q1846-R1846</f>
        <v/>
      </c>
      <c r="T1846" s="28">
        <f>IF(S1846="","",S1846*(1+in_GrowthRate)^(YEARFRAC(DATE(2022,6,30),in_AgeToDate)*IF(in_AgeToDate&lt;DATE(2022,6,30),-1,1)+1))</f>
        <v/>
      </c>
      <c r="U1846" s="50">
        <f>IF(AND(AND(OR(in_Mode="All Funds",AND(C1846&gt;=in_BandFloor,C1846&lt;=in_BandCeiling,OR(in_Geography="National",COUNTIFS(lst_GeoPreset,in_Geography,lst_GeoState,B1846)&gt;0,AND(in_Geography="Custom",ISNUMBER(SEARCH(B1846,SUBSTITUTE(in_CustomStates," ",""))))),OR(AND(D1846="Endowment",Inputs!$B$14="Y"),AND(D1846="Foundation",Inputs!$B$15="Y"),AND(D1846="Healthcare",Inputs!$B$16="Y"),AND(D1846="Pension",Inputs!$B$17="Y"),AND(D1846="OCIO",Inputs!$B$18="Y"),AND(D1846="Other",Inputs!$B$19="Y")))),A1846&lt;&gt;in_ClientOrg,NOT(AND(in_ExclHarvard="Y",ISNUMBER(SEARCH("Harvard",A1846))))),$AD1846="Y",K1846&lt;&gt;"",S1846&gt;0),"Y","")</f>
        <v/>
      </c>
      <c r="V1846" s="30" t="n"/>
      <c r="W1846" t="inlineStr"/>
      <c r="X1846" s="28">
        <f>IF(L1846+M1846=0,"",L1846+M1846)</f>
        <v/>
      </c>
      <c r="Y1846" s="38">
        <f>IF(L1846=0,"",M1846/L1846)</f>
        <v/>
      </c>
      <c r="Z1846" t="inlineStr">
        <is>
          <t>Director &amp; Investment Officer</t>
        </is>
      </c>
      <c r="AA1846" t="inlineStr">
        <is>
          <t>Investments</t>
        </is>
      </c>
      <c r="AB1846" s="50" t="inlineStr"/>
      <c r="AC1846" s="43">
        <f>HYPERLINK("https://projects.propublica.org/nonprofits/organizations/362182171/202321359349306812/full","view filing")</f>
        <v/>
      </c>
      <c r="AD1846" s="50" t="inlineStr"/>
    </row>
    <row r="1847">
      <c r="A1847" t="inlineStr">
        <is>
          <t>William &amp; Flora Hewlett Foundation</t>
        </is>
      </c>
      <c r="B1847" s="50" t="inlineStr">
        <is>
          <t>CA</t>
        </is>
      </c>
      <c r="C1847" s="52" t="n">
        <v>13.18</v>
      </c>
      <c r="D1847" t="inlineStr">
        <is>
          <t>Foundation</t>
        </is>
      </c>
      <c r="E1847" s="50" t="n">
        <v>2024</v>
      </c>
      <c r="F1847" s="50" t="inlineStr">
        <is>
          <t>2025-11-14</t>
        </is>
      </c>
      <c r="G1847" s="50" t="inlineStr">
        <is>
          <t>2024-12-31</t>
        </is>
      </c>
      <c r="H1847" t="inlineStr">
        <is>
          <t>Ana Marshall</t>
        </is>
      </c>
      <c r="I1847" t="inlineStr">
        <is>
          <t>VP, CHIEF INVMT OFCR</t>
        </is>
      </c>
      <c r="J1847" t="inlineStr">
        <is>
          <t>CIO</t>
        </is>
      </c>
      <c r="K1847" t="inlineStr">
        <is>
          <t>CIO - Top Investment Executive</t>
        </is>
      </c>
      <c r="L1847" s="28" t="n">
        <v>0</v>
      </c>
      <c r="M1847" s="28" t="n">
        <v>0</v>
      </c>
      <c r="N1847" s="28" t="n">
        <v>0</v>
      </c>
      <c r="O1847" s="28" t="n">
        <v>0</v>
      </c>
      <c r="P1847" s="28" t="n">
        <v>0</v>
      </c>
      <c r="Q1847" s="28" t="n">
        <v>5661092</v>
      </c>
      <c r="R1847" s="28" t="n">
        <v>0</v>
      </c>
      <c r="S1847" s="28">
        <f>Q1847-R1847</f>
        <v/>
      </c>
      <c r="T1847" s="28">
        <f>IF(S1847="","",S1847*(1+in_GrowthRate)^(YEARFRAC(DATE(2024,12,31),in_AgeToDate)*IF(in_AgeToDate&lt;DATE(2024,12,31),-1,1)+1))</f>
        <v/>
      </c>
      <c r="U1847" s="50">
        <f>IF(AND(AND(OR(in_Mode="All Funds",AND(C1847&gt;=in_BandFloor,C1847&lt;=in_BandCeiling,OR(in_Geography="National",COUNTIFS(lst_GeoPreset,in_Geography,lst_GeoState,B1847)&gt;0,AND(in_Geography="Custom",ISNUMBER(SEARCH(B1847,SUBSTITUTE(in_CustomStates," ",""))))),OR(AND(D1847="Endowment",Inputs!$B$14="Y"),AND(D1847="Foundation",Inputs!$B$15="Y"),AND(D1847="Healthcare",Inputs!$B$16="Y"),AND(D1847="Pension",Inputs!$B$17="Y"),AND(D1847="OCIO",Inputs!$B$18="Y"),AND(D1847="Other",Inputs!$B$19="Y")))),A1847&lt;&gt;in_ClientOrg,NOT(AND(in_ExclHarvard="Y",ISNUMBER(SEARCH("Harvard",A1847))))),$AD1847="Y",K1847&lt;&gt;"",S1847&gt;0),"Y","")</f>
        <v/>
      </c>
      <c r="V1847" s="30" t="n">
        <v>1</v>
      </c>
      <c r="W1847" t="inlineStr"/>
      <c r="X1847" s="28">
        <f>IF(L1847+M1847=0,"",L1847+M1847)</f>
        <v/>
      </c>
      <c r="Y1847" s="38">
        <f>IF(L1847=0,"",M1847/L1847)</f>
        <v/>
      </c>
      <c r="Z1847" t="inlineStr">
        <is>
          <t>CIO - Top Investment Executive</t>
        </is>
      </c>
      <c r="AA1847" t="inlineStr">
        <is>
          <t>Leadership</t>
        </is>
      </c>
      <c r="AB1847" s="50" t="inlineStr">
        <is>
          <t>Y</t>
        </is>
      </c>
      <c r="AC1847" s="43">
        <f>HYPERLINK("https://projects.propublica.org/nonprofits/organizations/941655673/202523189349102727/full","view filing")</f>
        <v/>
      </c>
      <c r="AD1847" s="50" t="inlineStr">
        <is>
          <t>Y</t>
        </is>
      </c>
    </row>
    <row r="1848">
      <c r="A1848" t="inlineStr">
        <is>
          <t>William &amp; Flora Hewlett Foundation</t>
        </is>
      </c>
      <c r="B1848" s="50" t="inlineStr">
        <is>
          <t>CA</t>
        </is>
      </c>
      <c r="C1848" s="52" t="n">
        <v>13.18</v>
      </c>
      <c r="D1848" t="inlineStr">
        <is>
          <t>Foundation</t>
        </is>
      </c>
      <c r="E1848" s="50" t="n">
        <v>2024</v>
      </c>
      <c r="F1848" s="50" t="inlineStr">
        <is>
          <t>2025-11-14</t>
        </is>
      </c>
      <c r="G1848" s="50" t="inlineStr">
        <is>
          <t>2024-12-31</t>
        </is>
      </c>
      <c r="H1848" t="inlineStr">
        <is>
          <t>Brett Johnson</t>
        </is>
      </c>
      <c r="I1848" t="inlineStr">
        <is>
          <t>DPTY CIO &amp; DIR PI</t>
        </is>
      </c>
      <c r="J1848" t="inlineStr">
        <is>
          <t>CIO</t>
        </is>
      </c>
      <c r="K1848" t="inlineStr">
        <is>
          <t>Sr Investment Professional</t>
        </is>
      </c>
      <c r="L1848" s="28" t="n">
        <v>0</v>
      </c>
      <c r="M1848" s="28" t="n">
        <v>0</v>
      </c>
      <c r="N1848" s="28" t="n">
        <v>0</v>
      </c>
      <c r="O1848" s="28" t="n">
        <v>0</v>
      </c>
      <c r="P1848" s="28" t="n">
        <v>0</v>
      </c>
      <c r="Q1848" s="28" t="n">
        <v>2725075</v>
      </c>
      <c r="R1848" s="28" t="n">
        <v>0</v>
      </c>
      <c r="S1848" s="28">
        <f>Q1848-R1848</f>
        <v/>
      </c>
      <c r="T1848" s="28">
        <f>IF(S1848="","",S1848*(1+in_GrowthRate)^(YEARFRAC(DATE(2024,12,31),in_AgeToDate)*IF(in_AgeToDate&lt;DATE(2024,12,31),-1,1)+1))</f>
        <v/>
      </c>
      <c r="U1848" s="50">
        <f>IF(AND(AND(OR(in_Mode="All Funds",AND(C1848&gt;=in_BandFloor,C1848&lt;=in_BandCeiling,OR(in_Geography="National",COUNTIFS(lst_GeoPreset,in_Geography,lst_GeoState,B1848)&gt;0,AND(in_Geography="Custom",ISNUMBER(SEARCH(B1848,SUBSTITUTE(in_CustomStates," ",""))))),OR(AND(D1848="Endowment",Inputs!$B$14="Y"),AND(D1848="Foundation",Inputs!$B$15="Y"),AND(D1848="Healthcare",Inputs!$B$16="Y"),AND(D1848="Pension",Inputs!$B$17="Y"),AND(D1848="OCIO",Inputs!$B$18="Y"),AND(D1848="Other",Inputs!$B$19="Y")))),A1848&lt;&gt;in_ClientOrg,NOT(AND(in_ExclHarvard="Y",ISNUMBER(SEARCH("Harvard",A1848))))),$AD1848="Y",K1848&lt;&gt;"",S1848&gt;0),"Y","")</f>
        <v/>
      </c>
      <c r="V1848" s="30" t="n">
        <v>0.4813691422078991</v>
      </c>
      <c r="W1848" t="inlineStr"/>
      <c r="X1848" s="28">
        <f>IF(L1848+M1848=0,"",L1848+M1848)</f>
        <v/>
      </c>
      <c r="Y1848" s="38">
        <f>IF(L1848=0,"",M1848/L1848)</f>
        <v/>
      </c>
      <c r="Z1848" t="inlineStr">
        <is>
          <t>Deputy CIO</t>
        </is>
      </c>
      <c r="AA1848" t="inlineStr">
        <is>
          <t>Leadership</t>
        </is>
      </c>
      <c r="AB1848" s="50" t="inlineStr"/>
      <c r="AC1848" s="43">
        <f>HYPERLINK("https://projects.propublica.org/nonprofits/organizations/941655673/202523189349102727/full","view filing")</f>
        <v/>
      </c>
      <c r="AD1848" s="50" t="inlineStr">
        <is>
          <t>Y</t>
        </is>
      </c>
    </row>
    <row r="1849">
      <c r="A1849" t="inlineStr">
        <is>
          <t>William &amp; Flora Hewlett Foundation</t>
        </is>
      </c>
      <c r="B1849" s="50" t="inlineStr">
        <is>
          <t>CA</t>
        </is>
      </c>
      <c r="C1849" s="52" t="n">
        <v>13.18</v>
      </c>
      <c r="D1849" t="inlineStr">
        <is>
          <t>Foundation</t>
        </is>
      </c>
      <c r="E1849" s="50" t="n">
        <v>2024</v>
      </c>
      <c r="F1849" s="50" t="inlineStr">
        <is>
          <t>2025-11-14</t>
        </is>
      </c>
      <c r="G1849" s="50" t="inlineStr">
        <is>
          <t>2024-12-31</t>
        </is>
      </c>
      <c r="H1849" t="inlineStr">
        <is>
          <t>Luis Laboy</t>
        </is>
      </c>
      <c r="I1849" t="inlineStr">
        <is>
          <t>DIR, PUBLIC EQUITY</t>
        </is>
      </c>
      <c r="J1849" t="inlineStr">
        <is>
          <t>Investment Manager</t>
        </is>
      </c>
      <c r="K1849" t="inlineStr">
        <is>
          <t>Sr Investment Professional</t>
        </is>
      </c>
      <c r="L1849" s="28" t="n">
        <v>0</v>
      </c>
      <c r="M1849" s="28" t="n">
        <v>0</v>
      </c>
      <c r="N1849" s="28" t="n">
        <v>0</v>
      </c>
      <c r="O1849" s="28" t="n">
        <v>0</v>
      </c>
      <c r="P1849" s="28" t="n">
        <v>0</v>
      </c>
      <c r="Q1849" s="28" t="n">
        <v>2294364</v>
      </c>
      <c r="R1849" s="28" t="n">
        <v>0</v>
      </c>
      <c r="S1849" s="28">
        <f>Q1849-R1849</f>
        <v/>
      </c>
      <c r="T1849" s="28">
        <f>IF(S1849="","",S1849*(1+in_GrowthRate)^(YEARFRAC(DATE(2024,12,31),in_AgeToDate)*IF(in_AgeToDate&lt;DATE(2024,12,31),-1,1)+1))</f>
        <v/>
      </c>
      <c r="U1849" s="50">
        <f>IF(AND(AND(OR(in_Mode="All Funds",AND(C1849&gt;=in_BandFloor,C1849&lt;=in_BandCeiling,OR(in_Geography="National",COUNTIFS(lst_GeoPreset,in_Geography,lst_GeoState,B1849)&gt;0,AND(in_Geography="Custom",ISNUMBER(SEARCH(B1849,SUBSTITUTE(in_CustomStates," ",""))))),OR(AND(D1849="Endowment",Inputs!$B$14="Y"),AND(D1849="Foundation",Inputs!$B$15="Y"),AND(D1849="Healthcare",Inputs!$B$16="Y"),AND(D1849="Pension",Inputs!$B$17="Y"),AND(D1849="OCIO",Inputs!$B$18="Y"),AND(D1849="Other",Inputs!$B$19="Y")))),A1849&lt;&gt;in_ClientOrg,NOT(AND(in_ExclHarvard="Y",ISNUMBER(SEARCH("Harvard",A1849))))),$AD1849="Y",K1849&lt;&gt;"",S1849&gt;0),"Y","")</f>
        <v/>
      </c>
      <c r="V1849" s="30" t="n">
        <v>0.405286471232052</v>
      </c>
      <c r="W1849" t="inlineStr"/>
      <c r="X1849" s="28">
        <f>IF(L1849+M1849=0,"",L1849+M1849)</f>
        <v/>
      </c>
      <c r="Y1849" s="38">
        <f>IF(L1849=0,"",M1849/L1849)</f>
        <v/>
      </c>
      <c r="Z1849" t="inlineStr">
        <is>
          <t>Director &amp; Investment Officer</t>
        </is>
      </c>
      <c r="AA1849" t="inlineStr">
        <is>
          <t>Investments</t>
        </is>
      </c>
      <c r="AB1849" s="50" t="inlineStr"/>
      <c r="AC1849" s="43">
        <f>HYPERLINK("https://projects.propublica.org/nonprofits/organizations/941655673/202523189349102727/full","view filing")</f>
        <v/>
      </c>
      <c r="AD1849" s="50" t="inlineStr">
        <is>
          <t>Y</t>
        </is>
      </c>
    </row>
    <row r="1850">
      <c r="A1850" t="inlineStr">
        <is>
          <t>William &amp; Flora Hewlett Foundation</t>
        </is>
      </c>
      <c r="B1850" s="50" t="inlineStr">
        <is>
          <t>CA</t>
        </is>
      </c>
      <c r="C1850" s="52" t="n">
        <v>13.18</v>
      </c>
      <c r="D1850" t="inlineStr">
        <is>
          <t>Foundation</t>
        </is>
      </c>
      <c r="E1850" s="50" t="n">
        <v>2023</v>
      </c>
      <c r="F1850" s="50" t="inlineStr">
        <is>
          <t>2024-11-11</t>
        </is>
      </c>
      <c r="G1850" s="50" t="inlineStr">
        <is>
          <t>2023-12-31</t>
        </is>
      </c>
      <c r="H1850" t="inlineStr">
        <is>
          <t>Ana Marshall</t>
        </is>
      </c>
      <c r="I1850" t="inlineStr">
        <is>
          <t>CHIEF INVMNT OFFICER</t>
        </is>
      </c>
      <c r="J1850" t="inlineStr">
        <is>
          <t>CIO</t>
        </is>
      </c>
      <c r="K1850" t="inlineStr">
        <is>
          <t>CIO - Top Investment Executive</t>
        </is>
      </c>
      <c r="L1850" s="28" t="n">
        <v>0</v>
      </c>
      <c r="M1850" s="28" t="n">
        <v>0</v>
      </c>
      <c r="N1850" s="28" t="n">
        <v>0</v>
      </c>
      <c r="O1850" s="28" t="n">
        <v>0</v>
      </c>
      <c r="P1850" s="28" t="n">
        <v>0</v>
      </c>
      <c r="Q1850" s="28" t="n">
        <v>5459105</v>
      </c>
      <c r="R1850" s="28" t="n">
        <v>0</v>
      </c>
      <c r="S1850" s="28">
        <f>Q1850-R1850</f>
        <v/>
      </c>
      <c r="T1850" s="28">
        <f>IF(S1850="","",S1850*(1+in_GrowthRate)^(YEARFRAC(DATE(2023,12,31),in_AgeToDate)*IF(in_AgeToDate&lt;DATE(2023,12,31),-1,1)+1))</f>
        <v/>
      </c>
      <c r="U1850" s="50">
        <f>IF(AND(AND(OR(in_Mode="All Funds",AND(C1850&gt;=in_BandFloor,C1850&lt;=in_BandCeiling,OR(in_Geography="National",COUNTIFS(lst_GeoPreset,in_Geography,lst_GeoState,B1850)&gt;0,AND(in_Geography="Custom",ISNUMBER(SEARCH(B1850,SUBSTITUTE(in_CustomStates," ",""))))),OR(AND(D1850="Endowment",Inputs!$B$14="Y"),AND(D1850="Foundation",Inputs!$B$15="Y"),AND(D1850="Healthcare",Inputs!$B$16="Y"),AND(D1850="Pension",Inputs!$B$17="Y"),AND(D1850="OCIO",Inputs!$B$18="Y"),AND(D1850="Other",Inputs!$B$19="Y")))),A1850&lt;&gt;in_ClientOrg,NOT(AND(in_ExclHarvard="Y",ISNUMBER(SEARCH("Harvard",A1850))))),$AD1850="Y",K1850&lt;&gt;"",S1850&gt;0),"Y","")</f>
        <v/>
      </c>
      <c r="V1850" s="30" t="n">
        <v>1</v>
      </c>
      <c r="W1850" t="inlineStr"/>
      <c r="X1850" s="28">
        <f>IF(L1850+M1850=0,"",L1850+M1850)</f>
        <v/>
      </c>
      <c r="Y1850" s="38">
        <f>IF(L1850=0,"",M1850/L1850)</f>
        <v/>
      </c>
      <c r="Z1850" t="inlineStr">
        <is>
          <t>CIO - Top Investment Executive</t>
        </is>
      </c>
      <c r="AA1850" t="inlineStr">
        <is>
          <t>Leadership</t>
        </is>
      </c>
      <c r="AB1850" s="50" t="inlineStr">
        <is>
          <t>Y</t>
        </is>
      </c>
      <c r="AC1850" s="43">
        <f>HYPERLINK("https://projects.propublica.org/nonprofits/organizations/941655673/202403169349102865/full","view filing")</f>
        <v/>
      </c>
      <c r="AD1850" s="50" t="inlineStr"/>
    </row>
    <row r="1851">
      <c r="A1851" t="inlineStr">
        <is>
          <t>William &amp; Flora Hewlett Foundation</t>
        </is>
      </c>
      <c r="B1851" s="50" t="inlineStr">
        <is>
          <t>CA</t>
        </is>
      </c>
      <c r="C1851" s="52" t="n">
        <v>13.18</v>
      </c>
      <c r="D1851" t="inlineStr">
        <is>
          <t>Foundation</t>
        </is>
      </c>
      <c r="E1851" s="50" t="n">
        <v>2023</v>
      </c>
      <c r="F1851" s="50" t="inlineStr">
        <is>
          <t>2024-11-11</t>
        </is>
      </c>
      <c r="G1851" s="50" t="inlineStr">
        <is>
          <t>2023-12-31</t>
        </is>
      </c>
      <c r="H1851" t="inlineStr">
        <is>
          <t>Brett Johnson</t>
        </is>
      </c>
      <c r="I1851" t="inlineStr">
        <is>
          <t>DPTY CIO&amp;DIR PUB INV</t>
        </is>
      </c>
      <c r="J1851" t="inlineStr">
        <is>
          <t>CIO</t>
        </is>
      </c>
      <c r="K1851" t="inlineStr">
        <is>
          <t>Sr Investment Professional</t>
        </is>
      </c>
      <c r="L1851" s="28" t="n">
        <v>0</v>
      </c>
      <c r="M1851" s="28" t="n">
        <v>0</v>
      </c>
      <c r="N1851" s="28" t="n">
        <v>0</v>
      </c>
      <c r="O1851" s="28" t="n">
        <v>0</v>
      </c>
      <c r="P1851" s="28" t="n">
        <v>0</v>
      </c>
      <c r="Q1851" s="28" t="n">
        <v>2667519</v>
      </c>
      <c r="R1851" s="28" t="n">
        <v>0</v>
      </c>
      <c r="S1851" s="28">
        <f>Q1851-R1851</f>
        <v/>
      </c>
      <c r="T1851" s="28">
        <f>IF(S1851="","",S1851*(1+in_GrowthRate)^(YEARFRAC(DATE(2023,12,31),in_AgeToDate)*IF(in_AgeToDate&lt;DATE(2023,12,31),-1,1)+1))</f>
        <v/>
      </c>
      <c r="U1851" s="50">
        <f>IF(AND(AND(OR(in_Mode="All Funds",AND(C1851&gt;=in_BandFloor,C1851&lt;=in_BandCeiling,OR(in_Geography="National",COUNTIFS(lst_GeoPreset,in_Geography,lst_GeoState,B1851)&gt;0,AND(in_Geography="Custom",ISNUMBER(SEARCH(B1851,SUBSTITUTE(in_CustomStates," ",""))))),OR(AND(D1851="Endowment",Inputs!$B$14="Y"),AND(D1851="Foundation",Inputs!$B$15="Y"),AND(D1851="Healthcare",Inputs!$B$16="Y"),AND(D1851="Pension",Inputs!$B$17="Y"),AND(D1851="OCIO",Inputs!$B$18="Y"),AND(D1851="Other",Inputs!$B$19="Y")))),A1851&lt;&gt;in_ClientOrg,NOT(AND(in_ExclHarvard="Y",ISNUMBER(SEARCH("Harvard",A1851))))),$AD1851="Y",K1851&lt;&gt;"",S1851&gt;0),"Y","")</f>
        <v/>
      </c>
      <c r="V1851" s="30" t="n">
        <v>0.4886366904465109</v>
      </c>
      <c r="W1851" t="inlineStr"/>
      <c r="X1851" s="28">
        <f>IF(L1851+M1851=0,"",L1851+M1851)</f>
        <v/>
      </c>
      <c r="Y1851" s="38">
        <f>IF(L1851=0,"",M1851/L1851)</f>
        <v/>
      </c>
      <c r="Z1851" t="inlineStr">
        <is>
          <t>Deputy CIO</t>
        </is>
      </c>
      <c r="AA1851" t="inlineStr">
        <is>
          <t>Leadership</t>
        </is>
      </c>
      <c r="AB1851" s="50" t="inlineStr"/>
      <c r="AC1851" s="43">
        <f>HYPERLINK("https://projects.propublica.org/nonprofits/organizations/941655673/202403169349102865/full","view filing")</f>
        <v/>
      </c>
      <c r="AD1851" s="50" t="inlineStr"/>
    </row>
    <row r="1852">
      <c r="A1852" t="inlineStr">
        <is>
          <t>William &amp; Flora Hewlett Foundation</t>
        </is>
      </c>
      <c r="B1852" s="50" t="inlineStr">
        <is>
          <t>CA</t>
        </is>
      </c>
      <c r="C1852" s="52" t="n">
        <v>13.18</v>
      </c>
      <c r="D1852" t="inlineStr">
        <is>
          <t>Foundation</t>
        </is>
      </c>
      <c r="E1852" s="50" t="n">
        <v>2023</v>
      </c>
      <c r="F1852" s="50" t="inlineStr">
        <is>
          <t>2024-11-11</t>
        </is>
      </c>
      <c r="G1852" s="50" t="inlineStr">
        <is>
          <t>2023-12-31</t>
        </is>
      </c>
      <c r="H1852" t="inlineStr">
        <is>
          <t>Luis Laboy</t>
        </is>
      </c>
      <c r="I1852" t="inlineStr">
        <is>
          <t>DIR, PUBLIC EQUITY</t>
        </is>
      </c>
      <c r="J1852" t="inlineStr">
        <is>
          <t>Investment Manager</t>
        </is>
      </c>
      <c r="K1852" t="inlineStr">
        <is>
          <t>Sr Investment Professional</t>
        </is>
      </c>
      <c r="L1852" s="28" t="n">
        <v>0</v>
      </c>
      <c r="M1852" s="28" t="n">
        <v>0</v>
      </c>
      <c r="N1852" s="28" t="n">
        <v>0</v>
      </c>
      <c r="O1852" s="28" t="n">
        <v>0</v>
      </c>
      <c r="P1852" s="28" t="n">
        <v>0</v>
      </c>
      <c r="Q1852" s="28" t="n">
        <v>2234676</v>
      </c>
      <c r="R1852" s="28" t="n">
        <v>0</v>
      </c>
      <c r="S1852" s="28">
        <f>Q1852-R1852</f>
        <v/>
      </c>
      <c r="T1852" s="28">
        <f>IF(S1852="","",S1852*(1+in_GrowthRate)^(YEARFRAC(DATE(2023,12,31),in_AgeToDate)*IF(in_AgeToDate&lt;DATE(2023,12,31),-1,1)+1))</f>
        <v/>
      </c>
      <c r="U1852" s="50">
        <f>IF(AND(AND(OR(in_Mode="All Funds",AND(C1852&gt;=in_BandFloor,C1852&lt;=in_BandCeiling,OR(in_Geography="National",COUNTIFS(lst_GeoPreset,in_Geography,lst_GeoState,B1852)&gt;0,AND(in_Geography="Custom",ISNUMBER(SEARCH(B1852,SUBSTITUTE(in_CustomStates," ",""))))),OR(AND(D1852="Endowment",Inputs!$B$14="Y"),AND(D1852="Foundation",Inputs!$B$15="Y"),AND(D1852="Healthcare",Inputs!$B$16="Y"),AND(D1852="Pension",Inputs!$B$17="Y"),AND(D1852="OCIO",Inputs!$B$18="Y"),AND(D1852="Other",Inputs!$B$19="Y")))),A1852&lt;&gt;in_ClientOrg,NOT(AND(in_ExclHarvard="Y",ISNUMBER(SEARCH("Harvard",A1852))))),$AD1852="Y",K1852&lt;&gt;"",S1852&gt;0),"Y","")</f>
        <v/>
      </c>
      <c r="V1852" s="30" t="n">
        <v>0.4093484188342228</v>
      </c>
      <c r="W1852" t="inlineStr"/>
      <c r="X1852" s="28">
        <f>IF(L1852+M1852=0,"",L1852+M1852)</f>
        <v/>
      </c>
      <c r="Y1852" s="38">
        <f>IF(L1852=0,"",M1852/L1852)</f>
        <v/>
      </c>
      <c r="Z1852" t="inlineStr">
        <is>
          <t>Director &amp; Investment Officer</t>
        </is>
      </c>
      <c r="AA1852" t="inlineStr">
        <is>
          <t>Investments</t>
        </is>
      </c>
      <c r="AB1852" s="50" t="inlineStr"/>
      <c r="AC1852" s="43">
        <f>HYPERLINK("https://projects.propublica.org/nonprofits/organizations/941655673/202403169349102865/full","view filing")</f>
        <v/>
      </c>
      <c r="AD1852" s="50" t="inlineStr"/>
    </row>
    <row r="1853">
      <c r="A1853" t="inlineStr">
        <is>
          <t>William &amp; Flora Hewlett Foundation</t>
        </is>
      </c>
      <c r="B1853" s="50" t="inlineStr">
        <is>
          <t>CA</t>
        </is>
      </c>
      <c r="C1853" s="52" t="n">
        <v>13.18</v>
      </c>
      <c r="D1853" t="inlineStr">
        <is>
          <t>Foundation</t>
        </is>
      </c>
      <c r="E1853" s="50" t="n">
        <v>2022</v>
      </c>
      <c r="F1853" s="50" t="inlineStr">
        <is>
          <t>2023-11-13</t>
        </is>
      </c>
      <c r="G1853" s="50" t="inlineStr">
        <is>
          <t>2022-12-31</t>
        </is>
      </c>
      <c r="H1853" t="inlineStr">
        <is>
          <t>Ana Marshall</t>
        </is>
      </c>
      <c r="I1853" t="inlineStr">
        <is>
          <t>CHIEF INVMNT OFFICER</t>
        </is>
      </c>
      <c r="J1853" t="inlineStr">
        <is>
          <t>CIO</t>
        </is>
      </c>
      <c r="K1853" t="inlineStr">
        <is>
          <t>CIO - Top Investment Executive</t>
        </is>
      </c>
      <c r="L1853" s="28" t="n">
        <v>0</v>
      </c>
      <c r="M1853" s="28" t="n">
        <v>0</v>
      </c>
      <c r="N1853" s="28" t="n">
        <v>0</v>
      </c>
      <c r="O1853" s="28" t="n">
        <v>0</v>
      </c>
      <c r="P1853" s="28" t="n">
        <v>0</v>
      </c>
      <c r="Q1853" s="28" t="n">
        <v>5465423</v>
      </c>
      <c r="R1853" s="28" t="n">
        <v>0</v>
      </c>
      <c r="S1853" s="28">
        <f>Q1853-R1853</f>
        <v/>
      </c>
      <c r="T1853" s="28">
        <f>IF(S1853="","",S1853*(1+in_GrowthRate)^(YEARFRAC(DATE(2022,12,31),in_AgeToDate)*IF(in_AgeToDate&lt;DATE(2022,12,31),-1,1)+1))</f>
        <v/>
      </c>
      <c r="U1853" s="50">
        <f>IF(AND(AND(OR(in_Mode="All Funds",AND(C1853&gt;=in_BandFloor,C1853&lt;=in_BandCeiling,OR(in_Geography="National",COUNTIFS(lst_GeoPreset,in_Geography,lst_GeoState,B1853)&gt;0,AND(in_Geography="Custom",ISNUMBER(SEARCH(B1853,SUBSTITUTE(in_CustomStates," ",""))))),OR(AND(D1853="Endowment",Inputs!$B$14="Y"),AND(D1853="Foundation",Inputs!$B$15="Y"),AND(D1853="Healthcare",Inputs!$B$16="Y"),AND(D1853="Pension",Inputs!$B$17="Y"),AND(D1853="OCIO",Inputs!$B$18="Y"),AND(D1853="Other",Inputs!$B$19="Y")))),A1853&lt;&gt;in_ClientOrg,NOT(AND(in_ExclHarvard="Y",ISNUMBER(SEARCH("Harvard",A1853))))),$AD1853="Y",K1853&lt;&gt;"",S1853&gt;0),"Y","")</f>
        <v/>
      </c>
      <c r="V1853" s="30" t="n">
        <v>1</v>
      </c>
      <c r="W1853" t="inlineStr"/>
      <c r="X1853" s="28">
        <f>IF(L1853+M1853=0,"",L1853+M1853)</f>
        <v/>
      </c>
      <c r="Y1853" s="38">
        <f>IF(L1853=0,"",M1853/L1853)</f>
        <v/>
      </c>
      <c r="Z1853" t="inlineStr">
        <is>
          <t>CIO - Top Investment Executive</t>
        </is>
      </c>
      <c r="AA1853" t="inlineStr">
        <is>
          <t>Leadership</t>
        </is>
      </c>
      <c r="AB1853" s="50" t="inlineStr">
        <is>
          <t>Y</t>
        </is>
      </c>
      <c r="AC1853" s="43">
        <f>HYPERLINK("https://projects.propublica.org/nonprofits/organizations/941655673/202343179349104459/full","view filing")</f>
        <v/>
      </c>
      <c r="AD1853" s="50" t="inlineStr"/>
    </row>
    <row r="1854">
      <c r="A1854" t="inlineStr">
        <is>
          <t>William &amp; Flora Hewlett Foundation</t>
        </is>
      </c>
      <c r="B1854" s="50" t="inlineStr">
        <is>
          <t>CA</t>
        </is>
      </c>
      <c r="C1854" s="52" t="n">
        <v>13.18</v>
      </c>
      <c r="D1854" t="inlineStr">
        <is>
          <t>Foundation</t>
        </is>
      </c>
      <c r="E1854" s="50" t="n">
        <v>2022</v>
      </c>
      <c r="F1854" s="50" t="inlineStr">
        <is>
          <t>2023-11-13</t>
        </is>
      </c>
      <c r="G1854" s="50" t="inlineStr">
        <is>
          <t>2022-12-31</t>
        </is>
      </c>
      <c r="H1854" t="inlineStr">
        <is>
          <t>Brett Johnson</t>
        </is>
      </c>
      <c r="I1854" t="inlineStr">
        <is>
          <t>MD/CIO &amp; DIR,PUB INV</t>
        </is>
      </c>
      <c r="J1854" t="inlineStr">
        <is>
          <t>CIO</t>
        </is>
      </c>
      <c r="K1854" t="inlineStr">
        <is>
          <t>Sr Investment Professional</t>
        </is>
      </c>
      <c r="L1854" s="28" t="n">
        <v>0</v>
      </c>
      <c r="M1854" s="28" t="n">
        <v>0</v>
      </c>
      <c r="N1854" s="28" t="n">
        <v>0</v>
      </c>
      <c r="O1854" s="28" t="n">
        <v>0</v>
      </c>
      <c r="P1854" s="28" t="n">
        <v>0</v>
      </c>
      <c r="Q1854" s="28" t="n">
        <v>2702542</v>
      </c>
      <c r="R1854" s="28" t="n">
        <v>0</v>
      </c>
      <c r="S1854" s="28">
        <f>Q1854-R1854</f>
        <v/>
      </c>
      <c r="T1854" s="28">
        <f>IF(S1854="","",S1854*(1+in_GrowthRate)^(YEARFRAC(DATE(2022,12,31),in_AgeToDate)*IF(in_AgeToDate&lt;DATE(2022,12,31),-1,1)+1))</f>
        <v/>
      </c>
      <c r="U1854" s="50">
        <f>IF(AND(AND(OR(in_Mode="All Funds",AND(C1854&gt;=in_BandFloor,C1854&lt;=in_BandCeiling,OR(in_Geography="National",COUNTIFS(lst_GeoPreset,in_Geography,lst_GeoState,B1854)&gt;0,AND(in_Geography="Custom",ISNUMBER(SEARCH(B1854,SUBSTITUTE(in_CustomStates," ",""))))),OR(AND(D1854="Endowment",Inputs!$B$14="Y"),AND(D1854="Foundation",Inputs!$B$15="Y"),AND(D1854="Healthcare",Inputs!$B$16="Y"),AND(D1854="Pension",Inputs!$B$17="Y"),AND(D1854="OCIO",Inputs!$B$18="Y"),AND(D1854="Other",Inputs!$B$19="Y")))),A1854&lt;&gt;in_ClientOrg,NOT(AND(in_ExclHarvard="Y",ISNUMBER(SEARCH("Harvard",A1854))))),$AD1854="Y",K1854&lt;&gt;"",S1854&gt;0),"Y","")</f>
        <v/>
      </c>
      <c r="V1854" s="30" t="n">
        <v>0.4944799332091953</v>
      </c>
      <c r="W1854" t="inlineStr"/>
      <c r="X1854" s="28">
        <f>IF(L1854+M1854=0,"",L1854+M1854)</f>
        <v/>
      </c>
      <c r="Y1854" s="38">
        <f>IF(L1854=0,"",M1854/L1854)</f>
        <v/>
      </c>
      <c r="Z1854" t="inlineStr">
        <is>
          <t>Deputy CIO</t>
        </is>
      </c>
      <c r="AA1854" t="inlineStr">
        <is>
          <t>Leadership</t>
        </is>
      </c>
      <c r="AB1854" s="50" t="inlineStr"/>
      <c r="AC1854" s="43">
        <f>HYPERLINK("https://projects.propublica.org/nonprofits/organizations/941655673/202343179349104459/full","view filing")</f>
        <v/>
      </c>
      <c r="AD1854" s="50" t="inlineStr"/>
    </row>
    <row r="1855">
      <c r="A1855" t="inlineStr">
        <is>
          <t>William &amp; Flora Hewlett Foundation</t>
        </is>
      </c>
      <c r="B1855" s="50" t="inlineStr">
        <is>
          <t>CA</t>
        </is>
      </c>
      <c r="C1855" s="52" t="n">
        <v>13.18</v>
      </c>
      <c r="D1855" t="inlineStr">
        <is>
          <t>Foundation</t>
        </is>
      </c>
      <c r="E1855" s="50" t="n">
        <v>2022</v>
      </c>
      <c r="F1855" s="50" t="inlineStr">
        <is>
          <t>2023-11-13</t>
        </is>
      </c>
      <c r="G1855" s="50" t="inlineStr">
        <is>
          <t>2022-12-31</t>
        </is>
      </c>
      <c r="H1855" t="inlineStr">
        <is>
          <t>Luis Laboy</t>
        </is>
      </c>
      <c r="I1855" t="inlineStr">
        <is>
          <t>MD, PUBLIC EQUITY</t>
        </is>
      </c>
      <c r="J1855" t="inlineStr">
        <is>
          <t>Managing Director</t>
        </is>
      </c>
      <c r="K1855" t="inlineStr">
        <is>
          <t>Sr Investment Professional</t>
        </is>
      </c>
      <c r="L1855" s="28" t="n">
        <v>0</v>
      </c>
      <c r="M1855" s="28" t="n">
        <v>0</v>
      </c>
      <c r="N1855" s="28" t="n">
        <v>0</v>
      </c>
      <c r="O1855" s="28" t="n">
        <v>0</v>
      </c>
      <c r="P1855" s="28" t="n">
        <v>0</v>
      </c>
      <c r="Q1855" s="28" t="n">
        <v>2296079</v>
      </c>
      <c r="R1855" s="28" t="n">
        <v>0</v>
      </c>
      <c r="S1855" s="28">
        <f>Q1855-R1855</f>
        <v/>
      </c>
      <c r="T1855" s="28">
        <f>IF(S1855="","",S1855*(1+in_GrowthRate)^(YEARFRAC(DATE(2022,12,31),in_AgeToDate)*IF(in_AgeToDate&lt;DATE(2022,12,31),-1,1)+1))</f>
        <v/>
      </c>
      <c r="U1855" s="50">
        <f>IF(AND(AND(OR(in_Mode="All Funds",AND(C1855&gt;=in_BandFloor,C1855&lt;=in_BandCeiling,OR(in_Geography="National",COUNTIFS(lst_GeoPreset,in_Geography,lst_GeoState,B1855)&gt;0,AND(in_Geography="Custom",ISNUMBER(SEARCH(B1855,SUBSTITUTE(in_CustomStates," ",""))))),OR(AND(D1855="Endowment",Inputs!$B$14="Y"),AND(D1855="Foundation",Inputs!$B$15="Y"),AND(D1855="Healthcare",Inputs!$B$16="Y"),AND(D1855="Pension",Inputs!$B$17="Y"),AND(D1855="OCIO",Inputs!$B$18="Y"),AND(D1855="Other",Inputs!$B$19="Y")))),A1855&lt;&gt;in_ClientOrg,NOT(AND(in_ExclHarvard="Y",ISNUMBER(SEARCH("Harvard",A1855))))),$AD1855="Y",K1855&lt;&gt;"",S1855&gt;0),"Y","")</f>
        <v/>
      </c>
      <c r="V1855" s="30" t="n">
        <v>0.4201100262504842</v>
      </c>
      <c r="W1855" t="inlineStr"/>
      <c r="X1855" s="28">
        <f>IF(L1855+M1855=0,"",L1855+M1855)</f>
        <v/>
      </c>
      <c r="Y1855" s="38">
        <f>IF(L1855=0,"",M1855/L1855)</f>
        <v/>
      </c>
      <c r="Z1855" t="inlineStr">
        <is>
          <t>Managing Director</t>
        </is>
      </c>
      <c r="AA1855" t="inlineStr">
        <is>
          <t>Investments</t>
        </is>
      </c>
      <c r="AB1855" s="50" t="inlineStr"/>
      <c r="AC1855" s="43">
        <f>HYPERLINK("https://projects.propublica.org/nonprofits/organizations/941655673/202343179349104459/full","view filing")</f>
        <v/>
      </c>
      <c r="AD1855" s="50" t="inlineStr"/>
    </row>
    <row r="1856">
      <c r="A1856" t="inlineStr">
        <is>
          <t>William &amp; Flora Hewlett Foundation</t>
        </is>
      </c>
      <c r="B1856" s="50" t="inlineStr">
        <is>
          <t>CA</t>
        </is>
      </c>
      <c r="C1856" s="52" t="n">
        <v>13.18</v>
      </c>
      <c r="D1856" t="inlineStr">
        <is>
          <t>Foundation</t>
        </is>
      </c>
      <c r="E1856" s="50" t="n">
        <v>2022</v>
      </c>
      <c r="F1856" s="50" t="inlineStr">
        <is>
          <t>2023-11-13</t>
        </is>
      </c>
      <c r="G1856" s="50" t="inlineStr">
        <is>
          <t>2022-12-31</t>
        </is>
      </c>
      <c r="H1856" t="inlineStr">
        <is>
          <t>Thomas Mieczkowski</t>
        </is>
      </c>
      <c r="I1856" t="inlineStr">
        <is>
          <t>MD, PRIV INVESTMENTS</t>
        </is>
      </c>
      <c r="J1856" t="inlineStr">
        <is>
          <t>Managing Director</t>
        </is>
      </c>
      <c r="K1856" t="inlineStr">
        <is>
          <t>Sr Investment Professional</t>
        </is>
      </c>
      <c r="L1856" s="28" t="n">
        <v>0</v>
      </c>
      <c r="M1856" s="28" t="n">
        <v>0</v>
      </c>
      <c r="N1856" s="28" t="n">
        <v>0</v>
      </c>
      <c r="O1856" s="28" t="n">
        <v>0</v>
      </c>
      <c r="P1856" s="28" t="n">
        <v>0</v>
      </c>
      <c r="Q1856" s="28" t="n">
        <v>1939432</v>
      </c>
      <c r="R1856" s="28" t="n">
        <v>0</v>
      </c>
      <c r="S1856" s="28">
        <f>Q1856-R1856</f>
        <v/>
      </c>
      <c r="T1856" s="28">
        <f>IF(S1856="","",S1856*(1+in_GrowthRate)^(YEARFRAC(DATE(2022,12,31),in_AgeToDate)*IF(in_AgeToDate&lt;DATE(2022,12,31),-1,1)+1))</f>
        <v/>
      </c>
      <c r="U1856" s="50">
        <f>IF(AND(AND(OR(in_Mode="All Funds",AND(C1856&gt;=in_BandFloor,C1856&lt;=in_BandCeiling,OR(in_Geography="National",COUNTIFS(lst_GeoPreset,in_Geography,lst_GeoState,B1856)&gt;0,AND(in_Geography="Custom",ISNUMBER(SEARCH(B1856,SUBSTITUTE(in_CustomStates," ",""))))),OR(AND(D1856="Endowment",Inputs!$B$14="Y"),AND(D1856="Foundation",Inputs!$B$15="Y"),AND(D1856="Healthcare",Inputs!$B$16="Y"),AND(D1856="Pension",Inputs!$B$17="Y"),AND(D1856="OCIO",Inputs!$B$18="Y"),AND(D1856="Other",Inputs!$B$19="Y")))),A1856&lt;&gt;in_ClientOrg,NOT(AND(in_ExclHarvard="Y",ISNUMBER(SEARCH("Harvard",A1856))))),$AD1856="Y",K1856&lt;&gt;"",S1856&gt;0),"Y","")</f>
        <v/>
      </c>
      <c r="V1856" s="30" t="n">
        <v>0.3548548758257138</v>
      </c>
      <c r="W1856" t="inlineStr"/>
      <c r="X1856" s="28">
        <f>IF(L1856+M1856=0,"",L1856+M1856)</f>
        <v/>
      </c>
      <c r="Y1856" s="38">
        <f>IF(L1856=0,"",M1856/L1856)</f>
        <v/>
      </c>
      <c r="Z1856" t="inlineStr">
        <is>
          <t>Managing Director</t>
        </is>
      </c>
      <c r="AA1856" t="inlineStr">
        <is>
          <t>Investments</t>
        </is>
      </c>
      <c r="AB1856" s="50" t="inlineStr"/>
      <c r="AC1856" s="43">
        <f>HYPERLINK("https://projects.propublica.org/nonprofits/organizations/941655673/202343179349104459/full","view filing")</f>
        <v/>
      </c>
      <c r="AD1856" s="50" t="inlineStr"/>
    </row>
    <row r="1857">
      <c r="A1857" t="inlineStr">
        <is>
          <t>William &amp; Mary Foundation</t>
        </is>
      </c>
      <c r="B1857" s="50" t="inlineStr">
        <is>
          <t>VA</t>
        </is>
      </c>
      <c r="C1857" s="52" t="n">
        <v>1.59</v>
      </c>
      <c r="D1857" t="inlineStr">
        <is>
          <t>Foundation</t>
        </is>
      </c>
      <c r="E1857" s="50" t="n">
        <v>2025</v>
      </c>
      <c r="F1857" s="50" t="inlineStr">
        <is>
          <t>2026-05-15</t>
        </is>
      </c>
      <c r="G1857" s="50" t="inlineStr">
        <is>
          <t>2025-06-30</t>
        </is>
      </c>
      <c r="H1857" t="inlineStr">
        <is>
          <t>F Brian Hiestand</t>
        </is>
      </c>
      <c r="I1857" t="inlineStr">
        <is>
          <t>CHIEF INVESTMENT OFFICER, 1693 PARTNERS FUND</t>
        </is>
      </c>
      <c r="J1857" t="inlineStr">
        <is>
          <t>CIO</t>
        </is>
      </c>
      <c r="K1857" t="inlineStr">
        <is>
          <t>CIO - Top Investment Executive</t>
        </is>
      </c>
      <c r="L1857" s="28" t="n">
        <v>350628</v>
      </c>
      <c r="M1857" s="28" t="n">
        <v>311567</v>
      </c>
      <c r="N1857" s="28" t="n">
        <v>1837</v>
      </c>
      <c r="O1857" s="28" t="n">
        <v>36360</v>
      </c>
      <c r="P1857" s="28" t="n">
        <v>34380</v>
      </c>
      <c r="Q1857" s="28" t="n">
        <v>734772</v>
      </c>
      <c r="R1857" s="28" t="n">
        <v>0</v>
      </c>
      <c r="S1857" s="28">
        <f>Q1857-R1857</f>
        <v/>
      </c>
      <c r="T1857" s="28">
        <f>IF(S1857="","",S1857*(1+in_GrowthRate)^(YEARFRAC(DATE(2025,6,30),in_AgeToDate)*IF(in_AgeToDate&lt;DATE(2025,6,30),-1,1)+1))</f>
        <v/>
      </c>
      <c r="U1857" s="50">
        <f>IF(AND(AND(OR(in_Mode="All Funds",AND(C1857&gt;=in_BandFloor,C1857&lt;=in_BandCeiling,OR(in_Geography="National",COUNTIFS(lst_GeoPreset,in_Geography,lst_GeoState,B1857)&gt;0,AND(in_Geography="Custom",ISNUMBER(SEARCH(B1857,SUBSTITUTE(in_CustomStates," ",""))))),OR(AND(D1857="Endowment",Inputs!$B$14="Y"),AND(D1857="Foundation",Inputs!$B$15="Y"),AND(D1857="Healthcare",Inputs!$B$16="Y"),AND(D1857="Pension",Inputs!$B$17="Y"),AND(D1857="OCIO",Inputs!$B$18="Y"),AND(D1857="Other",Inputs!$B$19="Y")))),A1857&lt;&gt;in_ClientOrg,NOT(AND(in_ExclHarvard="Y",ISNUMBER(SEARCH("Harvard",A1857))))),$AD1857="Y",K1857&lt;&gt;"",S1857&gt;0),"Y","")</f>
        <v/>
      </c>
      <c r="V1857" s="30" t="n">
        <v>1</v>
      </c>
      <c r="W1857" t="inlineStr"/>
      <c r="X1857" s="28">
        <f>IF(L1857+M1857=0,"",L1857+M1857)</f>
        <v/>
      </c>
      <c r="Y1857" s="38">
        <f>IF(L1857=0,"",M1857/L1857)</f>
        <v/>
      </c>
      <c r="Z1857" t="inlineStr">
        <is>
          <t>CIO - Top Investment Executive</t>
        </is>
      </c>
      <c r="AA1857" t="inlineStr">
        <is>
          <t>Leadership</t>
        </is>
      </c>
      <c r="AB1857" s="50" t="inlineStr">
        <is>
          <t>Y</t>
        </is>
      </c>
      <c r="AC1857" s="43">
        <f>HYPERLINK("https://projects.propublica.org/nonprofits/organizations/540734117/202631359349311323/full","view filing")</f>
        <v/>
      </c>
      <c r="AD1857" s="50" t="inlineStr">
        <is>
          <t>Y</t>
        </is>
      </c>
    </row>
    <row r="1858">
      <c r="A1858" t="inlineStr">
        <is>
          <t>William &amp; Mary Foundation</t>
        </is>
      </c>
      <c r="B1858" s="50" t="inlineStr">
        <is>
          <t>VA</t>
        </is>
      </c>
      <c r="C1858" s="52" t="n">
        <v>1.59</v>
      </c>
      <c r="D1858" t="inlineStr">
        <is>
          <t>Foundation</t>
        </is>
      </c>
      <c r="E1858" s="50" t="n">
        <v>2024</v>
      </c>
      <c r="F1858" s="50" t="inlineStr">
        <is>
          <t>2025-05-14</t>
        </is>
      </c>
      <c r="G1858" s="50" t="inlineStr">
        <is>
          <t>2024-06-30</t>
        </is>
      </c>
      <c r="H1858" t="inlineStr">
        <is>
          <t>F Brian Hiestand</t>
        </is>
      </c>
      <c r="I1858" t="inlineStr">
        <is>
          <t>CHIEF INVESTMENT OFFICER, 1693 PARTNERS FUND</t>
        </is>
      </c>
      <c r="J1858" t="inlineStr">
        <is>
          <t>CIO</t>
        </is>
      </c>
      <c r="K1858" t="inlineStr">
        <is>
          <t>CIO - Top Investment Executive</t>
        </is>
      </c>
      <c r="L1858" s="28" t="n">
        <v>333174</v>
      </c>
      <c r="M1858" s="28" t="n">
        <v>49455</v>
      </c>
      <c r="N1858" s="28" t="n">
        <v>1685</v>
      </c>
      <c r="O1858" s="28" t="n">
        <v>34800</v>
      </c>
      <c r="P1858" s="28" t="n">
        <v>32744</v>
      </c>
      <c r="Q1858" s="28" t="n">
        <v>451858</v>
      </c>
      <c r="R1858" s="28" t="n">
        <v>0</v>
      </c>
      <c r="S1858" s="28">
        <f>Q1858-R1858</f>
        <v/>
      </c>
      <c r="T1858" s="28">
        <f>IF(S1858="","",S1858*(1+in_GrowthRate)^(YEARFRAC(DATE(2024,6,30),in_AgeToDate)*IF(in_AgeToDate&lt;DATE(2024,6,30),-1,1)+1))</f>
        <v/>
      </c>
      <c r="U1858" s="50">
        <f>IF(AND(AND(OR(in_Mode="All Funds",AND(C1858&gt;=in_BandFloor,C1858&lt;=in_BandCeiling,OR(in_Geography="National",COUNTIFS(lst_GeoPreset,in_Geography,lst_GeoState,B1858)&gt;0,AND(in_Geography="Custom",ISNUMBER(SEARCH(B1858,SUBSTITUTE(in_CustomStates," ",""))))),OR(AND(D1858="Endowment",Inputs!$B$14="Y"),AND(D1858="Foundation",Inputs!$B$15="Y"),AND(D1858="Healthcare",Inputs!$B$16="Y"),AND(D1858="Pension",Inputs!$B$17="Y"),AND(D1858="OCIO",Inputs!$B$18="Y"),AND(D1858="Other",Inputs!$B$19="Y")))),A1858&lt;&gt;in_ClientOrg,NOT(AND(in_ExclHarvard="Y",ISNUMBER(SEARCH("Harvard",A1858))))),$AD1858="Y",K1858&lt;&gt;"",S1858&gt;0),"Y","")</f>
        <v/>
      </c>
      <c r="V1858" s="30" t="n">
        <v>1</v>
      </c>
      <c r="W1858" t="inlineStr"/>
      <c r="X1858" s="28">
        <f>IF(L1858+M1858=0,"",L1858+M1858)</f>
        <v/>
      </c>
      <c r="Y1858" s="38">
        <f>IF(L1858=0,"",M1858/L1858)</f>
        <v/>
      </c>
      <c r="Z1858" t="inlineStr">
        <is>
          <t>CIO - Top Investment Executive</t>
        </is>
      </c>
      <c r="AA1858" t="inlineStr">
        <is>
          <t>Leadership</t>
        </is>
      </c>
      <c r="AB1858" s="50" t="inlineStr">
        <is>
          <t>Y</t>
        </is>
      </c>
      <c r="AC1858" s="43">
        <f>HYPERLINK("https://projects.propublica.org/nonprofits/organizations/540734117/202501349349311005/full","view filing")</f>
        <v/>
      </c>
      <c r="AD1858" s="50" t="inlineStr"/>
    </row>
    <row r="1859">
      <c r="A1859" t="inlineStr">
        <is>
          <t>William &amp; Mary Foundation</t>
        </is>
      </c>
      <c r="B1859" s="50" t="inlineStr">
        <is>
          <t>VA</t>
        </is>
      </c>
      <c r="C1859" s="52" t="n">
        <v>1.59</v>
      </c>
      <c r="D1859" t="inlineStr">
        <is>
          <t>Foundation</t>
        </is>
      </c>
      <c r="E1859" s="50" t="n">
        <v>2023</v>
      </c>
      <c r="F1859" s="50" t="inlineStr">
        <is>
          <t>2024-05-15</t>
        </is>
      </c>
      <c r="G1859" s="50" t="inlineStr">
        <is>
          <t>2023-06-30</t>
        </is>
      </c>
      <c r="H1859" t="inlineStr">
        <is>
          <t>F Brian Hiestand</t>
        </is>
      </c>
      <c r="I1859" t="inlineStr">
        <is>
          <t>CHIEF INVESTMENT OFFICER, 1693 PARTNERS FUND</t>
        </is>
      </c>
      <c r="J1859" t="inlineStr">
        <is>
          <t>CIO</t>
        </is>
      </c>
      <c r="K1859" t="inlineStr">
        <is>
          <t>CIO - Top Investment Executive</t>
        </is>
      </c>
      <c r="L1859" s="28" t="n">
        <v>315770</v>
      </c>
      <c r="M1859" s="28" t="n">
        <v>548645</v>
      </c>
      <c r="N1859" s="28" t="n">
        <v>1636</v>
      </c>
      <c r="O1859" s="28" t="n">
        <v>32200</v>
      </c>
      <c r="P1859" s="28" t="n">
        <v>32006</v>
      </c>
      <c r="Q1859" s="28" t="n">
        <v>930257</v>
      </c>
      <c r="R1859" s="28" t="n">
        <v>0</v>
      </c>
      <c r="S1859" s="28">
        <f>Q1859-R1859</f>
        <v/>
      </c>
      <c r="T1859" s="28">
        <f>IF(S1859="","",S1859*(1+in_GrowthRate)^(YEARFRAC(DATE(2023,6,30),in_AgeToDate)*IF(in_AgeToDate&lt;DATE(2023,6,30),-1,1)+1))</f>
        <v/>
      </c>
      <c r="U1859" s="50">
        <f>IF(AND(AND(OR(in_Mode="All Funds",AND(C1859&gt;=in_BandFloor,C1859&lt;=in_BandCeiling,OR(in_Geography="National",COUNTIFS(lst_GeoPreset,in_Geography,lst_GeoState,B1859)&gt;0,AND(in_Geography="Custom",ISNUMBER(SEARCH(B1859,SUBSTITUTE(in_CustomStates," ",""))))),OR(AND(D1859="Endowment",Inputs!$B$14="Y"),AND(D1859="Foundation",Inputs!$B$15="Y"),AND(D1859="Healthcare",Inputs!$B$16="Y"),AND(D1859="Pension",Inputs!$B$17="Y"),AND(D1859="OCIO",Inputs!$B$18="Y"),AND(D1859="Other",Inputs!$B$19="Y")))),A1859&lt;&gt;in_ClientOrg,NOT(AND(in_ExclHarvard="Y",ISNUMBER(SEARCH("Harvard",A1859))))),$AD1859="Y",K1859&lt;&gt;"",S1859&gt;0),"Y","")</f>
        <v/>
      </c>
      <c r="V1859" s="30" t="n">
        <v>1</v>
      </c>
      <c r="W1859" t="inlineStr"/>
      <c r="X1859" s="28">
        <f>IF(L1859+M1859=0,"",L1859+M1859)</f>
        <v/>
      </c>
      <c r="Y1859" s="38">
        <f>IF(L1859=0,"",M1859/L1859)</f>
        <v/>
      </c>
      <c r="Z1859" t="inlineStr">
        <is>
          <t>CIO - Top Investment Executive</t>
        </is>
      </c>
      <c r="AA1859" t="inlineStr">
        <is>
          <t>Leadership</t>
        </is>
      </c>
      <c r="AB1859" s="50" t="inlineStr">
        <is>
          <t>Y</t>
        </is>
      </c>
      <c r="AC1859" s="43">
        <f>HYPERLINK("https://projects.propublica.org/nonprofits/organizations/540734117/202441369349307809/full","view filing")</f>
        <v/>
      </c>
      <c r="AD1859" s="50" t="inlineStr"/>
    </row>
    <row r="1860">
      <c r="A1860" t="inlineStr">
        <is>
          <t>William &amp; Mary Foundation</t>
        </is>
      </c>
      <c r="B1860" s="50" t="inlineStr">
        <is>
          <t>VA</t>
        </is>
      </c>
      <c r="C1860" s="52" t="n">
        <v>1.59</v>
      </c>
      <c r="D1860" t="inlineStr">
        <is>
          <t>Foundation</t>
        </is>
      </c>
      <c r="E1860" s="50" t="n">
        <v>2022</v>
      </c>
      <c r="F1860" s="50" t="inlineStr">
        <is>
          <t>2023-05-15</t>
        </is>
      </c>
      <c r="G1860" s="50" t="inlineStr">
        <is>
          <t>2022-06-30</t>
        </is>
      </c>
      <c r="H1860" t="inlineStr">
        <is>
          <t>Catherine Mountjoy</t>
        </is>
      </c>
      <c r="I1860" t="inlineStr">
        <is>
          <t>DIRECTOR OF INVESTMENTS</t>
        </is>
      </c>
      <c r="J1860" t="inlineStr">
        <is>
          <t>Director of Investments</t>
        </is>
      </c>
      <c r="K1860" t="inlineStr">
        <is>
          <t>Sr Investment Professional</t>
        </is>
      </c>
      <c r="L1860" s="28" t="n">
        <v>219787</v>
      </c>
      <c r="M1860" s="28" t="n">
        <v>122932</v>
      </c>
      <c r="N1860" s="28" t="n">
        <v>706</v>
      </c>
      <c r="O1860" s="28" t="n">
        <v>19459</v>
      </c>
      <c r="P1860" s="28" t="n">
        <v>26055</v>
      </c>
      <c r="Q1860" s="28" t="n">
        <v>388939</v>
      </c>
      <c r="R1860" s="28" t="n">
        <v>0</v>
      </c>
      <c r="S1860" s="28">
        <f>Q1860-R1860</f>
        <v/>
      </c>
      <c r="T1860" s="28">
        <f>IF(S1860="","",S1860*(1+in_GrowthRate)^(YEARFRAC(DATE(2022,6,30),in_AgeToDate)*IF(in_AgeToDate&lt;DATE(2022,6,30),-1,1)+1))</f>
        <v/>
      </c>
      <c r="U1860" s="50">
        <f>IF(AND(AND(OR(in_Mode="All Funds",AND(C1860&gt;=in_BandFloor,C1860&lt;=in_BandCeiling,OR(in_Geography="National",COUNTIFS(lst_GeoPreset,in_Geography,lst_GeoState,B1860)&gt;0,AND(in_Geography="Custom",ISNUMBER(SEARCH(B1860,SUBSTITUTE(in_CustomStates," ",""))))),OR(AND(D1860="Endowment",Inputs!$B$14="Y"),AND(D1860="Foundation",Inputs!$B$15="Y"),AND(D1860="Healthcare",Inputs!$B$16="Y"),AND(D1860="Pension",Inputs!$B$17="Y"),AND(D1860="OCIO",Inputs!$B$18="Y"),AND(D1860="Other",Inputs!$B$19="Y")))),A1860&lt;&gt;in_ClientOrg,NOT(AND(in_ExclHarvard="Y",ISNUMBER(SEARCH("Harvard",A1860))))),$AD1860="Y",K1860&lt;&gt;"",S1860&gt;0),"Y","")</f>
        <v/>
      </c>
      <c r="V1860" s="30" t="n">
        <v>0.7060398566641374</v>
      </c>
      <c r="W1860" t="inlineStr"/>
      <c r="X1860" s="28">
        <f>IF(L1860+M1860=0,"",L1860+M1860)</f>
        <v/>
      </c>
      <c r="Y1860" s="38">
        <f>IF(L1860=0,"",M1860/L1860)</f>
        <v/>
      </c>
      <c r="Z1860" t="inlineStr">
        <is>
          <t>Director &amp; Investment Officer</t>
        </is>
      </c>
      <c r="AA1860" t="inlineStr">
        <is>
          <t>Investments</t>
        </is>
      </c>
      <c r="AB1860" s="50" t="inlineStr"/>
      <c r="AC1860" s="43">
        <f>HYPERLINK("https://projects.propublica.org/nonprofits/organizations/540734117/202301359349314250/full","view filing")</f>
        <v/>
      </c>
      <c r="AD1860" s="50" t="inlineStr"/>
    </row>
    <row r="1861">
      <c r="A1861" t="inlineStr">
        <is>
          <t>William &amp; Mary Foundation</t>
        </is>
      </c>
      <c r="B1861" s="50" t="inlineStr">
        <is>
          <t>VA</t>
        </is>
      </c>
      <c r="C1861" s="52" t="n">
        <v>1.59</v>
      </c>
      <c r="D1861" t="inlineStr">
        <is>
          <t>Foundation</t>
        </is>
      </c>
      <c r="E1861" s="50" t="n">
        <v>2022</v>
      </c>
      <c r="F1861" s="50" t="inlineStr">
        <is>
          <t>2023-05-15</t>
        </is>
      </c>
      <c r="G1861" s="50" t="inlineStr">
        <is>
          <t>2022-06-30</t>
        </is>
      </c>
      <c r="H1861" t="inlineStr">
        <is>
          <t>F Brian Hiestand</t>
        </is>
      </c>
      <c r="I1861" t="inlineStr">
        <is>
          <t>CHIEF INVESTMENT OFFICER</t>
        </is>
      </c>
      <c r="J1861" t="inlineStr">
        <is>
          <t>CIO</t>
        </is>
      </c>
      <c r="K1861" t="inlineStr">
        <is>
          <t>CIO - Top Investment Executive</t>
        </is>
      </c>
      <c r="L1861" s="28" t="n">
        <v>304595</v>
      </c>
      <c r="M1861" s="28" t="n">
        <v>182629</v>
      </c>
      <c r="N1861" s="28" t="n">
        <v>1573</v>
      </c>
      <c r="O1861" s="28" t="n">
        <v>30640</v>
      </c>
      <c r="P1861" s="28" t="n">
        <v>31437</v>
      </c>
      <c r="Q1861" s="28" t="n">
        <v>550874</v>
      </c>
      <c r="R1861" s="28" t="n">
        <v>0</v>
      </c>
      <c r="S1861" s="28">
        <f>Q1861-R1861</f>
        <v/>
      </c>
      <c r="T1861" s="28">
        <f>IF(S1861="","",S1861*(1+in_GrowthRate)^(YEARFRAC(DATE(2022,6,30),in_AgeToDate)*IF(in_AgeToDate&lt;DATE(2022,6,30),-1,1)+1))</f>
        <v/>
      </c>
      <c r="U1861" s="50">
        <f>IF(AND(AND(OR(in_Mode="All Funds",AND(C1861&gt;=in_BandFloor,C1861&lt;=in_BandCeiling,OR(in_Geography="National",COUNTIFS(lst_GeoPreset,in_Geography,lst_GeoState,B1861)&gt;0,AND(in_Geography="Custom",ISNUMBER(SEARCH(B1861,SUBSTITUTE(in_CustomStates," ",""))))),OR(AND(D1861="Endowment",Inputs!$B$14="Y"),AND(D1861="Foundation",Inputs!$B$15="Y"),AND(D1861="Healthcare",Inputs!$B$16="Y"),AND(D1861="Pension",Inputs!$B$17="Y"),AND(D1861="OCIO",Inputs!$B$18="Y"),AND(D1861="Other",Inputs!$B$19="Y")))),A1861&lt;&gt;in_ClientOrg,NOT(AND(in_ExclHarvard="Y",ISNUMBER(SEARCH("Harvard",A1861))))),$AD1861="Y",K1861&lt;&gt;"",S1861&gt;0),"Y","")</f>
        <v/>
      </c>
      <c r="V1861" s="30" t="n">
        <v>1</v>
      </c>
      <c r="W1861" t="inlineStr"/>
      <c r="X1861" s="28">
        <f>IF(L1861+M1861=0,"",L1861+M1861)</f>
        <v/>
      </c>
      <c r="Y1861" s="38">
        <f>IF(L1861=0,"",M1861/L1861)</f>
        <v/>
      </c>
      <c r="Z1861" t="inlineStr">
        <is>
          <t>CIO - Top Investment Executive</t>
        </is>
      </c>
      <c r="AA1861" t="inlineStr">
        <is>
          <t>Leadership</t>
        </is>
      </c>
      <c r="AB1861" s="50" t="inlineStr">
        <is>
          <t>Y</t>
        </is>
      </c>
      <c r="AC1861" s="43">
        <f>HYPERLINK("https://projects.propublica.org/nonprofits/organizations/540734117/202301359349314250/full","view filing")</f>
        <v/>
      </c>
      <c r="AD1861" s="50" t="inlineStr"/>
    </row>
    <row r="1862">
      <c r="A1862" t="inlineStr">
        <is>
          <t>William Marsh Rice University</t>
        </is>
      </c>
      <c r="B1862" s="50" t="inlineStr">
        <is>
          <t>TX</t>
        </is>
      </c>
      <c r="C1862" s="52" t="n">
        <v>8.5</v>
      </c>
      <c r="D1862" t="inlineStr">
        <is>
          <t>Endowment</t>
        </is>
      </c>
      <c r="E1862" s="50" t="n">
        <v>2025</v>
      </c>
      <c r="F1862" s="50" t="inlineStr">
        <is>
          <t>2026-05-11</t>
        </is>
      </c>
      <c r="G1862" s="50" t="inlineStr">
        <is>
          <t>2025-06-30</t>
        </is>
      </c>
      <c r="H1862" t="inlineStr">
        <is>
          <t>Allison Thacker</t>
        </is>
      </c>
      <c r="I1862" t="inlineStr">
        <is>
          <t>Chief Investment Officer, Treasurer, Assistant Secretary</t>
        </is>
      </c>
      <c r="J1862" t="inlineStr">
        <is>
          <t>CIO</t>
        </is>
      </c>
      <c r="K1862" t="inlineStr">
        <is>
          <t>CIO - Top Investment Executive</t>
        </is>
      </c>
      <c r="L1862" s="28" t="n">
        <v>1915553</v>
      </c>
      <c r="M1862" s="28" t="n">
        <v>927563</v>
      </c>
      <c r="N1862" s="28" t="n">
        <v>42500</v>
      </c>
      <c r="O1862" s="28" t="n">
        <v>43320</v>
      </c>
      <c r="P1862" s="28" t="n">
        <v>46276</v>
      </c>
      <c r="Q1862" s="28" t="n">
        <v>2975212</v>
      </c>
      <c r="R1862" s="28" t="n">
        <v>0</v>
      </c>
      <c r="S1862" s="28">
        <f>Q1862-R1862</f>
        <v/>
      </c>
      <c r="T1862" s="28">
        <f>IF(S1862="","",S1862*(1+in_GrowthRate)^(YEARFRAC(DATE(2025,6,30),in_AgeToDate)*IF(in_AgeToDate&lt;DATE(2025,6,30),-1,1)+1))</f>
        <v/>
      </c>
      <c r="U1862" s="50">
        <f>IF(AND(AND(OR(in_Mode="All Funds",AND(C1862&gt;=in_BandFloor,C1862&lt;=in_BandCeiling,OR(in_Geography="National",COUNTIFS(lst_GeoPreset,in_Geography,lst_GeoState,B1862)&gt;0,AND(in_Geography="Custom",ISNUMBER(SEARCH(B1862,SUBSTITUTE(in_CustomStates," ",""))))),OR(AND(D1862="Endowment",Inputs!$B$14="Y"),AND(D1862="Foundation",Inputs!$B$15="Y"),AND(D1862="Healthcare",Inputs!$B$16="Y"),AND(D1862="Pension",Inputs!$B$17="Y"),AND(D1862="OCIO",Inputs!$B$18="Y"),AND(D1862="Other",Inputs!$B$19="Y")))),A1862&lt;&gt;in_ClientOrg,NOT(AND(in_ExclHarvard="Y",ISNUMBER(SEARCH("Harvard",A1862))))),$AD1862="Y",K1862&lt;&gt;"",S1862&gt;0),"Y","")</f>
        <v/>
      </c>
      <c r="V1862" s="30" t="n">
        <v>1</v>
      </c>
      <c r="W1862" t="inlineStr"/>
      <c r="X1862" s="28">
        <f>IF(L1862+M1862=0,"",L1862+M1862)</f>
        <v/>
      </c>
      <c r="Y1862" s="38">
        <f>IF(L1862=0,"",M1862/L1862)</f>
        <v/>
      </c>
      <c r="Z1862" t="inlineStr">
        <is>
          <t>CIO - Top Investment Executive</t>
        </is>
      </c>
      <c r="AA1862" t="inlineStr">
        <is>
          <t>Leadership</t>
        </is>
      </c>
      <c r="AB1862" s="50" t="inlineStr">
        <is>
          <t>Y</t>
        </is>
      </c>
      <c r="AC1862" s="43">
        <f>HYPERLINK("https://projects.propublica.org/nonprofits/organizations/741109620/202601319349301340/full","view filing")</f>
        <v/>
      </c>
      <c r="AD1862" s="50" t="inlineStr">
        <is>
          <t>Y</t>
        </is>
      </c>
    </row>
    <row r="1863">
      <c r="A1863" t="inlineStr">
        <is>
          <t>William Marsh Rice University</t>
        </is>
      </c>
      <c r="B1863" s="50" t="inlineStr">
        <is>
          <t>TX</t>
        </is>
      </c>
      <c r="C1863" s="52" t="n">
        <v>8.5</v>
      </c>
      <c r="D1863" t="inlineStr">
        <is>
          <t>Endowment</t>
        </is>
      </c>
      <c r="E1863" s="50" t="n">
        <v>2025</v>
      </c>
      <c r="F1863" s="50" t="inlineStr">
        <is>
          <t>2026-05-11</t>
        </is>
      </c>
      <c r="G1863" s="50" t="inlineStr">
        <is>
          <t>2025-06-30</t>
        </is>
      </c>
      <c r="H1863" t="inlineStr">
        <is>
          <t>Craig Beech</t>
        </is>
      </c>
      <c r="I1863" t="inlineStr">
        <is>
          <t>Investment Manager</t>
        </is>
      </c>
      <c r="J1863" t="inlineStr">
        <is>
          <t>Investment Manager</t>
        </is>
      </c>
      <c r="K1863" t="inlineStr">
        <is>
          <t>Sr Investment Professional</t>
        </is>
      </c>
      <c r="L1863" s="28" t="n">
        <v>467094</v>
      </c>
      <c r="M1863" s="28" t="n">
        <v>481950</v>
      </c>
      <c r="N1863" s="28" t="n">
        <v>52400</v>
      </c>
      <c r="O1863" s="28" t="n">
        <v>43320</v>
      </c>
      <c r="P1863" s="28" t="n">
        <v>42571</v>
      </c>
      <c r="Q1863" s="28" t="n">
        <v>1087335</v>
      </c>
      <c r="R1863" s="28" t="n">
        <v>0</v>
      </c>
      <c r="S1863" s="28">
        <f>Q1863-R1863</f>
        <v/>
      </c>
      <c r="T1863" s="28">
        <f>IF(S1863="","",S1863*(1+in_GrowthRate)^(YEARFRAC(DATE(2025,6,30),in_AgeToDate)*IF(in_AgeToDate&lt;DATE(2025,6,30),-1,1)+1))</f>
        <v/>
      </c>
      <c r="U1863" s="50">
        <f>IF(AND(AND(OR(in_Mode="All Funds",AND(C1863&gt;=in_BandFloor,C1863&lt;=in_BandCeiling,OR(in_Geography="National",COUNTIFS(lst_GeoPreset,in_Geography,lst_GeoState,B1863)&gt;0,AND(in_Geography="Custom",ISNUMBER(SEARCH(B1863,SUBSTITUTE(in_CustomStates," ",""))))),OR(AND(D1863="Endowment",Inputs!$B$14="Y"),AND(D1863="Foundation",Inputs!$B$15="Y"),AND(D1863="Healthcare",Inputs!$B$16="Y"),AND(D1863="Pension",Inputs!$B$17="Y"),AND(D1863="OCIO",Inputs!$B$18="Y"),AND(D1863="Other",Inputs!$B$19="Y")))),A1863&lt;&gt;in_ClientOrg,NOT(AND(in_ExclHarvard="Y",ISNUMBER(SEARCH("Harvard",A1863))))),$AD1863="Y",K1863&lt;&gt;"",S1863&gt;0),"Y","")</f>
        <v/>
      </c>
      <c r="V1863" s="30" t="n">
        <v>0.3654647131027974</v>
      </c>
      <c r="W1863" t="inlineStr"/>
      <c r="X1863" s="28">
        <f>IF(L1863+M1863=0,"",L1863+M1863)</f>
        <v/>
      </c>
      <c r="Y1863" s="38">
        <f>IF(L1863=0,"",M1863/L1863)</f>
        <v/>
      </c>
      <c r="Z1863" t="inlineStr">
        <is>
          <t>Director &amp; Investment Officer</t>
        </is>
      </c>
      <c r="AA1863" t="inlineStr">
        <is>
          <t>Investments</t>
        </is>
      </c>
      <c r="AB1863" s="50" t="inlineStr"/>
      <c r="AC1863" s="43">
        <f>HYPERLINK("https://projects.propublica.org/nonprofits/organizations/741109620/202601319349301340/full","view filing")</f>
        <v/>
      </c>
      <c r="AD1863" s="50" t="inlineStr">
        <is>
          <t>Y</t>
        </is>
      </c>
    </row>
    <row r="1864">
      <c r="A1864" t="inlineStr">
        <is>
          <t>William Marsh Rice University</t>
        </is>
      </c>
      <c r="B1864" s="50" t="inlineStr">
        <is>
          <t>TX</t>
        </is>
      </c>
      <c r="C1864" s="52" t="n">
        <v>8.5</v>
      </c>
      <c r="D1864" t="inlineStr">
        <is>
          <t>Endowment</t>
        </is>
      </c>
      <c r="E1864" s="50" t="n">
        <v>2025</v>
      </c>
      <c r="F1864" s="50" t="inlineStr">
        <is>
          <t>2026-05-11</t>
        </is>
      </c>
      <c r="G1864" s="50" t="inlineStr">
        <is>
          <t>2025-06-30</t>
        </is>
      </c>
      <c r="H1864" t="inlineStr">
        <is>
          <t>John Lawrence</t>
        </is>
      </c>
      <c r="I1864" t="inlineStr">
        <is>
          <t>Investment Manager</t>
        </is>
      </c>
      <c r="J1864" t="inlineStr">
        <is>
          <t>Investment Manager</t>
        </is>
      </c>
      <c r="K1864" t="inlineStr">
        <is>
          <t>Sr Investment Professional</t>
        </is>
      </c>
      <c r="L1864" s="28" t="n">
        <v>528364</v>
      </c>
      <c r="M1864" s="28" t="n">
        <v>538175</v>
      </c>
      <c r="N1864" s="28" t="n">
        <v>30500</v>
      </c>
      <c r="O1864" s="28" t="n">
        <v>32970</v>
      </c>
      <c r="P1864" s="28" t="n">
        <v>42699</v>
      </c>
      <c r="Q1864" s="28" t="n">
        <v>1172708</v>
      </c>
      <c r="R1864" s="28" t="n">
        <v>0</v>
      </c>
      <c r="S1864" s="28">
        <f>Q1864-R1864</f>
        <v/>
      </c>
      <c r="T1864" s="28">
        <f>IF(S1864="","",S1864*(1+in_GrowthRate)^(YEARFRAC(DATE(2025,6,30),in_AgeToDate)*IF(in_AgeToDate&lt;DATE(2025,6,30),-1,1)+1))</f>
        <v/>
      </c>
      <c r="U1864" s="50">
        <f>IF(AND(AND(OR(in_Mode="All Funds",AND(C1864&gt;=in_BandFloor,C1864&lt;=in_BandCeiling,OR(in_Geography="National",COUNTIFS(lst_GeoPreset,in_Geography,lst_GeoState,B1864)&gt;0,AND(in_Geography="Custom",ISNUMBER(SEARCH(B1864,SUBSTITUTE(in_CustomStates," ",""))))),OR(AND(D1864="Endowment",Inputs!$B$14="Y"),AND(D1864="Foundation",Inputs!$B$15="Y"),AND(D1864="Healthcare",Inputs!$B$16="Y"),AND(D1864="Pension",Inputs!$B$17="Y"),AND(D1864="OCIO",Inputs!$B$18="Y"),AND(D1864="Other",Inputs!$B$19="Y")))),A1864&lt;&gt;in_ClientOrg,NOT(AND(in_ExclHarvard="Y",ISNUMBER(SEARCH("Harvard",A1864))))),$AD1864="Y",K1864&lt;&gt;"",S1864&gt;0),"Y","")</f>
        <v/>
      </c>
      <c r="V1864" s="30" t="n">
        <v>0.3941594750222841</v>
      </c>
      <c r="W1864" t="inlineStr"/>
      <c r="X1864" s="28">
        <f>IF(L1864+M1864=0,"",L1864+M1864)</f>
        <v/>
      </c>
      <c r="Y1864" s="38">
        <f>IF(L1864=0,"",M1864/L1864)</f>
        <v/>
      </c>
      <c r="Z1864" t="inlineStr">
        <is>
          <t>Director &amp; Investment Officer</t>
        </is>
      </c>
      <c r="AA1864" t="inlineStr">
        <is>
          <t>Investments</t>
        </is>
      </c>
      <c r="AB1864" s="50" t="inlineStr"/>
      <c r="AC1864" s="43">
        <f>HYPERLINK("https://projects.propublica.org/nonprofits/organizations/741109620/202601319349301340/full","view filing")</f>
        <v/>
      </c>
      <c r="AD1864" s="50" t="inlineStr">
        <is>
          <t>Y</t>
        </is>
      </c>
    </row>
    <row r="1865">
      <c r="A1865" t="inlineStr">
        <is>
          <t>William Marsh Rice University</t>
        </is>
      </c>
      <c r="B1865" s="50" t="inlineStr">
        <is>
          <t>TX</t>
        </is>
      </c>
      <c r="C1865" s="52" t="n">
        <v>8.5</v>
      </c>
      <c r="D1865" t="inlineStr">
        <is>
          <t>Endowment</t>
        </is>
      </c>
      <c r="E1865" s="50" t="n">
        <v>2024</v>
      </c>
      <c r="F1865" s="50" t="inlineStr">
        <is>
          <t>2025-05-08</t>
        </is>
      </c>
      <c r="G1865" s="50" t="inlineStr">
        <is>
          <t>2024-06-30</t>
        </is>
      </c>
      <c r="H1865" t="inlineStr">
        <is>
          <t>Allison Thacker</t>
        </is>
      </c>
      <c r="I1865" t="inlineStr">
        <is>
          <t>Chief Investment Officer, Treasurer, Assistant Secretary</t>
        </is>
      </c>
      <c r="J1865" t="inlineStr">
        <is>
          <t>CIO</t>
        </is>
      </c>
      <c r="K1865" t="inlineStr">
        <is>
          <t>CIO - Top Investment Executive</t>
        </is>
      </c>
      <c r="L1865" s="28" t="n">
        <v>1083663</v>
      </c>
      <c r="M1865" s="28" t="n">
        <v>0</v>
      </c>
      <c r="N1865" s="28" t="n">
        <v>42000</v>
      </c>
      <c r="O1865" s="28" t="n">
        <v>31590</v>
      </c>
      <c r="P1865" s="28" t="n">
        <v>42731</v>
      </c>
      <c r="Q1865" s="28" t="n">
        <v>1199984</v>
      </c>
      <c r="R1865" s="28" t="n">
        <v>0</v>
      </c>
      <c r="S1865" s="28">
        <f>Q1865-R1865</f>
        <v/>
      </c>
      <c r="T1865" s="28">
        <f>IF(S1865="","",S1865*(1+in_GrowthRate)^(YEARFRAC(DATE(2024,6,30),in_AgeToDate)*IF(in_AgeToDate&lt;DATE(2024,6,30),-1,1)+1))</f>
        <v/>
      </c>
      <c r="U1865" s="50">
        <f>IF(AND(AND(OR(in_Mode="All Funds",AND(C1865&gt;=in_BandFloor,C1865&lt;=in_BandCeiling,OR(in_Geography="National",COUNTIFS(lst_GeoPreset,in_Geography,lst_GeoState,B1865)&gt;0,AND(in_Geography="Custom",ISNUMBER(SEARCH(B1865,SUBSTITUTE(in_CustomStates," ",""))))),OR(AND(D1865="Endowment",Inputs!$B$14="Y"),AND(D1865="Foundation",Inputs!$B$15="Y"),AND(D1865="Healthcare",Inputs!$B$16="Y"),AND(D1865="Pension",Inputs!$B$17="Y"),AND(D1865="OCIO",Inputs!$B$18="Y"),AND(D1865="Other",Inputs!$B$19="Y")))),A1865&lt;&gt;in_ClientOrg,NOT(AND(in_ExclHarvard="Y",ISNUMBER(SEARCH("Harvard",A1865))))),$AD1865="Y",K1865&lt;&gt;"",S1865&gt;0),"Y","")</f>
        <v/>
      </c>
      <c r="V1865" s="30" t="n">
        <v>1</v>
      </c>
      <c r="W1865" t="inlineStr"/>
      <c r="X1865" s="28">
        <f>IF(L1865+M1865=0,"",L1865+M1865)</f>
        <v/>
      </c>
      <c r="Y1865" s="38">
        <f>IF(L1865=0,"",M1865/L1865)</f>
        <v/>
      </c>
      <c r="Z1865" t="inlineStr">
        <is>
          <t>CIO - Top Investment Executive</t>
        </is>
      </c>
      <c r="AA1865" t="inlineStr">
        <is>
          <t>Leadership</t>
        </is>
      </c>
      <c r="AB1865" s="50" t="inlineStr">
        <is>
          <t>Y</t>
        </is>
      </c>
      <c r="AC1865" s="43">
        <f>HYPERLINK("https://projects.propublica.org/nonprofits/organizations/741109620/202511289349302401/full","view filing")</f>
        <v/>
      </c>
      <c r="AD1865" s="50" t="inlineStr"/>
    </row>
    <row r="1866">
      <c r="A1866" t="inlineStr">
        <is>
          <t>William Marsh Rice University</t>
        </is>
      </c>
      <c r="B1866" s="50" t="inlineStr">
        <is>
          <t>TX</t>
        </is>
      </c>
      <c r="C1866" s="52" t="n">
        <v>8.5</v>
      </c>
      <c r="D1866" t="inlineStr">
        <is>
          <t>Endowment</t>
        </is>
      </c>
      <c r="E1866" s="50" t="n">
        <v>2024</v>
      </c>
      <c r="F1866" s="50" t="inlineStr">
        <is>
          <t>2025-05-08</t>
        </is>
      </c>
      <c r="G1866" s="50" t="inlineStr">
        <is>
          <t>2024-06-30</t>
        </is>
      </c>
      <c r="H1866" t="inlineStr">
        <is>
          <t>Craig Beach</t>
        </is>
      </c>
      <c r="I1866" t="inlineStr">
        <is>
          <t>Investment Manager</t>
        </is>
      </c>
      <c r="J1866" t="inlineStr">
        <is>
          <t>Investment Manager</t>
        </is>
      </c>
      <c r="K1866" t="inlineStr">
        <is>
          <t>Sr Investment Professional</t>
        </is>
      </c>
      <c r="L1866" s="28" t="n">
        <v>458174</v>
      </c>
      <c r="M1866" s="28" t="n">
        <v>448000</v>
      </c>
      <c r="N1866" s="28" t="n">
        <v>51900</v>
      </c>
      <c r="O1866" s="28" t="n">
        <v>41490</v>
      </c>
      <c r="P1866" s="28" t="n">
        <v>32892</v>
      </c>
      <c r="Q1866" s="28" t="n">
        <v>1032456</v>
      </c>
      <c r="R1866" s="28" t="n">
        <v>0</v>
      </c>
      <c r="S1866" s="28">
        <f>Q1866-R1866</f>
        <v/>
      </c>
      <c r="T1866" s="28">
        <f>IF(S1866="","",S1866*(1+in_GrowthRate)^(YEARFRAC(DATE(2024,6,30),in_AgeToDate)*IF(in_AgeToDate&lt;DATE(2024,6,30),-1,1)+1))</f>
        <v/>
      </c>
      <c r="U1866" s="50">
        <f>IF(AND(AND(OR(in_Mode="All Funds",AND(C1866&gt;=in_BandFloor,C1866&lt;=in_BandCeiling,OR(in_Geography="National",COUNTIFS(lst_GeoPreset,in_Geography,lst_GeoState,B1866)&gt;0,AND(in_Geography="Custom",ISNUMBER(SEARCH(B1866,SUBSTITUTE(in_CustomStates," ",""))))),OR(AND(D1866="Endowment",Inputs!$B$14="Y"),AND(D1866="Foundation",Inputs!$B$15="Y"),AND(D1866="Healthcare",Inputs!$B$16="Y"),AND(D1866="Pension",Inputs!$B$17="Y"),AND(D1866="OCIO",Inputs!$B$18="Y"),AND(D1866="Other",Inputs!$B$19="Y")))),A1866&lt;&gt;in_ClientOrg,NOT(AND(in_ExclHarvard="Y",ISNUMBER(SEARCH("Harvard",A1866))))),$AD1866="Y",K1866&lt;&gt;"",S1866&gt;0),"Y","")</f>
        <v/>
      </c>
      <c r="V1866" s="30" t="n">
        <v>0.8603914718862918</v>
      </c>
      <c r="W1866" t="inlineStr"/>
      <c r="X1866" s="28">
        <f>IF(L1866+M1866=0,"",L1866+M1866)</f>
        <v/>
      </c>
      <c r="Y1866" s="38">
        <f>IF(L1866=0,"",M1866/L1866)</f>
        <v/>
      </c>
      <c r="Z1866" t="inlineStr">
        <is>
          <t>Director &amp; Investment Officer</t>
        </is>
      </c>
      <c r="AA1866" t="inlineStr">
        <is>
          <t>Investments</t>
        </is>
      </c>
      <c r="AB1866" s="50" t="inlineStr"/>
      <c r="AC1866" s="43">
        <f>HYPERLINK("https://projects.propublica.org/nonprofits/organizations/741109620/202511289349302401/full","view filing")</f>
        <v/>
      </c>
      <c r="AD1866" s="50" t="inlineStr"/>
    </row>
    <row r="1867">
      <c r="A1867" t="inlineStr">
        <is>
          <t>William Marsh Rice University</t>
        </is>
      </c>
      <c r="B1867" s="50" t="inlineStr">
        <is>
          <t>TX</t>
        </is>
      </c>
      <c r="C1867" s="52" t="n">
        <v>8.5</v>
      </c>
      <c r="D1867" t="inlineStr">
        <is>
          <t>Endowment</t>
        </is>
      </c>
      <c r="E1867" s="50" t="n">
        <v>2024</v>
      </c>
      <c r="F1867" s="50" t="inlineStr">
        <is>
          <t>2025-05-08</t>
        </is>
      </c>
      <c r="G1867" s="50" t="inlineStr">
        <is>
          <t>2024-06-30</t>
        </is>
      </c>
      <c r="H1867" t="inlineStr">
        <is>
          <t>John Lawrence</t>
        </is>
      </c>
      <c r="I1867" t="inlineStr">
        <is>
          <t>Investment Manager</t>
        </is>
      </c>
      <c r="J1867" t="inlineStr">
        <is>
          <t>Investment Manager</t>
        </is>
      </c>
      <c r="K1867" t="inlineStr">
        <is>
          <t>Sr Investment Professional</t>
        </is>
      </c>
      <c r="L1867" s="28" t="n">
        <v>520168</v>
      </c>
      <c r="M1867" s="28" t="n">
        <v>448000</v>
      </c>
      <c r="N1867" s="28" t="n">
        <v>22500</v>
      </c>
      <c r="O1867" s="28" t="n">
        <v>31590</v>
      </c>
      <c r="P1867" s="28" t="n">
        <v>38636</v>
      </c>
      <c r="Q1867" s="28" t="n">
        <v>1060894</v>
      </c>
      <c r="R1867" s="28" t="n">
        <v>0</v>
      </c>
      <c r="S1867" s="28">
        <f>Q1867-R1867</f>
        <v/>
      </c>
      <c r="T1867" s="28">
        <f>IF(S1867="","",S1867*(1+in_GrowthRate)^(YEARFRAC(DATE(2024,6,30),in_AgeToDate)*IF(in_AgeToDate&lt;DATE(2024,6,30),-1,1)+1))</f>
        <v/>
      </c>
      <c r="U1867" s="50">
        <f>IF(AND(AND(OR(in_Mode="All Funds",AND(C1867&gt;=in_BandFloor,C1867&lt;=in_BandCeiling,OR(in_Geography="National",COUNTIFS(lst_GeoPreset,in_Geography,lst_GeoState,B1867)&gt;0,AND(in_Geography="Custom",ISNUMBER(SEARCH(B1867,SUBSTITUTE(in_CustomStates," ",""))))),OR(AND(D1867="Endowment",Inputs!$B$14="Y"),AND(D1867="Foundation",Inputs!$B$15="Y"),AND(D1867="Healthcare",Inputs!$B$16="Y"),AND(D1867="Pension",Inputs!$B$17="Y"),AND(D1867="OCIO",Inputs!$B$18="Y"),AND(D1867="Other",Inputs!$B$19="Y")))),A1867&lt;&gt;in_ClientOrg,NOT(AND(in_ExclHarvard="Y",ISNUMBER(SEARCH("Harvard",A1867))))),$AD1867="Y",K1867&lt;&gt;"",S1867&gt;0),"Y","")</f>
        <v/>
      </c>
      <c r="V1867" s="30" t="n">
        <v>0.884090121201616</v>
      </c>
      <c r="W1867" t="inlineStr"/>
      <c r="X1867" s="28">
        <f>IF(L1867+M1867=0,"",L1867+M1867)</f>
        <v/>
      </c>
      <c r="Y1867" s="38">
        <f>IF(L1867=0,"",M1867/L1867)</f>
        <v/>
      </c>
      <c r="Z1867" t="inlineStr">
        <is>
          <t>Director &amp; Investment Officer</t>
        </is>
      </c>
      <c r="AA1867" t="inlineStr">
        <is>
          <t>Investments</t>
        </is>
      </c>
      <c r="AB1867" s="50" t="inlineStr"/>
      <c r="AC1867" s="43">
        <f>HYPERLINK("https://projects.propublica.org/nonprofits/organizations/741109620/202511289349302401/full","view filing")</f>
        <v/>
      </c>
      <c r="AD1867" s="50" t="inlineStr"/>
    </row>
    <row r="1868">
      <c r="A1868" t="inlineStr">
        <is>
          <t>William Marsh Rice University</t>
        </is>
      </c>
      <c r="B1868" s="50" t="inlineStr">
        <is>
          <t>TX</t>
        </is>
      </c>
      <c r="C1868" s="52" t="n">
        <v>8.5</v>
      </c>
      <c r="D1868" t="inlineStr">
        <is>
          <t>Endowment</t>
        </is>
      </c>
      <c r="E1868" s="50" t="n">
        <v>2023</v>
      </c>
      <c r="F1868" s="50" t="inlineStr">
        <is>
          <t>2024-05-08</t>
        </is>
      </c>
      <c r="G1868" s="50" t="inlineStr">
        <is>
          <t>2023-06-30</t>
        </is>
      </c>
      <c r="H1868" t="inlineStr">
        <is>
          <t>Allison Thacker</t>
        </is>
      </c>
      <c r="I1868" t="inlineStr">
        <is>
          <t>Chief Investment Officer, Treasurer, Assistant Secretary</t>
        </is>
      </c>
      <c r="J1868" t="inlineStr">
        <is>
          <t>CIO</t>
        </is>
      </c>
      <c r="K1868" t="inlineStr">
        <is>
          <t>CIO - Top Investment Executive</t>
        </is>
      </c>
      <c r="L1868" s="28" t="n">
        <v>970215</v>
      </c>
      <c r="M1868" s="28" t="n">
        <v>0</v>
      </c>
      <c r="N1868" s="28" t="n">
        <v>40000</v>
      </c>
      <c r="O1868" s="28" t="n">
        <v>29250</v>
      </c>
      <c r="P1868" s="28" t="n">
        <v>38930</v>
      </c>
      <c r="Q1868" s="28" t="n">
        <v>1078395</v>
      </c>
      <c r="R1868" s="28" t="n">
        <v>0</v>
      </c>
      <c r="S1868" s="28">
        <f>Q1868-R1868</f>
        <v/>
      </c>
      <c r="T1868" s="28">
        <f>IF(S1868="","",S1868*(1+in_GrowthRate)^(YEARFRAC(DATE(2023,6,30),in_AgeToDate)*IF(in_AgeToDate&lt;DATE(2023,6,30),-1,1)+1))</f>
        <v/>
      </c>
      <c r="U1868" s="50">
        <f>IF(AND(AND(OR(in_Mode="All Funds",AND(C1868&gt;=in_BandFloor,C1868&lt;=in_BandCeiling,OR(in_Geography="National",COUNTIFS(lst_GeoPreset,in_Geography,lst_GeoState,B1868)&gt;0,AND(in_Geography="Custom",ISNUMBER(SEARCH(B1868,SUBSTITUTE(in_CustomStates," ",""))))),OR(AND(D1868="Endowment",Inputs!$B$14="Y"),AND(D1868="Foundation",Inputs!$B$15="Y"),AND(D1868="Healthcare",Inputs!$B$16="Y"),AND(D1868="Pension",Inputs!$B$17="Y"),AND(D1868="OCIO",Inputs!$B$18="Y"),AND(D1868="Other",Inputs!$B$19="Y")))),A1868&lt;&gt;in_ClientOrg,NOT(AND(in_ExclHarvard="Y",ISNUMBER(SEARCH("Harvard",A1868))))),$AD1868="Y",K1868&lt;&gt;"",S1868&gt;0),"Y","")</f>
        <v/>
      </c>
      <c r="V1868" s="30" t="n">
        <v>1</v>
      </c>
      <c r="W1868" t="inlineStr"/>
      <c r="X1868" s="28">
        <f>IF(L1868+M1868=0,"",L1868+M1868)</f>
        <v/>
      </c>
      <c r="Y1868" s="38">
        <f>IF(L1868=0,"",M1868/L1868)</f>
        <v/>
      </c>
      <c r="Z1868" t="inlineStr">
        <is>
          <t>CIO - Top Investment Executive</t>
        </is>
      </c>
      <c r="AA1868" t="inlineStr">
        <is>
          <t>Leadership</t>
        </is>
      </c>
      <c r="AB1868" s="50" t="inlineStr">
        <is>
          <t>Y</t>
        </is>
      </c>
      <c r="AC1868" s="43">
        <f>HYPERLINK("https://projects.propublica.org/nonprofits/organizations/741109620/202421299349300847/full","view filing")</f>
        <v/>
      </c>
      <c r="AD1868" s="50" t="inlineStr"/>
    </row>
    <row r="1869">
      <c r="A1869" t="inlineStr">
        <is>
          <t>William Marsh Rice University</t>
        </is>
      </c>
      <c r="B1869" s="50" t="inlineStr">
        <is>
          <t>TX</t>
        </is>
      </c>
      <c r="C1869" s="52" t="n">
        <v>8.5</v>
      </c>
      <c r="D1869" t="inlineStr">
        <is>
          <t>Endowment</t>
        </is>
      </c>
      <c r="E1869" s="50" t="n">
        <v>2023</v>
      </c>
      <c r="F1869" s="50" t="inlineStr">
        <is>
          <t>2024-05-08</t>
        </is>
      </c>
      <c r="G1869" s="50" t="inlineStr">
        <is>
          <t>2023-06-30</t>
        </is>
      </c>
      <c r="H1869" t="inlineStr">
        <is>
          <t>Carmen Thompson</t>
        </is>
      </c>
      <c r="I1869" t="inlineStr">
        <is>
          <t>Investment Manager</t>
        </is>
      </c>
      <c r="J1869" t="inlineStr">
        <is>
          <t>Investment Manager</t>
        </is>
      </c>
      <c r="K1869" t="inlineStr">
        <is>
          <t>Sr Investment Professional</t>
        </is>
      </c>
      <c r="L1869" s="28" t="n">
        <v>417224</v>
      </c>
      <c r="M1869" s="28" t="n">
        <v>425000</v>
      </c>
      <c r="N1869" s="28" t="n">
        <v>47500</v>
      </c>
      <c r="O1869" s="28" t="n">
        <v>38400</v>
      </c>
      <c r="P1869" s="28" t="n">
        <v>25877</v>
      </c>
      <c r="Q1869" s="28" t="n">
        <v>954001</v>
      </c>
      <c r="R1869" s="28" t="n">
        <v>0</v>
      </c>
      <c r="S1869" s="28">
        <f>Q1869-R1869</f>
        <v/>
      </c>
      <c r="T1869" s="28">
        <f>IF(S1869="","",S1869*(1+in_GrowthRate)^(YEARFRAC(DATE(2023,6,30),in_AgeToDate)*IF(in_AgeToDate&lt;DATE(2023,6,30),-1,1)+1))</f>
        <v/>
      </c>
      <c r="U1869" s="50">
        <f>IF(AND(AND(OR(in_Mode="All Funds",AND(C1869&gt;=in_BandFloor,C1869&lt;=in_BandCeiling,OR(in_Geography="National",COUNTIFS(lst_GeoPreset,in_Geography,lst_GeoState,B1869)&gt;0,AND(in_Geography="Custom",ISNUMBER(SEARCH(B1869,SUBSTITUTE(in_CustomStates," ",""))))),OR(AND(D1869="Endowment",Inputs!$B$14="Y"),AND(D1869="Foundation",Inputs!$B$15="Y"),AND(D1869="Healthcare",Inputs!$B$16="Y"),AND(D1869="Pension",Inputs!$B$17="Y"),AND(D1869="OCIO",Inputs!$B$18="Y"),AND(D1869="Other",Inputs!$B$19="Y")))),A1869&lt;&gt;in_ClientOrg,NOT(AND(in_ExclHarvard="Y",ISNUMBER(SEARCH("Harvard",A1869))))),$AD1869="Y",K1869&lt;&gt;"",S1869&gt;0),"Y","")</f>
        <v/>
      </c>
      <c r="V1869" s="30" t="n">
        <v>0.8846489458871749</v>
      </c>
      <c r="W1869" t="inlineStr"/>
      <c r="X1869" s="28">
        <f>IF(L1869+M1869=0,"",L1869+M1869)</f>
        <v/>
      </c>
      <c r="Y1869" s="38">
        <f>IF(L1869=0,"",M1869/L1869)</f>
        <v/>
      </c>
      <c r="Z1869" t="inlineStr">
        <is>
          <t>Director &amp; Investment Officer</t>
        </is>
      </c>
      <c r="AA1869" t="inlineStr">
        <is>
          <t>Investments</t>
        </is>
      </c>
      <c r="AB1869" s="50" t="inlineStr"/>
      <c r="AC1869" s="43">
        <f>HYPERLINK("https://projects.propublica.org/nonprofits/organizations/741109620/202421299349300847/full","view filing")</f>
        <v/>
      </c>
      <c r="AD1869" s="50" t="inlineStr"/>
    </row>
    <row r="1870">
      <c r="A1870" t="inlineStr">
        <is>
          <t>William Marsh Rice University</t>
        </is>
      </c>
      <c r="B1870" s="50" t="inlineStr">
        <is>
          <t>TX</t>
        </is>
      </c>
      <c r="C1870" s="52" t="n">
        <v>8.5</v>
      </c>
      <c r="D1870" t="inlineStr">
        <is>
          <t>Endowment</t>
        </is>
      </c>
      <c r="E1870" s="50" t="n">
        <v>2023</v>
      </c>
      <c r="F1870" s="50" t="inlineStr">
        <is>
          <t>2024-05-08</t>
        </is>
      </c>
      <c r="G1870" s="50" t="inlineStr">
        <is>
          <t>2023-06-30</t>
        </is>
      </c>
      <c r="H1870" t="inlineStr">
        <is>
          <t>Craig Beach</t>
        </is>
      </c>
      <c r="I1870" t="inlineStr">
        <is>
          <t>Investment Manager</t>
        </is>
      </c>
      <c r="J1870" t="inlineStr">
        <is>
          <t>Investment Manager</t>
        </is>
      </c>
      <c r="K1870" t="inlineStr">
        <is>
          <t>Sr Investment Professional</t>
        </is>
      </c>
      <c r="L1870" s="28" t="n">
        <v>404502</v>
      </c>
      <c r="M1870" s="28" t="n">
        <v>434706</v>
      </c>
      <c r="N1870" s="28" t="n">
        <v>47500</v>
      </c>
      <c r="O1870" s="28" t="n">
        <v>38400</v>
      </c>
      <c r="P1870" s="28" t="n">
        <v>24999</v>
      </c>
      <c r="Q1870" s="28" t="n">
        <v>950107</v>
      </c>
      <c r="R1870" s="28" t="n">
        <v>0</v>
      </c>
      <c r="S1870" s="28">
        <f>Q1870-R1870</f>
        <v/>
      </c>
      <c r="T1870" s="28">
        <f>IF(S1870="","",S1870*(1+in_GrowthRate)^(YEARFRAC(DATE(2023,6,30),in_AgeToDate)*IF(in_AgeToDate&lt;DATE(2023,6,30),-1,1)+1))</f>
        <v/>
      </c>
      <c r="U1870" s="50">
        <f>IF(AND(AND(OR(in_Mode="All Funds",AND(C1870&gt;=in_BandFloor,C1870&lt;=in_BandCeiling,OR(in_Geography="National",COUNTIFS(lst_GeoPreset,in_Geography,lst_GeoState,B1870)&gt;0,AND(in_Geography="Custom",ISNUMBER(SEARCH(B1870,SUBSTITUTE(in_CustomStates," ",""))))),OR(AND(D1870="Endowment",Inputs!$B$14="Y"),AND(D1870="Foundation",Inputs!$B$15="Y"),AND(D1870="Healthcare",Inputs!$B$16="Y"),AND(D1870="Pension",Inputs!$B$17="Y"),AND(D1870="OCIO",Inputs!$B$18="Y"),AND(D1870="Other",Inputs!$B$19="Y")))),A1870&lt;&gt;in_ClientOrg,NOT(AND(in_ExclHarvard="Y",ISNUMBER(SEARCH("Harvard",A1870))))),$AD1870="Y",K1870&lt;&gt;"",S1870&gt;0),"Y","")</f>
        <v/>
      </c>
      <c r="V1870" s="30" t="n">
        <v>0.881038024100631</v>
      </c>
      <c r="W1870" t="inlineStr"/>
      <c r="X1870" s="28">
        <f>IF(L1870+M1870=0,"",L1870+M1870)</f>
        <v/>
      </c>
      <c r="Y1870" s="38">
        <f>IF(L1870=0,"",M1870/L1870)</f>
        <v/>
      </c>
      <c r="Z1870" t="inlineStr">
        <is>
          <t>Director &amp; Investment Officer</t>
        </is>
      </c>
      <c r="AA1870" t="inlineStr">
        <is>
          <t>Investments</t>
        </is>
      </c>
      <c r="AB1870" s="50" t="inlineStr"/>
      <c r="AC1870" s="43">
        <f>HYPERLINK("https://projects.propublica.org/nonprofits/organizations/741109620/202421299349300847/full","view filing")</f>
        <v/>
      </c>
      <c r="AD1870" s="50" t="inlineStr"/>
    </row>
    <row r="1871">
      <c r="A1871" t="inlineStr">
        <is>
          <t>William Marsh Rice University</t>
        </is>
      </c>
      <c r="B1871" s="50" t="inlineStr">
        <is>
          <t>TX</t>
        </is>
      </c>
      <c r="C1871" s="52" t="n">
        <v>8.5</v>
      </c>
      <c r="D1871" t="inlineStr">
        <is>
          <t>Endowment</t>
        </is>
      </c>
      <c r="E1871" s="50" t="n">
        <v>2023</v>
      </c>
      <c r="F1871" s="50" t="inlineStr">
        <is>
          <t>2024-05-08</t>
        </is>
      </c>
      <c r="G1871" s="50" t="inlineStr">
        <is>
          <t>2023-06-30</t>
        </is>
      </c>
      <c r="H1871" t="inlineStr">
        <is>
          <t>John Lawrence</t>
        </is>
      </c>
      <c r="I1871" t="inlineStr">
        <is>
          <t>Investment Manager</t>
        </is>
      </c>
      <c r="J1871" t="inlineStr">
        <is>
          <t>Investment Manager</t>
        </is>
      </c>
      <c r="K1871" t="inlineStr">
        <is>
          <t>Sr Investment Professional</t>
        </is>
      </c>
      <c r="L1871" s="28" t="n">
        <v>441391</v>
      </c>
      <c r="M1871" s="28" t="n">
        <v>425000</v>
      </c>
      <c r="N1871" s="28" t="n">
        <v>20500</v>
      </c>
      <c r="O1871" s="28" t="n">
        <v>29250</v>
      </c>
      <c r="P1871" s="28" t="n">
        <v>34120</v>
      </c>
      <c r="Q1871" s="28" t="n">
        <v>950261</v>
      </c>
      <c r="R1871" s="28" t="n">
        <v>0</v>
      </c>
      <c r="S1871" s="28">
        <f>Q1871-R1871</f>
        <v/>
      </c>
      <c r="T1871" s="28">
        <f>IF(S1871="","",S1871*(1+in_GrowthRate)^(YEARFRAC(DATE(2023,6,30),in_AgeToDate)*IF(in_AgeToDate&lt;DATE(2023,6,30),-1,1)+1))</f>
        <v/>
      </c>
      <c r="U1871" s="50">
        <f>IF(AND(AND(OR(in_Mode="All Funds",AND(C1871&gt;=in_BandFloor,C1871&lt;=in_BandCeiling,OR(in_Geography="National",COUNTIFS(lst_GeoPreset,in_Geography,lst_GeoState,B1871)&gt;0,AND(in_Geography="Custom",ISNUMBER(SEARCH(B1871,SUBSTITUTE(in_CustomStates," ",""))))),OR(AND(D1871="Endowment",Inputs!$B$14="Y"),AND(D1871="Foundation",Inputs!$B$15="Y"),AND(D1871="Healthcare",Inputs!$B$16="Y"),AND(D1871="Pension",Inputs!$B$17="Y"),AND(D1871="OCIO",Inputs!$B$18="Y"),AND(D1871="Other",Inputs!$B$19="Y")))),A1871&lt;&gt;in_ClientOrg,NOT(AND(in_ExclHarvard="Y",ISNUMBER(SEARCH("Harvard",A1871))))),$AD1871="Y",K1871&lt;&gt;"",S1871&gt;0),"Y","")</f>
        <v/>
      </c>
      <c r="V1871" s="30" t="n">
        <v>0.8811808289170481</v>
      </c>
      <c r="W1871" t="inlineStr"/>
      <c r="X1871" s="28">
        <f>IF(L1871+M1871=0,"",L1871+M1871)</f>
        <v/>
      </c>
      <c r="Y1871" s="38">
        <f>IF(L1871=0,"",M1871/L1871)</f>
        <v/>
      </c>
      <c r="Z1871" t="inlineStr">
        <is>
          <t>Director &amp; Investment Officer</t>
        </is>
      </c>
      <c r="AA1871" t="inlineStr">
        <is>
          <t>Investments</t>
        </is>
      </c>
      <c r="AB1871" s="50" t="inlineStr"/>
      <c r="AC1871" s="43">
        <f>HYPERLINK("https://projects.propublica.org/nonprofits/organizations/741109620/202421299349300847/full","view filing")</f>
        <v/>
      </c>
      <c r="AD1871" s="50" t="inlineStr"/>
    </row>
    <row r="1872">
      <c r="A1872" t="inlineStr">
        <is>
          <t>William Marsh Rice University</t>
        </is>
      </c>
      <c r="B1872" s="50" t="inlineStr">
        <is>
          <t>TX</t>
        </is>
      </c>
      <c r="C1872" s="52" t="n">
        <v>8.5</v>
      </c>
      <c r="D1872" t="inlineStr">
        <is>
          <t>Endowment</t>
        </is>
      </c>
      <c r="E1872" s="50" t="n">
        <v>2022</v>
      </c>
      <c r="F1872" s="50" t="inlineStr">
        <is>
          <t>2023-05-05</t>
        </is>
      </c>
      <c r="G1872" s="50" t="inlineStr">
        <is>
          <t>2022-06-30</t>
        </is>
      </c>
      <c r="H1872" t="inlineStr">
        <is>
          <t>Allison Thacker</t>
        </is>
      </c>
      <c r="I1872" t="inlineStr">
        <is>
          <t>Chief Investment Officer, Treasurer, Assistant Secretary</t>
        </is>
      </c>
      <c r="J1872" t="inlineStr">
        <is>
          <t>CIO</t>
        </is>
      </c>
      <c r="K1872" t="inlineStr">
        <is>
          <t>CIO - Top Investment Executive</t>
        </is>
      </c>
      <c r="L1872" s="28" t="n">
        <v>1103572</v>
      </c>
      <c r="M1872" s="28" t="n">
        <v>50000</v>
      </c>
      <c r="N1872" s="28" t="n">
        <v>39000</v>
      </c>
      <c r="O1872" s="28" t="n">
        <v>27660</v>
      </c>
      <c r="P1872" s="28" t="n">
        <v>34358</v>
      </c>
      <c r="Q1872" s="28" t="n">
        <v>1254590</v>
      </c>
      <c r="R1872" s="28" t="n">
        <v>0</v>
      </c>
      <c r="S1872" s="28">
        <f>Q1872-R1872</f>
        <v/>
      </c>
      <c r="T1872" s="28">
        <f>IF(S1872="","",S1872*(1+in_GrowthRate)^(YEARFRAC(DATE(2022,6,30),in_AgeToDate)*IF(in_AgeToDate&lt;DATE(2022,6,30),-1,1)+1))</f>
        <v/>
      </c>
      <c r="U1872" s="50">
        <f>IF(AND(AND(OR(in_Mode="All Funds",AND(C1872&gt;=in_BandFloor,C1872&lt;=in_BandCeiling,OR(in_Geography="National",COUNTIFS(lst_GeoPreset,in_Geography,lst_GeoState,B1872)&gt;0,AND(in_Geography="Custom",ISNUMBER(SEARCH(B1872,SUBSTITUTE(in_CustomStates," ",""))))),OR(AND(D1872="Endowment",Inputs!$B$14="Y"),AND(D1872="Foundation",Inputs!$B$15="Y"),AND(D1872="Healthcare",Inputs!$B$16="Y"),AND(D1872="Pension",Inputs!$B$17="Y"),AND(D1872="OCIO",Inputs!$B$18="Y"),AND(D1872="Other",Inputs!$B$19="Y")))),A1872&lt;&gt;in_ClientOrg,NOT(AND(in_ExclHarvard="Y",ISNUMBER(SEARCH("Harvard",A1872))))),$AD1872="Y",K1872&lt;&gt;"",S1872&gt;0),"Y","")</f>
        <v/>
      </c>
      <c r="V1872" s="30" t="n">
        <v>1</v>
      </c>
      <c r="W1872" t="inlineStr"/>
      <c r="X1872" s="28">
        <f>IF(L1872+M1872=0,"",L1872+M1872)</f>
        <v/>
      </c>
      <c r="Y1872" s="38">
        <f>IF(L1872=0,"",M1872/L1872)</f>
        <v/>
      </c>
      <c r="Z1872" t="inlineStr">
        <is>
          <t>CIO - Top Investment Executive</t>
        </is>
      </c>
      <c r="AA1872" t="inlineStr">
        <is>
          <t>Leadership</t>
        </is>
      </c>
      <c r="AB1872" s="50" t="inlineStr">
        <is>
          <t>Y</t>
        </is>
      </c>
      <c r="AC1872" s="43">
        <f>HYPERLINK("https://projects.propublica.org/nonprofits/organizations/741109620/202321259349302052/full","view filing")</f>
        <v/>
      </c>
      <c r="AD1872" s="50" t="inlineStr"/>
    </row>
    <row r="1873">
      <c r="A1873" t="inlineStr">
        <is>
          <t>William Marsh Rice University</t>
        </is>
      </c>
      <c r="B1873" s="50" t="inlineStr">
        <is>
          <t>TX</t>
        </is>
      </c>
      <c r="C1873" s="52" t="n">
        <v>8.5</v>
      </c>
      <c r="D1873" t="inlineStr">
        <is>
          <t>Endowment</t>
        </is>
      </c>
      <c r="E1873" s="50" t="n">
        <v>2022</v>
      </c>
      <c r="F1873" s="50" t="inlineStr">
        <is>
          <t>2023-05-05</t>
        </is>
      </c>
      <c r="G1873" s="50" t="inlineStr">
        <is>
          <t>2022-06-30</t>
        </is>
      </c>
      <c r="H1873" t="inlineStr">
        <is>
          <t>Carmen Thompson</t>
        </is>
      </c>
      <c r="I1873" t="inlineStr">
        <is>
          <t>Investment Manager</t>
        </is>
      </c>
      <c r="J1873" t="inlineStr">
        <is>
          <t>Investment Manager</t>
        </is>
      </c>
      <c r="K1873" t="inlineStr">
        <is>
          <t>Sr Investment Professional</t>
        </is>
      </c>
      <c r="L1873" s="28" t="n">
        <v>369216</v>
      </c>
      <c r="M1873" s="28" t="n">
        <v>351422</v>
      </c>
      <c r="N1873" s="28" t="n">
        <v>45500</v>
      </c>
      <c r="O1873" s="28" t="n">
        <v>36360</v>
      </c>
      <c r="P1873" s="28" t="n">
        <v>30776</v>
      </c>
      <c r="Q1873" s="28" t="n">
        <v>833274</v>
      </c>
      <c r="R1873" s="28" t="n">
        <v>0</v>
      </c>
      <c r="S1873" s="28">
        <f>Q1873-R1873</f>
        <v/>
      </c>
      <c r="T1873" s="28">
        <f>IF(S1873="","",S1873*(1+in_GrowthRate)^(YEARFRAC(DATE(2022,6,30),in_AgeToDate)*IF(in_AgeToDate&lt;DATE(2022,6,30),-1,1)+1))</f>
        <v/>
      </c>
      <c r="U1873" s="50">
        <f>IF(AND(AND(OR(in_Mode="All Funds",AND(C1873&gt;=in_BandFloor,C1873&lt;=in_BandCeiling,OR(in_Geography="National",COUNTIFS(lst_GeoPreset,in_Geography,lst_GeoState,B1873)&gt;0,AND(in_Geography="Custom",ISNUMBER(SEARCH(B1873,SUBSTITUTE(in_CustomStates," ",""))))),OR(AND(D1873="Endowment",Inputs!$B$14="Y"),AND(D1873="Foundation",Inputs!$B$15="Y"),AND(D1873="Healthcare",Inputs!$B$16="Y"),AND(D1873="Pension",Inputs!$B$17="Y"),AND(D1873="OCIO",Inputs!$B$18="Y"),AND(D1873="Other",Inputs!$B$19="Y")))),A1873&lt;&gt;in_ClientOrg,NOT(AND(in_ExclHarvard="Y",ISNUMBER(SEARCH("Harvard",A1873))))),$AD1873="Y",K1873&lt;&gt;"",S1873&gt;0),"Y","")</f>
        <v/>
      </c>
      <c r="V1873" s="30" t="n">
        <v>0.6641803298288684</v>
      </c>
      <c r="W1873" t="inlineStr"/>
      <c r="X1873" s="28">
        <f>IF(L1873+M1873=0,"",L1873+M1873)</f>
        <v/>
      </c>
      <c r="Y1873" s="38">
        <f>IF(L1873=0,"",M1873/L1873)</f>
        <v/>
      </c>
      <c r="Z1873" t="inlineStr">
        <is>
          <t>Director &amp; Investment Officer</t>
        </is>
      </c>
      <c r="AA1873" t="inlineStr">
        <is>
          <t>Investments</t>
        </is>
      </c>
      <c r="AB1873" s="50" t="inlineStr"/>
      <c r="AC1873" s="43">
        <f>HYPERLINK("https://projects.propublica.org/nonprofits/organizations/741109620/202321259349302052/full","view filing")</f>
        <v/>
      </c>
      <c r="AD1873" s="50" t="inlineStr"/>
    </row>
    <row r="1874">
      <c r="A1874" t="inlineStr">
        <is>
          <t>William Marsh Rice University</t>
        </is>
      </c>
      <c r="B1874" s="50" t="inlineStr">
        <is>
          <t>TX</t>
        </is>
      </c>
      <c r="C1874" s="52" t="n">
        <v>8.5</v>
      </c>
      <c r="D1874" t="inlineStr">
        <is>
          <t>Endowment</t>
        </is>
      </c>
      <c r="E1874" s="50" t="n">
        <v>2022</v>
      </c>
      <c r="F1874" s="50" t="inlineStr">
        <is>
          <t>2023-05-05</t>
        </is>
      </c>
      <c r="G1874" s="50" t="inlineStr">
        <is>
          <t>2022-06-30</t>
        </is>
      </c>
      <c r="H1874" t="inlineStr">
        <is>
          <t>John Lawrence</t>
        </is>
      </c>
      <c r="I1874" t="inlineStr">
        <is>
          <t>Investment Manager</t>
        </is>
      </c>
      <c r="J1874" t="inlineStr">
        <is>
          <t>Investment Manager</t>
        </is>
      </c>
      <c r="K1874" t="inlineStr">
        <is>
          <t>Sr Investment Professional</t>
        </is>
      </c>
      <c r="L1874" s="28" t="n">
        <v>361049</v>
      </c>
      <c r="M1874" s="28" t="n">
        <v>334039</v>
      </c>
      <c r="N1874" s="28" t="n">
        <v>19500</v>
      </c>
      <c r="O1874" s="28" t="n">
        <v>27660</v>
      </c>
      <c r="P1874" s="28" t="n">
        <v>30606</v>
      </c>
      <c r="Q1874" s="28" t="n">
        <v>772854</v>
      </c>
      <c r="R1874" s="28" t="n">
        <v>0</v>
      </c>
      <c r="S1874" s="28">
        <f>Q1874-R1874</f>
        <v/>
      </c>
      <c r="T1874" s="28">
        <f>IF(S1874="","",S1874*(1+in_GrowthRate)^(YEARFRAC(DATE(2022,6,30),in_AgeToDate)*IF(in_AgeToDate&lt;DATE(2022,6,30),-1,1)+1))</f>
        <v/>
      </c>
      <c r="U1874" s="50">
        <f>IF(AND(AND(OR(in_Mode="All Funds",AND(C1874&gt;=in_BandFloor,C1874&lt;=in_BandCeiling,OR(in_Geography="National",COUNTIFS(lst_GeoPreset,in_Geography,lst_GeoState,B1874)&gt;0,AND(in_Geography="Custom",ISNUMBER(SEARCH(B1874,SUBSTITUTE(in_CustomStates," ",""))))),OR(AND(D1874="Endowment",Inputs!$B$14="Y"),AND(D1874="Foundation",Inputs!$B$15="Y"),AND(D1874="Healthcare",Inputs!$B$16="Y"),AND(D1874="Pension",Inputs!$B$17="Y"),AND(D1874="OCIO",Inputs!$B$18="Y"),AND(D1874="Other",Inputs!$B$19="Y")))),A1874&lt;&gt;in_ClientOrg,NOT(AND(in_ExclHarvard="Y",ISNUMBER(SEARCH("Harvard",A1874))))),$AD1874="Y",K1874&lt;&gt;"",S1874&gt;0),"Y","")</f>
        <v/>
      </c>
      <c r="V1874" s="30" t="n">
        <v>0.616021170262795</v>
      </c>
      <c r="W1874" t="inlineStr"/>
      <c r="X1874" s="28">
        <f>IF(L1874+M1874=0,"",L1874+M1874)</f>
        <v/>
      </c>
      <c r="Y1874" s="38">
        <f>IF(L1874=0,"",M1874/L1874)</f>
        <v/>
      </c>
      <c r="Z1874" t="inlineStr">
        <is>
          <t>Director &amp; Investment Officer</t>
        </is>
      </c>
      <c r="AA1874" t="inlineStr">
        <is>
          <t>Investments</t>
        </is>
      </c>
      <c r="AB1874" s="50" t="inlineStr"/>
      <c r="AC1874" s="43">
        <f>HYPERLINK("https://projects.propublica.org/nonprofits/organizations/741109620/202321259349302052/full","view filing")</f>
        <v/>
      </c>
      <c r="AD1874" s="50" t="inlineStr"/>
    </row>
    <row r="1875">
      <c r="A1875" t="inlineStr">
        <is>
          <t>William Penn Foundation</t>
        </is>
      </c>
      <c r="B1875" s="50" t="inlineStr">
        <is>
          <t>PA</t>
        </is>
      </c>
      <c r="C1875" s="52" t="n">
        <v>3.26</v>
      </c>
      <c r="D1875" t="inlineStr">
        <is>
          <t>Foundation</t>
        </is>
      </c>
      <c r="E1875" s="50" t="n">
        <v>2024</v>
      </c>
      <c r="F1875" s="50" t="inlineStr">
        <is>
          <t>2025-11-14</t>
        </is>
      </c>
      <c r="G1875" s="50" t="inlineStr">
        <is>
          <t>2024-12-31</t>
        </is>
      </c>
      <c r="H1875" t="inlineStr">
        <is>
          <t>Amy Chan</t>
        </is>
      </c>
      <c r="I1875" t="inlineStr">
        <is>
          <t>DIRECTOR OF INVESTME</t>
        </is>
      </c>
      <c r="J1875" t="inlineStr">
        <is>
          <t>Director of Investments</t>
        </is>
      </c>
      <c r="K1875" t="inlineStr">
        <is>
          <t>Sr Investment Professional</t>
        </is>
      </c>
      <c r="L1875" s="28" t="n">
        <v>0</v>
      </c>
      <c r="M1875" s="28" t="n">
        <v>0</v>
      </c>
      <c r="N1875" s="28" t="n">
        <v>0</v>
      </c>
      <c r="O1875" s="28" t="n">
        <v>0</v>
      </c>
      <c r="P1875" s="28" t="n">
        <v>0</v>
      </c>
      <c r="Q1875" s="28" t="n">
        <v>640559</v>
      </c>
      <c r="R1875" s="28" t="n">
        <v>0</v>
      </c>
      <c r="S1875" s="28">
        <f>Q1875-R1875</f>
        <v/>
      </c>
      <c r="T1875" s="28">
        <f>IF(S1875="","",S1875*(1+in_GrowthRate)^(YEARFRAC(DATE(2024,12,31),in_AgeToDate)*IF(in_AgeToDate&lt;DATE(2024,12,31),-1,1)+1))</f>
        <v/>
      </c>
      <c r="U1875" s="50">
        <f>IF(AND(AND(OR(in_Mode="All Funds",AND(C1875&gt;=in_BandFloor,C1875&lt;=in_BandCeiling,OR(in_Geography="National",COUNTIFS(lst_GeoPreset,in_Geography,lst_GeoState,B1875)&gt;0,AND(in_Geography="Custom",ISNUMBER(SEARCH(B1875,SUBSTITUTE(in_CustomStates," ",""))))),OR(AND(D1875="Endowment",Inputs!$B$14="Y"),AND(D1875="Foundation",Inputs!$B$15="Y"),AND(D1875="Healthcare",Inputs!$B$16="Y"),AND(D1875="Pension",Inputs!$B$17="Y"),AND(D1875="OCIO",Inputs!$B$18="Y"),AND(D1875="Other",Inputs!$B$19="Y")))),A1875&lt;&gt;in_ClientOrg,NOT(AND(in_ExclHarvard="Y",ISNUMBER(SEARCH("Harvard",A1875))))),$AD1875="Y",K1875&lt;&gt;"",S1875&gt;0),"Y","")</f>
        <v/>
      </c>
      <c r="V1875" s="30" t="n">
        <v>0.4374936823671794</v>
      </c>
      <c r="W1875" t="inlineStr"/>
      <c r="X1875" s="28">
        <f>IF(L1875+M1875=0,"",L1875+M1875)</f>
        <v/>
      </c>
      <c r="Y1875" s="38">
        <f>IF(L1875=0,"",M1875/L1875)</f>
        <v/>
      </c>
      <c r="Z1875" t="inlineStr">
        <is>
          <t>Director &amp; Investment Officer</t>
        </is>
      </c>
      <c r="AA1875" t="inlineStr">
        <is>
          <t>Investments</t>
        </is>
      </c>
      <c r="AB1875" s="50" t="inlineStr"/>
      <c r="AC1875" s="43">
        <f>HYPERLINK("https://projects.propublica.org/nonprofits/organizations/231503488/202543189349102354/full","view filing")</f>
        <v/>
      </c>
      <c r="AD1875" s="50" t="inlineStr">
        <is>
          <t>Y</t>
        </is>
      </c>
    </row>
    <row r="1876">
      <c r="A1876" t="inlineStr">
        <is>
          <t>William Penn Foundation</t>
        </is>
      </c>
      <c r="B1876" s="50" t="inlineStr">
        <is>
          <t>PA</t>
        </is>
      </c>
      <c r="C1876" s="52" t="n">
        <v>3.26</v>
      </c>
      <c r="D1876" t="inlineStr">
        <is>
          <t>Foundation</t>
        </is>
      </c>
      <c r="E1876" s="50" t="n">
        <v>2024</v>
      </c>
      <c r="F1876" s="50" t="inlineStr">
        <is>
          <t>2025-11-14</t>
        </is>
      </c>
      <c r="G1876" s="50" t="inlineStr">
        <is>
          <t>2024-12-31</t>
        </is>
      </c>
      <c r="H1876" t="inlineStr">
        <is>
          <t>Dane Kline</t>
        </is>
      </c>
      <c r="I1876" t="inlineStr">
        <is>
          <t>DIRECTOR OF INVESTME</t>
        </is>
      </c>
      <c r="J1876" t="inlineStr">
        <is>
          <t>Director of Investments</t>
        </is>
      </c>
      <c r="K1876" t="inlineStr">
        <is>
          <t>Sr Investment Professional</t>
        </is>
      </c>
      <c r="L1876" s="28" t="n">
        <v>0</v>
      </c>
      <c r="M1876" s="28" t="n">
        <v>0</v>
      </c>
      <c r="N1876" s="28" t="n">
        <v>0</v>
      </c>
      <c r="O1876" s="28" t="n">
        <v>0</v>
      </c>
      <c r="P1876" s="28" t="n">
        <v>0</v>
      </c>
      <c r="Q1876" s="28" t="n">
        <v>597241</v>
      </c>
      <c r="R1876" s="28" t="n">
        <v>0</v>
      </c>
      <c r="S1876" s="28">
        <f>Q1876-R1876</f>
        <v/>
      </c>
      <c r="T1876" s="28">
        <f>IF(S1876="","",S1876*(1+in_GrowthRate)^(YEARFRAC(DATE(2024,12,31),in_AgeToDate)*IF(in_AgeToDate&lt;DATE(2024,12,31),-1,1)+1))</f>
        <v/>
      </c>
      <c r="U1876" s="50">
        <f>IF(AND(AND(OR(in_Mode="All Funds",AND(C1876&gt;=in_BandFloor,C1876&lt;=in_BandCeiling,OR(in_Geography="National",COUNTIFS(lst_GeoPreset,in_Geography,lst_GeoState,B1876)&gt;0,AND(in_Geography="Custom",ISNUMBER(SEARCH(B1876,SUBSTITUTE(in_CustomStates," ",""))))),OR(AND(D1876="Endowment",Inputs!$B$14="Y"),AND(D1876="Foundation",Inputs!$B$15="Y"),AND(D1876="Healthcare",Inputs!$B$16="Y"),AND(D1876="Pension",Inputs!$B$17="Y"),AND(D1876="OCIO",Inputs!$B$18="Y"),AND(D1876="Other",Inputs!$B$19="Y")))),A1876&lt;&gt;in_ClientOrg,NOT(AND(in_ExclHarvard="Y",ISNUMBER(SEARCH("Harvard",A1876))))),$AD1876="Y",K1876&lt;&gt;"",S1876&gt;0),"Y","")</f>
        <v/>
      </c>
      <c r="V1876" s="30" t="n">
        <v>0.4079080371217275</v>
      </c>
      <c r="W1876" t="inlineStr"/>
      <c r="X1876" s="28">
        <f>IF(L1876+M1876=0,"",L1876+M1876)</f>
        <v/>
      </c>
      <c r="Y1876" s="38">
        <f>IF(L1876=0,"",M1876/L1876)</f>
        <v/>
      </c>
      <c r="Z1876" t="inlineStr">
        <is>
          <t>Director &amp; Investment Officer</t>
        </is>
      </c>
      <c r="AA1876" t="inlineStr">
        <is>
          <t>Investments</t>
        </is>
      </c>
      <c r="AB1876" s="50" t="inlineStr"/>
      <c r="AC1876" s="43">
        <f>HYPERLINK("https://projects.propublica.org/nonprofits/organizations/231503488/202543189349102354/full","view filing")</f>
        <v/>
      </c>
      <c r="AD1876" s="50" t="inlineStr">
        <is>
          <t>Y</t>
        </is>
      </c>
    </row>
    <row r="1877">
      <c r="A1877" t="inlineStr">
        <is>
          <t>William Penn Foundation</t>
        </is>
      </c>
      <c r="B1877" s="50" t="inlineStr">
        <is>
          <t>PA</t>
        </is>
      </c>
      <c r="C1877" s="52" t="n">
        <v>3.26</v>
      </c>
      <c r="D1877" t="inlineStr">
        <is>
          <t>Foundation</t>
        </is>
      </c>
      <c r="E1877" s="50" t="n">
        <v>2024</v>
      </c>
      <c r="F1877" s="50" t="inlineStr">
        <is>
          <t>2025-11-14</t>
        </is>
      </c>
      <c r="G1877" s="50" t="inlineStr">
        <is>
          <t>2024-12-31</t>
        </is>
      </c>
      <c r="H1877" t="inlineStr">
        <is>
          <t>Jeffrey Jackman</t>
        </is>
      </c>
      <c r="I1877" t="inlineStr">
        <is>
          <t>DIRECTOR OF INVESTME</t>
        </is>
      </c>
      <c r="J1877" t="inlineStr">
        <is>
          <t>Director of Investments</t>
        </is>
      </c>
      <c r="K1877" t="inlineStr">
        <is>
          <t>Sr Investment Professional</t>
        </is>
      </c>
      <c r="L1877" s="28" t="n">
        <v>0</v>
      </c>
      <c r="M1877" s="28" t="n">
        <v>0</v>
      </c>
      <c r="N1877" s="28" t="n">
        <v>0</v>
      </c>
      <c r="O1877" s="28" t="n">
        <v>0</v>
      </c>
      <c r="P1877" s="28" t="n">
        <v>0</v>
      </c>
      <c r="Q1877" s="28" t="n">
        <v>640519</v>
      </c>
      <c r="R1877" s="28" t="n">
        <v>0</v>
      </c>
      <c r="S1877" s="28">
        <f>Q1877-R1877</f>
        <v/>
      </c>
      <c r="T1877" s="28">
        <f>IF(S1877="","",S1877*(1+in_GrowthRate)^(YEARFRAC(DATE(2024,12,31),in_AgeToDate)*IF(in_AgeToDate&lt;DATE(2024,12,31),-1,1)+1))</f>
        <v/>
      </c>
      <c r="U1877" s="50">
        <f>IF(AND(AND(OR(in_Mode="All Funds",AND(C1877&gt;=in_BandFloor,C1877&lt;=in_BandCeiling,OR(in_Geography="National",COUNTIFS(lst_GeoPreset,in_Geography,lst_GeoState,B1877)&gt;0,AND(in_Geography="Custom",ISNUMBER(SEARCH(B1877,SUBSTITUTE(in_CustomStates," ",""))))),OR(AND(D1877="Endowment",Inputs!$B$14="Y"),AND(D1877="Foundation",Inputs!$B$15="Y"),AND(D1877="Healthcare",Inputs!$B$16="Y"),AND(D1877="Pension",Inputs!$B$17="Y"),AND(D1877="OCIO",Inputs!$B$18="Y"),AND(D1877="Other",Inputs!$B$19="Y")))),A1877&lt;&gt;in_ClientOrg,NOT(AND(in_ExclHarvard="Y",ISNUMBER(SEARCH("Harvard",A1877))))),$AD1877="Y",K1877&lt;&gt;"",S1877&gt;0),"Y","")</f>
        <v/>
      </c>
      <c r="V1877" s="30" t="n">
        <v>0.4374663628739014</v>
      </c>
      <c r="W1877" t="inlineStr"/>
      <c r="X1877" s="28">
        <f>IF(L1877+M1877=0,"",L1877+M1877)</f>
        <v/>
      </c>
      <c r="Y1877" s="38">
        <f>IF(L1877=0,"",M1877/L1877)</f>
        <v/>
      </c>
      <c r="Z1877" t="inlineStr">
        <is>
          <t>Director &amp; Investment Officer</t>
        </is>
      </c>
      <c r="AA1877" t="inlineStr">
        <is>
          <t>Investments</t>
        </is>
      </c>
      <c r="AB1877" s="50" t="inlineStr"/>
      <c r="AC1877" s="43">
        <f>HYPERLINK("https://projects.propublica.org/nonprofits/organizations/231503488/202543189349102354/full","view filing")</f>
        <v/>
      </c>
      <c r="AD1877" s="50" t="inlineStr">
        <is>
          <t>Y</t>
        </is>
      </c>
    </row>
    <row r="1878">
      <c r="A1878" t="inlineStr">
        <is>
          <t>William Penn Foundation</t>
        </is>
      </c>
      <c r="B1878" s="50" t="inlineStr">
        <is>
          <t>PA</t>
        </is>
      </c>
      <c r="C1878" s="52" t="n">
        <v>3.26</v>
      </c>
      <c r="D1878" t="inlineStr">
        <is>
          <t>Foundation</t>
        </is>
      </c>
      <c r="E1878" s="50" t="n">
        <v>2024</v>
      </c>
      <c r="F1878" s="50" t="inlineStr">
        <is>
          <t>2025-11-14</t>
        </is>
      </c>
      <c r="G1878" s="50" t="inlineStr">
        <is>
          <t>2024-12-31</t>
        </is>
      </c>
      <c r="H1878" t="inlineStr">
        <is>
          <t>John Cross</t>
        </is>
      </c>
      <c r="I1878" t="inlineStr">
        <is>
          <t>DIRECTOR OF INVESTME</t>
        </is>
      </c>
      <c r="J1878" t="inlineStr">
        <is>
          <t>Director of Investments</t>
        </is>
      </c>
      <c r="K1878" t="inlineStr">
        <is>
          <t>Sr Investment Professional</t>
        </is>
      </c>
      <c r="L1878" s="28" t="n">
        <v>0</v>
      </c>
      <c r="M1878" s="28" t="n">
        <v>0</v>
      </c>
      <c r="N1878" s="28" t="n">
        <v>0</v>
      </c>
      <c r="O1878" s="28" t="n">
        <v>0</v>
      </c>
      <c r="P1878" s="28" t="n">
        <v>0</v>
      </c>
      <c r="Q1878" s="28" t="n">
        <v>640706</v>
      </c>
      <c r="R1878" s="28" t="n">
        <v>0</v>
      </c>
      <c r="S1878" s="28">
        <f>Q1878-R1878</f>
        <v/>
      </c>
      <c r="T1878" s="28">
        <f>IF(S1878="","",S1878*(1+in_GrowthRate)^(YEARFRAC(DATE(2024,12,31),in_AgeToDate)*IF(in_AgeToDate&lt;DATE(2024,12,31),-1,1)+1))</f>
        <v/>
      </c>
      <c r="U1878" s="50">
        <f>IF(AND(AND(OR(in_Mode="All Funds",AND(C1878&gt;=in_BandFloor,C1878&lt;=in_BandCeiling,OR(in_Geography="National",COUNTIFS(lst_GeoPreset,in_Geography,lst_GeoState,B1878)&gt;0,AND(in_Geography="Custom",ISNUMBER(SEARCH(B1878,SUBSTITUTE(in_CustomStates," ",""))))),OR(AND(D1878="Endowment",Inputs!$B$14="Y"),AND(D1878="Foundation",Inputs!$B$15="Y"),AND(D1878="Healthcare",Inputs!$B$16="Y"),AND(D1878="Pension",Inputs!$B$17="Y"),AND(D1878="OCIO",Inputs!$B$18="Y"),AND(D1878="Other",Inputs!$B$19="Y")))),A1878&lt;&gt;in_ClientOrg,NOT(AND(in_ExclHarvard="Y",ISNUMBER(SEARCH("Harvard",A1878))))),$AD1878="Y",K1878&lt;&gt;"",S1878&gt;0),"Y","")</f>
        <v/>
      </c>
      <c r="V1878" s="30" t="n">
        <v>0.4375940815049763</v>
      </c>
      <c r="W1878" t="inlineStr"/>
      <c r="X1878" s="28">
        <f>IF(L1878+M1878=0,"",L1878+M1878)</f>
        <v/>
      </c>
      <c r="Y1878" s="38">
        <f>IF(L1878=0,"",M1878/L1878)</f>
        <v/>
      </c>
      <c r="Z1878" t="inlineStr">
        <is>
          <t>Director &amp; Investment Officer</t>
        </is>
      </c>
      <c r="AA1878" t="inlineStr">
        <is>
          <t>Investments</t>
        </is>
      </c>
      <c r="AB1878" s="50" t="inlineStr"/>
      <c r="AC1878" s="43">
        <f>HYPERLINK("https://projects.propublica.org/nonprofits/organizations/231503488/202543189349102354/full","view filing")</f>
        <v/>
      </c>
      <c r="AD1878" s="50" t="inlineStr">
        <is>
          <t>Y</t>
        </is>
      </c>
    </row>
    <row r="1879">
      <c r="A1879" t="inlineStr">
        <is>
          <t>William Penn Foundation</t>
        </is>
      </c>
      <c r="B1879" s="50" t="inlineStr">
        <is>
          <t>PA</t>
        </is>
      </c>
      <c r="C1879" s="52" t="n">
        <v>3.26</v>
      </c>
      <c r="D1879" t="inlineStr">
        <is>
          <t>Foundation</t>
        </is>
      </c>
      <c r="E1879" s="50" t="n">
        <v>2024</v>
      </c>
      <c r="F1879" s="50" t="inlineStr">
        <is>
          <t>2025-11-14</t>
        </is>
      </c>
      <c r="G1879" s="50" t="inlineStr">
        <is>
          <t>2024-12-31</t>
        </is>
      </c>
      <c r="H1879" t="inlineStr">
        <is>
          <t>Madoe Htun</t>
        </is>
      </c>
      <c r="I1879" t="inlineStr">
        <is>
          <t>CHIEF INVESTMENT OFFICER</t>
        </is>
      </c>
      <c r="J1879" t="inlineStr">
        <is>
          <t>CIO</t>
        </is>
      </c>
      <c r="K1879" t="inlineStr">
        <is>
          <t>CIO - Top Investment Executive</t>
        </is>
      </c>
      <c r="L1879" s="28" t="n">
        <v>0</v>
      </c>
      <c r="M1879" s="28" t="n">
        <v>0</v>
      </c>
      <c r="N1879" s="28" t="n">
        <v>0</v>
      </c>
      <c r="O1879" s="28" t="n">
        <v>0</v>
      </c>
      <c r="P1879" s="28" t="n">
        <v>57899</v>
      </c>
      <c r="Q1879" s="28" t="n">
        <v>1464156</v>
      </c>
      <c r="R1879" s="28" t="n">
        <v>0</v>
      </c>
      <c r="S1879" s="28">
        <f>Q1879-R1879</f>
        <v/>
      </c>
      <c r="T1879" s="28">
        <f>IF(S1879="","",S1879*(1+in_GrowthRate)^(YEARFRAC(DATE(2024,12,31),in_AgeToDate)*IF(in_AgeToDate&lt;DATE(2024,12,31),-1,1)+1))</f>
        <v/>
      </c>
      <c r="U1879" s="50">
        <f>IF(AND(AND(OR(in_Mode="All Funds",AND(C1879&gt;=in_BandFloor,C1879&lt;=in_BandCeiling,OR(in_Geography="National",COUNTIFS(lst_GeoPreset,in_Geography,lst_GeoState,B1879)&gt;0,AND(in_Geography="Custom",ISNUMBER(SEARCH(B1879,SUBSTITUTE(in_CustomStates," ",""))))),OR(AND(D1879="Endowment",Inputs!$B$14="Y"),AND(D1879="Foundation",Inputs!$B$15="Y"),AND(D1879="Healthcare",Inputs!$B$16="Y"),AND(D1879="Pension",Inputs!$B$17="Y"),AND(D1879="OCIO",Inputs!$B$18="Y"),AND(D1879="Other",Inputs!$B$19="Y")))),A1879&lt;&gt;in_ClientOrg,NOT(AND(in_ExclHarvard="Y",ISNUMBER(SEARCH("Harvard",A1879))))),$AD1879="Y",K1879&lt;&gt;"",S1879&gt;0),"Y","")</f>
        <v/>
      </c>
      <c r="V1879" s="30" t="n">
        <v>1</v>
      </c>
      <c r="W1879" t="inlineStr"/>
      <c r="X1879" s="28">
        <f>IF(L1879+M1879=0,"",L1879+M1879)</f>
        <v/>
      </c>
      <c r="Y1879" s="38">
        <f>IF(L1879=0,"",M1879/L1879)</f>
        <v/>
      </c>
      <c r="Z1879" t="inlineStr">
        <is>
          <t>CIO - Top Investment Executive</t>
        </is>
      </c>
      <c r="AA1879" t="inlineStr">
        <is>
          <t>Leadership</t>
        </is>
      </c>
      <c r="AB1879" s="50" t="inlineStr">
        <is>
          <t>Y</t>
        </is>
      </c>
      <c r="AC1879" s="43">
        <f>HYPERLINK("https://projects.propublica.org/nonprofits/organizations/231503488/202543189349102354/full","view filing")</f>
        <v/>
      </c>
      <c r="AD1879" s="50" t="inlineStr">
        <is>
          <t>Y</t>
        </is>
      </c>
    </row>
    <row r="1880">
      <c r="A1880" t="inlineStr">
        <is>
          <t>William Penn Foundation</t>
        </is>
      </c>
      <c r="B1880" s="50" t="inlineStr">
        <is>
          <t>PA</t>
        </is>
      </c>
      <c r="C1880" s="52" t="n">
        <v>3.26</v>
      </c>
      <c r="D1880" t="inlineStr">
        <is>
          <t>Foundation</t>
        </is>
      </c>
      <c r="E1880" s="50" t="n">
        <v>2023</v>
      </c>
      <c r="F1880" s="50" t="inlineStr">
        <is>
          <t>2024-11-14</t>
        </is>
      </c>
      <c r="G1880" s="50" t="inlineStr">
        <is>
          <t>2023-12-31</t>
        </is>
      </c>
      <c r="H1880" t="inlineStr">
        <is>
          <t>Amy Chan</t>
        </is>
      </c>
      <c r="I1880" t="inlineStr">
        <is>
          <t>DIRECTOR OF INVESTME</t>
        </is>
      </c>
      <c r="J1880" t="inlineStr">
        <is>
          <t>Director of Investments</t>
        </is>
      </c>
      <c r="K1880" t="inlineStr">
        <is>
          <t>Sr Investment Professional</t>
        </is>
      </c>
      <c r="L1880" s="28" t="n">
        <v>0</v>
      </c>
      <c r="M1880" s="28" t="n">
        <v>0</v>
      </c>
      <c r="N1880" s="28" t="n">
        <v>0</v>
      </c>
      <c r="O1880" s="28" t="n">
        <v>0</v>
      </c>
      <c r="P1880" s="28" t="n">
        <v>0</v>
      </c>
      <c r="Q1880" s="28" t="n">
        <v>498202</v>
      </c>
      <c r="R1880" s="28" t="n">
        <v>0</v>
      </c>
      <c r="S1880" s="28">
        <f>Q1880-R1880</f>
        <v/>
      </c>
      <c r="T1880" s="28">
        <f>IF(S1880="","",S1880*(1+in_GrowthRate)^(YEARFRAC(DATE(2023,12,31),in_AgeToDate)*IF(in_AgeToDate&lt;DATE(2023,12,31),-1,1)+1))</f>
        <v/>
      </c>
      <c r="U1880" s="50">
        <f>IF(AND(AND(OR(in_Mode="All Funds",AND(C1880&gt;=in_BandFloor,C1880&lt;=in_BandCeiling,OR(in_Geography="National",COUNTIFS(lst_GeoPreset,in_Geography,lst_GeoState,B1880)&gt;0,AND(in_Geography="Custom",ISNUMBER(SEARCH(B1880,SUBSTITUTE(in_CustomStates," ",""))))),OR(AND(D1880="Endowment",Inputs!$B$14="Y"),AND(D1880="Foundation",Inputs!$B$15="Y"),AND(D1880="Healthcare",Inputs!$B$16="Y"),AND(D1880="Pension",Inputs!$B$17="Y"),AND(D1880="OCIO",Inputs!$B$18="Y"),AND(D1880="Other",Inputs!$B$19="Y")))),A1880&lt;&gt;in_ClientOrg,NOT(AND(in_ExclHarvard="Y",ISNUMBER(SEARCH("Harvard",A1880))))),$AD1880="Y",K1880&lt;&gt;"",S1880&gt;0),"Y","")</f>
        <v/>
      </c>
      <c r="V1880" s="30" t="n">
        <v>0.4108211607506568</v>
      </c>
      <c r="W1880" t="inlineStr"/>
      <c r="X1880" s="28">
        <f>IF(L1880+M1880=0,"",L1880+M1880)</f>
        <v/>
      </c>
      <c r="Y1880" s="38">
        <f>IF(L1880=0,"",M1880/L1880)</f>
        <v/>
      </c>
      <c r="Z1880" t="inlineStr">
        <is>
          <t>Director &amp; Investment Officer</t>
        </is>
      </c>
      <c r="AA1880" t="inlineStr">
        <is>
          <t>Investments</t>
        </is>
      </c>
      <c r="AB1880" s="50" t="inlineStr"/>
      <c r="AC1880" s="43">
        <f>HYPERLINK("https://projects.propublica.org/nonprofits/organizations/231503488/202433199349103223/full","view filing")</f>
        <v/>
      </c>
      <c r="AD1880" s="50" t="inlineStr"/>
    </row>
    <row r="1881">
      <c r="A1881" t="inlineStr">
        <is>
          <t>William Penn Foundation</t>
        </is>
      </c>
      <c r="B1881" s="50" t="inlineStr">
        <is>
          <t>PA</t>
        </is>
      </c>
      <c r="C1881" s="52" t="n">
        <v>3.26</v>
      </c>
      <c r="D1881" t="inlineStr">
        <is>
          <t>Foundation</t>
        </is>
      </c>
      <c r="E1881" s="50" t="n">
        <v>2023</v>
      </c>
      <c r="F1881" s="50" t="inlineStr">
        <is>
          <t>2024-11-14</t>
        </is>
      </c>
      <c r="G1881" s="50" t="inlineStr">
        <is>
          <t>2023-12-31</t>
        </is>
      </c>
      <c r="H1881" t="inlineStr">
        <is>
          <t>Dane Kline</t>
        </is>
      </c>
      <c r="I1881" t="inlineStr">
        <is>
          <t>DIRECTOR OF INVESTME</t>
        </is>
      </c>
      <c r="J1881" t="inlineStr">
        <is>
          <t>Director of Investments</t>
        </is>
      </c>
      <c r="K1881" t="inlineStr">
        <is>
          <t>Sr Investment Professional</t>
        </is>
      </c>
      <c r="L1881" s="28" t="n">
        <v>0</v>
      </c>
      <c r="M1881" s="28" t="n">
        <v>0</v>
      </c>
      <c r="N1881" s="28" t="n">
        <v>0</v>
      </c>
      <c r="O1881" s="28" t="n">
        <v>0</v>
      </c>
      <c r="P1881" s="28" t="n">
        <v>0</v>
      </c>
      <c r="Q1881" s="28" t="n">
        <v>448673</v>
      </c>
      <c r="R1881" s="28" t="n">
        <v>0</v>
      </c>
      <c r="S1881" s="28">
        <f>Q1881-R1881</f>
        <v/>
      </c>
      <c r="T1881" s="28">
        <f>IF(S1881="","",S1881*(1+in_GrowthRate)^(YEARFRAC(DATE(2023,12,31),in_AgeToDate)*IF(in_AgeToDate&lt;DATE(2023,12,31),-1,1)+1))</f>
        <v/>
      </c>
      <c r="U1881" s="50">
        <f>IF(AND(AND(OR(in_Mode="All Funds",AND(C1881&gt;=in_BandFloor,C1881&lt;=in_BandCeiling,OR(in_Geography="National",COUNTIFS(lst_GeoPreset,in_Geography,lst_GeoState,B1881)&gt;0,AND(in_Geography="Custom",ISNUMBER(SEARCH(B1881,SUBSTITUTE(in_CustomStates," ",""))))),OR(AND(D1881="Endowment",Inputs!$B$14="Y"),AND(D1881="Foundation",Inputs!$B$15="Y"),AND(D1881="Healthcare",Inputs!$B$16="Y"),AND(D1881="Pension",Inputs!$B$17="Y"),AND(D1881="OCIO",Inputs!$B$18="Y"),AND(D1881="Other",Inputs!$B$19="Y")))),A1881&lt;&gt;in_ClientOrg,NOT(AND(in_ExclHarvard="Y",ISNUMBER(SEARCH("Harvard",A1881))))),$AD1881="Y",K1881&lt;&gt;"",S1881&gt;0),"Y","")</f>
        <v/>
      </c>
      <c r="V1881" s="30" t="n">
        <v>0.3699791704117595</v>
      </c>
      <c r="W1881" t="inlineStr"/>
      <c r="X1881" s="28">
        <f>IF(L1881+M1881=0,"",L1881+M1881)</f>
        <v/>
      </c>
      <c r="Y1881" s="38">
        <f>IF(L1881=0,"",M1881/L1881)</f>
        <v/>
      </c>
      <c r="Z1881" t="inlineStr">
        <is>
          <t>Director &amp; Investment Officer</t>
        </is>
      </c>
      <c r="AA1881" t="inlineStr">
        <is>
          <t>Investments</t>
        </is>
      </c>
      <c r="AB1881" s="50" t="inlineStr"/>
      <c r="AC1881" s="43">
        <f>HYPERLINK("https://projects.propublica.org/nonprofits/organizations/231503488/202433199349103223/full","view filing")</f>
        <v/>
      </c>
      <c r="AD1881" s="50" t="inlineStr"/>
    </row>
    <row r="1882">
      <c r="A1882" t="inlineStr">
        <is>
          <t>William Penn Foundation</t>
        </is>
      </c>
      <c r="B1882" s="50" t="inlineStr">
        <is>
          <t>PA</t>
        </is>
      </c>
      <c r="C1882" s="52" t="n">
        <v>3.26</v>
      </c>
      <c r="D1882" t="inlineStr">
        <is>
          <t>Foundation</t>
        </is>
      </c>
      <c r="E1882" s="50" t="n">
        <v>2023</v>
      </c>
      <c r="F1882" s="50" t="inlineStr">
        <is>
          <t>2024-11-14</t>
        </is>
      </c>
      <c r="G1882" s="50" t="inlineStr">
        <is>
          <t>2023-12-31</t>
        </is>
      </c>
      <c r="H1882" t="inlineStr">
        <is>
          <t>Jeffrey Jackman</t>
        </is>
      </c>
      <c r="I1882" t="inlineStr">
        <is>
          <t>DIRECTOR OF INVESTME</t>
        </is>
      </c>
      <c r="J1882" t="inlineStr">
        <is>
          <t>Director of Investments</t>
        </is>
      </c>
      <c r="K1882" t="inlineStr">
        <is>
          <t>Sr Investment Professional</t>
        </is>
      </c>
      <c r="L1882" s="28" t="n">
        <v>0</v>
      </c>
      <c r="M1882" s="28" t="n">
        <v>0</v>
      </c>
      <c r="N1882" s="28" t="n">
        <v>0</v>
      </c>
      <c r="O1882" s="28" t="n">
        <v>0</v>
      </c>
      <c r="P1882" s="28" t="n">
        <v>0</v>
      </c>
      <c r="Q1882" s="28" t="n">
        <v>497507</v>
      </c>
      <c r="R1882" s="28" t="n">
        <v>0</v>
      </c>
      <c r="S1882" s="28">
        <f>Q1882-R1882</f>
        <v/>
      </c>
      <c r="T1882" s="28">
        <f>IF(S1882="","",S1882*(1+in_GrowthRate)^(YEARFRAC(DATE(2023,12,31),in_AgeToDate)*IF(in_AgeToDate&lt;DATE(2023,12,31),-1,1)+1))</f>
        <v/>
      </c>
      <c r="U1882" s="50">
        <f>IF(AND(AND(OR(in_Mode="All Funds",AND(C1882&gt;=in_BandFloor,C1882&lt;=in_BandCeiling,OR(in_Geography="National",COUNTIFS(lst_GeoPreset,in_Geography,lst_GeoState,B1882)&gt;0,AND(in_Geography="Custom",ISNUMBER(SEARCH(B1882,SUBSTITUTE(in_CustomStates," ",""))))),OR(AND(D1882="Endowment",Inputs!$B$14="Y"),AND(D1882="Foundation",Inputs!$B$15="Y"),AND(D1882="Healthcare",Inputs!$B$16="Y"),AND(D1882="Pension",Inputs!$B$17="Y"),AND(D1882="OCIO",Inputs!$B$18="Y"),AND(D1882="Other",Inputs!$B$19="Y")))),A1882&lt;&gt;in_ClientOrg,NOT(AND(in_ExclHarvard="Y",ISNUMBER(SEARCH("Harvard",A1882))))),$AD1882="Y",K1882&lt;&gt;"",S1882&gt;0),"Y","")</f>
        <v/>
      </c>
      <c r="V1882" s="30" t="n">
        <v>0.4102480584613811</v>
      </c>
      <c r="W1882" t="inlineStr"/>
      <c r="X1882" s="28">
        <f>IF(L1882+M1882=0,"",L1882+M1882)</f>
        <v/>
      </c>
      <c r="Y1882" s="38">
        <f>IF(L1882=0,"",M1882/L1882)</f>
        <v/>
      </c>
      <c r="Z1882" t="inlineStr">
        <is>
          <t>Director &amp; Investment Officer</t>
        </is>
      </c>
      <c r="AA1882" t="inlineStr">
        <is>
          <t>Investments</t>
        </is>
      </c>
      <c r="AB1882" s="50" t="inlineStr"/>
      <c r="AC1882" s="43">
        <f>HYPERLINK("https://projects.propublica.org/nonprofits/organizations/231503488/202433199349103223/full","view filing")</f>
        <v/>
      </c>
      <c r="AD1882" s="50" t="inlineStr"/>
    </row>
    <row r="1883">
      <c r="A1883" t="inlineStr">
        <is>
          <t>William Penn Foundation</t>
        </is>
      </c>
      <c r="B1883" s="50" t="inlineStr">
        <is>
          <t>PA</t>
        </is>
      </c>
      <c r="C1883" s="52" t="n">
        <v>3.26</v>
      </c>
      <c r="D1883" t="inlineStr">
        <is>
          <t>Foundation</t>
        </is>
      </c>
      <c r="E1883" s="50" t="n">
        <v>2023</v>
      </c>
      <c r="F1883" s="50" t="inlineStr">
        <is>
          <t>2024-11-14</t>
        </is>
      </c>
      <c r="G1883" s="50" t="inlineStr">
        <is>
          <t>2023-12-31</t>
        </is>
      </c>
      <c r="H1883" t="inlineStr">
        <is>
          <t>John Cross</t>
        </is>
      </c>
      <c r="I1883" t="inlineStr">
        <is>
          <t>DIRECTOR OF INVESTME</t>
        </is>
      </c>
      <c r="J1883" t="inlineStr">
        <is>
          <t>Director of Investments</t>
        </is>
      </c>
      <c r="K1883" t="inlineStr">
        <is>
          <t>Sr Investment Professional</t>
        </is>
      </c>
      <c r="L1883" s="28" t="n">
        <v>0</v>
      </c>
      <c r="M1883" s="28" t="n">
        <v>0</v>
      </c>
      <c r="N1883" s="28" t="n">
        <v>0</v>
      </c>
      <c r="O1883" s="28" t="n">
        <v>0</v>
      </c>
      <c r="P1883" s="28" t="n">
        <v>0</v>
      </c>
      <c r="Q1883" s="28" t="n">
        <v>497781</v>
      </c>
      <c r="R1883" s="28" t="n">
        <v>0</v>
      </c>
      <c r="S1883" s="28">
        <f>Q1883-R1883</f>
        <v/>
      </c>
      <c r="T1883" s="28">
        <f>IF(S1883="","",S1883*(1+in_GrowthRate)^(YEARFRAC(DATE(2023,12,31),in_AgeToDate)*IF(in_AgeToDate&lt;DATE(2023,12,31),-1,1)+1))</f>
        <v/>
      </c>
      <c r="U1883" s="50">
        <f>IF(AND(AND(OR(in_Mode="All Funds",AND(C1883&gt;=in_BandFloor,C1883&lt;=in_BandCeiling,OR(in_Geography="National",COUNTIFS(lst_GeoPreset,in_Geography,lst_GeoState,B1883)&gt;0,AND(in_Geography="Custom",ISNUMBER(SEARCH(B1883,SUBSTITUTE(in_CustomStates," ",""))))),OR(AND(D1883="Endowment",Inputs!$B$14="Y"),AND(D1883="Foundation",Inputs!$B$15="Y"),AND(D1883="Healthcare",Inputs!$B$16="Y"),AND(D1883="Pension",Inputs!$B$17="Y"),AND(D1883="OCIO",Inputs!$B$18="Y"),AND(D1883="Other",Inputs!$B$19="Y")))),A1883&lt;&gt;in_ClientOrg,NOT(AND(in_ExclHarvard="Y",ISNUMBER(SEARCH("Harvard",A1883))))),$AD1883="Y",K1883&lt;&gt;"",S1883&gt;0),"Y","")</f>
        <v/>
      </c>
      <c r="V1883" s="30" t="n">
        <v>0.4104740009466495</v>
      </c>
      <c r="W1883" t="inlineStr"/>
      <c r="X1883" s="28">
        <f>IF(L1883+M1883=0,"",L1883+M1883)</f>
        <v/>
      </c>
      <c r="Y1883" s="38">
        <f>IF(L1883=0,"",M1883/L1883)</f>
        <v/>
      </c>
      <c r="Z1883" t="inlineStr">
        <is>
          <t>Director &amp; Investment Officer</t>
        </is>
      </c>
      <c r="AA1883" t="inlineStr">
        <is>
          <t>Investments</t>
        </is>
      </c>
      <c r="AB1883" s="50" t="inlineStr"/>
      <c r="AC1883" s="43">
        <f>HYPERLINK("https://projects.propublica.org/nonprofits/organizations/231503488/202433199349103223/full","view filing")</f>
        <v/>
      </c>
      <c r="AD1883" s="50" t="inlineStr"/>
    </row>
    <row r="1884">
      <c r="A1884" t="inlineStr">
        <is>
          <t>William Penn Foundation</t>
        </is>
      </c>
      <c r="B1884" s="50" t="inlineStr">
        <is>
          <t>PA</t>
        </is>
      </c>
      <c r="C1884" s="52" t="n">
        <v>3.26</v>
      </c>
      <c r="D1884" t="inlineStr">
        <is>
          <t>Foundation</t>
        </is>
      </c>
      <c r="E1884" s="50" t="n">
        <v>2023</v>
      </c>
      <c r="F1884" s="50" t="inlineStr">
        <is>
          <t>2024-11-14</t>
        </is>
      </c>
      <c r="G1884" s="50" t="inlineStr">
        <is>
          <t>2023-12-31</t>
        </is>
      </c>
      <c r="H1884" t="inlineStr">
        <is>
          <t>Madoe Htun</t>
        </is>
      </c>
      <c r="I1884" t="inlineStr">
        <is>
          <t>CHIEF INVESTMENT OFFICER</t>
        </is>
      </c>
      <c r="J1884" t="inlineStr">
        <is>
          <t>CIO</t>
        </is>
      </c>
      <c r="K1884" t="inlineStr">
        <is>
          <t>CIO - Top Investment Executive</t>
        </is>
      </c>
      <c r="L1884" s="28" t="n">
        <v>0</v>
      </c>
      <c r="M1884" s="28" t="n">
        <v>0</v>
      </c>
      <c r="N1884" s="28" t="n">
        <v>0</v>
      </c>
      <c r="O1884" s="28" t="n">
        <v>0</v>
      </c>
      <c r="P1884" s="28" t="n">
        <v>54705</v>
      </c>
      <c r="Q1884" s="28" t="n">
        <v>1212698</v>
      </c>
      <c r="R1884" s="28" t="n">
        <v>0</v>
      </c>
      <c r="S1884" s="28">
        <f>Q1884-R1884</f>
        <v/>
      </c>
      <c r="T1884" s="28">
        <f>IF(S1884="","",S1884*(1+in_GrowthRate)^(YEARFRAC(DATE(2023,12,31),in_AgeToDate)*IF(in_AgeToDate&lt;DATE(2023,12,31),-1,1)+1))</f>
        <v/>
      </c>
      <c r="U1884" s="50">
        <f>IF(AND(AND(OR(in_Mode="All Funds",AND(C1884&gt;=in_BandFloor,C1884&lt;=in_BandCeiling,OR(in_Geography="National",COUNTIFS(lst_GeoPreset,in_Geography,lst_GeoState,B1884)&gt;0,AND(in_Geography="Custom",ISNUMBER(SEARCH(B1884,SUBSTITUTE(in_CustomStates," ",""))))),OR(AND(D1884="Endowment",Inputs!$B$14="Y"),AND(D1884="Foundation",Inputs!$B$15="Y"),AND(D1884="Healthcare",Inputs!$B$16="Y"),AND(D1884="Pension",Inputs!$B$17="Y"),AND(D1884="OCIO",Inputs!$B$18="Y"),AND(D1884="Other",Inputs!$B$19="Y")))),A1884&lt;&gt;in_ClientOrg,NOT(AND(in_ExclHarvard="Y",ISNUMBER(SEARCH("Harvard",A1884))))),$AD1884="Y",K1884&lt;&gt;"",S1884&gt;0),"Y","")</f>
        <v/>
      </c>
      <c r="V1884" s="30" t="n">
        <v>1</v>
      </c>
      <c r="W1884" t="inlineStr"/>
      <c r="X1884" s="28">
        <f>IF(L1884+M1884=0,"",L1884+M1884)</f>
        <v/>
      </c>
      <c r="Y1884" s="38">
        <f>IF(L1884=0,"",M1884/L1884)</f>
        <v/>
      </c>
      <c r="Z1884" t="inlineStr">
        <is>
          <t>CIO - Top Investment Executive</t>
        </is>
      </c>
      <c r="AA1884" t="inlineStr">
        <is>
          <t>Leadership</t>
        </is>
      </c>
      <c r="AB1884" s="50" t="inlineStr">
        <is>
          <t>Y</t>
        </is>
      </c>
      <c r="AC1884" s="43">
        <f>HYPERLINK("https://projects.propublica.org/nonprofits/organizations/231503488/202433199349103223/full","view filing")</f>
        <v/>
      </c>
      <c r="AD1884" s="50" t="inlineStr"/>
    </row>
    <row r="1885">
      <c r="A1885" t="inlineStr">
        <is>
          <t>William Penn Foundation</t>
        </is>
      </c>
      <c r="B1885" s="50" t="inlineStr">
        <is>
          <t>PA</t>
        </is>
      </c>
      <c r="C1885" s="52" t="n">
        <v>3.26</v>
      </c>
      <c r="D1885" t="inlineStr">
        <is>
          <t>Foundation</t>
        </is>
      </c>
      <c r="E1885" s="50" t="n">
        <v>2022</v>
      </c>
      <c r="F1885" s="50" t="inlineStr">
        <is>
          <t>2025-12-11</t>
        </is>
      </c>
      <c r="G1885" s="50" t="inlineStr">
        <is>
          <t>2022-12-31</t>
        </is>
      </c>
      <c r="H1885" t="inlineStr">
        <is>
          <t>Amy Chan</t>
        </is>
      </c>
      <c r="I1885" t="inlineStr">
        <is>
          <t>DIRECTOR OF INVESTME</t>
        </is>
      </c>
      <c r="J1885" t="inlineStr">
        <is>
          <t>Director of Investments</t>
        </is>
      </c>
      <c r="K1885" t="inlineStr">
        <is>
          <t>Sr Investment Professional</t>
        </is>
      </c>
      <c r="L1885" s="28" t="n">
        <v>0</v>
      </c>
      <c r="M1885" s="28" t="n">
        <v>0</v>
      </c>
      <c r="N1885" s="28" t="n">
        <v>0</v>
      </c>
      <c r="O1885" s="28" t="n">
        <v>0</v>
      </c>
      <c r="P1885" s="28" t="n">
        <v>0</v>
      </c>
      <c r="Q1885" s="28" t="n">
        <v>403634</v>
      </c>
      <c r="R1885" s="28" t="n">
        <v>0</v>
      </c>
      <c r="S1885" s="28">
        <f>Q1885-R1885</f>
        <v/>
      </c>
      <c r="T1885" s="28">
        <f>IF(S1885="","",S1885*(1+in_GrowthRate)^(YEARFRAC(DATE(2022,12,31),in_AgeToDate)*IF(in_AgeToDate&lt;DATE(2022,12,31),-1,1)+1))</f>
        <v/>
      </c>
      <c r="U1885" s="50">
        <f>IF(AND(AND(OR(in_Mode="All Funds",AND(C1885&gt;=in_BandFloor,C1885&lt;=in_BandCeiling,OR(in_Geography="National",COUNTIFS(lst_GeoPreset,in_Geography,lst_GeoState,B1885)&gt;0,AND(in_Geography="Custom",ISNUMBER(SEARCH(B1885,SUBSTITUTE(in_CustomStates," ",""))))),OR(AND(D1885="Endowment",Inputs!$B$14="Y"),AND(D1885="Foundation",Inputs!$B$15="Y"),AND(D1885="Healthcare",Inputs!$B$16="Y"),AND(D1885="Pension",Inputs!$B$17="Y"),AND(D1885="OCIO",Inputs!$B$18="Y"),AND(D1885="Other",Inputs!$B$19="Y")))),A1885&lt;&gt;in_ClientOrg,NOT(AND(in_ExclHarvard="Y",ISNUMBER(SEARCH("Harvard",A1885))))),$AD1885="Y",K1885&lt;&gt;"",S1885&gt;0),"Y","")</f>
        <v/>
      </c>
      <c r="V1885" s="30" t="n">
        <v>0.3490061598375823</v>
      </c>
      <c r="W1885" t="inlineStr"/>
      <c r="X1885" s="28">
        <f>IF(L1885+M1885=0,"",L1885+M1885)</f>
        <v/>
      </c>
      <c r="Y1885" s="38">
        <f>IF(L1885=0,"",M1885/L1885)</f>
        <v/>
      </c>
      <c r="Z1885" t="inlineStr">
        <is>
          <t>Director &amp; Investment Officer</t>
        </is>
      </c>
      <c r="AA1885" t="inlineStr">
        <is>
          <t>Investments</t>
        </is>
      </c>
      <c r="AB1885" s="50" t="inlineStr"/>
      <c r="AC1885" s="43">
        <f>HYPERLINK("https://projects.propublica.org/nonprofits/organizations/231503488/202523459349100402/full","view filing")</f>
        <v/>
      </c>
      <c r="AD1885" s="50" t="inlineStr"/>
    </row>
    <row r="1886">
      <c r="A1886" t="inlineStr">
        <is>
          <t>William Penn Foundation</t>
        </is>
      </c>
      <c r="B1886" s="50" t="inlineStr">
        <is>
          <t>PA</t>
        </is>
      </c>
      <c r="C1886" s="52" t="n">
        <v>3.26</v>
      </c>
      <c r="D1886" t="inlineStr">
        <is>
          <t>Foundation</t>
        </is>
      </c>
      <c r="E1886" s="50" t="n">
        <v>2022</v>
      </c>
      <c r="F1886" s="50" t="inlineStr">
        <is>
          <t>2025-12-11</t>
        </is>
      </c>
      <c r="G1886" s="50" t="inlineStr">
        <is>
          <t>2022-12-31</t>
        </is>
      </c>
      <c r="H1886" t="inlineStr">
        <is>
          <t>Dane Kline</t>
        </is>
      </c>
      <c r="I1886" t="inlineStr">
        <is>
          <t>DIRECTOR OF INVESTME</t>
        </is>
      </c>
      <c r="J1886" t="inlineStr">
        <is>
          <t>Director of Investments</t>
        </is>
      </c>
      <c r="K1886" t="inlineStr">
        <is>
          <t>Sr Investment Professional</t>
        </is>
      </c>
      <c r="L1886" s="28" t="n">
        <v>0</v>
      </c>
      <c r="M1886" s="28" t="n">
        <v>0</v>
      </c>
      <c r="N1886" s="28" t="n">
        <v>0</v>
      </c>
      <c r="O1886" s="28" t="n">
        <v>0</v>
      </c>
      <c r="P1886" s="28" t="n">
        <v>0</v>
      </c>
      <c r="Q1886" s="28" t="n">
        <v>302942</v>
      </c>
      <c r="R1886" s="28" t="n">
        <v>0</v>
      </c>
      <c r="S1886" s="28">
        <f>Q1886-R1886</f>
        <v/>
      </c>
      <c r="T1886" s="28">
        <f>IF(S1886="","",S1886*(1+in_GrowthRate)^(YEARFRAC(DATE(2022,12,31),in_AgeToDate)*IF(in_AgeToDate&lt;DATE(2022,12,31),-1,1)+1))</f>
        <v/>
      </c>
      <c r="U1886" s="50">
        <f>IF(AND(AND(OR(in_Mode="All Funds",AND(C1886&gt;=in_BandFloor,C1886&lt;=in_BandCeiling,OR(in_Geography="National",COUNTIFS(lst_GeoPreset,in_Geography,lst_GeoState,B1886)&gt;0,AND(in_Geography="Custom",ISNUMBER(SEARCH(B1886,SUBSTITUTE(in_CustomStates," ",""))))),OR(AND(D1886="Endowment",Inputs!$B$14="Y"),AND(D1886="Foundation",Inputs!$B$15="Y"),AND(D1886="Healthcare",Inputs!$B$16="Y"),AND(D1886="Pension",Inputs!$B$17="Y"),AND(D1886="OCIO",Inputs!$B$18="Y"),AND(D1886="Other",Inputs!$B$19="Y")))),A1886&lt;&gt;in_ClientOrg,NOT(AND(in_ExclHarvard="Y",ISNUMBER(SEARCH("Harvard",A1886))))),$AD1886="Y",K1886&lt;&gt;"",S1886&gt;0),"Y","")</f>
        <v/>
      </c>
      <c r="V1886" s="30" t="n">
        <v>0.2619418187603543</v>
      </c>
      <c r="W1886" t="inlineStr"/>
      <c r="X1886" s="28">
        <f>IF(L1886+M1886=0,"",L1886+M1886)</f>
        <v/>
      </c>
      <c r="Y1886" s="38">
        <f>IF(L1886=0,"",M1886/L1886)</f>
        <v/>
      </c>
      <c r="Z1886" t="inlineStr">
        <is>
          <t>Director &amp; Investment Officer</t>
        </is>
      </c>
      <c r="AA1886" t="inlineStr">
        <is>
          <t>Investments</t>
        </is>
      </c>
      <c r="AB1886" s="50" t="inlineStr"/>
      <c r="AC1886" s="43">
        <f>HYPERLINK("https://projects.propublica.org/nonprofits/organizations/231503488/202523459349100402/full","view filing")</f>
        <v/>
      </c>
      <c r="AD1886" s="50" t="inlineStr"/>
    </row>
    <row r="1887">
      <c r="A1887" t="inlineStr">
        <is>
          <t>William Penn Foundation</t>
        </is>
      </c>
      <c r="B1887" s="50" t="inlineStr">
        <is>
          <t>PA</t>
        </is>
      </c>
      <c r="C1887" s="52" t="n">
        <v>3.26</v>
      </c>
      <c r="D1887" t="inlineStr">
        <is>
          <t>Foundation</t>
        </is>
      </c>
      <c r="E1887" s="50" t="n">
        <v>2022</v>
      </c>
      <c r="F1887" s="50" t="inlineStr">
        <is>
          <t>2025-12-11</t>
        </is>
      </c>
      <c r="G1887" s="50" t="inlineStr">
        <is>
          <t>2022-12-31</t>
        </is>
      </c>
      <c r="H1887" t="inlineStr">
        <is>
          <t>Jeffrey Jackman</t>
        </is>
      </c>
      <c r="I1887" t="inlineStr">
        <is>
          <t>DIRECTOR OF INVESTME</t>
        </is>
      </c>
      <c r="J1887" t="inlineStr">
        <is>
          <t>Director of Investments</t>
        </is>
      </c>
      <c r="K1887" t="inlineStr">
        <is>
          <t>Sr Investment Professional</t>
        </is>
      </c>
      <c r="L1887" s="28" t="n">
        <v>0</v>
      </c>
      <c r="M1887" s="28" t="n">
        <v>0</v>
      </c>
      <c r="N1887" s="28" t="n">
        <v>0</v>
      </c>
      <c r="O1887" s="28" t="n">
        <v>0</v>
      </c>
      <c r="P1887" s="28" t="n">
        <v>0</v>
      </c>
      <c r="Q1887" s="28" t="n">
        <v>371674</v>
      </c>
      <c r="R1887" s="28" t="n">
        <v>0</v>
      </c>
      <c r="S1887" s="28">
        <f>Q1887-R1887</f>
        <v/>
      </c>
      <c r="T1887" s="28">
        <f>IF(S1887="","",S1887*(1+in_GrowthRate)^(YEARFRAC(DATE(2022,12,31),in_AgeToDate)*IF(in_AgeToDate&lt;DATE(2022,12,31),-1,1)+1))</f>
        <v/>
      </c>
      <c r="U1887" s="50">
        <f>IF(AND(AND(OR(in_Mode="All Funds",AND(C1887&gt;=in_BandFloor,C1887&lt;=in_BandCeiling,OR(in_Geography="National",COUNTIFS(lst_GeoPreset,in_Geography,lst_GeoState,B1887)&gt;0,AND(in_Geography="Custom",ISNUMBER(SEARCH(B1887,SUBSTITUTE(in_CustomStates," ",""))))),OR(AND(D1887="Endowment",Inputs!$B$14="Y"),AND(D1887="Foundation",Inputs!$B$15="Y"),AND(D1887="Healthcare",Inputs!$B$16="Y"),AND(D1887="Pension",Inputs!$B$17="Y"),AND(D1887="OCIO",Inputs!$B$18="Y"),AND(D1887="Other",Inputs!$B$19="Y")))),A1887&lt;&gt;in_ClientOrg,NOT(AND(in_ExclHarvard="Y",ISNUMBER(SEARCH("Harvard",A1887))))),$AD1887="Y",K1887&lt;&gt;"",S1887&gt;0),"Y","")</f>
        <v/>
      </c>
      <c r="V1887" s="30" t="n">
        <v>0.3213716273938111</v>
      </c>
      <c r="W1887" t="inlineStr"/>
      <c r="X1887" s="28">
        <f>IF(L1887+M1887=0,"",L1887+M1887)</f>
        <v/>
      </c>
      <c r="Y1887" s="38">
        <f>IF(L1887=0,"",M1887/L1887)</f>
        <v/>
      </c>
      <c r="Z1887" t="inlineStr">
        <is>
          <t>Director &amp; Investment Officer</t>
        </is>
      </c>
      <c r="AA1887" t="inlineStr">
        <is>
          <t>Investments</t>
        </is>
      </c>
      <c r="AB1887" s="50" t="inlineStr"/>
      <c r="AC1887" s="43">
        <f>HYPERLINK("https://projects.propublica.org/nonprofits/organizations/231503488/202523459349100402/full","view filing")</f>
        <v/>
      </c>
      <c r="AD1887" s="50" t="inlineStr"/>
    </row>
    <row r="1888">
      <c r="A1888" t="inlineStr">
        <is>
          <t>William Penn Foundation</t>
        </is>
      </c>
      <c r="B1888" s="50" t="inlineStr">
        <is>
          <t>PA</t>
        </is>
      </c>
      <c r="C1888" s="52" t="n">
        <v>3.26</v>
      </c>
      <c r="D1888" t="inlineStr">
        <is>
          <t>Foundation</t>
        </is>
      </c>
      <c r="E1888" s="50" t="n">
        <v>2022</v>
      </c>
      <c r="F1888" s="50" t="inlineStr">
        <is>
          <t>2025-12-11</t>
        </is>
      </c>
      <c r="G1888" s="50" t="inlineStr">
        <is>
          <t>2022-12-31</t>
        </is>
      </c>
      <c r="H1888" t="inlineStr">
        <is>
          <t>John Cross</t>
        </is>
      </c>
      <c r="I1888" t="inlineStr">
        <is>
          <t>DIRECTOR OF INVESTME</t>
        </is>
      </c>
      <c r="J1888" t="inlineStr">
        <is>
          <t>Director of Investments</t>
        </is>
      </c>
      <c r="K1888" t="inlineStr">
        <is>
          <t>Sr Investment Professional</t>
        </is>
      </c>
      <c r="L1888" s="28" t="n">
        <v>0</v>
      </c>
      <c r="M1888" s="28" t="n">
        <v>0</v>
      </c>
      <c r="N1888" s="28" t="n">
        <v>0</v>
      </c>
      <c r="O1888" s="28" t="n">
        <v>0</v>
      </c>
      <c r="P1888" s="28" t="n">
        <v>0</v>
      </c>
      <c r="Q1888" s="28" t="n">
        <v>371555</v>
      </c>
      <c r="R1888" s="28" t="n">
        <v>0</v>
      </c>
      <c r="S1888" s="28">
        <f>Q1888-R1888</f>
        <v/>
      </c>
      <c r="T1888" s="28">
        <f>IF(S1888="","",S1888*(1+in_GrowthRate)^(YEARFRAC(DATE(2022,12,31),in_AgeToDate)*IF(in_AgeToDate&lt;DATE(2022,12,31),-1,1)+1))</f>
        <v/>
      </c>
      <c r="U1888" s="50">
        <f>IF(AND(AND(OR(in_Mode="All Funds",AND(C1888&gt;=in_BandFloor,C1888&lt;=in_BandCeiling,OR(in_Geography="National",COUNTIFS(lst_GeoPreset,in_Geography,lst_GeoState,B1888)&gt;0,AND(in_Geography="Custom",ISNUMBER(SEARCH(B1888,SUBSTITUTE(in_CustomStates," ",""))))),OR(AND(D1888="Endowment",Inputs!$B$14="Y"),AND(D1888="Foundation",Inputs!$B$15="Y"),AND(D1888="Healthcare",Inputs!$B$16="Y"),AND(D1888="Pension",Inputs!$B$17="Y"),AND(D1888="OCIO",Inputs!$B$18="Y"),AND(D1888="Other",Inputs!$B$19="Y")))),A1888&lt;&gt;in_ClientOrg,NOT(AND(in_ExclHarvard="Y",ISNUMBER(SEARCH("Harvard",A1888))))),$AD1888="Y",K1888&lt;&gt;"",S1888&gt;0),"Y","")</f>
        <v/>
      </c>
      <c r="V1888" s="30" t="n">
        <v>0.3212687328581162</v>
      </c>
      <c r="W1888" t="inlineStr"/>
      <c r="X1888" s="28">
        <f>IF(L1888+M1888=0,"",L1888+M1888)</f>
        <v/>
      </c>
      <c r="Y1888" s="38">
        <f>IF(L1888=0,"",M1888/L1888)</f>
        <v/>
      </c>
      <c r="Z1888" t="inlineStr">
        <is>
          <t>Director &amp; Investment Officer</t>
        </is>
      </c>
      <c r="AA1888" t="inlineStr">
        <is>
          <t>Investments</t>
        </is>
      </c>
      <c r="AB1888" s="50" t="inlineStr"/>
      <c r="AC1888" s="43">
        <f>HYPERLINK("https://projects.propublica.org/nonprofits/organizations/231503488/202523459349100402/full","view filing")</f>
        <v/>
      </c>
      <c r="AD1888" s="50" t="inlineStr"/>
    </row>
    <row r="1889">
      <c r="A1889" t="inlineStr">
        <is>
          <t>William Penn Foundation</t>
        </is>
      </c>
      <c r="B1889" s="50" t="inlineStr">
        <is>
          <t>PA</t>
        </is>
      </c>
      <c r="C1889" s="52" t="n">
        <v>3.26</v>
      </c>
      <c r="D1889" t="inlineStr">
        <is>
          <t>Foundation</t>
        </is>
      </c>
      <c r="E1889" s="50" t="n">
        <v>2022</v>
      </c>
      <c r="F1889" s="50" t="inlineStr">
        <is>
          <t>2025-12-11</t>
        </is>
      </c>
      <c r="G1889" s="50" t="inlineStr">
        <is>
          <t>2022-12-31</t>
        </is>
      </c>
      <c r="H1889" t="inlineStr">
        <is>
          <t>Madoe Htun</t>
        </is>
      </c>
      <c r="I1889" t="inlineStr">
        <is>
          <t>CHIEF INVESTMENT OFFICER</t>
        </is>
      </c>
      <c r="J1889" t="inlineStr">
        <is>
          <t>CIO</t>
        </is>
      </c>
      <c r="K1889" t="inlineStr">
        <is>
          <t>CIO - Top Investment Executive</t>
        </is>
      </c>
      <c r="L1889" s="28" t="n">
        <v>0</v>
      </c>
      <c r="M1889" s="28" t="n">
        <v>0</v>
      </c>
      <c r="N1889" s="28" t="n">
        <v>0</v>
      </c>
      <c r="O1889" s="28" t="n">
        <v>0</v>
      </c>
      <c r="P1889" s="28" t="n">
        <v>52906</v>
      </c>
      <c r="Q1889" s="28" t="n">
        <v>1156524</v>
      </c>
      <c r="R1889" s="28" t="n">
        <v>0</v>
      </c>
      <c r="S1889" s="28">
        <f>Q1889-R1889</f>
        <v/>
      </c>
      <c r="T1889" s="28">
        <f>IF(S1889="","",S1889*(1+in_GrowthRate)^(YEARFRAC(DATE(2022,12,31),in_AgeToDate)*IF(in_AgeToDate&lt;DATE(2022,12,31),-1,1)+1))</f>
        <v/>
      </c>
      <c r="U1889" s="50">
        <f>IF(AND(AND(OR(in_Mode="All Funds",AND(C1889&gt;=in_BandFloor,C1889&lt;=in_BandCeiling,OR(in_Geography="National",COUNTIFS(lst_GeoPreset,in_Geography,lst_GeoState,B1889)&gt;0,AND(in_Geography="Custom",ISNUMBER(SEARCH(B1889,SUBSTITUTE(in_CustomStates," ",""))))),OR(AND(D1889="Endowment",Inputs!$B$14="Y"),AND(D1889="Foundation",Inputs!$B$15="Y"),AND(D1889="Healthcare",Inputs!$B$16="Y"),AND(D1889="Pension",Inputs!$B$17="Y"),AND(D1889="OCIO",Inputs!$B$18="Y"),AND(D1889="Other",Inputs!$B$19="Y")))),A1889&lt;&gt;in_ClientOrg,NOT(AND(in_ExclHarvard="Y",ISNUMBER(SEARCH("Harvard",A1889))))),$AD1889="Y",K1889&lt;&gt;"",S1889&gt;0),"Y","")</f>
        <v/>
      </c>
      <c r="V1889" s="30" t="n">
        <v>1</v>
      </c>
      <c r="W1889" t="inlineStr"/>
      <c r="X1889" s="28">
        <f>IF(L1889+M1889=0,"",L1889+M1889)</f>
        <v/>
      </c>
      <c r="Y1889" s="38">
        <f>IF(L1889=0,"",M1889/L1889)</f>
        <v/>
      </c>
      <c r="Z1889" t="inlineStr">
        <is>
          <t>CIO - Top Investment Executive</t>
        </is>
      </c>
      <c r="AA1889" t="inlineStr">
        <is>
          <t>Leadership</t>
        </is>
      </c>
      <c r="AB1889" s="50" t="inlineStr">
        <is>
          <t>Y</t>
        </is>
      </c>
      <c r="AC1889" s="43">
        <f>HYPERLINK("https://projects.propublica.org/nonprofits/organizations/231503488/202523459349100402/full","view filing")</f>
        <v/>
      </c>
      <c r="AD1889" s="50" t="inlineStr"/>
    </row>
    <row r="1890">
      <c r="A1890" t="inlineStr">
        <is>
          <t>Williams College</t>
        </is>
      </c>
      <c r="B1890" s="50" t="inlineStr">
        <is>
          <t>MA</t>
        </is>
      </c>
      <c r="C1890" s="52" t="n">
        <v>3.93</v>
      </c>
      <c r="D1890" t="inlineStr">
        <is>
          <t>Endowment</t>
        </is>
      </c>
      <c r="E1890" s="50" t="n">
        <v>2025</v>
      </c>
      <c r="F1890" s="50" t="inlineStr">
        <is>
          <t>2026-05-14</t>
        </is>
      </c>
      <c r="G1890" s="50" t="inlineStr">
        <is>
          <t>2025-06-30</t>
        </is>
      </c>
      <c r="H1890" t="inlineStr">
        <is>
          <t>John Lewis</t>
        </is>
      </c>
      <c r="I1890" t="inlineStr">
        <is>
          <t>DIRECTOR OF INVESTMENT OPERATIONS</t>
        </is>
      </c>
      <c r="J1890" t="inlineStr">
        <is>
          <t>Head of Inv Ops (Inv Entity)</t>
        </is>
      </c>
      <c r="K1890" t="inlineStr">
        <is>
          <t>COO (Investment Office)</t>
        </is>
      </c>
      <c r="L1890" s="28" t="n">
        <v>338631</v>
      </c>
      <c r="M1890" s="28" t="n">
        <v>103500</v>
      </c>
      <c r="N1890" s="28" t="n">
        <v>1620</v>
      </c>
      <c r="O1890" s="28" t="n">
        <v>59138</v>
      </c>
      <c r="P1890" s="28" t="n">
        <v>38897</v>
      </c>
      <c r="Q1890" s="28" t="n">
        <v>541786</v>
      </c>
      <c r="R1890" s="28" t="n">
        <v>0</v>
      </c>
      <c r="S1890" s="28">
        <f>Q1890-R1890</f>
        <v/>
      </c>
      <c r="T1890" s="28">
        <f>IF(S1890="","",S1890*(1+in_GrowthRate)^(YEARFRAC(DATE(2025,6,30),in_AgeToDate)*IF(in_AgeToDate&lt;DATE(2025,6,30),-1,1)+1))</f>
        <v/>
      </c>
      <c r="U1890" s="50">
        <f>IF(AND(AND(OR(in_Mode="All Funds",AND(C1890&gt;=in_BandFloor,C1890&lt;=in_BandCeiling,OR(in_Geography="National",COUNTIFS(lst_GeoPreset,in_Geography,lst_GeoState,B1890)&gt;0,AND(in_Geography="Custom",ISNUMBER(SEARCH(B1890,SUBSTITUTE(in_CustomStates," ",""))))),OR(AND(D1890="Endowment",Inputs!$B$14="Y"),AND(D1890="Foundation",Inputs!$B$15="Y"),AND(D1890="Healthcare",Inputs!$B$16="Y"),AND(D1890="Pension",Inputs!$B$17="Y"),AND(D1890="OCIO",Inputs!$B$18="Y"),AND(D1890="Other",Inputs!$B$19="Y")))),A1890&lt;&gt;in_ClientOrg,NOT(AND(in_ExclHarvard="Y",ISNUMBER(SEARCH("Harvard",A1890))))),$AD1890="Y",K1890&lt;&gt;"",S1890&gt;0),"Y","")</f>
        <v/>
      </c>
      <c r="V1890" s="30" t="n"/>
      <c r="W1890" t="inlineStr"/>
      <c r="X1890" s="28">
        <f>IF(L1890+M1890=0,"",L1890+M1890)</f>
        <v/>
      </c>
      <c r="Y1890" s="38">
        <f>IF(L1890=0,"",M1890/L1890)</f>
        <v/>
      </c>
      <c r="Z1890" t="inlineStr">
        <is>
          <t>COO (Investment Office)</t>
        </is>
      </c>
      <c r="AA1890" t="inlineStr">
        <is>
          <t>Operations &amp; Control</t>
        </is>
      </c>
      <c r="AB1890" s="50" t="inlineStr"/>
      <c r="AC1890" s="43">
        <f>HYPERLINK("https://projects.propublica.org/nonprofits/organizations/42104847/202631349349302993/full","view filing")</f>
        <v/>
      </c>
      <c r="AD1890" s="50" t="inlineStr">
        <is>
          <t>Y</t>
        </is>
      </c>
    </row>
    <row r="1891">
      <c r="A1891" t="inlineStr">
        <is>
          <t>Williams College</t>
        </is>
      </c>
      <c r="B1891" s="50" t="inlineStr">
        <is>
          <t>MA</t>
        </is>
      </c>
      <c r="C1891" s="52" t="n">
        <v>3.93</v>
      </c>
      <c r="D1891" t="inlineStr">
        <is>
          <t>Endowment</t>
        </is>
      </c>
      <c r="E1891" s="50" t="n">
        <v>2025</v>
      </c>
      <c r="F1891" s="50" t="inlineStr">
        <is>
          <t>2026-05-14</t>
        </is>
      </c>
      <c r="G1891" s="50" t="inlineStr">
        <is>
          <t>2025-06-30</t>
        </is>
      </c>
      <c r="H1891" t="inlineStr">
        <is>
          <t>Julia Brody</t>
        </is>
      </c>
      <c r="I1891" t="inlineStr">
        <is>
          <t>MANAGING DIRECTOR/INVESTMENT OFFICE</t>
        </is>
      </c>
      <c r="J1891" t="inlineStr">
        <is>
          <t>Managing Director</t>
        </is>
      </c>
      <c r="K1891" t="inlineStr">
        <is>
          <t>Sr Investment Professional</t>
        </is>
      </c>
      <c r="L1891" s="28" t="n">
        <v>325903</v>
      </c>
      <c r="M1891" s="28" t="n">
        <v>56473</v>
      </c>
      <c r="N1891" s="28" t="n">
        <v>0</v>
      </c>
      <c r="O1891" s="28" t="n">
        <v>37648</v>
      </c>
      <c r="P1891" s="28" t="n">
        <v>336</v>
      </c>
      <c r="Q1891" s="28" t="n">
        <v>420360</v>
      </c>
      <c r="R1891" s="28" t="n">
        <v>0</v>
      </c>
      <c r="S1891" s="28">
        <f>Q1891-R1891</f>
        <v/>
      </c>
      <c r="T1891" s="28">
        <f>IF(S1891="","",S1891*(1+in_GrowthRate)^(YEARFRAC(DATE(2025,6,30),in_AgeToDate)*IF(in_AgeToDate&lt;DATE(2025,6,30),-1,1)+1))</f>
        <v/>
      </c>
      <c r="U1891" s="50">
        <f>IF(AND(AND(OR(in_Mode="All Funds",AND(C1891&gt;=in_BandFloor,C1891&lt;=in_BandCeiling,OR(in_Geography="National",COUNTIFS(lst_GeoPreset,in_Geography,lst_GeoState,B1891)&gt;0,AND(in_Geography="Custom",ISNUMBER(SEARCH(B1891,SUBSTITUTE(in_CustomStates," ",""))))),OR(AND(D1891="Endowment",Inputs!$B$14="Y"),AND(D1891="Foundation",Inputs!$B$15="Y"),AND(D1891="Healthcare",Inputs!$B$16="Y"),AND(D1891="Pension",Inputs!$B$17="Y"),AND(D1891="OCIO",Inputs!$B$18="Y"),AND(D1891="Other",Inputs!$B$19="Y")))),A1891&lt;&gt;in_ClientOrg,NOT(AND(in_ExclHarvard="Y",ISNUMBER(SEARCH("Harvard",A1891))))),$AD1891="Y",K1891&lt;&gt;"",S1891&gt;0),"Y","")</f>
        <v/>
      </c>
      <c r="V1891" s="30" t="n"/>
      <c r="W1891" t="inlineStr"/>
      <c r="X1891" s="28">
        <f>IF(L1891+M1891=0,"",L1891+M1891)</f>
        <v/>
      </c>
      <c r="Y1891" s="38">
        <f>IF(L1891=0,"",M1891/L1891)</f>
        <v/>
      </c>
      <c r="Z1891" t="inlineStr">
        <is>
          <t>Managing Director</t>
        </is>
      </c>
      <c r="AA1891" t="inlineStr">
        <is>
          <t>Investments</t>
        </is>
      </c>
      <c r="AB1891" s="50" t="inlineStr"/>
      <c r="AC1891" s="43">
        <f>HYPERLINK("https://projects.propublica.org/nonprofits/organizations/42104847/202631349349302993/full","view filing")</f>
        <v/>
      </c>
      <c r="AD1891" s="50" t="inlineStr">
        <is>
          <t>Y</t>
        </is>
      </c>
    </row>
    <row r="1892">
      <c r="A1892" t="inlineStr">
        <is>
          <t>Williams College</t>
        </is>
      </c>
      <c r="B1892" s="50" t="inlineStr">
        <is>
          <t>MA</t>
        </is>
      </c>
      <c r="C1892" s="52" t="n">
        <v>3.93</v>
      </c>
      <c r="D1892" t="inlineStr">
        <is>
          <t>Endowment</t>
        </is>
      </c>
      <c r="E1892" s="50" t="n">
        <v>2025</v>
      </c>
      <c r="F1892" s="50" t="inlineStr">
        <is>
          <t>2026-05-14</t>
        </is>
      </c>
      <c r="G1892" s="50" t="inlineStr">
        <is>
          <t>2025-06-30</t>
        </is>
      </c>
      <c r="H1892" t="inlineStr">
        <is>
          <t>Paul Mace</t>
        </is>
      </c>
      <c r="I1892" t="inlineStr">
        <is>
          <t>MANAGING DIRECTOR/INVESTMENT OFFICE</t>
        </is>
      </c>
      <c r="J1892" t="inlineStr">
        <is>
          <t>Managing Director</t>
        </is>
      </c>
      <c r="K1892" t="inlineStr">
        <is>
          <t>Sr Investment Professional</t>
        </is>
      </c>
      <c r="L1892" s="28" t="n">
        <v>419896</v>
      </c>
      <c r="M1892" s="28" t="n">
        <v>212500</v>
      </c>
      <c r="N1892" s="28" t="n">
        <v>1620</v>
      </c>
      <c r="O1892" s="28" t="n">
        <v>118653</v>
      </c>
      <c r="P1892" s="28" t="n">
        <v>38977</v>
      </c>
      <c r="Q1892" s="28" t="n">
        <v>791646</v>
      </c>
      <c r="R1892" s="28" t="n">
        <v>0</v>
      </c>
      <c r="S1892" s="28">
        <f>Q1892-R1892</f>
        <v/>
      </c>
      <c r="T1892" s="28">
        <f>IF(S1892="","",S1892*(1+in_GrowthRate)^(YEARFRAC(DATE(2025,6,30),in_AgeToDate)*IF(in_AgeToDate&lt;DATE(2025,6,30),-1,1)+1))</f>
        <v/>
      </c>
      <c r="U1892" s="50">
        <f>IF(AND(AND(OR(in_Mode="All Funds",AND(C1892&gt;=in_BandFloor,C1892&lt;=in_BandCeiling,OR(in_Geography="National",COUNTIFS(lst_GeoPreset,in_Geography,lst_GeoState,B1892)&gt;0,AND(in_Geography="Custom",ISNUMBER(SEARCH(B1892,SUBSTITUTE(in_CustomStates," ",""))))),OR(AND(D1892="Endowment",Inputs!$B$14="Y"),AND(D1892="Foundation",Inputs!$B$15="Y"),AND(D1892="Healthcare",Inputs!$B$16="Y"),AND(D1892="Pension",Inputs!$B$17="Y"),AND(D1892="OCIO",Inputs!$B$18="Y"),AND(D1892="Other",Inputs!$B$19="Y")))),A1892&lt;&gt;in_ClientOrg,NOT(AND(in_ExclHarvard="Y",ISNUMBER(SEARCH("Harvard",A1892))))),$AD1892="Y",K1892&lt;&gt;"",S1892&gt;0),"Y","")</f>
        <v/>
      </c>
      <c r="V1892" s="30" t="n"/>
      <c r="W1892" t="inlineStr"/>
      <c r="X1892" s="28">
        <f>IF(L1892+M1892=0,"",L1892+M1892)</f>
        <v/>
      </c>
      <c r="Y1892" s="38">
        <f>IF(L1892=0,"",M1892/L1892)</f>
        <v/>
      </c>
      <c r="Z1892" t="inlineStr">
        <is>
          <t>Managing Director</t>
        </is>
      </c>
      <c r="AA1892" t="inlineStr">
        <is>
          <t>Investments</t>
        </is>
      </c>
      <c r="AB1892" s="50" t="inlineStr"/>
      <c r="AC1892" s="43">
        <f>HYPERLINK("https://projects.propublica.org/nonprofits/organizations/42104847/202631349349302993/full","view filing")</f>
        <v/>
      </c>
      <c r="AD1892" s="50" t="inlineStr">
        <is>
          <t>Y</t>
        </is>
      </c>
    </row>
    <row r="1893">
      <c r="A1893" t="inlineStr">
        <is>
          <t>Williams College</t>
        </is>
      </c>
      <c r="B1893" s="50" t="inlineStr">
        <is>
          <t>MA</t>
        </is>
      </c>
      <c r="C1893" s="52" t="n">
        <v>3.93</v>
      </c>
      <c r="D1893" t="inlineStr">
        <is>
          <t>Endowment</t>
        </is>
      </c>
      <c r="E1893" s="50" t="n">
        <v>2024</v>
      </c>
      <c r="F1893" s="50" t="inlineStr">
        <is>
          <t>2025-05-14</t>
        </is>
      </c>
      <c r="G1893" s="50" t="inlineStr">
        <is>
          <t>2024-06-30</t>
        </is>
      </c>
      <c r="H1893" t="inlineStr">
        <is>
          <t>Collette Chilton</t>
        </is>
      </c>
      <c r="I1893" t="inlineStr">
        <is>
          <t>CHIEF INVESTMENT OFFICER (THROUGH JUNE 30, 2023)</t>
        </is>
      </c>
      <c r="J1893" t="inlineStr">
        <is>
          <t>CIO</t>
        </is>
      </c>
      <c r="K1893" t="inlineStr">
        <is>
          <t>CIO - Top Investment Executive</t>
        </is>
      </c>
      <c r="L1893" s="28" t="n">
        <v>654860</v>
      </c>
      <c r="M1893" s="28" t="n">
        <v>214277</v>
      </c>
      <c r="N1893" s="28" t="n">
        <v>47029</v>
      </c>
      <c r="O1893" s="28" t="n">
        <v>102373</v>
      </c>
      <c r="P1893" s="28" t="n">
        <v>24366</v>
      </c>
      <c r="Q1893" s="28" t="n">
        <v>1042905</v>
      </c>
      <c r="R1893" s="28" t="n">
        <v>214277</v>
      </c>
      <c r="S1893" s="28">
        <f>Q1893-R1893</f>
        <v/>
      </c>
      <c r="T1893" s="28">
        <f>IF(S1893="","",S1893*(1+in_GrowthRate)^(YEARFRAC(DATE(2024,6,30),in_AgeToDate)*IF(in_AgeToDate&lt;DATE(2024,6,30),-1,1)+1))</f>
        <v/>
      </c>
      <c r="U1893" s="50">
        <f>IF(AND(AND(OR(in_Mode="All Funds",AND(C1893&gt;=in_BandFloor,C1893&lt;=in_BandCeiling,OR(in_Geography="National",COUNTIFS(lst_GeoPreset,in_Geography,lst_GeoState,B1893)&gt;0,AND(in_Geography="Custom",ISNUMBER(SEARCH(B1893,SUBSTITUTE(in_CustomStates," ",""))))),OR(AND(D1893="Endowment",Inputs!$B$14="Y"),AND(D1893="Foundation",Inputs!$B$15="Y"),AND(D1893="Healthcare",Inputs!$B$16="Y"),AND(D1893="Pension",Inputs!$B$17="Y"),AND(D1893="OCIO",Inputs!$B$18="Y"),AND(D1893="Other",Inputs!$B$19="Y")))),A1893&lt;&gt;in_ClientOrg,NOT(AND(in_ExclHarvard="Y",ISNUMBER(SEARCH("Harvard",A1893))))),$AD1893="Y",K1893&lt;&gt;"",S1893&gt;0),"Y","")</f>
        <v/>
      </c>
      <c r="V1893" s="30" t="n">
        <v>1</v>
      </c>
      <c r="W1893" t="inlineStr"/>
      <c r="X1893" s="28">
        <f>IF(L1893+M1893=0,"",L1893+M1893)</f>
        <v/>
      </c>
      <c r="Y1893" s="38">
        <f>IF(L1893=0,"",M1893/L1893)</f>
        <v/>
      </c>
      <c r="Z1893" t="inlineStr">
        <is>
          <t>CIO - Top Investment Executive</t>
        </is>
      </c>
      <c r="AA1893" t="inlineStr">
        <is>
          <t>Leadership</t>
        </is>
      </c>
      <c r="AB1893" s="50" t="inlineStr">
        <is>
          <t>Y</t>
        </is>
      </c>
      <c r="AC1893" s="43">
        <f>HYPERLINK("https://projects.propublica.org/nonprofits/organizations/42104847/202501349349312610/full","view filing")</f>
        <v/>
      </c>
      <c r="AD1893" s="50" t="inlineStr"/>
    </row>
    <row r="1894">
      <c r="A1894" t="inlineStr">
        <is>
          <t>Williams College</t>
        </is>
      </c>
      <c r="B1894" s="50" t="inlineStr">
        <is>
          <t>MA</t>
        </is>
      </c>
      <c r="C1894" s="52" t="n">
        <v>3.93</v>
      </c>
      <c r="D1894" t="inlineStr">
        <is>
          <t>Endowment</t>
        </is>
      </c>
      <c r="E1894" s="50" t="n">
        <v>2023</v>
      </c>
      <c r="F1894" s="50" t="inlineStr">
        <is>
          <t>2024-05-14</t>
        </is>
      </c>
      <c r="G1894" s="50" t="inlineStr">
        <is>
          <t>2023-06-30</t>
        </is>
      </c>
      <c r="H1894" t="inlineStr">
        <is>
          <t>Abigail Wattley</t>
        </is>
      </c>
      <c r="I1894" t="inlineStr">
        <is>
          <t>DEPUTY CHIEF INVESTMENT OFFICER</t>
        </is>
      </c>
      <c r="J1894" t="inlineStr">
        <is>
          <t>Deputy CIO</t>
        </is>
      </c>
      <c r="K1894" t="inlineStr">
        <is>
          <t>Sr Investment Professional</t>
        </is>
      </c>
      <c r="L1894" s="28" t="n">
        <v>428536</v>
      </c>
      <c r="M1894" s="28" t="n">
        <v>162283</v>
      </c>
      <c r="N1894" s="28" t="n">
        <v>0</v>
      </c>
      <c r="O1894" s="28" t="n">
        <v>36283</v>
      </c>
      <c r="P1894" s="28" t="n">
        <v>392</v>
      </c>
      <c r="Q1894" s="28" t="n">
        <v>627494</v>
      </c>
      <c r="R1894" s="28" t="n">
        <v>162283</v>
      </c>
      <c r="S1894" s="28">
        <f>Q1894-R1894</f>
        <v/>
      </c>
      <c r="T1894" s="28">
        <f>IF(S1894="","",S1894*(1+in_GrowthRate)^(YEARFRAC(DATE(2023,6,30),in_AgeToDate)*IF(in_AgeToDate&lt;DATE(2023,6,30),-1,1)+1))</f>
        <v/>
      </c>
      <c r="U1894" s="50">
        <f>IF(AND(AND(OR(in_Mode="All Funds",AND(C1894&gt;=in_BandFloor,C1894&lt;=in_BandCeiling,OR(in_Geography="National",COUNTIFS(lst_GeoPreset,in_Geography,lst_GeoState,B1894)&gt;0,AND(in_Geography="Custom",ISNUMBER(SEARCH(B1894,SUBSTITUTE(in_CustomStates," ",""))))),OR(AND(D1894="Endowment",Inputs!$B$14="Y"),AND(D1894="Foundation",Inputs!$B$15="Y"),AND(D1894="Healthcare",Inputs!$B$16="Y"),AND(D1894="Pension",Inputs!$B$17="Y"),AND(D1894="OCIO",Inputs!$B$18="Y"),AND(D1894="Other",Inputs!$B$19="Y")))),A1894&lt;&gt;in_ClientOrg,NOT(AND(in_ExclHarvard="Y",ISNUMBER(SEARCH("Harvard",A1894))))),$AD1894="Y",K1894&lt;&gt;"",S1894&gt;0),"Y","")</f>
        <v/>
      </c>
      <c r="V1894" s="30" t="n">
        <v>0.5481596082377533</v>
      </c>
      <c r="W1894" t="inlineStr"/>
      <c r="X1894" s="28">
        <f>IF(L1894+M1894=0,"",L1894+M1894)</f>
        <v/>
      </c>
      <c r="Y1894" s="38">
        <f>IF(L1894=0,"",M1894/L1894)</f>
        <v/>
      </c>
      <c r="Z1894" t="inlineStr">
        <is>
          <t>Deputy CIO</t>
        </is>
      </c>
      <c r="AA1894" t="inlineStr">
        <is>
          <t>Leadership</t>
        </is>
      </c>
      <c r="AB1894" s="50" t="inlineStr"/>
      <c r="AC1894" s="43">
        <f>HYPERLINK("https://projects.propublica.org/nonprofits/organizations/42104847/202431359349305018/full","view filing")</f>
        <v/>
      </c>
      <c r="AD1894" s="50" t="inlineStr"/>
    </row>
    <row r="1895">
      <c r="A1895" t="inlineStr">
        <is>
          <t>Williams College</t>
        </is>
      </c>
      <c r="B1895" s="50" t="inlineStr">
        <is>
          <t>MA</t>
        </is>
      </c>
      <c r="C1895" s="52" t="n">
        <v>3.93</v>
      </c>
      <c r="D1895" t="inlineStr">
        <is>
          <t>Endowment</t>
        </is>
      </c>
      <c r="E1895" s="50" t="n">
        <v>2023</v>
      </c>
      <c r="F1895" s="50" t="inlineStr">
        <is>
          <t>2024-05-14</t>
        </is>
      </c>
      <c r="G1895" s="50" t="inlineStr">
        <is>
          <t>2023-06-30</t>
        </is>
      </c>
      <c r="H1895" t="inlineStr">
        <is>
          <t>Collette Chilton</t>
        </is>
      </c>
      <c r="I1895" t="inlineStr">
        <is>
          <t>CHIEF INVESTMENT OFFICER</t>
        </is>
      </c>
      <c r="J1895" t="inlineStr">
        <is>
          <t>CIO</t>
        </is>
      </c>
      <c r="K1895" t="inlineStr">
        <is>
          <t>CIO - Top Investment Executive</t>
        </is>
      </c>
      <c r="L1895" s="28" t="n">
        <v>642587</v>
      </c>
      <c r="M1895" s="28" t="n">
        <v>520138</v>
      </c>
      <c r="N1895" s="28" t="n">
        <v>44440</v>
      </c>
      <c r="O1895" s="28" t="n">
        <v>140521</v>
      </c>
      <c r="P1895" s="28" t="n">
        <v>21130</v>
      </c>
      <c r="Q1895" s="28" t="n">
        <v>1368816</v>
      </c>
      <c r="R1895" s="28" t="n">
        <v>520138</v>
      </c>
      <c r="S1895" s="28">
        <f>Q1895-R1895</f>
        <v/>
      </c>
      <c r="T1895" s="28">
        <f>IF(S1895="","",S1895*(1+in_GrowthRate)^(YEARFRAC(DATE(2023,6,30),in_AgeToDate)*IF(in_AgeToDate&lt;DATE(2023,6,30),-1,1)+1))</f>
        <v/>
      </c>
      <c r="U1895" s="50">
        <f>IF(AND(AND(OR(in_Mode="All Funds",AND(C1895&gt;=in_BandFloor,C1895&lt;=in_BandCeiling,OR(in_Geography="National",COUNTIFS(lst_GeoPreset,in_Geography,lst_GeoState,B1895)&gt;0,AND(in_Geography="Custom",ISNUMBER(SEARCH(B1895,SUBSTITUTE(in_CustomStates," ",""))))),OR(AND(D1895="Endowment",Inputs!$B$14="Y"),AND(D1895="Foundation",Inputs!$B$15="Y"),AND(D1895="Healthcare",Inputs!$B$16="Y"),AND(D1895="Pension",Inputs!$B$17="Y"),AND(D1895="OCIO",Inputs!$B$18="Y"),AND(D1895="Other",Inputs!$B$19="Y")))),A1895&lt;&gt;in_ClientOrg,NOT(AND(in_ExclHarvard="Y",ISNUMBER(SEARCH("Harvard",A1895))))),$AD1895="Y",K1895&lt;&gt;"",S1895&gt;0),"Y","")</f>
        <v/>
      </c>
      <c r="V1895" s="30" t="n">
        <v>1</v>
      </c>
      <c r="W1895" t="inlineStr"/>
      <c r="X1895" s="28">
        <f>IF(L1895+M1895=0,"",L1895+M1895)</f>
        <v/>
      </c>
      <c r="Y1895" s="38">
        <f>IF(L1895=0,"",M1895/L1895)</f>
        <v/>
      </c>
      <c r="Z1895" t="inlineStr">
        <is>
          <t>CIO - Top Investment Executive</t>
        </is>
      </c>
      <c r="AA1895" t="inlineStr">
        <is>
          <t>Leadership</t>
        </is>
      </c>
      <c r="AB1895" s="50" t="inlineStr">
        <is>
          <t>Y</t>
        </is>
      </c>
      <c r="AC1895" s="43">
        <f>HYPERLINK("https://projects.propublica.org/nonprofits/organizations/42104847/202431359349305018/full","view filing")</f>
        <v/>
      </c>
      <c r="AD1895" s="50" t="inlineStr"/>
    </row>
    <row r="1896">
      <c r="A1896" t="inlineStr">
        <is>
          <t>Williams College</t>
        </is>
      </c>
      <c r="B1896" s="50" t="inlineStr">
        <is>
          <t>MA</t>
        </is>
      </c>
      <c r="C1896" s="52" t="n">
        <v>3.93</v>
      </c>
      <c r="D1896" t="inlineStr">
        <is>
          <t>Endowment</t>
        </is>
      </c>
      <c r="E1896" s="50" t="n">
        <v>2023</v>
      </c>
      <c r="F1896" s="50" t="inlineStr">
        <is>
          <t>2024-05-14</t>
        </is>
      </c>
      <c r="G1896" s="50" t="inlineStr">
        <is>
          <t>2023-06-30</t>
        </is>
      </c>
      <c r="H1896" t="inlineStr">
        <is>
          <t>Julia Crosby</t>
        </is>
      </c>
      <c r="I1896" t="inlineStr">
        <is>
          <t>MANAGING DIRECTOR, INV OFFICE Through November 2022</t>
        </is>
      </c>
      <c r="J1896" t="inlineStr">
        <is>
          <t>Managing Director</t>
        </is>
      </c>
      <c r="K1896" t="inlineStr">
        <is>
          <t>Sr Investment Professional</t>
        </is>
      </c>
      <c r="L1896" s="28" t="n">
        <v>368040</v>
      </c>
      <c r="M1896" s="28" t="n">
        <v>0</v>
      </c>
      <c r="N1896" s="28" t="n">
        <v>1200</v>
      </c>
      <c r="O1896" s="28" t="n">
        <v>32408</v>
      </c>
      <c r="P1896" s="28" t="n">
        <v>18656</v>
      </c>
      <c r="Q1896" s="28" t="n">
        <v>420304</v>
      </c>
      <c r="R1896" s="28" t="n">
        <v>0</v>
      </c>
      <c r="S1896" s="28">
        <f>Q1896-R1896</f>
        <v/>
      </c>
      <c r="T1896" s="28">
        <f>IF(S1896="","",S1896*(1+in_GrowthRate)^(YEARFRAC(DATE(2023,6,30),in_AgeToDate)*IF(in_AgeToDate&lt;DATE(2023,6,30),-1,1)+1))</f>
        <v/>
      </c>
      <c r="U1896" s="50">
        <f>IF(AND(AND(OR(in_Mode="All Funds",AND(C1896&gt;=in_BandFloor,C1896&lt;=in_BandCeiling,OR(in_Geography="National",COUNTIFS(lst_GeoPreset,in_Geography,lst_GeoState,B1896)&gt;0,AND(in_Geography="Custom",ISNUMBER(SEARCH(B1896,SUBSTITUTE(in_CustomStates," ",""))))),OR(AND(D1896="Endowment",Inputs!$B$14="Y"),AND(D1896="Foundation",Inputs!$B$15="Y"),AND(D1896="Healthcare",Inputs!$B$16="Y"),AND(D1896="Pension",Inputs!$B$17="Y"),AND(D1896="OCIO",Inputs!$B$18="Y"),AND(D1896="Other",Inputs!$B$19="Y")))),A1896&lt;&gt;in_ClientOrg,NOT(AND(in_ExclHarvard="Y",ISNUMBER(SEARCH("Harvard",A1896))))),$AD1896="Y",K1896&lt;&gt;"",S1896&gt;0),"Y","")</f>
        <v/>
      </c>
      <c r="V1896" s="30" t="n">
        <v>0.4952455466030697</v>
      </c>
      <c r="W1896" t="inlineStr"/>
      <c r="X1896" s="28">
        <f>IF(L1896+M1896=0,"",L1896+M1896)</f>
        <v/>
      </c>
      <c r="Y1896" s="38">
        <f>IF(L1896=0,"",M1896/L1896)</f>
        <v/>
      </c>
      <c r="Z1896" t="inlineStr">
        <is>
          <t>Managing Director</t>
        </is>
      </c>
      <c r="AA1896" t="inlineStr">
        <is>
          <t>Investments</t>
        </is>
      </c>
      <c r="AB1896" s="50" t="inlineStr"/>
      <c r="AC1896" s="43">
        <f>HYPERLINK("https://projects.propublica.org/nonprofits/organizations/42104847/202431359349305018/full","view filing")</f>
        <v/>
      </c>
      <c r="AD1896" s="50" t="inlineStr"/>
    </row>
    <row r="1897">
      <c r="A1897" t="inlineStr">
        <is>
          <t>Williams College</t>
        </is>
      </c>
      <c r="B1897" s="50" t="inlineStr">
        <is>
          <t>MA</t>
        </is>
      </c>
      <c r="C1897" s="52" t="n">
        <v>3.93</v>
      </c>
      <c r="D1897" t="inlineStr">
        <is>
          <t>Endowment</t>
        </is>
      </c>
      <c r="E1897" s="50" t="n">
        <v>2022</v>
      </c>
      <c r="F1897" s="50" t="inlineStr">
        <is>
          <t>2023-05-12</t>
        </is>
      </c>
      <c r="G1897" s="50" t="inlineStr">
        <is>
          <t>2022-06-30</t>
        </is>
      </c>
      <c r="H1897" t="inlineStr">
        <is>
          <t>Abigail Wattley</t>
        </is>
      </c>
      <c r="I1897" t="inlineStr">
        <is>
          <t>MANAGING DIRECTOR, INV OFFICE</t>
        </is>
      </c>
      <c r="J1897" t="inlineStr">
        <is>
          <t>Managing Director</t>
        </is>
      </c>
      <c r="K1897" t="inlineStr">
        <is>
          <t>Sr Investment Professional</t>
        </is>
      </c>
      <c r="L1897" s="28" t="n">
        <v>355249</v>
      </c>
      <c r="M1897" s="28" t="n">
        <v>355197</v>
      </c>
      <c r="N1897" s="28" t="n">
        <v>0</v>
      </c>
      <c r="O1897" s="28" t="n">
        <v>178954</v>
      </c>
      <c r="P1897" s="28" t="n">
        <v>5392</v>
      </c>
      <c r="Q1897" s="28" t="n">
        <v>894792</v>
      </c>
      <c r="R1897" s="28" t="n">
        <v>208947</v>
      </c>
      <c r="S1897" s="28">
        <f>Q1897-R1897</f>
        <v/>
      </c>
      <c r="T1897" s="28">
        <f>IF(S1897="","",S1897*(1+in_GrowthRate)^(YEARFRAC(DATE(2022,6,30),in_AgeToDate)*IF(in_AgeToDate&lt;DATE(2022,6,30),-1,1)+1))</f>
        <v/>
      </c>
      <c r="U1897" s="50">
        <f>IF(AND(AND(OR(in_Mode="All Funds",AND(C1897&gt;=in_BandFloor,C1897&lt;=in_BandCeiling,OR(in_Geography="National",COUNTIFS(lst_GeoPreset,in_Geography,lst_GeoState,B1897)&gt;0,AND(in_Geography="Custom",ISNUMBER(SEARCH(B1897,SUBSTITUTE(in_CustomStates," ",""))))),OR(AND(D1897="Endowment",Inputs!$B$14="Y"),AND(D1897="Foundation",Inputs!$B$15="Y"),AND(D1897="Healthcare",Inputs!$B$16="Y"),AND(D1897="Pension",Inputs!$B$17="Y"),AND(D1897="OCIO",Inputs!$B$18="Y"),AND(D1897="Other",Inputs!$B$19="Y")))),A1897&lt;&gt;in_ClientOrg,NOT(AND(in_ExclHarvard="Y",ISNUMBER(SEARCH("Harvard",A1897))))),$AD1897="Y",K1897&lt;&gt;"",S1897&gt;0),"Y","")</f>
        <v/>
      </c>
      <c r="V1897" s="30" t="n">
        <v>0.3945311151761985</v>
      </c>
      <c r="W1897" t="inlineStr"/>
      <c r="X1897" s="28">
        <f>IF(L1897+M1897=0,"",L1897+M1897)</f>
        <v/>
      </c>
      <c r="Y1897" s="38">
        <f>IF(L1897=0,"",M1897/L1897)</f>
        <v/>
      </c>
      <c r="Z1897" t="inlineStr">
        <is>
          <t>Managing Director</t>
        </is>
      </c>
      <c r="AA1897" t="inlineStr">
        <is>
          <t>Investments</t>
        </is>
      </c>
      <c r="AB1897" s="50" t="inlineStr"/>
      <c r="AC1897" s="43">
        <f>HYPERLINK("https://projects.propublica.org/nonprofits/organizations/42104847/202301329349308795/full","view filing")</f>
        <v/>
      </c>
      <c r="AD1897" s="50" t="inlineStr"/>
    </row>
    <row r="1898">
      <c r="A1898" t="inlineStr">
        <is>
          <t>Williams College</t>
        </is>
      </c>
      <c r="B1898" s="50" t="inlineStr">
        <is>
          <t>MA</t>
        </is>
      </c>
      <c r="C1898" s="52" t="n">
        <v>3.93</v>
      </c>
      <c r="D1898" t="inlineStr">
        <is>
          <t>Endowment</t>
        </is>
      </c>
      <c r="E1898" s="50" t="n">
        <v>2022</v>
      </c>
      <c r="F1898" s="50" t="inlineStr">
        <is>
          <t>2023-05-12</t>
        </is>
      </c>
      <c r="G1898" s="50" t="inlineStr">
        <is>
          <t>2022-06-30</t>
        </is>
      </c>
      <c r="H1898" t="inlineStr">
        <is>
          <t>Collette Chilton</t>
        </is>
      </c>
      <c r="I1898" t="inlineStr">
        <is>
          <t>CHIEF INVESTMENT OFFICER</t>
        </is>
      </c>
      <c r="J1898" t="inlineStr">
        <is>
          <t>CIO</t>
        </is>
      </c>
      <c r="K1898" t="inlineStr">
        <is>
          <t>CIO - Top Investment Executive</t>
        </is>
      </c>
      <c r="L1898" s="28" t="n">
        <v>605566</v>
      </c>
      <c r="M1898" s="28" t="n">
        <v>1168606</v>
      </c>
      <c r="N1898" s="28" t="n">
        <v>42709</v>
      </c>
      <c r="O1898" s="28" t="n">
        <v>601454</v>
      </c>
      <c r="P1898" s="28" t="n">
        <v>19901</v>
      </c>
      <c r="Q1898" s="28" t="n">
        <v>2438236</v>
      </c>
      <c r="R1898" s="28" t="n">
        <v>699856</v>
      </c>
      <c r="S1898" s="28">
        <f>Q1898-R1898</f>
        <v/>
      </c>
      <c r="T1898" s="28">
        <f>IF(S1898="","",S1898*(1+in_GrowthRate)^(YEARFRAC(DATE(2022,6,30),in_AgeToDate)*IF(in_AgeToDate&lt;DATE(2022,6,30),-1,1)+1))</f>
        <v/>
      </c>
      <c r="U1898" s="50">
        <f>IF(AND(AND(OR(in_Mode="All Funds",AND(C1898&gt;=in_BandFloor,C1898&lt;=in_BandCeiling,OR(in_Geography="National",COUNTIFS(lst_GeoPreset,in_Geography,lst_GeoState,B1898)&gt;0,AND(in_Geography="Custom",ISNUMBER(SEARCH(B1898,SUBSTITUTE(in_CustomStates," ",""))))),OR(AND(D1898="Endowment",Inputs!$B$14="Y"),AND(D1898="Foundation",Inputs!$B$15="Y"),AND(D1898="Healthcare",Inputs!$B$16="Y"),AND(D1898="Pension",Inputs!$B$17="Y"),AND(D1898="OCIO",Inputs!$B$18="Y"),AND(D1898="Other",Inputs!$B$19="Y")))),A1898&lt;&gt;in_ClientOrg,NOT(AND(in_ExclHarvard="Y",ISNUMBER(SEARCH("Harvard",A1898))))),$AD1898="Y",K1898&lt;&gt;"",S1898&gt;0),"Y","")</f>
        <v/>
      </c>
      <c r="V1898" s="30" t="n">
        <v>1</v>
      </c>
      <c r="W1898" t="inlineStr"/>
      <c r="X1898" s="28">
        <f>IF(L1898+M1898=0,"",L1898+M1898)</f>
        <v/>
      </c>
      <c r="Y1898" s="38">
        <f>IF(L1898=0,"",M1898/L1898)</f>
        <v/>
      </c>
      <c r="Z1898" t="inlineStr">
        <is>
          <t>CIO - Top Investment Executive</t>
        </is>
      </c>
      <c r="AA1898" t="inlineStr">
        <is>
          <t>Leadership</t>
        </is>
      </c>
      <c r="AB1898" s="50" t="inlineStr">
        <is>
          <t>Y</t>
        </is>
      </c>
      <c r="AC1898" s="43">
        <f>HYPERLINK("https://projects.propublica.org/nonprofits/organizations/42104847/202301329349308795/full","view filing")</f>
        <v/>
      </c>
      <c r="AD1898" s="50" t="inlineStr"/>
    </row>
    <row r="1899">
      <c r="A1899" t="inlineStr">
        <is>
          <t>Williams College</t>
        </is>
      </c>
      <c r="B1899" s="50" t="inlineStr">
        <is>
          <t>MA</t>
        </is>
      </c>
      <c r="C1899" s="52" t="n">
        <v>3.93</v>
      </c>
      <c r="D1899" t="inlineStr">
        <is>
          <t>Endowment</t>
        </is>
      </c>
      <c r="E1899" s="50" t="n">
        <v>2022</v>
      </c>
      <c r="F1899" s="50" t="inlineStr">
        <is>
          <t>2023-05-12</t>
        </is>
      </c>
      <c r="G1899" s="50" t="inlineStr">
        <is>
          <t>2022-06-30</t>
        </is>
      </c>
      <c r="H1899" t="inlineStr">
        <is>
          <t>Julia Crosby</t>
        </is>
      </c>
      <c r="I1899" t="inlineStr">
        <is>
          <t>MANAGING DIRECTOR, INV OFFICE</t>
        </is>
      </c>
      <c r="J1899" t="inlineStr">
        <is>
          <t>Managing Director</t>
        </is>
      </c>
      <c r="K1899" t="inlineStr">
        <is>
          <t>Sr Investment Professional</t>
        </is>
      </c>
      <c r="L1899" s="28" t="n">
        <v>368534</v>
      </c>
      <c r="M1899" s="28" t="n">
        <v>409340</v>
      </c>
      <c r="N1899" s="28" t="n">
        <v>1560</v>
      </c>
      <c r="O1899" s="28" t="n">
        <v>196954</v>
      </c>
      <c r="P1899" s="28" t="n">
        <v>21006</v>
      </c>
      <c r="Q1899" s="28" t="n">
        <v>997394</v>
      </c>
      <c r="R1899" s="28" t="n">
        <v>245090</v>
      </c>
      <c r="S1899" s="28">
        <f>Q1899-R1899</f>
        <v/>
      </c>
      <c r="T1899" s="28">
        <f>IF(S1899="","",S1899*(1+in_GrowthRate)^(YEARFRAC(DATE(2022,6,30),in_AgeToDate)*IF(in_AgeToDate&lt;DATE(2022,6,30),-1,1)+1))</f>
        <v/>
      </c>
      <c r="U1899" s="50">
        <f>IF(AND(AND(OR(in_Mode="All Funds",AND(C1899&gt;=in_BandFloor,C1899&lt;=in_BandCeiling,OR(in_Geography="National",COUNTIFS(lst_GeoPreset,in_Geography,lst_GeoState,B1899)&gt;0,AND(in_Geography="Custom",ISNUMBER(SEARCH(B1899,SUBSTITUTE(in_CustomStates," ",""))))),OR(AND(D1899="Endowment",Inputs!$B$14="Y"),AND(D1899="Foundation",Inputs!$B$15="Y"),AND(D1899="Healthcare",Inputs!$B$16="Y"),AND(D1899="Pension",Inputs!$B$17="Y"),AND(D1899="OCIO",Inputs!$B$18="Y"),AND(D1899="Other",Inputs!$B$19="Y")))),A1899&lt;&gt;in_ClientOrg,NOT(AND(in_ExclHarvard="Y",ISNUMBER(SEARCH("Harvard",A1899))))),$AD1899="Y",K1899&lt;&gt;"",S1899&gt;0),"Y","")</f>
        <v/>
      </c>
      <c r="V1899" s="30" t="n">
        <v>0.4327615366030442</v>
      </c>
      <c r="W1899" t="inlineStr"/>
      <c r="X1899" s="28">
        <f>IF(L1899+M1899=0,"",L1899+M1899)</f>
        <v/>
      </c>
      <c r="Y1899" s="38">
        <f>IF(L1899=0,"",M1899/L1899)</f>
        <v/>
      </c>
      <c r="Z1899" t="inlineStr">
        <is>
          <t>Managing Director</t>
        </is>
      </c>
      <c r="AA1899" t="inlineStr">
        <is>
          <t>Investments</t>
        </is>
      </c>
      <c r="AB1899" s="50" t="inlineStr"/>
      <c r="AC1899" s="43">
        <f>HYPERLINK("https://projects.propublica.org/nonprofits/organizations/42104847/202301329349308795/full","view filing")</f>
        <v/>
      </c>
      <c r="AD1899" s="50" t="inlineStr"/>
    </row>
    <row r="1900">
      <c r="A1900" t="inlineStr">
        <is>
          <t>Wisconsin Alumni Research Foundation</t>
        </is>
      </c>
      <c r="B1900" s="50" t="inlineStr">
        <is>
          <t>WI</t>
        </is>
      </c>
      <c r="C1900" s="52" t="n">
        <v>3.4</v>
      </c>
      <c r="D1900" t="inlineStr">
        <is>
          <t>Foundation</t>
        </is>
      </c>
      <c r="E1900" s="50" t="n">
        <v>2025</v>
      </c>
      <c r="F1900" s="50" t="inlineStr">
        <is>
          <t>2025-11-11</t>
        </is>
      </c>
      <c r="G1900" s="50" t="inlineStr">
        <is>
          <t>2025-06-30</t>
        </is>
      </c>
      <c r="H1900" t="inlineStr">
        <is>
          <t>Alain Hung</t>
        </is>
      </c>
      <c r="I1900" t="inlineStr">
        <is>
          <t>DEPUTY CHIEF INVESTMENT OFFICER</t>
        </is>
      </c>
      <c r="J1900" t="inlineStr">
        <is>
          <t>Deputy CIO</t>
        </is>
      </c>
      <c r="K1900" t="inlineStr">
        <is>
          <t>Sr Investment Professional</t>
        </is>
      </c>
      <c r="L1900" s="28" t="n">
        <v>421514</v>
      </c>
      <c r="M1900" s="28" t="n">
        <v>105687</v>
      </c>
      <c r="N1900" s="28" t="n">
        <v>0</v>
      </c>
      <c r="O1900" s="28" t="n">
        <v>160946</v>
      </c>
      <c r="P1900" s="28" t="n">
        <v>37662</v>
      </c>
      <c r="Q1900" s="28" t="n">
        <v>725809</v>
      </c>
      <c r="R1900" s="28" t="n">
        <v>0</v>
      </c>
      <c r="S1900" s="28">
        <f>Q1900-R1900</f>
        <v/>
      </c>
      <c r="T1900" s="28">
        <f>IF(S1900="","",S1900*(1+in_GrowthRate)^(YEARFRAC(DATE(2025,6,30),in_AgeToDate)*IF(in_AgeToDate&lt;DATE(2025,6,30),-1,1)+1))</f>
        <v/>
      </c>
      <c r="U1900" s="50">
        <f>IF(AND(AND(OR(in_Mode="All Funds",AND(C1900&gt;=in_BandFloor,C1900&lt;=in_BandCeiling,OR(in_Geography="National",COUNTIFS(lst_GeoPreset,in_Geography,lst_GeoState,B1900)&gt;0,AND(in_Geography="Custom",ISNUMBER(SEARCH(B1900,SUBSTITUTE(in_CustomStates," ",""))))),OR(AND(D1900="Endowment",Inputs!$B$14="Y"),AND(D1900="Foundation",Inputs!$B$15="Y"),AND(D1900="Healthcare",Inputs!$B$16="Y"),AND(D1900="Pension",Inputs!$B$17="Y"),AND(D1900="OCIO",Inputs!$B$18="Y"),AND(D1900="Other",Inputs!$B$19="Y")))),A1900&lt;&gt;in_ClientOrg,NOT(AND(in_ExclHarvard="Y",ISNUMBER(SEARCH("Harvard",A1900))))),$AD1900="Y",K1900&lt;&gt;"",S1900&gt;0),"Y","")</f>
        <v/>
      </c>
      <c r="V1900" s="30" t="n"/>
      <c r="W1900" t="inlineStr"/>
      <c r="X1900" s="28">
        <f>IF(L1900+M1900=0,"",L1900+M1900)</f>
        <v/>
      </c>
      <c r="Y1900" s="38">
        <f>IF(L1900=0,"",M1900/L1900)</f>
        <v/>
      </c>
      <c r="Z1900" t="inlineStr">
        <is>
          <t>Deputy CIO</t>
        </is>
      </c>
      <c r="AA1900" t="inlineStr">
        <is>
          <t>Leadership</t>
        </is>
      </c>
      <c r="AB1900" s="50" t="inlineStr"/>
      <c r="AC1900" s="43">
        <f>HYPERLINK("https://projects.propublica.org/nonprofits/organizations/390833612/202533159349304918/full","view filing")</f>
        <v/>
      </c>
      <c r="AD1900" s="50" t="inlineStr">
        <is>
          <t>Y</t>
        </is>
      </c>
    </row>
    <row r="1901">
      <c r="A1901" t="inlineStr">
        <is>
          <t>Wisconsin Alumni Research Foundation</t>
        </is>
      </c>
      <c r="B1901" s="50" t="inlineStr">
        <is>
          <t>WI</t>
        </is>
      </c>
      <c r="C1901" s="52" t="n">
        <v>3.4</v>
      </c>
      <c r="D1901" t="inlineStr">
        <is>
          <t>Foundation</t>
        </is>
      </c>
      <c r="E1901" s="50" t="n">
        <v>2025</v>
      </c>
      <c r="F1901" s="50" t="inlineStr">
        <is>
          <t>2025-11-11</t>
        </is>
      </c>
      <c r="G1901" s="50" t="inlineStr">
        <is>
          <t>2025-06-30</t>
        </is>
      </c>
      <c r="H1901" t="inlineStr">
        <is>
          <t>Michael Wagner</t>
        </is>
      </c>
      <c r="I1901" t="inlineStr">
        <is>
          <t>INVESTMENT DIRECTOR</t>
        </is>
      </c>
      <c r="J1901" t="inlineStr">
        <is>
          <t>Director of Investments</t>
        </is>
      </c>
      <c r="K1901" t="inlineStr">
        <is>
          <t>Sr Investment Professional</t>
        </is>
      </c>
      <c r="L1901" s="28" t="n">
        <v>307359</v>
      </c>
      <c r="M1901" s="28" t="n">
        <v>152641</v>
      </c>
      <c r="N1901" s="28" t="n">
        <v>0</v>
      </c>
      <c r="O1901" s="28" t="n">
        <v>149522</v>
      </c>
      <c r="P1901" s="28" t="n">
        <v>43355</v>
      </c>
      <c r="Q1901" s="28" t="n">
        <v>652877</v>
      </c>
      <c r="R1901" s="28" t="n">
        <v>0</v>
      </c>
      <c r="S1901" s="28">
        <f>Q1901-R1901</f>
        <v/>
      </c>
      <c r="T1901" s="28">
        <f>IF(S1901="","",S1901*(1+in_GrowthRate)^(YEARFRAC(DATE(2025,6,30),in_AgeToDate)*IF(in_AgeToDate&lt;DATE(2025,6,30),-1,1)+1))</f>
        <v/>
      </c>
      <c r="U1901" s="50">
        <f>IF(AND(AND(OR(in_Mode="All Funds",AND(C1901&gt;=in_BandFloor,C1901&lt;=in_BandCeiling,OR(in_Geography="National",COUNTIFS(lst_GeoPreset,in_Geography,lst_GeoState,B1901)&gt;0,AND(in_Geography="Custom",ISNUMBER(SEARCH(B1901,SUBSTITUTE(in_CustomStates," ",""))))),OR(AND(D1901="Endowment",Inputs!$B$14="Y"),AND(D1901="Foundation",Inputs!$B$15="Y"),AND(D1901="Healthcare",Inputs!$B$16="Y"),AND(D1901="Pension",Inputs!$B$17="Y"),AND(D1901="OCIO",Inputs!$B$18="Y"),AND(D1901="Other",Inputs!$B$19="Y")))),A1901&lt;&gt;in_ClientOrg,NOT(AND(in_ExclHarvard="Y",ISNUMBER(SEARCH("Harvard",A1901))))),$AD1901="Y",K1901&lt;&gt;"",S1901&gt;0),"Y","")</f>
        <v/>
      </c>
      <c r="V1901" s="30" t="n"/>
      <c r="W1901" t="inlineStr"/>
      <c r="X1901" s="28">
        <f>IF(L1901+M1901=0,"",L1901+M1901)</f>
        <v/>
      </c>
      <c r="Y1901" s="38">
        <f>IF(L1901=0,"",M1901/L1901)</f>
        <v/>
      </c>
      <c r="Z1901" t="inlineStr">
        <is>
          <t>Director &amp; Investment Officer</t>
        </is>
      </c>
      <c r="AA1901" t="inlineStr">
        <is>
          <t>Investments</t>
        </is>
      </c>
      <c r="AB1901" s="50" t="inlineStr"/>
      <c r="AC1901" s="43">
        <f>HYPERLINK("https://projects.propublica.org/nonprofits/organizations/390833612/202533159349304918/full","view filing")</f>
        <v/>
      </c>
      <c r="AD1901" s="50" t="inlineStr">
        <is>
          <t>Y</t>
        </is>
      </c>
    </row>
    <row r="1902">
      <c r="A1902" t="inlineStr">
        <is>
          <t>Wisconsin Alumni Research Foundation</t>
        </is>
      </c>
      <c r="B1902" s="50" t="inlineStr">
        <is>
          <t>WI</t>
        </is>
      </c>
      <c r="C1902" s="52" t="n">
        <v>3.4</v>
      </c>
      <c r="D1902" t="inlineStr">
        <is>
          <t>Foundation</t>
        </is>
      </c>
      <c r="E1902" s="50" t="n">
        <v>2024</v>
      </c>
      <c r="F1902" s="50" t="inlineStr">
        <is>
          <t>2024-11-08</t>
        </is>
      </c>
      <c r="G1902" s="50" t="inlineStr">
        <is>
          <t>2024-06-30</t>
        </is>
      </c>
      <c r="H1902" t="inlineStr">
        <is>
          <t>Alain Hung</t>
        </is>
      </c>
      <c r="I1902" t="inlineStr">
        <is>
          <t>DEPUTY CHIEF INVESTMENT OFFICER</t>
        </is>
      </c>
      <c r="J1902" t="inlineStr">
        <is>
          <t>Deputy CIO</t>
        </is>
      </c>
      <c r="K1902" t="inlineStr">
        <is>
          <t>Sr Investment Professional</t>
        </is>
      </c>
      <c r="L1902" s="28" t="n">
        <v>401541</v>
      </c>
      <c r="M1902" s="28" t="n">
        <v>106115</v>
      </c>
      <c r="N1902" s="28" t="n">
        <v>0</v>
      </c>
      <c r="O1902" s="28" t="n">
        <v>32500</v>
      </c>
      <c r="P1902" s="28" t="n">
        <v>44290</v>
      </c>
      <c r="Q1902" s="28" t="n">
        <v>584446</v>
      </c>
      <c r="R1902" s="28" t="n">
        <v>0</v>
      </c>
      <c r="S1902" s="28">
        <f>Q1902-R1902</f>
        <v/>
      </c>
      <c r="T1902" s="28">
        <f>IF(S1902="","",S1902*(1+in_GrowthRate)^(YEARFRAC(DATE(2024,6,30),in_AgeToDate)*IF(in_AgeToDate&lt;DATE(2024,6,30),-1,1)+1))</f>
        <v/>
      </c>
      <c r="U1902" s="50">
        <f>IF(AND(AND(OR(in_Mode="All Funds",AND(C1902&gt;=in_BandFloor,C1902&lt;=in_BandCeiling,OR(in_Geography="National",COUNTIFS(lst_GeoPreset,in_Geography,lst_GeoState,B1902)&gt;0,AND(in_Geography="Custom",ISNUMBER(SEARCH(B1902,SUBSTITUTE(in_CustomStates," ",""))))),OR(AND(D1902="Endowment",Inputs!$B$14="Y"),AND(D1902="Foundation",Inputs!$B$15="Y"),AND(D1902="Healthcare",Inputs!$B$16="Y"),AND(D1902="Pension",Inputs!$B$17="Y"),AND(D1902="OCIO",Inputs!$B$18="Y"),AND(D1902="Other",Inputs!$B$19="Y")))),A1902&lt;&gt;in_ClientOrg,NOT(AND(in_ExclHarvard="Y",ISNUMBER(SEARCH("Harvard",A1902))))),$AD1902="Y",K1902&lt;&gt;"",S1902&gt;0),"Y","")</f>
        <v/>
      </c>
      <c r="V1902" s="30" t="n"/>
      <c r="W1902" t="inlineStr"/>
      <c r="X1902" s="28">
        <f>IF(L1902+M1902=0,"",L1902+M1902)</f>
        <v/>
      </c>
      <c r="Y1902" s="38">
        <f>IF(L1902=0,"",M1902/L1902)</f>
        <v/>
      </c>
      <c r="Z1902" t="inlineStr">
        <is>
          <t>Deputy CIO</t>
        </is>
      </c>
      <c r="AA1902" t="inlineStr">
        <is>
          <t>Leadership</t>
        </is>
      </c>
      <c r="AB1902" s="50" t="inlineStr"/>
      <c r="AC1902" s="43">
        <f>HYPERLINK("https://projects.propublica.org/nonprofits/organizations/390833612/202443139349304264/full","view filing")</f>
        <v/>
      </c>
      <c r="AD1902" s="50" t="inlineStr"/>
    </row>
    <row r="1903">
      <c r="A1903" t="inlineStr">
        <is>
          <t>Wisconsin Alumni Research Foundation</t>
        </is>
      </c>
      <c r="B1903" s="50" t="inlineStr">
        <is>
          <t>WI</t>
        </is>
      </c>
      <c r="C1903" s="52" t="n">
        <v>3.4</v>
      </c>
      <c r="D1903" t="inlineStr">
        <is>
          <t>Foundation</t>
        </is>
      </c>
      <c r="E1903" s="50" t="n">
        <v>2024</v>
      </c>
      <c r="F1903" s="50" t="inlineStr">
        <is>
          <t>2024-11-08</t>
        </is>
      </c>
      <c r="G1903" s="50" t="inlineStr">
        <is>
          <t>2024-06-30</t>
        </is>
      </c>
      <c r="H1903" t="inlineStr">
        <is>
          <t>Michael Wagner</t>
        </is>
      </c>
      <c r="I1903" t="inlineStr">
        <is>
          <t>INVESTMENT DIRECTOR</t>
        </is>
      </c>
      <c r="J1903" t="inlineStr">
        <is>
          <t>Director of Investments</t>
        </is>
      </c>
      <c r="K1903" t="inlineStr">
        <is>
          <t>Sr Investment Professional</t>
        </is>
      </c>
      <c r="L1903" s="28" t="n">
        <v>294036</v>
      </c>
      <c r="M1903" s="28" t="n">
        <v>118006</v>
      </c>
      <c r="N1903" s="28" t="n">
        <v>0</v>
      </c>
      <c r="O1903" s="28" t="n">
        <v>101229</v>
      </c>
      <c r="P1903" s="28" t="n">
        <v>42043</v>
      </c>
      <c r="Q1903" s="28" t="n">
        <v>555314</v>
      </c>
      <c r="R1903" s="28" t="n">
        <v>0</v>
      </c>
      <c r="S1903" s="28">
        <f>Q1903-R1903</f>
        <v/>
      </c>
      <c r="T1903" s="28">
        <f>IF(S1903="","",S1903*(1+in_GrowthRate)^(YEARFRAC(DATE(2024,6,30),in_AgeToDate)*IF(in_AgeToDate&lt;DATE(2024,6,30),-1,1)+1))</f>
        <v/>
      </c>
      <c r="U1903" s="50">
        <f>IF(AND(AND(OR(in_Mode="All Funds",AND(C1903&gt;=in_BandFloor,C1903&lt;=in_BandCeiling,OR(in_Geography="National",COUNTIFS(lst_GeoPreset,in_Geography,lst_GeoState,B1903)&gt;0,AND(in_Geography="Custom",ISNUMBER(SEARCH(B1903,SUBSTITUTE(in_CustomStates," ",""))))),OR(AND(D1903="Endowment",Inputs!$B$14="Y"),AND(D1903="Foundation",Inputs!$B$15="Y"),AND(D1903="Healthcare",Inputs!$B$16="Y"),AND(D1903="Pension",Inputs!$B$17="Y"),AND(D1903="OCIO",Inputs!$B$18="Y"),AND(D1903="Other",Inputs!$B$19="Y")))),A1903&lt;&gt;in_ClientOrg,NOT(AND(in_ExclHarvard="Y",ISNUMBER(SEARCH("Harvard",A1903))))),$AD1903="Y",K1903&lt;&gt;"",S1903&gt;0),"Y","")</f>
        <v/>
      </c>
      <c r="V1903" s="30" t="n"/>
      <c r="W1903" t="inlineStr"/>
      <c r="X1903" s="28">
        <f>IF(L1903+M1903=0,"",L1903+M1903)</f>
        <v/>
      </c>
      <c r="Y1903" s="38">
        <f>IF(L1903=0,"",M1903/L1903)</f>
        <v/>
      </c>
      <c r="Z1903" t="inlineStr">
        <is>
          <t>Director &amp; Investment Officer</t>
        </is>
      </c>
      <c r="AA1903" t="inlineStr">
        <is>
          <t>Investments</t>
        </is>
      </c>
      <c r="AB1903" s="50" t="inlineStr"/>
      <c r="AC1903" s="43">
        <f>HYPERLINK("https://projects.propublica.org/nonprofits/organizations/390833612/202443139349304264/full","view filing")</f>
        <v/>
      </c>
      <c r="AD1903" s="50" t="inlineStr"/>
    </row>
    <row r="1904">
      <c r="A1904" t="inlineStr">
        <is>
          <t>Wisconsin Alumni Research Foundation</t>
        </is>
      </c>
      <c r="B1904" s="50" t="inlineStr">
        <is>
          <t>WI</t>
        </is>
      </c>
      <c r="C1904" s="52" t="n">
        <v>3.4</v>
      </c>
      <c r="D1904" t="inlineStr">
        <is>
          <t>Foundation</t>
        </is>
      </c>
      <c r="E1904" s="50" t="n">
        <v>2023</v>
      </c>
      <c r="F1904" s="50" t="inlineStr">
        <is>
          <t>2023-11-02</t>
        </is>
      </c>
      <c r="G1904" s="50" t="inlineStr">
        <is>
          <t>2023-06-30</t>
        </is>
      </c>
      <c r="H1904" t="inlineStr">
        <is>
          <t>Alain Hung</t>
        </is>
      </c>
      <c r="I1904" t="inlineStr">
        <is>
          <t>DEPUTY CHIEF INVESTMENT OFFICER</t>
        </is>
      </c>
      <c r="J1904" t="inlineStr">
        <is>
          <t>Deputy CIO</t>
        </is>
      </c>
      <c r="K1904" t="inlineStr">
        <is>
          <t>Sr Investment Professional</t>
        </is>
      </c>
      <c r="L1904" s="28" t="n">
        <v>386560</v>
      </c>
      <c r="M1904" s="28" t="n">
        <v>150518</v>
      </c>
      <c r="N1904" s="28" t="n">
        <v>0</v>
      </c>
      <c r="O1904" s="28" t="n">
        <v>-138860</v>
      </c>
      <c r="P1904" s="28" t="n">
        <v>44163</v>
      </c>
      <c r="Q1904" s="28" t="n">
        <v>442381</v>
      </c>
      <c r="R1904" s="28" t="n">
        <v>0</v>
      </c>
      <c r="S1904" s="28">
        <f>Q1904-R1904</f>
        <v/>
      </c>
      <c r="T1904" s="28">
        <f>IF(S1904="","",S1904*(1+in_GrowthRate)^(YEARFRAC(DATE(2023,6,30),in_AgeToDate)*IF(in_AgeToDate&lt;DATE(2023,6,30),-1,1)+1))</f>
        <v/>
      </c>
      <c r="U1904" s="50">
        <f>IF(AND(AND(OR(in_Mode="All Funds",AND(C1904&gt;=in_BandFloor,C1904&lt;=in_BandCeiling,OR(in_Geography="National",COUNTIFS(lst_GeoPreset,in_Geography,lst_GeoState,B1904)&gt;0,AND(in_Geography="Custom",ISNUMBER(SEARCH(B1904,SUBSTITUTE(in_CustomStates," ",""))))),OR(AND(D1904="Endowment",Inputs!$B$14="Y"),AND(D1904="Foundation",Inputs!$B$15="Y"),AND(D1904="Healthcare",Inputs!$B$16="Y"),AND(D1904="Pension",Inputs!$B$17="Y"),AND(D1904="OCIO",Inputs!$B$18="Y"),AND(D1904="Other",Inputs!$B$19="Y")))),A1904&lt;&gt;in_ClientOrg,NOT(AND(in_ExclHarvard="Y",ISNUMBER(SEARCH("Harvard",A1904))))),$AD1904="Y",K1904&lt;&gt;"",S1904&gt;0),"Y","")</f>
        <v/>
      </c>
      <c r="V1904" s="30" t="n"/>
      <c r="W1904" t="inlineStr"/>
      <c r="X1904" s="28">
        <f>IF(L1904+M1904=0,"",L1904+M1904)</f>
        <v/>
      </c>
      <c r="Y1904" s="38">
        <f>IF(L1904=0,"",M1904/L1904)</f>
        <v/>
      </c>
      <c r="Z1904" t="inlineStr">
        <is>
          <t>Deputy CIO</t>
        </is>
      </c>
      <c r="AA1904" t="inlineStr">
        <is>
          <t>Leadership</t>
        </is>
      </c>
      <c r="AB1904" s="50" t="inlineStr"/>
      <c r="AC1904" s="43">
        <f>HYPERLINK("https://projects.propublica.org/nonprofits/organizations/390833612/202303069349302940/full","view filing")</f>
        <v/>
      </c>
      <c r="AD1904" s="50" t="inlineStr"/>
    </row>
    <row r="1905">
      <c r="A1905" t="inlineStr">
        <is>
          <t>Wisconsin Alumni Research Foundation</t>
        </is>
      </c>
      <c r="B1905" s="50" t="inlineStr">
        <is>
          <t>WI</t>
        </is>
      </c>
      <c r="C1905" s="52" t="n">
        <v>3.4</v>
      </c>
      <c r="D1905" t="inlineStr">
        <is>
          <t>Foundation</t>
        </is>
      </c>
      <c r="E1905" s="50" t="n">
        <v>2023</v>
      </c>
      <c r="F1905" s="50" t="inlineStr">
        <is>
          <t>2023-11-02</t>
        </is>
      </c>
      <c r="G1905" s="50" t="inlineStr">
        <is>
          <t>2023-06-30</t>
        </is>
      </c>
      <c r="H1905" t="inlineStr">
        <is>
          <t>Michael Wagner</t>
        </is>
      </c>
      <c r="I1905" t="inlineStr">
        <is>
          <t>INVESTMENT DIRECTOR</t>
        </is>
      </c>
      <c r="J1905" t="inlineStr">
        <is>
          <t>Director of Investments</t>
        </is>
      </c>
      <c r="K1905" t="inlineStr">
        <is>
          <t>Sr Investment Professional</t>
        </is>
      </c>
      <c r="L1905" s="28" t="n">
        <v>283263</v>
      </c>
      <c r="M1905" s="28" t="n">
        <v>190534</v>
      </c>
      <c r="N1905" s="28" t="n">
        <v>0</v>
      </c>
      <c r="O1905" s="28" t="n">
        <v>39770</v>
      </c>
      <c r="P1905" s="28" t="n">
        <v>42676</v>
      </c>
      <c r="Q1905" s="28" t="n">
        <v>556243</v>
      </c>
      <c r="R1905" s="28" t="n">
        <v>0</v>
      </c>
      <c r="S1905" s="28">
        <f>Q1905-R1905</f>
        <v/>
      </c>
      <c r="T1905" s="28">
        <f>IF(S1905="","",S1905*(1+in_GrowthRate)^(YEARFRAC(DATE(2023,6,30),in_AgeToDate)*IF(in_AgeToDate&lt;DATE(2023,6,30),-1,1)+1))</f>
        <v/>
      </c>
      <c r="U1905" s="50">
        <f>IF(AND(AND(OR(in_Mode="All Funds",AND(C1905&gt;=in_BandFloor,C1905&lt;=in_BandCeiling,OR(in_Geography="National",COUNTIFS(lst_GeoPreset,in_Geography,lst_GeoState,B1905)&gt;0,AND(in_Geography="Custom",ISNUMBER(SEARCH(B1905,SUBSTITUTE(in_CustomStates," ",""))))),OR(AND(D1905="Endowment",Inputs!$B$14="Y"),AND(D1905="Foundation",Inputs!$B$15="Y"),AND(D1905="Healthcare",Inputs!$B$16="Y"),AND(D1905="Pension",Inputs!$B$17="Y"),AND(D1905="OCIO",Inputs!$B$18="Y"),AND(D1905="Other",Inputs!$B$19="Y")))),A1905&lt;&gt;in_ClientOrg,NOT(AND(in_ExclHarvard="Y",ISNUMBER(SEARCH("Harvard",A1905))))),$AD1905="Y",K1905&lt;&gt;"",S1905&gt;0),"Y","")</f>
        <v/>
      </c>
      <c r="V1905" s="30" t="n"/>
      <c r="W1905" t="inlineStr"/>
      <c r="X1905" s="28">
        <f>IF(L1905+M1905=0,"",L1905+M1905)</f>
        <v/>
      </c>
      <c r="Y1905" s="38">
        <f>IF(L1905=0,"",M1905/L1905)</f>
        <v/>
      </c>
      <c r="Z1905" t="inlineStr">
        <is>
          <t>Director &amp; Investment Officer</t>
        </is>
      </c>
      <c r="AA1905" t="inlineStr">
        <is>
          <t>Investments</t>
        </is>
      </c>
      <c r="AB1905" s="50" t="inlineStr"/>
      <c r="AC1905" s="43">
        <f>HYPERLINK("https://projects.propublica.org/nonprofits/organizations/390833612/202303069349302940/full","view filing")</f>
        <v/>
      </c>
      <c r="AD1905" s="50" t="inlineStr"/>
    </row>
    <row r="1906">
      <c r="A1906" t="inlineStr">
        <is>
          <t>Wisconsin Alumni Research Foundation</t>
        </is>
      </c>
      <c r="B1906" s="50" t="inlineStr">
        <is>
          <t>WI</t>
        </is>
      </c>
      <c r="C1906" s="52" t="n">
        <v>3.4</v>
      </c>
      <c r="D1906" t="inlineStr">
        <is>
          <t>Foundation</t>
        </is>
      </c>
      <c r="E1906" s="50" t="n">
        <v>2022</v>
      </c>
      <c r="F1906" s="50" t="inlineStr">
        <is>
          <t>2022-11-10</t>
        </is>
      </c>
      <c r="G1906" s="50" t="inlineStr">
        <is>
          <t>2022-06-30</t>
        </is>
      </c>
      <c r="H1906" t="inlineStr">
        <is>
          <t>Alain Hung</t>
        </is>
      </c>
      <c r="I1906" t="inlineStr">
        <is>
          <t>DEPUTY CHIEF INVESTMENT OFFICER</t>
        </is>
      </c>
      <c r="J1906" t="inlineStr">
        <is>
          <t>Deputy CIO</t>
        </is>
      </c>
      <c r="K1906" t="inlineStr">
        <is>
          <t>Sr Investment Professional</t>
        </is>
      </c>
      <c r="L1906" s="28" t="n">
        <v>374114</v>
      </c>
      <c r="M1906" s="28" t="n">
        <v>147000</v>
      </c>
      <c r="N1906" s="28" t="n">
        <v>0</v>
      </c>
      <c r="O1906" s="28" t="n">
        <v>255895</v>
      </c>
      <c r="P1906" s="28" t="n">
        <v>42484</v>
      </c>
      <c r="Q1906" s="28" t="n">
        <v>819493</v>
      </c>
      <c r="R1906" s="28" t="n">
        <v>0</v>
      </c>
      <c r="S1906" s="28">
        <f>Q1906-R1906</f>
        <v/>
      </c>
      <c r="T1906" s="28">
        <f>IF(S1906="","",S1906*(1+in_GrowthRate)^(YEARFRAC(DATE(2022,6,30),in_AgeToDate)*IF(in_AgeToDate&lt;DATE(2022,6,30),-1,1)+1))</f>
        <v/>
      </c>
      <c r="U1906" s="50">
        <f>IF(AND(AND(OR(in_Mode="All Funds",AND(C1906&gt;=in_BandFloor,C1906&lt;=in_BandCeiling,OR(in_Geography="National",COUNTIFS(lst_GeoPreset,in_Geography,lst_GeoState,B1906)&gt;0,AND(in_Geography="Custom",ISNUMBER(SEARCH(B1906,SUBSTITUTE(in_CustomStates," ",""))))),OR(AND(D1906="Endowment",Inputs!$B$14="Y"),AND(D1906="Foundation",Inputs!$B$15="Y"),AND(D1906="Healthcare",Inputs!$B$16="Y"),AND(D1906="Pension",Inputs!$B$17="Y"),AND(D1906="OCIO",Inputs!$B$18="Y"),AND(D1906="Other",Inputs!$B$19="Y")))),A1906&lt;&gt;in_ClientOrg,NOT(AND(in_ExclHarvard="Y",ISNUMBER(SEARCH("Harvard",A1906))))),$AD1906="Y",K1906&lt;&gt;"",S1906&gt;0),"Y","")</f>
        <v/>
      </c>
      <c r="V1906" s="30" t="n"/>
      <c r="W1906" t="inlineStr"/>
      <c r="X1906" s="28">
        <f>IF(L1906+M1906=0,"",L1906+M1906)</f>
        <v/>
      </c>
      <c r="Y1906" s="38">
        <f>IF(L1906=0,"",M1906/L1906)</f>
        <v/>
      </c>
      <c r="Z1906" t="inlineStr">
        <is>
          <t>Deputy CIO</t>
        </is>
      </c>
      <c r="AA1906" t="inlineStr">
        <is>
          <t>Leadership</t>
        </is>
      </c>
      <c r="AB1906" s="50" t="inlineStr"/>
      <c r="AC1906" s="43">
        <f>HYPERLINK("https://projects.propublica.org/nonprofits/organizations/390833612/202223149349304647/full","view filing")</f>
        <v/>
      </c>
      <c r="AD1906" s="50" t="inlineStr"/>
    </row>
    <row r="1907">
      <c r="A1907" t="inlineStr">
        <is>
          <t>Wisconsin Alumni Research Foundation</t>
        </is>
      </c>
      <c r="B1907" s="50" t="inlineStr">
        <is>
          <t>WI</t>
        </is>
      </c>
      <c r="C1907" s="52" t="n">
        <v>3.4</v>
      </c>
      <c r="D1907" t="inlineStr">
        <is>
          <t>Foundation</t>
        </is>
      </c>
      <c r="E1907" s="50" t="n">
        <v>2022</v>
      </c>
      <c r="F1907" s="50" t="inlineStr">
        <is>
          <t>2022-11-10</t>
        </is>
      </c>
      <c r="G1907" s="50" t="inlineStr">
        <is>
          <t>2022-06-30</t>
        </is>
      </c>
      <c r="H1907" t="inlineStr">
        <is>
          <t>Michael Wagner</t>
        </is>
      </c>
      <c r="I1907" t="inlineStr">
        <is>
          <t>INVESTMENT DIRECTOR</t>
        </is>
      </c>
      <c r="J1907" t="inlineStr">
        <is>
          <t>Director of Investments</t>
        </is>
      </c>
      <c r="K1907" t="inlineStr">
        <is>
          <t>Sr Investment Professional</t>
        </is>
      </c>
      <c r="L1907" s="28" t="n">
        <v>274467</v>
      </c>
      <c r="M1907" s="28" t="n">
        <v>177396</v>
      </c>
      <c r="N1907" s="28" t="n">
        <v>0</v>
      </c>
      <c r="O1907" s="28" t="n">
        <v>144009</v>
      </c>
      <c r="P1907" s="28" t="n">
        <v>40857</v>
      </c>
      <c r="Q1907" s="28" t="n">
        <v>636729</v>
      </c>
      <c r="R1907" s="28" t="n">
        <v>0</v>
      </c>
      <c r="S1907" s="28">
        <f>Q1907-R1907</f>
        <v/>
      </c>
      <c r="T1907" s="28">
        <f>IF(S1907="","",S1907*(1+in_GrowthRate)^(YEARFRAC(DATE(2022,6,30),in_AgeToDate)*IF(in_AgeToDate&lt;DATE(2022,6,30),-1,1)+1))</f>
        <v/>
      </c>
      <c r="U1907" s="50">
        <f>IF(AND(AND(OR(in_Mode="All Funds",AND(C1907&gt;=in_BandFloor,C1907&lt;=in_BandCeiling,OR(in_Geography="National",COUNTIFS(lst_GeoPreset,in_Geography,lst_GeoState,B1907)&gt;0,AND(in_Geography="Custom",ISNUMBER(SEARCH(B1907,SUBSTITUTE(in_CustomStates," ",""))))),OR(AND(D1907="Endowment",Inputs!$B$14="Y"),AND(D1907="Foundation",Inputs!$B$15="Y"),AND(D1907="Healthcare",Inputs!$B$16="Y"),AND(D1907="Pension",Inputs!$B$17="Y"),AND(D1907="OCIO",Inputs!$B$18="Y"),AND(D1907="Other",Inputs!$B$19="Y")))),A1907&lt;&gt;in_ClientOrg,NOT(AND(in_ExclHarvard="Y",ISNUMBER(SEARCH("Harvard",A1907))))),$AD1907="Y",K1907&lt;&gt;"",S1907&gt;0),"Y","")</f>
        <v/>
      </c>
      <c r="V1907" s="30" t="n"/>
      <c r="W1907" t="inlineStr"/>
      <c r="X1907" s="28">
        <f>IF(L1907+M1907=0,"",L1907+M1907)</f>
        <v/>
      </c>
      <c r="Y1907" s="38">
        <f>IF(L1907=0,"",M1907/L1907)</f>
        <v/>
      </c>
      <c r="Z1907" t="inlineStr">
        <is>
          <t>Director &amp; Investment Officer</t>
        </is>
      </c>
      <c r="AA1907" t="inlineStr">
        <is>
          <t>Investments</t>
        </is>
      </c>
      <c r="AB1907" s="50" t="inlineStr"/>
      <c r="AC1907" s="43">
        <f>HYPERLINK("https://projects.propublica.org/nonprofits/organizations/390833612/202223149349304647/full","view filing")</f>
        <v/>
      </c>
      <c r="AD1907" s="50" t="inlineStr"/>
    </row>
    <row r="1908">
      <c r="A1908" t="inlineStr">
        <is>
          <t>Yale University</t>
        </is>
      </c>
      <c r="B1908" s="50" t="inlineStr">
        <is>
          <t>CT</t>
        </is>
      </c>
      <c r="C1908" s="52" t="n">
        <v>44.15</v>
      </c>
      <c r="D1908" t="inlineStr">
        <is>
          <t>Endowment</t>
        </is>
      </c>
      <c r="E1908" s="50" t="n">
        <v>2025</v>
      </c>
      <c r="F1908" s="50" t="inlineStr">
        <is>
          <t>2026-05-15</t>
        </is>
      </c>
      <c r="G1908" s="50" t="inlineStr">
        <is>
          <t>2025-06-30</t>
        </is>
      </c>
      <c r="H1908" t="inlineStr">
        <is>
          <t>Amelia Chivetta</t>
        </is>
      </c>
      <c r="I1908" t="inlineStr">
        <is>
          <t>Managing Director, Investments</t>
        </is>
      </c>
      <c r="J1908" t="inlineStr">
        <is>
          <t>Managing Director</t>
        </is>
      </c>
      <c r="K1908" t="inlineStr">
        <is>
          <t>Sr Investment Professional</t>
        </is>
      </c>
      <c r="L1908" s="28" t="n">
        <v>719551</v>
      </c>
      <c r="M1908" s="28" t="n">
        <v>1119145</v>
      </c>
      <c r="N1908" s="28" t="n">
        <v>23390</v>
      </c>
      <c r="O1908" s="28" t="n">
        <v>2705662</v>
      </c>
      <c r="P1908" s="28" t="n">
        <v>17081</v>
      </c>
      <c r="Q1908" s="28" t="n">
        <v>4584829</v>
      </c>
      <c r="R1908" s="28" t="n">
        <v>0</v>
      </c>
      <c r="S1908" s="28">
        <f>Q1908-R1908</f>
        <v/>
      </c>
      <c r="T1908" s="28">
        <f>IF(S1908="","",S1908*(1+in_GrowthRate)^(YEARFRAC(DATE(2025,6,30),in_AgeToDate)*IF(in_AgeToDate&lt;DATE(2025,6,30),-1,1)+1))</f>
        <v/>
      </c>
      <c r="U1908" s="50">
        <f>IF(AND(AND(OR(in_Mode="All Funds",AND(C1908&gt;=in_BandFloor,C1908&lt;=in_BandCeiling,OR(in_Geography="National",COUNTIFS(lst_GeoPreset,in_Geography,lst_GeoState,B1908)&gt;0,AND(in_Geography="Custom",ISNUMBER(SEARCH(B1908,SUBSTITUTE(in_CustomStates," ",""))))),OR(AND(D1908="Endowment",Inputs!$B$14="Y"),AND(D1908="Foundation",Inputs!$B$15="Y"),AND(D1908="Healthcare",Inputs!$B$16="Y"),AND(D1908="Pension",Inputs!$B$17="Y"),AND(D1908="OCIO",Inputs!$B$18="Y"),AND(D1908="Other",Inputs!$B$19="Y")))),A1908&lt;&gt;in_ClientOrg,NOT(AND(in_ExclHarvard="Y",ISNUMBER(SEARCH("Harvard",A1908))))),$AD1908="Y",K1908&lt;&gt;"",S1908&gt;0),"Y","")</f>
        <v/>
      </c>
      <c r="V1908" s="30" t="n">
        <v>0.9098370447866874</v>
      </c>
      <c r="W1908" t="inlineStr"/>
      <c r="X1908" s="28">
        <f>IF(L1908+M1908=0,"",L1908+M1908)</f>
        <v/>
      </c>
      <c r="Y1908" s="38">
        <f>IF(L1908=0,"",M1908/L1908)</f>
        <v/>
      </c>
      <c r="Z1908" t="inlineStr">
        <is>
          <t>Managing Director</t>
        </is>
      </c>
      <c r="AA1908" t="inlineStr">
        <is>
          <t>Investments</t>
        </is>
      </c>
      <c r="AB1908" s="50" t="inlineStr"/>
      <c r="AC1908" s="43">
        <f>HYPERLINK("https://projects.propublica.org/nonprofits/organizations/60646973/202641359349303914/full","view filing")</f>
        <v/>
      </c>
      <c r="AD1908" s="50" t="inlineStr">
        <is>
          <t>Y</t>
        </is>
      </c>
    </row>
    <row r="1909">
      <c r="A1909" t="inlineStr">
        <is>
          <t>Yale University</t>
        </is>
      </c>
      <c r="B1909" s="50" t="inlineStr">
        <is>
          <t>CT</t>
        </is>
      </c>
      <c r="C1909" s="52" t="n">
        <v>44.15</v>
      </c>
      <c r="D1909" t="inlineStr">
        <is>
          <t>Endowment</t>
        </is>
      </c>
      <c r="E1909" s="50" t="n">
        <v>2025</v>
      </c>
      <c r="F1909" s="50" t="inlineStr">
        <is>
          <t>2026-05-15</t>
        </is>
      </c>
      <c r="G1909" s="50" t="inlineStr">
        <is>
          <t>2025-06-30</t>
        </is>
      </c>
      <c r="H1909" t="inlineStr">
        <is>
          <t>Carrie Abildgaard</t>
        </is>
      </c>
      <c r="I1909" t="inlineStr">
        <is>
          <t>Director, Investments</t>
        </is>
      </c>
      <c r="J1909" t="inlineStr">
        <is>
          <t>Director of Investments</t>
        </is>
      </c>
      <c r="K1909" t="inlineStr">
        <is>
          <t>Sr Investment Professional</t>
        </is>
      </c>
      <c r="L1909" s="28" t="n">
        <v>410635</v>
      </c>
      <c r="M1909" s="28" t="n">
        <v>2546859</v>
      </c>
      <c r="N1909" s="28" t="n">
        <v>130100</v>
      </c>
      <c r="O1909" s="28" t="n">
        <v>38910</v>
      </c>
      <c r="P1909" s="28" t="n">
        <v>33724</v>
      </c>
      <c r="Q1909" s="28" t="n">
        <v>3160228</v>
      </c>
      <c r="R1909" s="28" t="n">
        <v>0</v>
      </c>
      <c r="S1909" s="28">
        <f>Q1909-R1909</f>
        <v/>
      </c>
      <c r="T1909" s="28">
        <f>IF(S1909="","",S1909*(1+in_GrowthRate)^(YEARFRAC(DATE(2025,6,30),in_AgeToDate)*IF(in_AgeToDate&lt;DATE(2025,6,30),-1,1)+1))</f>
        <v/>
      </c>
      <c r="U1909" s="50">
        <f>IF(AND(AND(OR(in_Mode="All Funds",AND(C1909&gt;=in_BandFloor,C1909&lt;=in_BandCeiling,OR(in_Geography="National",COUNTIFS(lst_GeoPreset,in_Geography,lst_GeoState,B1909)&gt;0,AND(in_Geography="Custom",ISNUMBER(SEARCH(B1909,SUBSTITUTE(in_CustomStates," ",""))))),OR(AND(D1909="Endowment",Inputs!$B$14="Y"),AND(D1909="Foundation",Inputs!$B$15="Y"),AND(D1909="Healthcare",Inputs!$B$16="Y"),AND(D1909="Pension",Inputs!$B$17="Y"),AND(D1909="OCIO",Inputs!$B$18="Y"),AND(D1909="Other",Inputs!$B$19="Y")))),A1909&lt;&gt;in_ClientOrg,NOT(AND(in_ExclHarvard="Y",ISNUMBER(SEARCH("Harvard",A1909))))),$AD1909="Y",K1909&lt;&gt;"",S1909&gt;0),"Y","")</f>
        <v/>
      </c>
      <c r="V1909" s="30" t="n">
        <v>0.6271318961671511</v>
      </c>
      <c r="W1909" t="inlineStr"/>
      <c r="X1909" s="28">
        <f>IF(L1909+M1909=0,"",L1909+M1909)</f>
        <v/>
      </c>
      <c r="Y1909" s="38">
        <f>IF(L1909=0,"",M1909/L1909)</f>
        <v/>
      </c>
      <c r="Z1909" t="inlineStr">
        <is>
          <t>Managing Director</t>
        </is>
      </c>
      <c r="AA1909" t="inlineStr">
        <is>
          <t>Investments</t>
        </is>
      </c>
      <c r="AB1909" s="50" t="inlineStr"/>
      <c r="AC1909" s="43">
        <f>HYPERLINK("https://projects.propublica.org/nonprofits/organizations/60646973/202641359349303914/full","view filing")</f>
        <v/>
      </c>
      <c r="AD1909" s="50" t="inlineStr">
        <is>
          <t>Y</t>
        </is>
      </c>
    </row>
    <row r="1910">
      <c r="A1910" t="inlineStr">
        <is>
          <t>Yale University</t>
        </is>
      </c>
      <c r="B1910" s="50" t="inlineStr">
        <is>
          <t>CT</t>
        </is>
      </c>
      <c r="C1910" s="52" t="n">
        <v>44.15</v>
      </c>
      <c r="D1910" t="inlineStr">
        <is>
          <t>Endowment</t>
        </is>
      </c>
      <c r="E1910" s="50" t="n">
        <v>2025</v>
      </c>
      <c r="F1910" s="50" t="inlineStr">
        <is>
          <t>2026-05-15</t>
        </is>
      </c>
      <c r="G1910" s="50" t="inlineStr">
        <is>
          <t>2025-06-30</t>
        </is>
      </c>
      <c r="H1910" t="inlineStr">
        <is>
          <t>Matthew S T Mendelsohn</t>
        </is>
      </c>
      <c r="I1910" t="inlineStr">
        <is>
          <t>Chief Investment Officer</t>
        </is>
      </c>
      <c r="J1910" t="inlineStr">
        <is>
          <t>CIO</t>
        </is>
      </c>
      <c r="K1910" t="inlineStr">
        <is>
          <t>CIO - Top Investment Executive</t>
        </is>
      </c>
      <c r="L1910" s="28" t="n">
        <v>1009585</v>
      </c>
      <c r="M1910" s="28" t="n">
        <v>1703522</v>
      </c>
      <c r="N1910" s="28" t="n">
        <v>23000</v>
      </c>
      <c r="O1910" s="28" t="n">
        <v>2605577</v>
      </c>
      <c r="P1910" s="28" t="n">
        <v>43114</v>
      </c>
      <c r="Q1910" s="28" t="n">
        <v>5384798</v>
      </c>
      <c r="R1910" s="28" t="n">
        <v>345622</v>
      </c>
      <c r="S1910" s="28">
        <f>Q1910-R1910</f>
        <v/>
      </c>
      <c r="T1910" s="28">
        <f>IF(S1910="","",S1910*(1+in_GrowthRate)^(YEARFRAC(DATE(2025,6,30),in_AgeToDate)*IF(in_AgeToDate&lt;DATE(2025,6,30),-1,1)+1))</f>
        <v/>
      </c>
      <c r="U1910" s="50">
        <f>IF(AND(AND(OR(in_Mode="All Funds",AND(C1910&gt;=in_BandFloor,C1910&lt;=in_BandCeiling,OR(in_Geography="National",COUNTIFS(lst_GeoPreset,in_Geography,lst_GeoState,B1910)&gt;0,AND(in_Geography="Custom",ISNUMBER(SEARCH(B1910,SUBSTITUTE(in_CustomStates," ",""))))),OR(AND(D1910="Endowment",Inputs!$B$14="Y"),AND(D1910="Foundation",Inputs!$B$15="Y"),AND(D1910="Healthcare",Inputs!$B$16="Y"),AND(D1910="Pension",Inputs!$B$17="Y"),AND(D1910="OCIO",Inputs!$B$18="Y"),AND(D1910="Other",Inputs!$B$19="Y")))),A1910&lt;&gt;in_ClientOrg,NOT(AND(in_ExclHarvard="Y",ISNUMBER(SEARCH("Harvard",A1910))))),$AD1910="Y",K1910&lt;&gt;"",S1910&gt;0),"Y","")</f>
        <v/>
      </c>
      <c r="V1910" s="30" t="n">
        <v>1</v>
      </c>
      <c r="W1910" t="inlineStr"/>
      <c r="X1910" s="28">
        <f>IF(L1910+M1910=0,"",L1910+M1910)</f>
        <v/>
      </c>
      <c r="Y1910" s="38">
        <f>IF(L1910=0,"",M1910/L1910)</f>
        <v/>
      </c>
      <c r="Z1910" t="inlineStr">
        <is>
          <t>CIO - Top Investment Executive</t>
        </is>
      </c>
      <c r="AA1910" t="inlineStr">
        <is>
          <t>Leadership</t>
        </is>
      </c>
      <c r="AB1910" s="50" t="inlineStr">
        <is>
          <t>Y</t>
        </is>
      </c>
      <c r="AC1910" s="43">
        <f>HYPERLINK("https://projects.propublica.org/nonprofits/organizations/60646973/202641359349303914/full","view filing")</f>
        <v/>
      </c>
      <c r="AD1910" s="50" t="inlineStr">
        <is>
          <t>Y</t>
        </is>
      </c>
    </row>
    <row r="1911">
      <c r="A1911" t="inlineStr">
        <is>
          <t>Yale University</t>
        </is>
      </c>
      <c r="B1911" s="50" t="inlineStr">
        <is>
          <t>CT</t>
        </is>
      </c>
      <c r="C1911" s="52" t="n">
        <v>44.15</v>
      </c>
      <c r="D1911" t="inlineStr">
        <is>
          <t>Endowment</t>
        </is>
      </c>
      <c r="E1911" s="50" t="n">
        <v>2025</v>
      </c>
      <c r="F1911" s="50" t="inlineStr">
        <is>
          <t>2026-05-15</t>
        </is>
      </c>
      <c r="G1911" s="50" t="inlineStr">
        <is>
          <t>2025-06-30</t>
        </is>
      </c>
      <c r="H1911" t="inlineStr">
        <is>
          <t>Timothy R Sullivan</t>
        </is>
      </c>
      <c r="I1911" t="inlineStr">
        <is>
          <t>Sr Director of Private Equity</t>
        </is>
      </c>
      <c r="J1911" t="inlineStr">
        <is>
          <t>Director of Investments</t>
        </is>
      </c>
      <c r="K1911" t="inlineStr">
        <is>
          <t>Sr Investment Professional</t>
        </is>
      </c>
      <c r="L1911" s="28" t="n">
        <v>807393</v>
      </c>
      <c r="M1911" s="28" t="n">
        <v>1516990</v>
      </c>
      <c r="N1911" s="28" t="n">
        <v>23000</v>
      </c>
      <c r="O1911" s="28" t="n">
        <v>1782988</v>
      </c>
      <c r="P1911" s="28" t="n">
        <v>45054</v>
      </c>
      <c r="Q1911" s="28" t="n">
        <v>4175425</v>
      </c>
      <c r="R1911" s="28" t="n">
        <v>323750</v>
      </c>
      <c r="S1911" s="28">
        <f>Q1911-R1911</f>
        <v/>
      </c>
      <c r="T1911" s="28">
        <f>IF(S1911="","",S1911*(1+in_GrowthRate)^(YEARFRAC(DATE(2025,6,30),in_AgeToDate)*IF(in_AgeToDate&lt;DATE(2025,6,30),-1,1)+1))</f>
        <v/>
      </c>
      <c r="U1911" s="50">
        <f>IF(AND(AND(OR(in_Mode="All Funds",AND(C1911&gt;=in_BandFloor,C1911&lt;=in_BandCeiling,OR(in_Geography="National",COUNTIFS(lst_GeoPreset,in_Geography,lst_GeoState,B1911)&gt;0,AND(in_Geography="Custom",ISNUMBER(SEARCH(B1911,SUBSTITUTE(in_CustomStates," ",""))))),OR(AND(D1911="Endowment",Inputs!$B$14="Y"),AND(D1911="Foundation",Inputs!$B$15="Y"),AND(D1911="Healthcare",Inputs!$B$16="Y"),AND(D1911="Pension",Inputs!$B$17="Y"),AND(D1911="OCIO",Inputs!$B$18="Y"),AND(D1911="Other",Inputs!$B$19="Y")))),A1911&lt;&gt;in_ClientOrg,NOT(AND(in_ExclHarvard="Y",ISNUMBER(SEARCH("Harvard",A1911))))),$AD1911="Y",K1911&lt;&gt;"",S1911&gt;0),"Y","")</f>
        <v/>
      </c>
      <c r="V1911" s="30" t="n">
        <v>0.7643461946953232</v>
      </c>
      <c r="W1911" t="inlineStr"/>
      <c r="X1911" s="28">
        <f>IF(L1911+M1911=0,"",L1911+M1911)</f>
        <v/>
      </c>
      <c r="Y1911" s="38">
        <f>IF(L1911=0,"",M1911/L1911)</f>
        <v/>
      </c>
      <c r="Z1911" t="inlineStr">
        <is>
          <t>Managing Director</t>
        </is>
      </c>
      <c r="AA1911" t="inlineStr">
        <is>
          <t>Investments</t>
        </is>
      </c>
      <c r="AB1911" s="50" t="inlineStr"/>
      <c r="AC1911" s="43">
        <f>HYPERLINK("https://projects.propublica.org/nonprofits/organizations/60646973/202641359349303914/full","view filing")</f>
        <v/>
      </c>
      <c r="AD1911" s="50" t="inlineStr">
        <is>
          <t>Y</t>
        </is>
      </c>
    </row>
    <row r="1912">
      <c r="A1912" t="inlineStr">
        <is>
          <t>Yale University</t>
        </is>
      </c>
      <c r="B1912" s="50" t="inlineStr">
        <is>
          <t>CT</t>
        </is>
      </c>
      <c r="C1912" s="52" t="n">
        <v>44.15</v>
      </c>
      <c r="D1912" t="inlineStr">
        <is>
          <t>Endowment</t>
        </is>
      </c>
      <c r="E1912" s="50" t="n">
        <v>2024</v>
      </c>
      <c r="F1912" s="50" t="inlineStr">
        <is>
          <t>2025-05-15</t>
        </is>
      </c>
      <c r="G1912" s="50" t="inlineStr">
        <is>
          <t>2024-06-30</t>
        </is>
      </c>
      <c r="H1912" t="inlineStr">
        <is>
          <t>Alex Hetherington</t>
        </is>
      </c>
      <c r="I1912" t="inlineStr">
        <is>
          <t>Managing Director, Investments</t>
        </is>
      </c>
      <c r="J1912" t="inlineStr">
        <is>
          <t>Managing Director</t>
        </is>
      </c>
      <c r="K1912" t="inlineStr">
        <is>
          <t>Sr Investment Professional</t>
        </is>
      </c>
      <c r="L1912" s="28" t="n">
        <v>708074</v>
      </c>
      <c r="M1912" s="28" t="n">
        <v>1042313</v>
      </c>
      <c r="N1912" s="28" t="n">
        <v>22500</v>
      </c>
      <c r="O1912" s="28" t="n">
        <v>37245</v>
      </c>
      <c r="P1912" s="28" t="n">
        <v>35722</v>
      </c>
      <c r="Q1912" s="28" t="n">
        <v>1845854</v>
      </c>
      <c r="R1912" s="28" t="n">
        <v>0</v>
      </c>
      <c r="S1912" s="28">
        <f>Q1912-R1912</f>
        <v/>
      </c>
      <c r="T1912" s="28">
        <f>IF(S1912="","",S1912*(1+in_GrowthRate)^(YEARFRAC(DATE(2024,6,30),in_AgeToDate)*IF(in_AgeToDate&lt;DATE(2024,6,30),-1,1)+1))</f>
        <v/>
      </c>
      <c r="U1912" s="50">
        <f>IF(AND(AND(OR(in_Mode="All Funds",AND(C1912&gt;=in_BandFloor,C1912&lt;=in_BandCeiling,OR(in_Geography="National",COUNTIFS(lst_GeoPreset,in_Geography,lst_GeoState,B1912)&gt;0,AND(in_Geography="Custom",ISNUMBER(SEARCH(B1912,SUBSTITUTE(in_CustomStates," ",""))))),OR(AND(D1912="Endowment",Inputs!$B$14="Y"),AND(D1912="Foundation",Inputs!$B$15="Y"),AND(D1912="Healthcare",Inputs!$B$16="Y"),AND(D1912="Pension",Inputs!$B$17="Y"),AND(D1912="OCIO",Inputs!$B$18="Y"),AND(D1912="Other",Inputs!$B$19="Y")))),A1912&lt;&gt;in_ClientOrg,NOT(AND(in_ExclHarvard="Y",ISNUMBER(SEARCH("Harvard",A1912))))),$AD1912="Y",K1912&lt;&gt;"",S1912&gt;0),"Y","")</f>
        <v/>
      </c>
      <c r="V1912" s="30" t="n">
        <v>0.4756373748615298</v>
      </c>
      <c r="W1912" t="inlineStr"/>
      <c r="X1912" s="28">
        <f>IF(L1912+M1912=0,"",L1912+M1912)</f>
        <v/>
      </c>
      <c r="Y1912" s="38">
        <f>IF(L1912=0,"",M1912/L1912)</f>
        <v/>
      </c>
      <c r="Z1912" t="inlineStr">
        <is>
          <t>Managing Director</t>
        </is>
      </c>
      <c r="AA1912" t="inlineStr">
        <is>
          <t>Investments</t>
        </is>
      </c>
      <c r="AB1912" s="50" t="inlineStr"/>
      <c r="AC1912" s="43">
        <f>HYPERLINK("https://projects.propublica.org/nonprofits/organizations/60646973/202501359349304220/full","view filing")</f>
        <v/>
      </c>
      <c r="AD1912" s="50" t="inlineStr"/>
    </row>
    <row r="1913">
      <c r="A1913" t="inlineStr">
        <is>
          <t>Yale University</t>
        </is>
      </c>
      <c r="B1913" s="50" t="inlineStr">
        <is>
          <t>CT</t>
        </is>
      </c>
      <c r="C1913" s="52" t="n">
        <v>44.15</v>
      </c>
      <c r="D1913" t="inlineStr">
        <is>
          <t>Endowment</t>
        </is>
      </c>
      <c r="E1913" s="50" t="n">
        <v>2024</v>
      </c>
      <c r="F1913" s="50" t="inlineStr">
        <is>
          <t>2025-05-15</t>
        </is>
      </c>
      <c r="G1913" s="50" t="inlineStr">
        <is>
          <t>2024-06-30</t>
        </is>
      </c>
      <c r="H1913" t="inlineStr">
        <is>
          <t>Amelia Chivetta</t>
        </is>
      </c>
      <c r="I1913" t="inlineStr">
        <is>
          <t>Managing Director, Investments</t>
        </is>
      </c>
      <c r="J1913" t="inlineStr">
        <is>
          <t>Managing Director</t>
        </is>
      </c>
      <c r="K1913" t="inlineStr">
        <is>
          <t>Sr Investment Professional</t>
        </is>
      </c>
      <c r="L1913" s="28" t="n">
        <v>714746</v>
      </c>
      <c r="M1913" s="28" t="n">
        <v>930940</v>
      </c>
      <c r="N1913" s="28" t="n">
        <v>25462</v>
      </c>
      <c r="O1913" s="28" t="n">
        <v>37245</v>
      </c>
      <c r="P1913" s="28" t="n">
        <v>14721</v>
      </c>
      <c r="Q1913" s="28" t="n">
        <v>1723114</v>
      </c>
      <c r="R1913" s="28" t="n">
        <v>0</v>
      </c>
      <c r="S1913" s="28">
        <f>Q1913-R1913</f>
        <v/>
      </c>
      <c r="T1913" s="28">
        <f>IF(S1913="","",S1913*(1+in_GrowthRate)^(YEARFRAC(DATE(2024,6,30),in_AgeToDate)*IF(in_AgeToDate&lt;DATE(2024,6,30),-1,1)+1))</f>
        <v/>
      </c>
      <c r="U1913" s="50">
        <f>IF(AND(AND(OR(in_Mode="All Funds",AND(C1913&gt;=in_BandFloor,C1913&lt;=in_BandCeiling,OR(in_Geography="National",COUNTIFS(lst_GeoPreset,in_Geography,lst_GeoState,B1913)&gt;0,AND(in_Geography="Custom",ISNUMBER(SEARCH(B1913,SUBSTITUTE(in_CustomStates," ",""))))),OR(AND(D1913="Endowment",Inputs!$B$14="Y"),AND(D1913="Foundation",Inputs!$B$15="Y"),AND(D1913="Healthcare",Inputs!$B$16="Y"),AND(D1913="Pension",Inputs!$B$17="Y"),AND(D1913="OCIO",Inputs!$B$18="Y"),AND(D1913="Other",Inputs!$B$19="Y")))),A1913&lt;&gt;in_ClientOrg,NOT(AND(in_ExclHarvard="Y",ISNUMBER(SEARCH("Harvard",A1913))))),$AD1913="Y",K1913&lt;&gt;"",S1913&gt;0),"Y","")</f>
        <v/>
      </c>
      <c r="V1913" s="30" t="n">
        <v>0.4440098835266225</v>
      </c>
      <c r="W1913" t="inlineStr"/>
      <c r="X1913" s="28">
        <f>IF(L1913+M1913=0,"",L1913+M1913)</f>
        <v/>
      </c>
      <c r="Y1913" s="38">
        <f>IF(L1913=0,"",M1913/L1913)</f>
        <v/>
      </c>
      <c r="Z1913" t="inlineStr">
        <is>
          <t>Managing Director</t>
        </is>
      </c>
      <c r="AA1913" t="inlineStr">
        <is>
          <t>Investments</t>
        </is>
      </c>
      <c r="AB1913" s="50" t="inlineStr"/>
      <c r="AC1913" s="43">
        <f>HYPERLINK("https://projects.propublica.org/nonprofits/organizations/60646973/202501359349304220/full","view filing")</f>
        <v/>
      </c>
      <c r="AD1913" s="50" t="inlineStr"/>
    </row>
    <row r="1914">
      <c r="A1914" t="inlineStr">
        <is>
          <t>Yale University</t>
        </is>
      </c>
      <c r="B1914" s="50" t="inlineStr">
        <is>
          <t>CT</t>
        </is>
      </c>
      <c r="C1914" s="52" t="n">
        <v>44.15</v>
      </c>
      <c r="D1914" t="inlineStr">
        <is>
          <t>Endowment</t>
        </is>
      </c>
      <c r="E1914" s="50" t="n">
        <v>2024</v>
      </c>
      <c r="F1914" s="50" t="inlineStr">
        <is>
          <t>2025-05-15</t>
        </is>
      </c>
      <c r="G1914" s="50" t="inlineStr">
        <is>
          <t>2024-06-30</t>
        </is>
      </c>
      <c r="H1914" t="inlineStr">
        <is>
          <t>John Ricotta</t>
        </is>
      </c>
      <c r="I1914" t="inlineStr">
        <is>
          <t>Managing Director, Investments</t>
        </is>
      </c>
      <c r="J1914" t="inlineStr">
        <is>
          <t>Managing Director</t>
        </is>
      </c>
      <c r="K1914" t="inlineStr">
        <is>
          <t>Sr Investment Professional</t>
        </is>
      </c>
      <c r="L1914" s="28" t="n">
        <v>705080</v>
      </c>
      <c r="M1914" s="28" t="n">
        <v>975489</v>
      </c>
      <c r="N1914" s="28" t="n">
        <v>22500</v>
      </c>
      <c r="O1914" s="28" t="n">
        <v>37245</v>
      </c>
      <c r="P1914" s="28" t="n">
        <v>37972</v>
      </c>
      <c r="Q1914" s="28" t="n">
        <v>1778286</v>
      </c>
      <c r="R1914" s="28" t="n">
        <v>0</v>
      </c>
      <c r="S1914" s="28">
        <f>Q1914-R1914</f>
        <v/>
      </c>
      <c r="T1914" s="28">
        <f>IF(S1914="","",S1914*(1+in_GrowthRate)^(YEARFRAC(DATE(2024,6,30),in_AgeToDate)*IF(in_AgeToDate&lt;DATE(2024,6,30),-1,1)+1))</f>
        <v/>
      </c>
      <c r="U1914" s="50">
        <f>IF(AND(AND(OR(in_Mode="All Funds",AND(C1914&gt;=in_BandFloor,C1914&lt;=in_BandCeiling,OR(in_Geography="National",COUNTIFS(lst_GeoPreset,in_Geography,lst_GeoState,B1914)&gt;0,AND(in_Geography="Custom",ISNUMBER(SEARCH(B1914,SUBSTITUTE(in_CustomStates," ",""))))),OR(AND(D1914="Endowment",Inputs!$B$14="Y"),AND(D1914="Foundation",Inputs!$B$15="Y"),AND(D1914="Healthcare",Inputs!$B$16="Y"),AND(D1914="Pension",Inputs!$B$17="Y"),AND(D1914="OCIO",Inputs!$B$18="Y"),AND(D1914="Other",Inputs!$B$19="Y")))),A1914&lt;&gt;in_ClientOrg,NOT(AND(in_ExclHarvard="Y",ISNUMBER(SEARCH("Harvard",A1914))))),$AD1914="Y",K1914&lt;&gt;"",S1914&gt;0),"Y","")</f>
        <v/>
      </c>
      <c r="V1914" s="30" t="n">
        <v>0.4582265362228056</v>
      </c>
      <c r="W1914" t="inlineStr"/>
      <c r="X1914" s="28">
        <f>IF(L1914+M1914=0,"",L1914+M1914)</f>
        <v/>
      </c>
      <c r="Y1914" s="38">
        <f>IF(L1914=0,"",M1914/L1914)</f>
        <v/>
      </c>
      <c r="Z1914" t="inlineStr">
        <is>
          <t>Managing Director</t>
        </is>
      </c>
      <c r="AA1914" t="inlineStr">
        <is>
          <t>Investments</t>
        </is>
      </c>
      <c r="AB1914" s="50" t="inlineStr"/>
      <c r="AC1914" s="43">
        <f>HYPERLINK("https://projects.propublica.org/nonprofits/organizations/60646973/202501359349304220/full","view filing")</f>
        <v/>
      </c>
      <c r="AD1914" s="50" t="inlineStr"/>
    </row>
    <row r="1915">
      <c r="A1915" t="inlineStr">
        <is>
          <t>Yale University</t>
        </is>
      </c>
      <c r="B1915" s="50" t="inlineStr">
        <is>
          <t>CT</t>
        </is>
      </c>
      <c r="C1915" s="52" t="n">
        <v>44.15</v>
      </c>
      <c r="D1915" t="inlineStr">
        <is>
          <t>Endowment</t>
        </is>
      </c>
      <c r="E1915" s="50" t="n">
        <v>2024</v>
      </c>
      <c r="F1915" s="50" t="inlineStr">
        <is>
          <t>2025-05-15</t>
        </is>
      </c>
      <c r="G1915" s="50" t="inlineStr">
        <is>
          <t>2024-06-30</t>
        </is>
      </c>
      <c r="H1915" t="inlineStr">
        <is>
          <t>Matthew S T Mendelsohn</t>
        </is>
      </c>
      <c r="I1915" t="inlineStr">
        <is>
          <t>Chief Investment Officer</t>
        </is>
      </c>
      <c r="J1915" t="inlineStr">
        <is>
          <t>CIO</t>
        </is>
      </c>
      <c r="K1915" t="inlineStr">
        <is>
          <t>CIO - Top Investment Executive</t>
        </is>
      </c>
      <c r="L1915" s="28" t="n">
        <v>861462</v>
      </c>
      <c r="M1915" s="28" t="n">
        <v>1436169</v>
      </c>
      <c r="N1915" s="28" t="n">
        <v>22500</v>
      </c>
      <c r="O1915" s="28" t="n">
        <v>2085120</v>
      </c>
      <c r="P1915" s="28" t="n">
        <v>37839</v>
      </c>
      <c r="Q1915" s="28" t="n">
        <v>4443090</v>
      </c>
      <c r="R1915" s="28" t="n">
        <v>562289</v>
      </c>
      <c r="S1915" s="28">
        <f>Q1915-R1915</f>
        <v/>
      </c>
      <c r="T1915" s="28">
        <f>IF(S1915="","",S1915*(1+in_GrowthRate)^(YEARFRAC(DATE(2024,6,30),in_AgeToDate)*IF(in_AgeToDate&lt;DATE(2024,6,30),-1,1)+1))</f>
        <v/>
      </c>
      <c r="U1915" s="50">
        <f>IF(AND(AND(OR(in_Mode="All Funds",AND(C1915&gt;=in_BandFloor,C1915&lt;=in_BandCeiling,OR(in_Geography="National",COUNTIFS(lst_GeoPreset,in_Geography,lst_GeoState,B1915)&gt;0,AND(in_Geography="Custom",ISNUMBER(SEARCH(B1915,SUBSTITUTE(in_CustomStates," ",""))))),OR(AND(D1915="Endowment",Inputs!$B$14="Y"),AND(D1915="Foundation",Inputs!$B$15="Y"),AND(D1915="Healthcare",Inputs!$B$16="Y"),AND(D1915="Pension",Inputs!$B$17="Y"),AND(D1915="OCIO",Inputs!$B$18="Y"),AND(D1915="Other",Inputs!$B$19="Y")))),A1915&lt;&gt;in_ClientOrg,NOT(AND(in_ExclHarvard="Y",ISNUMBER(SEARCH("Harvard",A1915))))),$AD1915="Y",K1915&lt;&gt;"",S1915&gt;0),"Y","")</f>
        <v/>
      </c>
      <c r="V1915" s="30" t="n">
        <v>1</v>
      </c>
      <c r="W1915" t="inlineStr"/>
      <c r="X1915" s="28">
        <f>IF(L1915+M1915=0,"",L1915+M1915)</f>
        <v/>
      </c>
      <c r="Y1915" s="38">
        <f>IF(L1915=0,"",M1915/L1915)</f>
        <v/>
      </c>
      <c r="Z1915" t="inlineStr">
        <is>
          <t>CIO - Top Investment Executive</t>
        </is>
      </c>
      <c r="AA1915" t="inlineStr">
        <is>
          <t>Leadership</t>
        </is>
      </c>
      <c r="AB1915" s="50" t="inlineStr">
        <is>
          <t>Y</t>
        </is>
      </c>
      <c r="AC1915" s="43">
        <f>HYPERLINK("https://projects.propublica.org/nonprofits/organizations/60646973/202501359349304220/full","view filing")</f>
        <v/>
      </c>
      <c r="AD1915" s="50" t="inlineStr"/>
    </row>
    <row r="1916">
      <c r="A1916" t="inlineStr">
        <is>
          <t>Yale University</t>
        </is>
      </c>
      <c r="B1916" s="50" t="inlineStr">
        <is>
          <t>CT</t>
        </is>
      </c>
      <c r="C1916" s="52" t="n">
        <v>44.15</v>
      </c>
      <c r="D1916" t="inlineStr">
        <is>
          <t>Endowment</t>
        </is>
      </c>
      <c r="E1916" s="50" t="n">
        <v>2024</v>
      </c>
      <c r="F1916" s="50" t="inlineStr">
        <is>
          <t>2025-05-15</t>
        </is>
      </c>
      <c r="G1916" s="50" t="inlineStr">
        <is>
          <t>2024-06-30</t>
        </is>
      </c>
      <c r="H1916" t="inlineStr">
        <is>
          <t>Timothy R Sullivan</t>
        </is>
      </c>
      <c r="I1916" t="inlineStr">
        <is>
          <t>Sr Director of Private Equity</t>
        </is>
      </c>
      <c r="J1916" t="inlineStr">
        <is>
          <t>Director of Investments</t>
        </is>
      </c>
      <c r="K1916" t="inlineStr">
        <is>
          <t>Sr Investment Professional</t>
        </is>
      </c>
      <c r="L1916" s="28" t="n">
        <v>792754</v>
      </c>
      <c r="M1916" s="28" t="n">
        <v>1242348</v>
      </c>
      <c r="N1916" s="28" t="n">
        <v>22500</v>
      </c>
      <c r="O1916" s="28" t="n">
        <v>37245</v>
      </c>
      <c r="P1916" s="28" t="n">
        <v>41154</v>
      </c>
      <c r="Q1916" s="28" t="n">
        <v>2136001</v>
      </c>
      <c r="R1916" s="28" t="n">
        <v>340000</v>
      </c>
      <c r="S1916" s="28">
        <f>Q1916-R1916</f>
        <v/>
      </c>
      <c r="T1916" s="28">
        <f>IF(S1916="","",S1916*(1+in_GrowthRate)^(YEARFRAC(DATE(2024,6,30),in_AgeToDate)*IF(in_AgeToDate&lt;DATE(2024,6,30),-1,1)+1))</f>
        <v/>
      </c>
      <c r="U1916" s="50">
        <f>IF(AND(AND(OR(in_Mode="All Funds",AND(C1916&gt;=in_BandFloor,C1916&lt;=in_BandCeiling,OR(in_Geography="National",COUNTIFS(lst_GeoPreset,in_Geography,lst_GeoState,B1916)&gt;0,AND(in_Geography="Custom",ISNUMBER(SEARCH(B1916,SUBSTITUTE(in_CustomStates," ",""))))),OR(AND(D1916="Endowment",Inputs!$B$14="Y"),AND(D1916="Foundation",Inputs!$B$15="Y"),AND(D1916="Healthcare",Inputs!$B$16="Y"),AND(D1916="Pension",Inputs!$B$17="Y"),AND(D1916="OCIO",Inputs!$B$18="Y"),AND(D1916="Other",Inputs!$B$19="Y")))),A1916&lt;&gt;in_ClientOrg,NOT(AND(in_ExclHarvard="Y",ISNUMBER(SEARCH("Harvard",A1916))))),$AD1916="Y",K1916&lt;&gt;"",S1916&gt;0),"Y","")</f>
        <v/>
      </c>
      <c r="V1916" s="30" t="n">
        <v>0.4627913155041962</v>
      </c>
      <c r="W1916" t="inlineStr"/>
      <c r="X1916" s="28">
        <f>IF(L1916+M1916=0,"",L1916+M1916)</f>
        <v/>
      </c>
      <c r="Y1916" s="38">
        <f>IF(L1916=0,"",M1916/L1916)</f>
        <v/>
      </c>
      <c r="Z1916" t="inlineStr">
        <is>
          <t>Managing Director</t>
        </is>
      </c>
      <c r="AA1916" t="inlineStr">
        <is>
          <t>Investments</t>
        </is>
      </c>
      <c r="AB1916" s="50" t="inlineStr"/>
      <c r="AC1916" s="43">
        <f>HYPERLINK("https://projects.propublica.org/nonprofits/organizations/60646973/202501359349304220/full","view filing")</f>
        <v/>
      </c>
      <c r="AD1916" s="50" t="inlineStr"/>
    </row>
    <row r="1917">
      <c r="A1917" t="inlineStr">
        <is>
          <t>Yale University</t>
        </is>
      </c>
      <c r="B1917" s="50" t="inlineStr">
        <is>
          <t>CT</t>
        </is>
      </c>
      <c r="C1917" s="52" t="n">
        <v>44.15</v>
      </c>
      <c r="D1917" t="inlineStr">
        <is>
          <t>Endowment</t>
        </is>
      </c>
      <c r="E1917" s="50" t="n">
        <v>2023</v>
      </c>
      <c r="F1917" s="50" t="inlineStr">
        <is>
          <t>2024-05-15</t>
        </is>
      </c>
      <c r="G1917" s="50" t="inlineStr">
        <is>
          <t>2023-06-30</t>
        </is>
      </c>
      <c r="H1917" t="inlineStr">
        <is>
          <t>Alan Forman</t>
        </is>
      </c>
      <c r="I1917" t="inlineStr">
        <is>
          <t>Director, Investments</t>
        </is>
      </c>
      <c r="J1917" t="inlineStr">
        <is>
          <t>Director of Investments</t>
        </is>
      </c>
      <c r="K1917" t="inlineStr">
        <is>
          <t>Sr Investment Professional</t>
        </is>
      </c>
      <c r="L1917" s="28" t="n">
        <v>106437</v>
      </c>
      <c r="M1917" s="28" t="n">
        <v>1282519</v>
      </c>
      <c r="N1917" s="28" t="n">
        <v>517913</v>
      </c>
      <c r="O1917" s="28" t="n">
        <v>34450</v>
      </c>
      <c r="P1917" s="28" t="n">
        <v>10235</v>
      </c>
      <c r="Q1917" s="28" t="n">
        <v>1951554</v>
      </c>
      <c r="R1917" s="28" t="n">
        <v>0</v>
      </c>
      <c r="S1917" s="28">
        <f>Q1917-R1917</f>
        <v/>
      </c>
      <c r="T1917" s="28">
        <f>IF(S1917="","",S1917*(1+in_GrowthRate)^(YEARFRAC(DATE(2023,6,30),in_AgeToDate)*IF(in_AgeToDate&lt;DATE(2023,6,30),-1,1)+1))</f>
        <v/>
      </c>
      <c r="U1917" s="50">
        <f>IF(AND(AND(OR(in_Mode="All Funds",AND(C1917&gt;=in_BandFloor,C1917&lt;=in_BandCeiling,OR(in_Geography="National",COUNTIFS(lst_GeoPreset,in_Geography,lst_GeoState,B1917)&gt;0,AND(in_Geography="Custom",ISNUMBER(SEARCH(B1917,SUBSTITUTE(in_CustomStates," ",""))))),OR(AND(D1917="Endowment",Inputs!$B$14="Y"),AND(D1917="Foundation",Inputs!$B$15="Y"),AND(D1917="Healthcare",Inputs!$B$16="Y"),AND(D1917="Pension",Inputs!$B$17="Y"),AND(D1917="OCIO",Inputs!$B$18="Y"),AND(D1917="Other",Inputs!$B$19="Y")))),A1917&lt;&gt;in_ClientOrg,NOT(AND(in_ExclHarvard="Y",ISNUMBER(SEARCH("Harvard",A1917))))),$AD1917="Y",K1917&lt;&gt;"",S1917&gt;0),"Y","")</f>
        <v/>
      </c>
      <c r="V1917" s="30" t="n">
        <v>1.107749262230457</v>
      </c>
      <c r="W1917" t="inlineStr"/>
      <c r="X1917" s="28">
        <f>IF(L1917+M1917=0,"",L1917+M1917)</f>
        <v/>
      </c>
      <c r="Y1917" s="38">
        <f>IF(L1917=0,"",M1917/L1917)</f>
        <v/>
      </c>
      <c r="Z1917" t="inlineStr">
        <is>
          <t>Managing Director</t>
        </is>
      </c>
      <c r="AA1917" t="inlineStr">
        <is>
          <t>Investments</t>
        </is>
      </c>
      <c r="AB1917" s="50" t="inlineStr"/>
      <c r="AC1917" s="43">
        <f>HYPERLINK("https://projects.propublica.org/nonprofits/organizations/60646973/202441369349303279/full","view filing")</f>
        <v/>
      </c>
      <c r="AD1917" s="50" t="inlineStr"/>
    </row>
    <row r="1918">
      <c r="A1918" t="inlineStr">
        <is>
          <t>Yale University</t>
        </is>
      </c>
      <c r="B1918" s="50" t="inlineStr">
        <is>
          <t>CT</t>
        </is>
      </c>
      <c r="C1918" s="52" t="n">
        <v>44.15</v>
      </c>
      <c r="D1918" t="inlineStr">
        <is>
          <t>Endowment</t>
        </is>
      </c>
      <c r="E1918" s="50" t="n">
        <v>2023</v>
      </c>
      <c r="F1918" s="50" t="inlineStr">
        <is>
          <t>2024-05-15</t>
        </is>
      </c>
      <c r="G1918" s="50" t="inlineStr">
        <is>
          <t>2023-06-30</t>
        </is>
      </c>
      <c r="H1918" t="inlineStr">
        <is>
          <t>Alex Hetherington</t>
        </is>
      </c>
      <c r="I1918" t="inlineStr">
        <is>
          <t>Managing Director, Investments</t>
        </is>
      </c>
      <c r="J1918" t="inlineStr">
        <is>
          <t>Managing Director</t>
        </is>
      </c>
      <c r="K1918" t="inlineStr">
        <is>
          <t>Sr Investment Professional</t>
        </is>
      </c>
      <c r="L1918" s="28" t="n">
        <v>667651</v>
      </c>
      <c r="M1918" s="28" t="n">
        <v>847333</v>
      </c>
      <c r="N1918" s="28" t="n">
        <v>20500</v>
      </c>
      <c r="O1918" s="28" t="n">
        <v>336617</v>
      </c>
      <c r="P1918" s="28" t="n">
        <v>32559</v>
      </c>
      <c r="Q1918" s="28" t="n">
        <v>1904660</v>
      </c>
      <c r="R1918" s="28" t="n">
        <v>0</v>
      </c>
      <c r="S1918" s="28">
        <f>Q1918-R1918</f>
        <v/>
      </c>
      <c r="T1918" s="28">
        <f>IF(S1918="","",S1918*(1+in_GrowthRate)^(YEARFRAC(DATE(2023,6,30),in_AgeToDate)*IF(in_AgeToDate&lt;DATE(2023,6,30),-1,1)+1))</f>
        <v/>
      </c>
      <c r="U1918" s="50">
        <f>IF(AND(AND(OR(in_Mode="All Funds",AND(C1918&gt;=in_BandFloor,C1918&lt;=in_BandCeiling,OR(in_Geography="National",COUNTIFS(lst_GeoPreset,in_Geography,lst_GeoState,B1918)&gt;0,AND(in_Geography="Custom",ISNUMBER(SEARCH(B1918,SUBSTITUTE(in_CustomStates," ",""))))),OR(AND(D1918="Endowment",Inputs!$B$14="Y"),AND(D1918="Foundation",Inputs!$B$15="Y"),AND(D1918="Healthcare",Inputs!$B$16="Y"),AND(D1918="Pension",Inputs!$B$17="Y"),AND(D1918="OCIO",Inputs!$B$18="Y"),AND(D1918="Other",Inputs!$B$19="Y")))),A1918&lt;&gt;in_ClientOrg,NOT(AND(in_ExclHarvard="Y",ISNUMBER(SEARCH("Harvard",A1918))))),$AD1918="Y",K1918&lt;&gt;"",S1918&gt;0),"Y","")</f>
        <v/>
      </c>
      <c r="V1918" s="30" t="n">
        <v>1.081131093374747</v>
      </c>
      <c r="W1918" t="inlineStr"/>
      <c r="X1918" s="28">
        <f>IF(L1918+M1918=0,"",L1918+M1918)</f>
        <v/>
      </c>
      <c r="Y1918" s="38">
        <f>IF(L1918=0,"",M1918/L1918)</f>
        <v/>
      </c>
      <c r="Z1918" t="inlineStr">
        <is>
          <t>Managing Director</t>
        </is>
      </c>
      <c r="AA1918" t="inlineStr">
        <is>
          <t>Investments</t>
        </is>
      </c>
      <c r="AB1918" s="50" t="inlineStr"/>
      <c r="AC1918" s="43">
        <f>HYPERLINK("https://projects.propublica.org/nonprofits/organizations/60646973/202441369349303279/full","view filing")</f>
        <v/>
      </c>
      <c r="AD1918" s="50" t="inlineStr"/>
    </row>
    <row r="1919">
      <c r="A1919" t="inlineStr">
        <is>
          <t>Yale University</t>
        </is>
      </c>
      <c r="B1919" s="50" t="inlineStr">
        <is>
          <t>CT</t>
        </is>
      </c>
      <c r="C1919" s="52" t="n">
        <v>44.15</v>
      </c>
      <c r="D1919" t="inlineStr">
        <is>
          <t>Endowment</t>
        </is>
      </c>
      <c r="E1919" s="50" t="n">
        <v>2023</v>
      </c>
      <c r="F1919" s="50" t="inlineStr">
        <is>
          <t>2024-05-15</t>
        </is>
      </c>
      <c r="G1919" s="50" t="inlineStr">
        <is>
          <t>2023-06-30</t>
        </is>
      </c>
      <c r="H1919" t="inlineStr">
        <is>
          <t>Matthew S T Mendelsohn</t>
        </is>
      </c>
      <c r="I1919" t="inlineStr">
        <is>
          <t>Chief Investment Officer</t>
        </is>
      </c>
      <c r="J1919" t="inlineStr">
        <is>
          <t>CIO</t>
        </is>
      </c>
      <c r="K1919" t="inlineStr">
        <is>
          <t>CIO - Top Investment Executive</t>
        </is>
      </c>
      <c r="L1919" s="28" t="n">
        <v>868529</v>
      </c>
      <c r="M1919" s="28" t="n">
        <v>815859</v>
      </c>
      <c r="N1919" s="28" t="n">
        <v>20500</v>
      </c>
      <c r="O1919" s="28" t="n">
        <v>34450</v>
      </c>
      <c r="P1919" s="28" t="n">
        <v>22391</v>
      </c>
      <c r="Q1919" s="28" t="n">
        <v>1761729</v>
      </c>
      <c r="R1919" s="28" t="n">
        <v>0</v>
      </c>
      <c r="S1919" s="28">
        <f>Q1919-R1919</f>
        <v/>
      </c>
      <c r="T1919" s="28">
        <f>IF(S1919="","",S1919*(1+in_GrowthRate)^(YEARFRAC(DATE(2023,6,30),in_AgeToDate)*IF(in_AgeToDate&lt;DATE(2023,6,30),-1,1)+1))</f>
        <v/>
      </c>
      <c r="U1919" s="50">
        <f>IF(AND(AND(OR(in_Mode="All Funds",AND(C1919&gt;=in_BandFloor,C1919&lt;=in_BandCeiling,OR(in_Geography="National",COUNTIFS(lst_GeoPreset,in_Geography,lst_GeoState,B1919)&gt;0,AND(in_Geography="Custom",ISNUMBER(SEARCH(B1919,SUBSTITUTE(in_CustomStates," ",""))))),OR(AND(D1919="Endowment",Inputs!$B$14="Y"),AND(D1919="Foundation",Inputs!$B$15="Y"),AND(D1919="Healthcare",Inputs!$B$16="Y"),AND(D1919="Pension",Inputs!$B$17="Y"),AND(D1919="OCIO",Inputs!$B$18="Y"),AND(D1919="Other",Inputs!$B$19="Y")))),A1919&lt;&gt;in_ClientOrg,NOT(AND(in_ExclHarvard="Y",ISNUMBER(SEARCH("Harvard",A1919))))),$AD1919="Y",K1919&lt;&gt;"",S1919&gt;0),"Y","")</f>
        <v/>
      </c>
      <c r="V1919" s="30" t="n">
        <v>1</v>
      </c>
      <c r="W1919" t="inlineStr"/>
      <c r="X1919" s="28">
        <f>IF(L1919+M1919=0,"",L1919+M1919)</f>
        <v/>
      </c>
      <c r="Y1919" s="38">
        <f>IF(L1919=0,"",M1919/L1919)</f>
        <v/>
      </c>
      <c r="Z1919" t="inlineStr">
        <is>
          <t>CIO - Top Investment Executive</t>
        </is>
      </c>
      <c r="AA1919" t="inlineStr">
        <is>
          <t>Leadership</t>
        </is>
      </c>
      <c r="AB1919" s="50" t="inlineStr">
        <is>
          <t>Y</t>
        </is>
      </c>
      <c r="AC1919" s="43">
        <f>HYPERLINK("https://projects.propublica.org/nonprofits/organizations/60646973/202441369349303279/full","view filing")</f>
        <v/>
      </c>
      <c r="AD1919" s="50" t="inlineStr"/>
    </row>
    <row r="1920">
      <c r="A1920" t="inlineStr">
        <is>
          <t>Yale University</t>
        </is>
      </c>
      <c r="B1920" s="50" t="inlineStr">
        <is>
          <t>CT</t>
        </is>
      </c>
      <c r="C1920" s="52" t="n">
        <v>44.15</v>
      </c>
      <c r="D1920" t="inlineStr">
        <is>
          <t>Endowment</t>
        </is>
      </c>
      <c r="E1920" s="50" t="n">
        <v>2023</v>
      </c>
      <c r="F1920" s="50" t="inlineStr">
        <is>
          <t>2024-05-15</t>
        </is>
      </c>
      <c r="G1920" s="50" t="inlineStr">
        <is>
          <t>2023-06-30</t>
        </is>
      </c>
      <c r="H1920" t="inlineStr">
        <is>
          <t>Timothy R Sullivan</t>
        </is>
      </c>
      <c r="I1920" t="inlineStr">
        <is>
          <t>Sr Director of Private Equity</t>
        </is>
      </c>
      <c r="J1920" t="inlineStr">
        <is>
          <t>Director of Investments</t>
        </is>
      </c>
      <c r="K1920" t="inlineStr">
        <is>
          <t>Sr Investment Professional</t>
        </is>
      </c>
      <c r="L1920" s="28" t="n">
        <v>758325</v>
      </c>
      <c r="M1920" s="28" t="n">
        <v>1070496</v>
      </c>
      <c r="N1920" s="28" t="n">
        <v>20500</v>
      </c>
      <c r="O1920" s="28" t="n">
        <v>358200</v>
      </c>
      <c r="P1920" s="28" t="n">
        <v>36187</v>
      </c>
      <c r="Q1920" s="28" t="n">
        <v>2243708</v>
      </c>
      <c r="R1920" s="28" t="n">
        <v>277917</v>
      </c>
      <c r="S1920" s="28">
        <f>Q1920-R1920</f>
        <v/>
      </c>
      <c r="T1920" s="28">
        <f>IF(S1920="","",S1920*(1+in_GrowthRate)^(YEARFRAC(DATE(2023,6,30),in_AgeToDate)*IF(in_AgeToDate&lt;DATE(2023,6,30),-1,1)+1))</f>
        <v/>
      </c>
      <c r="U1920" s="50">
        <f>IF(AND(AND(OR(in_Mode="All Funds",AND(C1920&gt;=in_BandFloor,C1920&lt;=in_BandCeiling,OR(in_Geography="National",COUNTIFS(lst_GeoPreset,in_Geography,lst_GeoState,B1920)&gt;0,AND(in_Geography="Custom",ISNUMBER(SEARCH(B1920,SUBSTITUTE(in_CustomStates," ",""))))),OR(AND(D1920="Endowment",Inputs!$B$14="Y"),AND(D1920="Foundation",Inputs!$B$15="Y"),AND(D1920="Healthcare",Inputs!$B$16="Y"),AND(D1920="Pension",Inputs!$B$17="Y"),AND(D1920="OCIO",Inputs!$B$18="Y"),AND(D1920="Other",Inputs!$B$19="Y")))),A1920&lt;&gt;in_ClientOrg,NOT(AND(in_ExclHarvard="Y",ISNUMBER(SEARCH("Harvard",A1920))))),$AD1920="Y",K1920&lt;&gt;"",S1920&gt;0),"Y","")</f>
        <v/>
      </c>
      <c r="V1920" s="30" t="n">
        <v>1.115830527850765</v>
      </c>
      <c r="W1920" t="inlineStr"/>
      <c r="X1920" s="28">
        <f>IF(L1920+M1920=0,"",L1920+M1920)</f>
        <v/>
      </c>
      <c r="Y1920" s="38">
        <f>IF(L1920=0,"",M1920/L1920)</f>
        <v/>
      </c>
      <c r="Z1920" t="inlineStr">
        <is>
          <t>Managing Director</t>
        </is>
      </c>
      <c r="AA1920" t="inlineStr">
        <is>
          <t>Investments</t>
        </is>
      </c>
      <c r="AB1920" s="50" t="inlineStr"/>
      <c r="AC1920" s="43">
        <f>HYPERLINK("https://projects.propublica.org/nonprofits/organizations/60646973/202441369349303279/full","view filing")</f>
        <v/>
      </c>
      <c r="AD1920" s="50" t="inlineStr"/>
    </row>
    <row r="1921">
      <c r="A1921" t="inlineStr">
        <is>
          <t>Yale University</t>
        </is>
      </c>
      <c r="B1921" s="50" t="inlineStr">
        <is>
          <t>CT</t>
        </is>
      </c>
      <c r="C1921" s="52" t="n">
        <v>44.15</v>
      </c>
      <c r="D1921" t="inlineStr">
        <is>
          <t>Endowment</t>
        </is>
      </c>
      <c r="E1921" s="50" t="n">
        <v>2022</v>
      </c>
      <c r="F1921" s="50" t="inlineStr">
        <is>
          <t>2023-05-15</t>
        </is>
      </c>
      <c r="G1921" s="50" t="inlineStr">
        <is>
          <t>2022-06-30</t>
        </is>
      </c>
      <c r="H1921" t="inlineStr">
        <is>
          <t>Alan Forman</t>
        </is>
      </c>
      <c r="I1921" t="inlineStr">
        <is>
          <t>Director, Investments</t>
        </is>
      </c>
      <c r="J1921" t="inlineStr">
        <is>
          <t>Director of Investments</t>
        </is>
      </c>
      <c r="K1921" t="inlineStr">
        <is>
          <t>Sr Investment Professional</t>
        </is>
      </c>
      <c r="L1921" s="28" t="n">
        <v>679286</v>
      </c>
      <c r="M1921" s="28" t="n">
        <v>816557</v>
      </c>
      <c r="N1921" s="28" t="n">
        <v>47000</v>
      </c>
      <c r="O1921" s="28" t="n">
        <v>319347</v>
      </c>
      <c r="P1921" s="28" t="n">
        <v>40656</v>
      </c>
      <c r="Q1921" s="28" t="n">
        <v>1902846</v>
      </c>
      <c r="R1921" s="28" t="n">
        <v>240533</v>
      </c>
      <c r="S1921" s="28">
        <f>Q1921-R1921</f>
        <v/>
      </c>
      <c r="T1921" s="28">
        <f>IF(S1921="","",S1921*(1+in_GrowthRate)^(YEARFRAC(DATE(2022,6,30),in_AgeToDate)*IF(in_AgeToDate&lt;DATE(2022,6,30),-1,1)+1))</f>
        <v/>
      </c>
      <c r="U1921" s="50">
        <f>IF(AND(AND(OR(in_Mode="All Funds",AND(C1921&gt;=in_BandFloor,C1921&lt;=in_BandCeiling,OR(in_Geography="National",COUNTIFS(lst_GeoPreset,in_Geography,lst_GeoState,B1921)&gt;0,AND(in_Geography="Custom",ISNUMBER(SEARCH(B1921,SUBSTITUTE(in_CustomStates," ",""))))),OR(AND(D1921="Endowment",Inputs!$B$14="Y"),AND(D1921="Foundation",Inputs!$B$15="Y"),AND(D1921="Healthcare",Inputs!$B$16="Y"),AND(D1921="Pension",Inputs!$B$17="Y"),AND(D1921="OCIO",Inputs!$B$18="Y"),AND(D1921="Other",Inputs!$B$19="Y")))),A1921&lt;&gt;in_ClientOrg,NOT(AND(in_ExclHarvard="Y",ISNUMBER(SEARCH("Harvard",A1921))))),$AD1921="Y",K1921&lt;&gt;"",S1921&gt;0),"Y","")</f>
        <v/>
      </c>
      <c r="V1921" s="30" t="n"/>
      <c r="W1921" t="inlineStr"/>
      <c r="X1921" s="28">
        <f>IF(L1921+M1921=0,"",L1921+M1921)</f>
        <v/>
      </c>
      <c r="Y1921" s="38">
        <f>IF(L1921=0,"",M1921/L1921)</f>
        <v/>
      </c>
      <c r="Z1921" t="inlineStr">
        <is>
          <t>Managing Director</t>
        </is>
      </c>
      <c r="AA1921" t="inlineStr">
        <is>
          <t>Investments</t>
        </is>
      </c>
      <c r="AB1921" s="50" t="inlineStr"/>
      <c r="AC1921" s="43">
        <f>HYPERLINK("https://projects.propublica.org/nonprofits/organizations/60646973/202321359349305547/full","view filing")</f>
        <v/>
      </c>
      <c r="AD1921" s="50" t="inlineStr"/>
    </row>
    <row r="1922">
      <c r="A1922" t="inlineStr">
        <is>
          <t>Yale University</t>
        </is>
      </c>
      <c r="B1922" s="50" t="inlineStr">
        <is>
          <t>CT</t>
        </is>
      </c>
      <c r="C1922" s="52" t="n">
        <v>44.15</v>
      </c>
      <c r="D1922" t="inlineStr">
        <is>
          <t>Endowment</t>
        </is>
      </c>
      <c r="E1922" s="50" t="n">
        <v>2022</v>
      </c>
      <c r="F1922" s="50" t="inlineStr">
        <is>
          <t>2023-05-15</t>
        </is>
      </c>
      <c r="G1922" s="50" t="inlineStr">
        <is>
          <t>2022-06-30</t>
        </is>
      </c>
      <c r="H1922" t="inlineStr">
        <is>
          <t>Lisa Howie</t>
        </is>
      </c>
      <c r="I1922" t="inlineStr">
        <is>
          <t>Director, Investments</t>
        </is>
      </c>
      <c r="J1922" t="inlineStr">
        <is>
          <t>Director of Investments</t>
        </is>
      </c>
      <c r="K1922" t="inlineStr">
        <is>
          <t>Sr Investment Professional</t>
        </is>
      </c>
      <c r="L1922" s="28" t="n">
        <v>226981</v>
      </c>
      <c r="M1922" s="28" t="n">
        <v>1270134</v>
      </c>
      <c r="N1922" s="28" t="n">
        <v>135846</v>
      </c>
      <c r="O1922" s="28" t="n">
        <v>26805</v>
      </c>
      <c r="P1922" s="28" t="n">
        <v>5205</v>
      </c>
      <c r="Q1922" s="28" t="n">
        <v>1664971</v>
      </c>
      <c r="R1922" s="28" t="n">
        <v>0</v>
      </c>
      <c r="S1922" s="28">
        <f>Q1922-R1922</f>
        <v/>
      </c>
      <c r="T1922" s="28">
        <f>IF(S1922="","",S1922*(1+in_GrowthRate)^(YEARFRAC(DATE(2022,6,30),in_AgeToDate)*IF(in_AgeToDate&lt;DATE(2022,6,30),-1,1)+1))</f>
        <v/>
      </c>
      <c r="U1922" s="50">
        <f>IF(AND(AND(OR(in_Mode="All Funds",AND(C1922&gt;=in_BandFloor,C1922&lt;=in_BandCeiling,OR(in_Geography="National",COUNTIFS(lst_GeoPreset,in_Geography,lst_GeoState,B1922)&gt;0,AND(in_Geography="Custom",ISNUMBER(SEARCH(B1922,SUBSTITUTE(in_CustomStates," ",""))))),OR(AND(D1922="Endowment",Inputs!$B$14="Y"),AND(D1922="Foundation",Inputs!$B$15="Y"),AND(D1922="Healthcare",Inputs!$B$16="Y"),AND(D1922="Pension",Inputs!$B$17="Y"),AND(D1922="OCIO",Inputs!$B$18="Y"),AND(D1922="Other",Inputs!$B$19="Y")))),A1922&lt;&gt;in_ClientOrg,NOT(AND(in_ExclHarvard="Y",ISNUMBER(SEARCH("Harvard",A1922))))),$AD1922="Y",K1922&lt;&gt;"",S1922&gt;0),"Y","")</f>
        <v/>
      </c>
      <c r="V1922" s="30" t="n"/>
      <c r="W1922" t="inlineStr"/>
      <c r="X1922" s="28">
        <f>IF(L1922+M1922=0,"",L1922+M1922)</f>
        <v/>
      </c>
      <c r="Y1922" s="38">
        <f>IF(L1922=0,"",M1922/L1922)</f>
        <v/>
      </c>
      <c r="Z1922" t="inlineStr">
        <is>
          <t>Managing Director</t>
        </is>
      </c>
      <c r="AA1922" t="inlineStr">
        <is>
          <t>Investments</t>
        </is>
      </c>
      <c r="AB1922" s="50" t="inlineStr"/>
      <c r="AC1922" s="43">
        <f>HYPERLINK("https://projects.propublica.org/nonprofits/organizations/60646973/202321359349305547/full","view filing")</f>
        <v/>
      </c>
      <c r="AD1922" s="50" t="inlineStr"/>
    </row>
    <row r="1923">
      <c r="A1923" t="inlineStr">
        <is>
          <t>Yale University</t>
        </is>
      </c>
      <c r="B1923" s="50" t="inlineStr">
        <is>
          <t>CT</t>
        </is>
      </c>
      <c r="C1923" s="52" t="n">
        <v>44.15</v>
      </c>
      <c r="D1923" t="inlineStr">
        <is>
          <t>Endowment</t>
        </is>
      </c>
      <c r="E1923" s="50" t="n">
        <v>2022</v>
      </c>
      <c r="F1923" s="50" t="inlineStr">
        <is>
          <t>2023-05-15</t>
        </is>
      </c>
      <c r="G1923" s="50" t="inlineStr">
        <is>
          <t>2022-06-30</t>
        </is>
      </c>
      <c r="H1923" t="inlineStr">
        <is>
          <t>Timothy R Sullivan</t>
        </is>
      </c>
      <c r="I1923" t="inlineStr">
        <is>
          <t>Sr Director of Private Equity</t>
        </is>
      </c>
      <c r="J1923" t="inlineStr">
        <is>
          <t>Director of Investments</t>
        </is>
      </c>
      <c r="K1923" t="inlineStr">
        <is>
          <t>Sr Investment Professional</t>
        </is>
      </c>
      <c r="L1923" s="28" t="n">
        <v>709330</v>
      </c>
      <c r="M1923" s="28" t="n">
        <v>945915</v>
      </c>
      <c r="N1923" s="28" t="n">
        <v>19500</v>
      </c>
      <c r="O1923" s="28" t="n">
        <v>372680</v>
      </c>
      <c r="P1923" s="28" t="n">
        <v>47868</v>
      </c>
      <c r="Q1923" s="28" t="n">
        <v>2095293</v>
      </c>
      <c r="R1923" s="28" t="n">
        <v>534583</v>
      </c>
      <c r="S1923" s="28">
        <f>Q1923-R1923</f>
        <v/>
      </c>
      <c r="T1923" s="28">
        <f>IF(S1923="","",S1923*(1+in_GrowthRate)^(YEARFRAC(DATE(2022,6,30),in_AgeToDate)*IF(in_AgeToDate&lt;DATE(2022,6,30),-1,1)+1))</f>
        <v/>
      </c>
      <c r="U1923" s="50">
        <f>IF(AND(AND(OR(in_Mode="All Funds",AND(C1923&gt;=in_BandFloor,C1923&lt;=in_BandCeiling,OR(in_Geography="National",COUNTIFS(lst_GeoPreset,in_Geography,lst_GeoState,B1923)&gt;0,AND(in_Geography="Custom",ISNUMBER(SEARCH(B1923,SUBSTITUTE(in_CustomStates," ",""))))),OR(AND(D1923="Endowment",Inputs!$B$14="Y"),AND(D1923="Foundation",Inputs!$B$15="Y"),AND(D1923="Healthcare",Inputs!$B$16="Y"),AND(D1923="Pension",Inputs!$B$17="Y"),AND(D1923="OCIO",Inputs!$B$18="Y"),AND(D1923="Other",Inputs!$B$19="Y")))),A1923&lt;&gt;in_ClientOrg,NOT(AND(in_ExclHarvard="Y",ISNUMBER(SEARCH("Harvard",A1923))))),$AD1923="Y",K1923&lt;&gt;"",S1923&gt;0),"Y","")</f>
        <v/>
      </c>
      <c r="V1923" s="30" t="n"/>
      <c r="W1923" t="inlineStr"/>
      <c r="X1923" s="28">
        <f>IF(L1923+M1923=0,"",L1923+M1923)</f>
        <v/>
      </c>
      <c r="Y1923" s="38">
        <f>IF(L1923=0,"",M1923/L1923)</f>
        <v/>
      </c>
      <c r="Z1923" t="inlineStr">
        <is>
          <t>Managing Director</t>
        </is>
      </c>
      <c r="AA1923" t="inlineStr">
        <is>
          <t>Investments</t>
        </is>
      </c>
      <c r="AB1923" s="50" t="inlineStr"/>
      <c r="AC1923" s="43">
        <f>HYPERLINK("https://projects.propublica.org/nonprofits/organizations/60646973/202321359349305547/full","view filing")</f>
        <v/>
      </c>
      <c r="AD1923" s="50" t="inlineStr"/>
    </row>
    <row r="1924">
      <c r="A1924" t="inlineStr">
        <is>
          <t>Yeshiva University</t>
        </is>
      </c>
      <c r="B1924" s="50" t="inlineStr">
        <is>
          <t>NY</t>
        </is>
      </c>
      <c r="C1924" s="52" t="n">
        <v>0.71</v>
      </c>
      <c r="D1924" t="inlineStr">
        <is>
          <t>Endowment</t>
        </is>
      </c>
      <c r="E1924" s="50" t="n">
        <v>2025</v>
      </c>
      <c r="F1924" s="50" t="inlineStr">
        <is>
          <t>2026-05-13</t>
        </is>
      </c>
      <c r="G1924" s="50" t="inlineStr">
        <is>
          <t>2025-06-30</t>
        </is>
      </c>
      <c r="H1924" t="inlineStr">
        <is>
          <t>Ahron Herring</t>
        </is>
      </c>
      <c r="I1924" t="inlineStr">
        <is>
          <t>CHIEF INVESTMENT OFFICER</t>
        </is>
      </c>
      <c r="J1924" t="inlineStr">
        <is>
          <t>CIO</t>
        </is>
      </c>
      <c r="K1924" t="inlineStr">
        <is>
          <t>CIO - Top Investment Executive</t>
        </is>
      </c>
      <c r="L1924" s="28" t="n">
        <v>492208</v>
      </c>
      <c r="M1924" s="28" t="n">
        <v>0</v>
      </c>
      <c r="N1924" s="28" t="n">
        <v>10110</v>
      </c>
      <c r="O1924" s="28" t="n">
        <v>17250</v>
      </c>
      <c r="P1924" s="28" t="n">
        <v>61002</v>
      </c>
      <c r="Q1924" s="28" t="n">
        <v>580570</v>
      </c>
      <c r="R1924" s="28" t="n">
        <v>0</v>
      </c>
      <c r="S1924" s="28">
        <f>Q1924-R1924</f>
        <v/>
      </c>
      <c r="T1924" s="28">
        <f>IF(S1924="","",S1924*(1+in_GrowthRate)^(YEARFRAC(DATE(2025,6,30),in_AgeToDate)*IF(in_AgeToDate&lt;DATE(2025,6,30),-1,1)+1))</f>
        <v/>
      </c>
      <c r="U1924" s="50">
        <f>IF(AND(AND(OR(in_Mode="All Funds",AND(C1924&gt;=in_BandFloor,C1924&lt;=in_BandCeiling,OR(in_Geography="National",COUNTIFS(lst_GeoPreset,in_Geography,lst_GeoState,B1924)&gt;0,AND(in_Geography="Custom",ISNUMBER(SEARCH(B1924,SUBSTITUTE(in_CustomStates," ",""))))),OR(AND(D1924="Endowment",Inputs!$B$14="Y"),AND(D1924="Foundation",Inputs!$B$15="Y"),AND(D1924="Healthcare",Inputs!$B$16="Y"),AND(D1924="Pension",Inputs!$B$17="Y"),AND(D1924="OCIO",Inputs!$B$18="Y"),AND(D1924="Other",Inputs!$B$19="Y")))),A1924&lt;&gt;in_ClientOrg,NOT(AND(in_ExclHarvard="Y",ISNUMBER(SEARCH("Harvard",A1924))))),$AD1924="Y",K1924&lt;&gt;"",S1924&gt;0),"Y","")</f>
        <v/>
      </c>
      <c r="V1924" s="30" t="n">
        <v>1</v>
      </c>
      <c r="W1924" t="inlineStr"/>
      <c r="X1924" s="28">
        <f>IF(L1924+M1924=0,"",L1924+M1924)</f>
        <v/>
      </c>
      <c r="Y1924" s="38">
        <f>IF(L1924=0,"",M1924/L1924)</f>
        <v/>
      </c>
      <c r="Z1924" t="inlineStr">
        <is>
          <t>CIO - Top Investment Executive</t>
        </is>
      </c>
      <c r="AA1924" t="inlineStr">
        <is>
          <t>Leadership</t>
        </is>
      </c>
      <c r="AB1924" s="50" t="inlineStr">
        <is>
          <t>Y</t>
        </is>
      </c>
      <c r="AC1924" s="43">
        <f>HYPERLINK("https://projects.propublica.org/nonprofits/organizations/131624225/202601339349307920/full","view filing")</f>
        <v/>
      </c>
      <c r="AD1924" s="50" t="inlineStr">
        <is>
          <t>Y</t>
        </is>
      </c>
    </row>
    <row r="1925">
      <c r="A1925" t="inlineStr">
        <is>
          <t>Yeshiva University</t>
        </is>
      </c>
      <c r="B1925" s="50" t="inlineStr">
        <is>
          <t>NY</t>
        </is>
      </c>
      <c r="C1925" s="52" t="n">
        <v>0.71</v>
      </c>
      <c r="D1925" t="inlineStr">
        <is>
          <t>Endowment</t>
        </is>
      </c>
      <c r="E1925" s="50" t="n">
        <v>2024</v>
      </c>
      <c r="F1925" s="50" t="inlineStr">
        <is>
          <t>2025-05-15</t>
        </is>
      </c>
      <c r="G1925" s="50" t="inlineStr">
        <is>
          <t>2024-06-30</t>
        </is>
      </c>
      <c r="H1925" t="inlineStr">
        <is>
          <t>Ahron Herring</t>
        </is>
      </c>
      <c r="I1925" t="inlineStr">
        <is>
          <t>CHIEF INVESTMENT OFFICER</t>
        </is>
      </c>
      <c r="J1925" t="inlineStr">
        <is>
          <t>CIO</t>
        </is>
      </c>
      <c r="K1925" t="inlineStr">
        <is>
          <t>CIO - Top Investment Executive</t>
        </is>
      </c>
      <c r="L1925" s="28" t="n">
        <v>497740</v>
      </c>
      <c r="M1925" s="28" t="n">
        <v>0</v>
      </c>
      <c r="N1925" s="28" t="n">
        <v>6010</v>
      </c>
      <c r="O1925" s="28" t="n">
        <v>16500</v>
      </c>
      <c r="P1925" s="28" t="n">
        <v>55038</v>
      </c>
      <c r="Q1925" s="28" t="n">
        <v>575288</v>
      </c>
      <c r="R1925" s="28" t="n">
        <v>0</v>
      </c>
      <c r="S1925" s="28">
        <f>Q1925-R1925</f>
        <v/>
      </c>
      <c r="T1925" s="28">
        <f>IF(S1925="","",S1925*(1+in_GrowthRate)^(YEARFRAC(DATE(2024,6,30),in_AgeToDate)*IF(in_AgeToDate&lt;DATE(2024,6,30),-1,1)+1))</f>
        <v/>
      </c>
      <c r="U1925" s="50">
        <f>IF(AND(AND(OR(in_Mode="All Funds",AND(C1925&gt;=in_BandFloor,C1925&lt;=in_BandCeiling,OR(in_Geography="National",COUNTIFS(lst_GeoPreset,in_Geography,lst_GeoState,B1925)&gt;0,AND(in_Geography="Custom",ISNUMBER(SEARCH(B1925,SUBSTITUTE(in_CustomStates," ",""))))),OR(AND(D1925="Endowment",Inputs!$B$14="Y"),AND(D1925="Foundation",Inputs!$B$15="Y"),AND(D1925="Healthcare",Inputs!$B$16="Y"),AND(D1925="Pension",Inputs!$B$17="Y"),AND(D1925="OCIO",Inputs!$B$18="Y"),AND(D1925="Other",Inputs!$B$19="Y")))),A1925&lt;&gt;in_ClientOrg,NOT(AND(in_ExclHarvard="Y",ISNUMBER(SEARCH("Harvard",A1925))))),$AD1925="Y",K1925&lt;&gt;"",S1925&gt;0),"Y","")</f>
        <v/>
      </c>
      <c r="V1925" s="30" t="n">
        <v>1</v>
      </c>
      <c r="W1925" t="inlineStr"/>
      <c r="X1925" s="28">
        <f>IF(L1925+M1925=0,"",L1925+M1925)</f>
        <v/>
      </c>
      <c r="Y1925" s="38">
        <f>IF(L1925=0,"",M1925/L1925)</f>
        <v/>
      </c>
      <c r="Z1925" t="inlineStr">
        <is>
          <t>CIO - Top Investment Executive</t>
        </is>
      </c>
      <c r="AA1925" t="inlineStr">
        <is>
          <t>Leadership</t>
        </is>
      </c>
      <c r="AB1925" s="50" t="inlineStr">
        <is>
          <t>Y</t>
        </is>
      </c>
      <c r="AC1925" s="43">
        <f>HYPERLINK("https://projects.propublica.org/nonprofits/organizations/131624225/202531359349306588/full","view filing")</f>
        <v/>
      </c>
      <c r="AD1925" s="50" t="inlineStr"/>
    </row>
    <row r="1926">
      <c r="A1926" t="inlineStr">
        <is>
          <t>Yeshiva University</t>
        </is>
      </c>
      <c r="B1926" s="50" t="inlineStr">
        <is>
          <t>NY</t>
        </is>
      </c>
      <c r="C1926" s="52" t="n">
        <v>0.71</v>
      </c>
      <c r="D1926" t="inlineStr">
        <is>
          <t>Endowment</t>
        </is>
      </c>
      <c r="E1926" s="50" t="n">
        <v>2023</v>
      </c>
      <c r="F1926" s="50" t="inlineStr">
        <is>
          <t>2024-05-15</t>
        </is>
      </c>
      <c r="G1926" s="50" t="inlineStr">
        <is>
          <t>2023-06-30</t>
        </is>
      </c>
      <c r="H1926" t="inlineStr">
        <is>
          <t>Ahron Herring</t>
        </is>
      </c>
      <c r="I1926" t="inlineStr">
        <is>
          <t>CHIEF INVESTMENT OFFICER</t>
        </is>
      </c>
      <c r="J1926" t="inlineStr">
        <is>
          <t>CIO</t>
        </is>
      </c>
      <c r="K1926" t="inlineStr">
        <is>
          <t>CIO - Top Investment Executive</t>
        </is>
      </c>
      <c r="L1926" s="28" t="n">
        <v>566651</v>
      </c>
      <c r="M1926" s="28" t="n">
        <v>100000</v>
      </c>
      <c r="N1926" s="28" t="n">
        <v>360</v>
      </c>
      <c r="O1926" s="28" t="n">
        <v>12200</v>
      </c>
      <c r="P1926" s="28" t="n">
        <v>39022</v>
      </c>
      <c r="Q1926" s="28" t="n">
        <v>718233</v>
      </c>
      <c r="R1926" s="28" t="n">
        <v>0</v>
      </c>
      <c r="S1926" s="28">
        <f>Q1926-R1926</f>
        <v/>
      </c>
      <c r="T1926" s="28">
        <f>IF(S1926="","",S1926*(1+in_GrowthRate)^(YEARFRAC(DATE(2023,6,30),in_AgeToDate)*IF(in_AgeToDate&lt;DATE(2023,6,30),-1,1)+1))</f>
        <v/>
      </c>
      <c r="U1926" s="50">
        <f>IF(AND(AND(OR(in_Mode="All Funds",AND(C1926&gt;=in_BandFloor,C1926&lt;=in_BandCeiling,OR(in_Geography="National",COUNTIFS(lst_GeoPreset,in_Geography,lst_GeoState,B1926)&gt;0,AND(in_Geography="Custom",ISNUMBER(SEARCH(B1926,SUBSTITUTE(in_CustomStates," ",""))))),OR(AND(D1926="Endowment",Inputs!$B$14="Y"),AND(D1926="Foundation",Inputs!$B$15="Y"),AND(D1926="Healthcare",Inputs!$B$16="Y"),AND(D1926="Pension",Inputs!$B$17="Y"),AND(D1926="OCIO",Inputs!$B$18="Y"),AND(D1926="Other",Inputs!$B$19="Y")))),A1926&lt;&gt;in_ClientOrg,NOT(AND(in_ExclHarvard="Y",ISNUMBER(SEARCH("Harvard",A1926))))),$AD1926="Y",K1926&lt;&gt;"",S1926&gt;0),"Y","")</f>
        <v/>
      </c>
      <c r="V1926" s="30" t="n">
        <v>1</v>
      </c>
      <c r="W1926" t="inlineStr"/>
      <c r="X1926" s="28">
        <f>IF(L1926+M1926=0,"",L1926+M1926)</f>
        <v/>
      </c>
      <c r="Y1926" s="38">
        <f>IF(L1926=0,"",M1926/L1926)</f>
        <v/>
      </c>
      <c r="Z1926" t="inlineStr">
        <is>
          <t>CIO - Top Investment Executive</t>
        </is>
      </c>
      <c r="AA1926" t="inlineStr">
        <is>
          <t>Leadership</t>
        </is>
      </c>
      <c r="AB1926" s="50" t="inlineStr">
        <is>
          <t>Y</t>
        </is>
      </c>
      <c r="AC1926" s="43">
        <f>HYPERLINK("https://projects.propublica.org/nonprofits/organizations/131624225/202421369349318457/full","view filing")</f>
        <v/>
      </c>
      <c r="AD1926" s="50" t="inlineStr"/>
    </row>
    <row r="1927">
      <c r="A1927" t="inlineStr">
        <is>
          <t>Yeshiva University</t>
        </is>
      </c>
      <c r="B1927" s="50" t="inlineStr">
        <is>
          <t>NY</t>
        </is>
      </c>
      <c r="C1927" s="52" t="n">
        <v>0.71</v>
      </c>
      <c r="D1927" t="inlineStr">
        <is>
          <t>Endowment</t>
        </is>
      </c>
      <c r="E1927" s="50" t="n">
        <v>2022</v>
      </c>
      <c r="F1927" s="50" t="inlineStr">
        <is>
          <t>2023-05-15</t>
        </is>
      </c>
      <c r="G1927" s="50" t="inlineStr">
        <is>
          <t>2022-06-30</t>
        </is>
      </c>
      <c r="H1927" t="inlineStr">
        <is>
          <t>Ahron Herring</t>
        </is>
      </c>
      <c r="I1927" t="inlineStr">
        <is>
          <t>CHIEF INVESTMENT OFFICER</t>
        </is>
      </c>
      <c r="J1927" t="inlineStr">
        <is>
          <t>CIO</t>
        </is>
      </c>
      <c r="K1927" t="inlineStr">
        <is>
          <t>CIO - Top Investment Executive</t>
        </is>
      </c>
      <c r="L1927" s="28" t="n">
        <v>386330</v>
      </c>
      <c r="M1927" s="28" t="n">
        <v>0</v>
      </c>
      <c r="N1927" s="28" t="n">
        <v>360</v>
      </c>
      <c r="O1927" s="28" t="n">
        <v>11600</v>
      </c>
      <c r="P1927" s="28" t="n">
        <v>20640</v>
      </c>
      <c r="Q1927" s="28" t="n">
        <v>418930</v>
      </c>
      <c r="R1927" s="28" t="n">
        <v>0</v>
      </c>
      <c r="S1927" s="28">
        <f>Q1927-R1927</f>
        <v/>
      </c>
      <c r="T1927" s="28">
        <f>IF(S1927="","",S1927*(1+in_GrowthRate)^(YEARFRAC(DATE(2022,6,30),in_AgeToDate)*IF(in_AgeToDate&lt;DATE(2022,6,30),-1,1)+1))</f>
        <v/>
      </c>
      <c r="U1927" s="50">
        <f>IF(AND(AND(OR(in_Mode="All Funds",AND(C1927&gt;=in_BandFloor,C1927&lt;=in_BandCeiling,OR(in_Geography="National",COUNTIFS(lst_GeoPreset,in_Geography,lst_GeoState,B1927)&gt;0,AND(in_Geography="Custom",ISNUMBER(SEARCH(B1927,SUBSTITUTE(in_CustomStates," ",""))))),OR(AND(D1927="Endowment",Inputs!$B$14="Y"),AND(D1927="Foundation",Inputs!$B$15="Y"),AND(D1927="Healthcare",Inputs!$B$16="Y"),AND(D1927="Pension",Inputs!$B$17="Y"),AND(D1927="OCIO",Inputs!$B$18="Y"),AND(D1927="Other",Inputs!$B$19="Y")))),A1927&lt;&gt;in_ClientOrg,NOT(AND(in_ExclHarvard="Y",ISNUMBER(SEARCH("Harvard",A1927))))),$AD1927="Y",K1927&lt;&gt;"",S1927&gt;0),"Y","")</f>
        <v/>
      </c>
      <c r="V1927" s="30" t="n">
        <v>1</v>
      </c>
      <c r="W1927" t="inlineStr"/>
      <c r="X1927" s="28">
        <f>IF(L1927+M1927=0,"",L1927+M1927)</f>
        <v/>
      </c>
      <c r="Y1927" s="38">
        <f>IF(L1927=0,"",M1927/L1927)</f>
        <v/>
      </c>
      <c r="Z1927" t="inlineStr">
        <is>
          <t>CIO - Top Investment Executive</t>
        </is>
      </c>
      <c r="AA1927" t="inlineStr">
        <is>
          <t>Leadership</t>
        </is>
      </c>
      <c r="AB1927" s="50" t="inlineStr">
        <is>
          <t>Y</t>
        </is>
      </c>
      <c r="AC1927" s="43">
        <f>HYPERLINK("https://projects.propublica.org/nonprofits/organizations/131624225/202301359349316225/full","view filing")</f>
        <v/>
      </c>
      <c r="AD1927" s="50" t="inlineStr"/>
    </row>
    <row r="1928">
      <c r="A1928" t="inlineStr">
        <is>
          <t>Young Mens Christian Association Retirement Fund</t>
        </is>
      </c>
      <c r="B1928" s="50" t="inlineStr">
        <is>
          <t>NY</t>
        </is>
      </c>
      <c r="C1928" s="52" t="n">
        <v>9.75</v>
      </c>
      <c r="D1928" t="inlineStr">
        <is>
          <t>Pension</t>
        </is>
      </c>
      <c r="E1928" s="50" t="n">
        <v>2025</v>
      </c>
      <c r="F1928" s="50" t="inlineStr">
        <is>
          <t>2025-11-13</t>
        </is>
      </c>
      <c r="G1928" s="50" t="inlineStr">
        <is>
          <t>2025-06-30</t>
        </is>
      </c>
      <c r="H1928" t="inlineStr">
        <is>
          <t>Erik Strobel</t>
        </is>
      </c>
      <c r="I1928" t="inlineStr">
        <is>
          <t>INVESTMENT DIRECTOR</t>
        </is>
      </c>
      <c r="J1928" t="inlineStr">
        <is>
          <t>Director of Investments</t>
        </is>
      </c>
      <c r="K1928" t="inlineStr">
        <is>
          <t>Sr Investment Professional</t>
        </is>
      </c>
      <c r="L1928" s="28" t="n">
        <v>336322</v>
      </c>
      <c r="M1928" s="28" t="n">
        <v>250000</v>
      </c>
      <c r="N1928" s="28" t="n">
        <v>276</v>
      </c>
      <c r="O1928" s="28" t="n">
        <v>41400</v>
      </c>
      <c r="P1928" s="28" t="n">
        <v>18572</v>
      </c>
      <c r="Q1928" s="28" t="n">
        <v>646570</v>
      </c>
      <c r="R1928" s="28" t="n">
        <v>0</v>
      </c>
      <c r="S1928" s="28">
        <f>Q1928-R1928</f>
        <v/>
      </c>
      <c r="T1928" s="28">
        <f>IF(S1928="","",S1928*(1+in_GrowthRate)^(YEARFRAC(DATE(2025,6,30),in_AgeToDate)*IF(in_AgeToDate&lt;DATE(2025,6,30),-1,1)+1))</f>
        <v/>
      </c>
      <c r="U1928" s="50">
        <f>IF(AND(AND(OR(in_Mode="All Funds",AND(C1928&gt;=in_BandFloor,C1928&lt;=in_BandCeiling,OR(in_Geography="National",COUNTIFS(lst_GeoPreset,in_Geography,lst_GeoState,B1928)&gt;0,AND(in_Geography="Custom",ISNUMBER(SEARCH(B1928,SUBSTITUTE(in_CustomStates," ",""))))),OR(AND(D1928="Endowment",Inputs!$B$14="Y"),AND(D1928="Foundation",Inputs!$B$15="Y"),AND(D1928="Healthcare",Inputs!$B$16="Y"),AND(D1928="Pension",Inputs!$B$17="Y"),AND(D1928="OCIO",Inputs!$B$18="Y"),AND(D1928="Other",Inputs!$B$19="Y")))),A1928&lt;&gt;in_ClientOrg,NOT(AND(in_ExclHarvard="Y",ISNUMBER(SEARCH("Harvard",A1928))))),$AD1928="Y",K1928&lt;&gt;"",S1928&gt;0),"Y","")</f>
        <v/>
      </c>
      <c r="V1928" s="30" t="n">
        <v>0.3386335663969414</v>
      </c>
      <c r="W1928" t="inlineStr"/>
      <c r="X1928" s="28">
        <f>IF(L1928+M1928=0,"",L1928+M1928)</f>
        <v/>
      </c>
      <c r="Y1928" s="38">
        <f>IF(L1928=0,"",M1928/L1928)</f>
        <v/>
      </c>
      <c r="Z1928" t="inlineStr">
        <is>
          <t>Director &amp; Investment Officer</t>
        </is>
      </c>
      <c r="AA1928" t="inlineStr">
        <is>
          <t>Investments</t>
        </is>
      </c>
      <c r="AB1928" s="50" t="inlineStr"/>
      <c r="AC1928" s="43">
        <f>HYPERLINK("https://projects.propublica.org/nonprofits/organizations/135562401/202513179349310251/full","view filing")</f>
        <v/>
      </c>
      <c r="AD1928" s="50" t="inlineStr">
        <is>
          <t>Y</t>
        </is>
      </c>
    </row>
    <row r="1929">
      <c r="A1929" t="inlineStr">
        <is>
          <t>Young Mens Christian Association Retirement Fund</t>
        </is>
      </c>
      <c r="B1929" s="50" t="inlineStr">
        <is>
          <t>NY</t>
        </is>
      </c>
      <c r="C1929" s="52" t="n">
        <v>9.75</v>
      </c>
      <c r="D1929" t="inlineStr">
        <is>
          <t>Pension</t>
        </is>
      </c>
      <c r="E1929" s="50" t="n">
        <v>2025</v>
      </c>
      <c r="F1929" s="50" t="inlineStr">
        <is>
          <t>2025-11-13</t>
        </is>
      </c>
      <c r="G1929" s="50" t="inlineStr">
        <is>
          <t>2025-06-30</t>
        </is>
      </c>
      <c r="H1929" t="inlineStr">
        <is>
          <t>Hunter Reisner</t>
        </is>
      </c>
      <c r="I1929" t="inlineStr">
        <is>
          <t>CHIEF INVESTMENT OFFICER</t>
        </is>
      </c>
      <c r="J1929" t="inlineStr">
        <is>
          <t>CIO</t>
        </is>
      </c>
      <c r="K1929" t="inlineStr">
        <is>
          <t>CIO - Top Investment Executive</t>
        </is>
      </c>
      <c r="L1929" s="28" t="n">
        <v>872266</v>
      </c>
      <c r="M1929" s="28" t="n">
        <v>928125</v>
      </c>
      <c r="N1929" s="28" t="n">
        <v>5296</v>
      </c>
      <c r="O1929" s="28" t="n">
        <v>64400</v>
      </c>
      <c r="P1929" s="28" t="n">
        <v>39263</v>
      </c>
      <c r="Q1929" s="28" t="n">
        <v>1909350</v>
      </c>
      <c r="R1929" s="28" t="n">
        <v>0</v>
      </c>
      <c r="S1929" s="28">
        <f>Q1929-R1929</f>
        <v/>
      </c>
      <c r="T1929" s="28">
        <f>IF(S1929="","",S1929*(1+in_GrowthRate)^(YEARFRAC(DATE(2025,6,30),in_AgeToDate)*IF(in_AgeToDate&lt;DATE(2025,6,30),-1,1)+1))</f>
        <v/>
      </c>
      <c r="U1929" s="50">
        <f>IF(AND(AND(OR(in_Mode="All Funds",AND(C1929&gt;=in_BandFloor,C1929&lt;=in_BandCeiling,OR(in_Geography="National",COUNTIFS(lst_GeoPreset,in_Geography,lst_GeoState,B1929)&gt;0,AND(in_Geography="Custom",ISNUMBER(SEARCH(B1929,SUBSTITUTE(in_CustomStates," ",""))))),OR(AND(D1929="Endowment",Inputs!$B$14="Y"),AND(D1929="Foundation",Inputs!$B$15="Y"),AND(D1929="Healthcare",Inputs!$B$16="Y"),AND(D1929="Pension",Inputs!$B$17="Y"),AND(D1929="OCIO",Inputs!$B$18="Y"),AND(D1929="Other",Inputs!$B$19="Y")))),A1929&lt;&gt;in_ClientOrg,NOT(AND(in_ExclHarvard="Y",ISNUMBER(SEARCH("Harvard",A1929))))),$AD1929="Y",K1929&lt;&gt;"",S1929&gt;0),"Y","")</f>
        <v/>
      </c>
      <c r="V1929" s="30" t="n">
        <v>1</v>
      </c>
      <c r="W1929" t="inlineStr"/>
      <c r="X1929" s="28">
        <f>IF(L1929+M1929=0,"",L1929+M1929)</f>
        <v/>
      </c>
      <c r="Y1929" s="38">
        <f>IF(L1929=0,"",M1929/L1929)</f>
        <v/>
      </c>
      <c r="Z1929" t="inlineStr">
        <is>
          <t>CIO - Top Investment Executive</t>
        </is>
      </c>
      <c r="AA1929" t="inlineStr">
        <is>
          <t>Leadership</t>
        </is>
      </c>
      <c r="AB1929" s="50" t="inlineStr">
        <is>
          <t>Y</t>
        </is>
      </c>
      <c r="AC1929" s="43">
        <f>HYPERLINK("https://projects.propublica.org/nonprofits/organizations/135562401/202513179349310251/full","view filing")</f>
        <v/>
      </c>
      <c r="AD1929" s="50" t="inlineStr">
        <is>
          <t>Y</t>
        </is>
      </c>
    </row>
    <row r="1930">
      <c r="A1930" t="inlineStr">
        <is>
          <t>Young Mens Christian Association Retirement Fund</t>
        </is>
      </c>
      <c r="B1930" s="50" t="inlineStr">
        <is>
          <t>NY</t>
        </is>
      </c>
      <c r="C1930" s="52" t="n">
        <v>9.75</v>
      </c>
      <c r="D1930" t="inlineStr">
        <is>
          <t>Pension</t>
        </is>
      </c>
      <c r="E1930" s="50" t="n">
        <v>2025</v>
      </c>
      <c r="F1930" s="50" t="inlineStr">
        <is>
          <t>2025-11-13</t>
        </is>
      </c>
      <c r="G1930" s="50" t="inlineStr">
        <is>
          <t>2025-06-30</t>
        </is>
      </c>
      <c r="H1930" t="inlineStr">
        <is>
          <t>John Maimone Medwick</t>
        </is>
      </c>
      <c r="I1930" t="inlineStr">
        <is>
          <t>INVESTMENT DIRECTOR</t>
        </is>
      </c>
      <c r="J1930" t="inlineStr">
        <is>
          <t>Director of Investments</t>
        </is>
      </c>
      <c r="K1930" t="inlineStr">
        <is>
          <t>Sr Investment Professional</t>
        </is>
      </c>
      <c r="L1930" s="28" t="n">
        <v>403990</v>
      </c>
      <c r="M1930" s="28" t="n">
        <v>425000</v>
      </c>
      <c r="N1930" s="28" t="n">
        <v>329</v>
      </c>
      <c r="O1930" s="28" t="n">
        <v>41400</v>
      </c>
      <c r="P1930" s="28" t="n">
        <v>17936</v>
      </c>
      <c r="Q1930" s="28" t="n">
        <v>888655</v>
      </c>
      <c r="R1930" s="28" t="n">
        <v>0</v>
      </c>
      <c r="S1930" s="28">
        <f>Q1930-R1930</f>
        <v/>
      </c>
      <c r="T1930" s="28">
        <f>IF(S1930="","",S1930*(1+in_GrowthRate)^(YEARFRAC(DATE(2025,6,30),in_AgeToDate)*IF(in_AgeToDate&lt;DATE(2025,6,30),-1,1)+1))</f>
        <v/>
      </c>
      <c r="U1930" s="50">
        <f>IF(AND(AND(OR(in_Mode="All Funds",AND(C1930&gt;=in_BandFloor,C1930&lt;=in_BandCeiling,OR(in_Geography="National",COUNTIFS(lst_GeoPreset,in_Geography,lst_GeoState,B1930)&gt;0,AND(in_Geography="Custom",ISNUMBER(SEARCH(B1930,SUBSTITUTE(in_CustomStates," ",""))))),OR(AND(D1930="Endowment",Inputs!$B$14="Y"),AND(D1930="Foundation",Inputs!$B$15="Y"),AND(D1930="Healthcare",Inputs!$B$16="Y"),AND(D1930="Pension",Inputs!$B$17="Y"),AND(D1930="OCIO",Inputs!$B$18="Y"),AND(D1930="Other",Inputs!$B$19="Y")))),A1930&lt;&gt;in_ClientOrg,NOT(AND(in_ExclHarvard="Y",ISNUMBER(SEARCH("Harvard",A1930))))),$AD1930="Y",K1930&lt;&gt;"",S1930&gt;0),"Y","")</f>
        <v/>
      </c>
      <c r="V1930" s="30" t="n">
        <v>0.4654227878597428</v>
      </c>
      <c r="W1930" t="inlineStr"/>
      <c r="X1930" s="28">
        <f>IF(L1930+M1930=0,"",L1930+M1930)</f>
        <v/>
      </c>
      <c r="Y1930" s="38">
        <f>IF(L1930=0,"",M1930/L1930)</f>
        <v/>
      </c>
      <c r="Z1930" t="inlineStr">
        <is>
          <t>Director &amp; Investment Officer</t>
        </is>
      </c>
      <c r="AA1930" t="inlineStr">
        <is>
          <t>Investments</t>
        </is>
      </c>
      <c r="AB1930" s="50" t="inlineStr"/>
      <c r="AC1930" s="43">
        <f>HYPERLINK("https://projects.propublica.org/nonprofits/organizations/135562401/202513179349310251/full","view filing")</f>
        <v/>
      </c>
      <c r="AD1930" s="50" t="inlineStr">
        <is>
          <t>Y</t>
        </is>
      </c>
    </row>
    <row r="1931">
      <c r="A1931" t="inlineStr">
        <is>
          <t>Young Mens Christian Association Retirement Fund</t>
        </is>
      </c>
      <c r="B1931" s="50" t="inlineStr">
        <is>
          <t>NY</t>
        </is>
      </c>
      <c r="C1931" s="52" t="n">
        <v>9.75</v>
      </c>
      <c r="D1931" t="inlineStr">
        <is>
          <t>Pension</t>
        </is>
      </c>
      <c r="E1931" s="50" t="n">
        <v>2025</v>
      </c>
      <c r="F1931" s="50" t="inlineStr">
        <is>
          <t>2025-11-13</t>
        </is>
      </c>
      <c r="G1931" s="50" t="inlineStr">
        <is>
          <t>2025-06-30</t>
        </is>
      </c>
      <c r="H1931" t="inlineStr">
        <is>
          <t>Katherine Grant</t>
        </is>
      </c>
      <c r="I1931" t="inlineStr">
        <is>
          <t>INVESTMENT DIRECTOR</t>
        </is>
      </c>
      <c r="J1931" t="inlineStr">
        <is>
          <t>Director of Investments</t>
        </is>
      </c>
      <c r="K1931" t="inlineStr">
        <is>
          <t>Sr Investment Professional</t>
        </is>
      </c>
      <c r="L1931" s="28" t="n">
        <v>419952</v>
      </c>
      <c r="M1931" s="28" t="n">
        <v>280000</v>
      </c>
      <c r="N1931" s="28" t="n">
        <v>403</v>
      </c>
      <c r="O1931" s="28" t="n">
        <v>41400</v>
      </c>
      <c r="P1931" s="28" t="n">
        <v>37391</v>
      </c>
      <c r="Q1931" s="28" t="n">
        <v>779146</v>
      </c>
      <c r="R1931" s="28" t="n">
        <v>0</v>
      </c>
      <c r="S1931" s="28">
        <f>Q1931-R1931</f>
        <v/>
      </c>
      <c r="T1931" s="28">
        <f>IF(S1931="","",S1931*(1+in_GrowthRate)^(YEARFRAC(DATE(2025,6,30),in_AgeToDate)*IF(in_AgeToDate&lt;DATE(2025,6,30),-1,1)+1))</f>
        <v/>
      </c>
      <c r="U1931" s="50">
        <f>IF(AND(AND(OR(in_Mode="All Funds",AND(C1931&gt;=in_BandFloor,C1931&lt;=in_BandCeiling,OR(in_Geography="National",COUNTIFS(lst_GeoPreset,in_Geography,lst_GeoState,B1931)&gt;0,AND(in_Geography="Custom",ISNUMBER(SEARCH(B1931,SUBSTITUTE(in_CustomStates," ",""))))),OR(AND(D1931="Endowment",Inputs!$B$14="Y"),AND(D1931="Foundation",Inputs!$B$15="Y"),AND(D1931="Healthcare",Inputs!$B$16="Y"),AND(D1931="Pension",Inputs!$B$17="Y"),AND(D1931="OCIO",Inputs!$B$18="Y"),AND(D1931="Other",Inputs!$B$19="Y")))),A1931&lt;&gt;in_ClientOrg,NOT(AND(in_ExclHarvard="Y",ISNUMBER(SEARCH("Harvard",A1931))))),$AD1931="Y",K1931&lt;&gt;"",S1931&gt;0),"Y","")</f>
        <v/>
      </c>
      <c r="V1931" s="30" t="n">
        <v>0.4080687144839867</v>
      </c>
      <c r="W1931" t="inlineStr"/>
      <c r="X1931" s="28">
        <f>IF(L1931+M1931=0,"",L1931+M1931)</f>
        <v/>
      </c>
      <c r="Y1931" s="38">
        <f>IF(L1931=0,"",M1931/L1931)</f>
        <v/>
      </c>
      <c r="Z1931" t="inlineStr">
        <is>
          <t>Director &amp; Investment Officer</t>
        </is>
      </c>
      <c r="AA1931" t="inlineStr">
        <is>
          <t>Investments</t>
        </is>
      </c>
      <c r="AB1931" s="50" t="inlineStr"/>
      <c r="AC1931" s="43">
        <f>HYPERLINK("https://projects.propublica.org/nonprofits/organizations/135562401/202513179349310251/full","view filing")</f>
        <v/>
      </c>
      <c r="AD1931" s="50" t="inlineStr">
        <is>
          <t>Y</t>
        </is>
      </c>
    </row>
    <row r="1932">
      <c r="A1932" t="inlineStr">
        <is>
          <t>Young Mens Christian Association Retirement Fund</t>
        </is>
      </c>
      <c r="B1932" s="50" t="inlineStr">
        <is>
          <t>NY</t>
        </is>
      </c>
      <c r="C1932" s="52" t="n">
        <v>9.75</v>
      </c>
      <c r="D1932" t="inlineStr">
        <is>
          <t>Pension</t>
        </is>
      </c>
      <c r="E1932" s="50" t="n">
        <v>2025</v>
      </c>
      <c r="F1932" s="50" t="inlineStr">
        <is>
          <t>2025-11-13</t>
        </is>
      </c>
      <c r="G1932" s="50" t="inlineStr">
        <is>
          <t>2025-06-30</t>
        </is>
      </c>
      <c r="H1932" t="inlineStr">
        <is>
          <t>Mark Sinni</t>
        </is>
      </c>
      <c r="I1932" t="inlineStr">
        <is>
          <t>DEPUTY CHIEF INVESTMENT OFFICER</t>
        </is>
      </c>
      <c r="J1932" t="inlineStr">
        <is>
          <t>Deputy CIO</t>
        </is>
      </c>
      <c r="K1932" t="inlineStr">
        <is>
          <t>Sr Investment Professional</t>
        </is>
      </c>
      <c r="L1932" s="28" t="n">
        <v>670554</v>
      </c>
      <c r="M1932" s="28" t="n">
        <v>630000</v>
      </c>
      <c r="N1932" s="28" t="n">
        <v>486</v>
      </c>
      <c r="O1932" s="28" t="n">
        <v>64400</v>
      </c>
      <c r="P1932" s="28" t="n">
        <v>18174</v>
      </c>
      <c r="Q1932" s="28" t="n">
        <v>1383614</v>
      </c>
      <c r="R1932" s="28" t="n">
        <v>0</v>
      </c>
      <c r="S1932" s="28">
        <f>Q1932-R1932</f>
        <v/>
      </c>
      <c r="T1932" s="28">
        <f>IF(S1932="","",S1932*(1+in_GrowthRate)^(YEARFRAC(DATE(2025,6,30),in_AgeToDate)*IF(in_AgeToDate&lt;DATE(2025,6,30),-1,1)+1))</f>
        <v/>
      </c>
      <c r="U1932" s="50">
        <f>IF(AND(AND(OR(in_Mode="All Funds",AND(C1932&gt;=in_BandFloor,C1932&lt;=in_BandCeiling,OR(in_Geography="National",COUNTIFS(lst_GeoPreset,in_Geography,lst_GeoState,B1932)&gt;0,AND(in_Geography="Custom",ISNUMBER(SEARCH(B1932,SUBSTITUTE(in_CustomStates," ",""))))),OR(AND(D1932="Endowment",Inputs!$B$14="Y"),AND(D1932="Foundation",Inputs!$B$15="Y"),AND(D1932="Healthcare",Inputs!$B$16="Y"),AND(D1932="Pension",Inputs!$B$17="Y"),AND(D1932="OCIO",Inputs!$B$18="Y"),AND(D1932="Other",Inputs!$B$19="Y")))),A1932&lt;&gt;in_ClientOrg,NOT(AND(in_ExclHarvard="Y",ISNUMBER(SEARCH("Harvard",A1932))))),$AD1932="Y",K1932&lt;&gt;"",S1932&gt;0),"Y","")</f>
        <v/>
      </c>
      <c r="V1932" s="30" t="n">
        <v>0.7246518448686726</v>
      </c>
      <c r="W1932" t="inlineStr"/>
      <c r="X1932" s="28">
        <f>IF(L1932+M1932=0,"",L1932+M1932)</f>
        <v/>
      </c>
      <c r="Y1932" s="38">
        <f>IF(L1932=0,"",M1932/L1932)</f>
        <v/>
      </c>
      <c r="Z1932" t="inlineStr">
        <is>
          <t>Deputy CIO</t>
        </is>
      </c>
      <c r="AA1932" t="inlineStr">
        <is>
          <t>Leadership</t>
        </is>
      </c>
      <c r="AB1932" s="50" t="inlineStr"/>
      <c r="AC1932" s="43">
        <f>HYPERLINK("https://projects.propublica.org/nonprofits/organizations/135562401/202513179349310251/full","view filing")</f>
        <v/>
      </c>
      <c r="AD1932" s="50" t="inlineStr">
        <is>
          <t>Y</t>
        </is>
      </c>
    </row>
    <row r="1933">
      <c r="A1933" t="inlineStr">
        <is>
          <t>Young Mens Christian Association Retirement Fund</t>
        </is>
      </c>
      <c r="B1933" s="50" t="inlineStr">
        <is>
          <t>NY</t>
        </is>
      </c>
      <c r="C1933" s="52" t="n">
        <v>9.75</v>
      </c>
      <c r="D1933" t="inlineStr">
        <is>
          <t>Pension</t>
        </is>
      </c>
      <c r="E1933" s="50" t="n">
        <v>2025</v>
      </c>
      <c r="F1933" s="50" t="inlineStr">
        <is>
          <t>2025-11-13</t>
        </is>
      </c>
      <c r="G1933" s="50" t="inlineStr">
        <is>
          <t>2025-06-30</t>
        </is>
      </c>
      <c r="H1933" t="inlineStr">
        <is>
          <t>Suleyman Gokcan</t>
        </is>
      </c>
      <c r="I1933" t="inlineStr">
        <is>
          <t>SENIOR MANAGING DIRECTOR OF RISK</t>
        </is>
      </c>
      <c r="J1933" t="inlineStr">
        <is>
          <t>Senior Managing Director</t>
        </is>
      </c>
      <c r="K1933" t="inlineStr">
        <is>
          <t>Sr Investment Professional</t>
        </is>
      </c>
      <c r="L1933" s="28" t="n">
        <v>661111</v>
      </c>
      <c r="M1933" s="28" t="n">
        <v>330000</v>
      </c>
      <c r="N1933" s="28" t="n">
        <v>2322</v>
      </c>
      <c r="O1933" s="28" t="n">
        <v>64400</v>
      </c>
      <c r="P1933" s="28" t="n">
        <v>44180</v>
      </c>
      <c r="Q1933" s="28" t="n">
        <v>1102013</v>
      </c>
      <c r="R1933" s="28" t="n">
        <v>0</v>
      </c>
      <c r="S1933" s="28">
        <f>Q1933-R1933</f>
        <v/>
      </c>
      <c r="T1933" s="28">
        <f>IF(S1933="","",S1933*(1+in_GrowthRate)^(YEARFRAC(DATE(2025,6,30),in_AgeToDate)*IF(in_AgeToDate&lt;DATE(2025,6,30),-1,1)+1))</f>
        <v/>
      </c>
      <c r="U1933" s="50">
        <f>IF(AND(AND(OR(in_Mode="All Funds",AND(C1933&gt;=in_BandFloor,C1933&lt;=in_BandCeiling,OR(in_Geography="National",COUNTIFS(lst_GeoPreset,in_Geography,lst_GeoState,B1933)&gt;0,AND(in_Geography="Custom",ISNUMBER(SEARCH(B1933,SUBSTITUTE(in_CustomStates," ",""))))),OR(AND(D1933="Endowment",Inputs!$B$14="Y"),AND(D1933="Foundation",Inputs!$B$15="Y"),AND(D1933="Healthcare",Inputs!$B$16="Y"),AND(D1933="Pension",Inputs!$B$17="Y"),AND(D1933="OCIO",Inputs!$B$18="Y"),AND(D1933="Other",Inputs!$B$19="Y")))),A1933&lt;&gt;in_ClientOrg,NOT(AND(in_ExclHarvard="Y",ISNUMBER(SEARCH("Harvard",A1933))))),$AD1933="Y",K1933&lt;&gt;"",S1933&gt;0),"Y","")</f>
        <v/>
      </c>
      <c r="V1933" s="30" t="n">
        <v>0.5771665750124388</v>
      </c>
      <c r="W1933" t="inlineStr"/>
      <c r="X1933" s="28">
        <f>IF(L1933+M1933=0,"",L1933+M1933)</f>
        <v/>
      </c>
      <c r="Y1933" s="38">
        <f>IF(L1933=0,"",M1933/L1933)</f>
        <v/>
      </c>
      <c r="Z1933" t="inlineStr">
        <is>
          <t>Managing Director</t>
        </is>
      </c>
      <c r="AA1933" t="inlineStr">
        <is>
          <t>Investments</t>
        </is>
      </c>
      <c r="AB1933" s="50" t="inlineStr"/>
      <c r="AC1933" s="43">
        <f>HYPERLINK("https://projects.propublica.org/nonprofits/organizations/135562401/202513179349310251/full","view filing")</f>
        <v/>
      </c>
      <c r="AD1933" s="50" t="inlineStr">
        <is>
          <t>Y</t>
        </is>
      </c>
    </row>
    <row r="1934">
      <c r="A1934" t="inlineStr">
        <is>
          <t>Young Mens Christian Association Retirement Fund</t>
        </is>
      </c>
      <c r="B1934" s="50" t="inlineStr">
        <is>
          <t>NY</t>
        </is>
      </c>
      <c r="C1934" s="52" t="n">
        <v>9.75</v>
      </c>
      <c r="D1934" t="inlineStr">
        <is>
          <t>Pension</t>
        </is>
      </c>
      <c r="E1934" s="50" t="n">
        <v>2024</v>
      </c>
      <c r="F1934" s="50" t="inlineStr">
        <is>
          <t>2024-11-13</t>
        </is>
      </c>
      <c r="G1934" s="50" t="inlineStr">
        <is>
          <t>2024-06-30</t>
        </is>
      </c>
      <c r="H1934" t="inlineStr">
        <is>
          <t>Erik Strobel</t>
        </is>
      </c>
      <c r="I1934" t="inlineStr">
        <is>
          <t>INVESTMENT DIRECTOR</t>
        </is>
      </c>
      <c r="J1934" t="inlineStr">
        <is>
          <t>Director of Investments</t>
        </is>
      </c>
      <c r="K1934" t="inlineStr">
        <is>
          <t>Sr Investment Professional</t>
        </is>
      </c>
      <c r="L1934" s="28" t="n">
        <v>288889</v>
      </c>
      <c r="M1934" s="28" t="n">
        <v>240000</v>
      </c>
      <c r="N1934" s="28" t="n">
        <v>212</v>
      </c>
      <c r="O1934" s="28" t="n">
        <v>39600</v>
      </c>
      <c r="P1934" s="28" t="n">
        <v>18629</v>
      </c>
      <c r="Q1934" s="28" t="n">
        <v>587330</v>
      </c>
      <c r="R1934" s="28" t="n">
        <v>0</v>
      </c>
      <c r="S1934" s="28">
        <f>Q1934-R1934</f>
        <v/>
      </c>
      <c r="T1934" s="28">
        <f>IF(S1934="","",S1934*(1+in_GrowthRate)^(YEARFRAC(DATE(2024,6,30),in_AgeToDate)*IF(in_AgeToDate&lt;DATE(2024,6,30),-1,1)+1))</f>
        <v/>
      </c>
      <c r="U1934" s="50">
        <f>IF(AND(AND(OR(in_Mode="All Funds",AND(C1934&gt;=in_BandFloor,C1934&lt;=in_BandCeiling,OR(in_Geography="National",COUNTIFS(lst_GeoPreset,in_Geography,lst_GeoState,B1934)&gt;0,AND(in_Geography="Custom",ISNUMBER(SEARCH(B1934,SUBSTITUTE(in_CustomStates," ",""))))),OR(AND(D1934="Endowment",Inputs!$B$14="Y"),AND(D1934="Foundation",Inputs!$B$15="Y"),AND(D1934="Healthcare",Inputs!$B$16="Y"),AND(D1934="Pension",Inputs!$B$17="Y"),AND(D1934="OCIO",Inputs!$B$18="Y"),AND(D1934="Other",Inputs!$B$19="Y")))),A1934&lt;&gt;in_ClientOrg,NOT(AND(in_ExclHarvard="Y",ISNUMBER(SEARCH("Harvard",A1934))))),$AD1934="Y",K1934&lt;&gt;"",S1934&gt;0),"Y","")</f>
        <v/>
      </c>
      <c r="V1934" s="30" t="n">
        <v>0.239253394817188</v>
      </c>
      <c r="W1934" t="inlineStr"/>
      <c r="X1934" s="28">
        <f>IF(L1934+M1934=0,"",L1934+M1934)</f>
        <v/>
      </c>
      <c r="Y1934" s="38">
        <f>IF(L1934=0,"",M1934/L1934)</f>
        <v/>
      </c>
      <c r="Z1934" t="inlineStr">
        <is>
          <t>Director &amp; Investment Officer</t>
        </is>
      </c>
      <c r="AA1934" t="inlineStr">
        <is>
          <t>Investments</t>
        </is>
      </c>
      <c r="AB1934" s="50" t="inlineStr"/>
      <c r="AC1934" s="43">
        <f>HYPERLINK("https://projects.propublica.org/nonprofits/organizations/135562401/202403189349304075/full","view filing")</f>
        <v/>
      </c>
      <c r="AD1934" s="50" t="inlineStr"/>
    </row>
    <row r="1935">
      <c r="A1935" t="inlineStr">
        <is>
          <t>Young Mens Christian Association Retirement Fund</t>
        </is>
      </c>
      <c r="B1935" s="50" t="inlineStr">
        <is>
          <t>NY</t>
        </is>
      </c>
      <c r="C1935" s="52" t="n">
        <v>9.75</v>
      </c>
      <c r="D1935" t="inlineStr">
        <is>
          <t>Pension</t>
        </is>
      </c>
      <c r="E1935" s="50" t="n">
        <v>2024</v>
      </c>
      <c r="F1935" s="50" t="inlineStr">
        <is>
          <t>2024-11-13</t>
        </is>
      </c>
      <c r="G1935" s="50" t="inlineStr">
        <is>
          <t>2024-06-30</t>
        </is>
      </c>
      <c r="H1935" t="inlineStr">
        <is>
          <t>Hunter Reisner</t>
        </is>
      </c>
      <c r="I1935" t="inlineStr">
        <is>
          <t>CHIEF INVESTMENT OFFICER</t>
        </is>
      </c>
      <c r="J1935" t="inlineStr">
        <is>
          <t>CIO</t>
        </is>
      </c>
      <c r="K1935" t="inlineStr">
        <is>
          <t>CIO - Top Investment Executive</t>
        </is>
      </c>
      <c r="L1935" s="28" t="n">
        <v>808647</v>
      </c>
      <c r="M1935" s="28" t="n">
        <v>1539600</v>
      </c>
      <c r="N1935" s="28" t="n">
        <v>5761</v>
      </c>
      <c r="O1935" s="28" t="n">
        <v>62100</v>
      </c>
      <c r="P1935" s="28" t="n">
        <v>38737</v>
      </c>
      <c r="Q1935" s="28" t="n">
        <v>2454845</v>
      </c>
      <c r="R1935" s="28" t="n">
        <v>0</v>
      </c>
      <c r="S1935" s="28">
        <f>Q1935-R1935</f>
        <v/>
      </c>
      <c r="T1935" s="28">
        <f>IF(S1935="","",S1935*(1+in_GrowthRate)^(YEARFRAC(DATE(2024,6,30),in_AgeToDate)*IF(in_AgeToDate&lt;DATE(2024,6,30),-1,1)+1))</f>
        <v/>
      </c>
      <c r="U1935" s="50">
        <f>IF(AND(AND(OR(in_Mode="All Funds",AND(C1935&gt;=in_BandFloor,C1935&lt;=in_BandCeiling,OR(in_Geography="National",COUNTIFS(lst_GeoPreset,in_Geography,lst_GeoState,B1935)&gt;0,AND(in_Geography="Custom",ISNUMBER(SEARCH(B1935,SUBSTITUTE(in_CustomStates," ",""))))),OR(AND(D1935="Endowment",Inputs!$B$14="Y"),AND(D1935="Foundation",Inputs!$B$15="Y"),AND(D1935="Healthcare",Inputs!$B$16="Y"),AND(D1935="Pension",Inputs!$B$17="Y"),AND(D1935="OCIO",Inputs!$B$18="Y"),AND(D1935="Other",Inputs!$B$19="Y")))),A1935&lt;&gt;in_ClientOrg,NOT(AND(in_ExclHarvard="Y",ISNUMBER(SEARCH("Harvard",A1935))))),$AD1935="Y",K1935&lt;&gt;"",S1935&gt;0),"Y","")</f>
        <v/>
      </c>
      <c r="V1935" s="30" t="n">
        <v>1</v>
      </c>
      <c r="W1935" t="inlineStr"/>
      <c r="X1935" s="28">
        <f>IF(L1935+M1935=0,"",L1935+M1935)</f>
        <v/>
      </c>
      <c r="Y1935" s="38">
        <f>IF(L1935=0,"",M1935/L1935)</f>
        <v/>
      </c>
      <c r="Z1935" t="inlineStr">
        <is>
          <t>CIO - Top Investment Executive</t>
        </is>
      </c>
      <c r="AA1935" t="inlineStr">
        <is>
          <t>Leadership</t>
        </is>
      </c>
      <c r="AB1935" s="50" t="inlineStr">
        <is>
          <t>Y</t>
        </is>
      </c>
      <c r="AC1935" s="43">
        <f>HYPERLINK("https://projects.propublica.org/nonprofits/organizations/135562401/202403189349304075/full","view filing")</f>
        <v/>
      </c>
      <c r="AD1935" s="50" t="inlineStr"/>
    </row>
    <row r="1936">
      <c r="A1936" t="inlineStr">
        <is>
          <t>Young Mens Christian Association Retirement Fund</t>
        </is>
      </c>
      <c r="B1936" s="50" t="inlineStr">
        <is>
          <t>NY</t>
        </is>
      </c>
      <c r="C1936" s="52" t="n">
        <v>9.75</v>
      </c>
      <c r="D1936" t="inlineStr">
        <is>
          <t>Pension</t>
        </is>
      </c>
      <c r="E1936" s="50" t="n">
        <v>2024</v>
      </c>
      <c r="F1936" s="50" t="inlineStr">
        <is>
          <t>2024-11-13</t>
        </is>
      </c>
      <c r="G1936" s="50" t="inlineStr">
        <is>
          <t>2024-06-30</t>
        </is>
      </c>
      <c r="H1936" t="inlineStr">
        <is>
          <t>John Maimone Medwick</t>
        </is>
      </c>
      <c r="I1936" t="inlineStr">
        <is>
          <t>INVESTMENT DIRECTOR</t>
        </is>
      </c>
      <c r="J1936" t="inlineStr">
        <is>
          <t>Director of Investments</t>
        </is>
      </c>
      <c r="K1936" t="inlineStr">
        <is>
          <t>Sr Investment Professional</t>
        </is>
      </c>
      <c r="L1936" s="28" t="n">
        <v>335395</v>
      </c>
      <c r="M1936" s="28" t="n">
        <v>330000</v>
      </c>
      <c r="N1936" s="28" t="n">
        <v>257</v>
      </c>
      <c r="O1936" s="28" t="n">
        <v>39600</v>
      </c>
      <c r="P1936" s="28" t="n">
        <v>15964</v>
      </c>
      <c r="Q1936" s="28" t="n">
        <v>721216</v>
      </c>
      <c r="R1936" s="28" t="n">
        <v>0</v>
      </c>
      <c r="S1936" s="28">
        <f>Q1936-R1936</f>
        <v/>
      </c>
      <c r="T1936" s="28">
        <f>IF(S1936="","",S1936*(1+in_GrowthRate)^(YEARFRAC(DATE(2024,6,30),in_AgeToDate)*IF(in_AgeToDate&lt;DATE(2024,6,30),-1,1)+1))</f>
        <v/>
      </c>
      <c r="U1936" s="50">
        <f>IF(AND(AND(OR(in_Mode="All Funds",AND(C1936&gt;=in_BandFloor,C1936&lt;=in_BandCeiling,OR(in_Geography="National",COUNTIFS(lst_GeoPreset,in_Geography,lst_GeoState,B1936)&gt;0,AND(in_Geography="Custom",ISNUMBER(SEARCH(B1936,SUBSTITUTE(in_CustomStates," ",""))))),OR(AND(D1936="Endowment",Inputs!$B$14="Y"),AND(D1936="Foundation",Inputs!$B$15="Y"),AND(D1936="Healthcare",Inputs!$B$16="Y"),AND(D1936="Pension",Inputs!$B$17="Y"),AND(D1936="OCIO",Inputs!$B$18="Y"),AND(D1936="Other",Inputs!$B$19="Y")))),A1936&lt;&gt;in_ClientOrg,NOT(AND(in_ExclHarvard="Y",ISNUMBER(SEARCH("Harvard",A1936))))),$AD1936="Y",K1936&lt;&gt;"",S1936&gt;0),"Y","")</f>
        <v/>
      </c>
      <c r="V1936" s="30" t="n">
        <v>0.2937928871272932</v>
      </c>
      <c r="W1936" t="inlineStr"/>
      <c r="X1936" s="28">
        <f>IF(L1936+M1936=0,"",L1936+M1936)</f>
        <v/>
      </c>
      <c r="Y1936" s="38">
        <f>IF(L1936=0,"",M1936/L1936)</f>
        <v/>
      </c>
      <c r="Z1936" t="inlineStr">
        <is>
          <t>Director &amp; Investment Officer</t>
        </is>
      </c>
      <c r="AA1936" t="inlineStr">
        <is>
          <t>Investments</t>
        </is>
      </c>
      <c r="AB1936" s="50" t="inlineStr"/>
      <c r="AC1936" s="43">
        <f>HYPERLINK("https://projects.propublica.org/nonprofits/organizations/135562401/202403189349304075/full","view filing")</f>
        <v/>
      </c>
      <c r="AD1936" s="50" t="inlineStr"/>
    </row>
    <row r="1937">
      <c r="A1937" t="inlineStr">
        <is>
          <t>Young Mens Christian Association Retirement Fund</t>
        </is>
      </c>
      <c r="B1937" s="50" t="inlineStr">
        <is>
          <t>NY</t>
        </is>
      </c>
      <c r="C1937" s="52" t="n">
        <v>9.75</v>
      </c>
      <c r="D1937" t="inlineStr">
        <is>
          <t>Pension</t>
        </is>
      </c>
      <c r="E1937" s="50" t="n">
        <v>2024</v>
      </c>
      <c r="F1937" s="50" t="inlineStr">
        <is>
          <t>2024-11-13</t>
        </is>
      </c>
      <c r="G1937" s="50" t="inlineStr">
        <is>
          <t>2024-06-30</t>
        </is>
      </c>
      <c r="H1937" t="inlineStr">
        <is>
          <t>Katherine Grant</t>
        </is>
      </c>
      <c r="I1937" t="inlineStr">
        <is>
          <t>INVESTMENT DIRECTOR</t>
        </is>
      </c>
      <c r="J1937" t="inlineStr">
        <is>
          <t>Director of Investments</t>
        </is>
      </c>
      <c r="K1937" t="inlineStr">
        <is>
          <t>Sr Investment Professional</t>
        </is>
      </c>
      <c r="L1937" s="28" t="n">
        <v>405021</v>
      </c>
      <c r="M1937" s="28" t="n">
        <v>234000</v>
      </c>
      <c r="N1937" s="28" t="n">
        <v>386</v>
      </c>
      <c r="O1937" s="28" t="n">
        <v>0</v>
      </c>
      <c r="P1937" s="28" t="n">
        <v>39523</v>
      </c>
      <c r="Q1937" s="28" t="n">
        <v>678930</v>
      </c>
      <c r="R1937" s="28" t="n">
        <v>0</v>
      </c>
      <c r="S1937" s="28">
        <f>Q1937-R1937</f>
        <v/>
      </c>
      <c r="T1937" s="28">
        <f>IF(S1937="","",S1937*(1+in_GrowthRate)^(YEARFRAC(DATE(2024,6,30),in_AgeToDate)*IF(in_AgeToDate&lt;DATE(2024,6,30),-1,1)+1))</f>
        <v/>
      </c>
      <c r="U1937" s="50">
        <f>IF(AND(AND(OR(in_Mode="All Funds",AND(C1937&gt;=in_BandFloor,C1937&lt;=in_BandCeiling,OR(in_Geography="National",COUNTIFS(lst_GeoPreset,in_Geography,lst_GeoState,B1937)&gt;0,AND(in_Geography="Custom",ISNUMBER(SEARCH(B1937,SUBSTITUTE(in_CustomStates," ",""))))),OR(AND(D1937="Endowment",Inputs!$B$14="Y"),AND(D1937="Foundation",Inputs!$B$15="Y"),AND(D1937="Healthcare",Inputs!$B$16="Y"),AND(D1937="Pension",Inputs!$B$17="Y"),AND(D1937="OCIO",Inputs!$B$18="Y"),AND(D1937="Other",Inputs!$B$19="Y")))),A1937&lt;&gt;in_ClientOrg,NOT(AND(in_ExclHarvard="Y",ISNUMBER(SEARCH("Harvard",A1937))))),$AD1937="Y",K1937&lt;&gt;"",S1937&gt;0),"Y","")</f>
        <v/>
      </c>
      <c r="V1937" s="30" t="n">
        <v>0.2765673596499983</v>
      </c>
      <c r="W1937" t="inlineStr"/>
      <c r="X1937" s="28">
        <f>IF(L1937+M1937=0,"",L1937+M1937)</f>
        <v/>
      </c>
      <c r="Y1937" s="38">
        <f>IF(L1937=0,"",M1937/L1937)</f>
        <v/>
      </c>
      <c r="Z1937" t="inlineStr">
        <is>
          <t>Director &amp; Investment Officer</t>
        </is>
      </c>
      <c r="AA1937" t="inlineStr">
        <is>
          <t>Investments</t>
        </is>
      </c>
      <c r="AB1937" s="50" t="inlineStr"/>
      <c r="AC1937" s="43">
        <f>HYPERLINK("https://projects.propublica.org/nonprofits/organizations/135562401/202403189349304075/full","view filing")</f>
        <v/>
      </c>
      <c r="AD1937" s="50" t="inlineStr"/>
    </row>
    <row r="1938">
      <c r="A1938" t="inlineStr">
        <is>
          <t>Young Mens Christian Association Retirement Fund</t>
        </is>
      </c>
      <c r="B1938" s="50" t="inlineStr">
        <is>
          <t>NY</t>
        </is>
      </c>
      <c r="C1938" s="52" t="n">
        <v>9.75</v>
      </c>
      <c r="D1938" t="inlineStr">
        <is>
          <t>Pension</t>
        </is>
      </c>
      <c r="E1938" s="50" t="n">
        <v>2024</v>
      </c>
      <c r="F1938" s="50" t="inlineStr">
        <is>
          <t>2024-11-13</t>
        </is>
      </c>
      <c r="G1938" s="50" t="inlineStr">
        <is>
          <t>2024-06-30</t>
        </is>
      </c>
      <c r="H1938" t="inlineStr">
        <is>
          <t>Mark Sinni</t>
        </is>
      </c>
      <c r="I1938" t="inlineStr">
        <is>
          <t>DEPUTY CHIEF INVESTMENT OFFICER</t>
        </is>
      </c>
      <c r="J1938" t="inlineStr">
        <is>
          <t>Deputy CIO</t>
        </is>
      </c>
      <c r="K1938" t="inlineStr">
        <is>
          <t>Sr Investment Professional</t>
        </is>
      </c>
      <c r="L1938" s="28" t="n">
        <v>641395</v>
      </c>
      <c r="M1938" s="28" t="n">
        <v>610000</v>
      </c>
      <c r="N1938" s="28" t="n">
        <v>506</v>
      </c>
      <c r="O1938" s="28" t="n">
        <v>62100</v>
      </c>
      <c r="P1938" s="28" t="n">
        <v>15626</v>
      </c>
      <c r="Q1938" s="28" t="n">
        <v>1329627</v>
      </c>
      <c r="R1938" s="28" t="n">
        <v>0</v>
      </c>
      <c r="S1938" s="28">
        <f>Q1938-R1938</f>
        <v/>
      </c>
      <c r="T1938" s="28">
        <f>IF(S1938="","",S1938*(1+in_GrowthRate)^(YEARFRAC(DATE(2024,6,30),in_AgeToDate)*IF(in_AgeToDate&lt;DATE(2024,6,30),-1,1)+1))</f>
        <v/>
      </c>
      <c r="U1938" s="50">
        <f>IF(AND(AND(OR(in_Mode="All Funds",AND(C1938&gt;=in_BandFloor,C1938&lt;=in_BandCeiling,OR(in_Geography="National",COUNTIFS(lst_GeoPreset,in_Geography,lst_GeoState,B1938)&gt;0,AND(in_Geography="Custom",ISNUMBER(SEARCH(B1938,SUBSTITUTE(in_CustomStates," ",""))))),OR(AND(D1938="Endowment",Inputs!$B$14="Y"),AND(D1938="Foundation",Inputs!$B$15="Y"),AND(D1938="Healthcare",Inputs!$B$16="Y"),AND(D1938="Pension",Inputs!$B$17="Y"),AND(D1938="OCIO",Inputs!$B$18="Y"),AND(D1938="Other",Inputs!$B$19="Y")))),A1938&lt;&gt;in_ClientOrg,NOT(AND(in_ExclHarvard="Y",ISNUMBER(SEARCH("Harvard",A1938))))),$AD1938="Y",K1938&lt;&gt;"",S1938&gt;0),"Y","")</f>
        <v/>
      </c>
      <c r="V1938" s="30" t="n">
        <v>0.5416337895060584</v>
      </c>
      <c r="W1938" t="inlineStr"/>
      <c r="X1938" s="28">
        <f>IF(L1938+M1938=0,"",L1938+M1938)</f>
        <v/>
      </c>
      <c r="Y1938" s="38">
        <f>IF(L1938=0,"",M1938/L1938)</f>
        <v/>
      </c>
      <c r="Z1938" t="inlineStr">
        <is>
          <t>Deputy CIO</t>
        </is>
      </c>
      <c r="AA1938" t="inlineStr">
        <is>
          <t>Leadership</t>
        </is>
      </c>
      <c r="AB1938" s="50" t="inlineStr"/>
      <c r="AC1938" s="43">
        <f>HYPERLINK("https://projects.propublica.org/nonprofits/organizations/135562401/202403189349304075/full","view filing")</f>
        <v/>
      </c>
      <c r="AD1938" s="50" t="inlineStr"/>
    </row>
    <row r="1939">
      <c r="A1939" t="inlineStr">
        <is>
          <t>Young Mens Christian Association Retirement Fund</t>
        </is>
      </c>
      <c r="B1939" s="50" t="inlineStr">
        <is>
          <t>NY</t>
        </is>
      </c>
      <c r="C1939" s="52" t="n">
        <v>9.75</v>
      </c>
      <c r="D1939" t="inlineStr">
        <is>
          <t>Pension</t>
        </is>
      </c>
      <c r="E1939" s="50" t="n">
        <v>2024</v>
      </c>
      <c r="F1939" s="50" t="inlineStr">
        <is>
          <t>2024-11-13</t>
        </is>
      </c>
      <c r="G1939" s="50" t="inlineStr">
        <is>
          <t>2024-06-30</t>
        </is>
      </c>
      <c r="H1939" t="inlineStr">
        <is>
          <t>Suleyman Gokcan</t>
        </is>
      </c>
      <c r="I1939" t="inlineStr">
        <is>
          <t>SENIOR MANAGING DIRECTOR OF RISK</t>
        </is>
      </c>
      <c r="J1939" t="inlineStr">
        <is>
          <t>Senior Managing Director</t>
        </is>
      </c>
      <c r="K1939" t="inlineStr">
        <is>
          <t>Sr Investment Professional</t>
        </is>
      </c>
      <c r="L1939" s="28" t="n">
        <v>630968</v>
      </c>
      <c r="M1939" s="28" t="n">
        <v>295000</v>
      </c>
      <c r="N1939" s="28" t="n">
        <v>2322</v>
      </c>
      <c r="O1939" s="28" t="n">
        <v>62100</v>
      </c>
      <c r="P1939" s="28" t="n">
        <v>44867</v>
      </c>
      <c r="Q1939" s="28" t="n">
        <v>1035257</v>
      </c>
      <c r="R1939" s="28" t="n">
        <v>0</v>
      </c>
      <c r="S1939" s="28">
        <f>Q1939-R1939</f>
        <v/>
      </c>
      <c r="T1939" s="28">
        <f>IF(S1939="","",S1939*(1+in_GrowthRate)^(YEARFRAC(DATE(2024,6,30),in_AgeToDate)*IF(in_AgeToDate&lt;DATE(2024,6,30),-1,1)+1))</f>
        <v/>
      </c>
      <c r="U1939" s="50">
        <f>IF(AND(AND(OR(in_Mode="All Funds",AND(C1939&gt;=in_BandFloor,C1939&lt;=in_BandCeiling,OR(in_Geography="National",COUNTIFS(lst_GeoPreset,in_Geography,lst_GeoState,B1939)&gt;0,AND(in_Geography="Custom",ISNUMBER(SEARCH(B1939,SUBSTITUTE(in_CustomStates," ",""))))),OR(AND(D1939="Endowment",Inputs!$B$14="Y"),AND(D1939="Foundation",Inputs!$B$15="Y"),AND(D1939="Healthcare",Inputs!$B$16="Y"),AND(D1939="Pension",Inputs!$B$17="Y"),AND(D1939="OCIO",Inputs!$B$18="Y"),AND(D1939="Other",Inputs!$B$19="Y")))),A1939&lt;&gt;in_ClientOrg,NOT(AND(in_ExclHarvard="Y",ISNUMBER(SEARCH("Harvard",A1939))))),$AD1939="Y",K1939&lt;&gt;"",S1939&gt;0),"Y","")</f>
        <v/>
      </c>
      <c r="V1939" s="30" t="n">
        <v>0.4217199049227141</v>
      </c>
      <c r="W1939" t="inlineStr"/>
      <c r="X1939" s="28">
        <f>IF(L1939+M1939=0,"",L1939+M1939)</f>
        <v/>
      </c>
      <c r="Y1939" s="38">
        <f>IF(L1939=0,"",M1939/L1939)</f>
        <v/>
      </c>
      <c r="Z1939" t="inlineStr">
        <is>
          <t>Managing Director</t>
        </is>
      </c>
      <c r="AA1939" t="inlineStr">
        <is>
          <t>Investments</t>
        </is>
      </c>
      <c r="AB1939" s="50" t="inlineStr"/>
      <c r="AC1939" s="43">
        <f>HYPERLINK("https://projects.propublica.org/nonprofits/organizations/135562401/202403189349304075/full","view filing")</f>
        <v/>
      </c>
      <c r="AD1939" s="50" t="inlineStr"/>
    </row>
    <row r="1940">
      <c r="A1940" t="inlineStr">
        <is>
          <t>Young Mens Christian Association Retirement Fund</t>
        </is>
      </c>
      <c r="B1940" s="50" t="inlineStr">
        <is>
          <t>NY</t>
        </is>
      </c>
      <c r="C1940" s="52" t="n">
        <v>9.75</v>
      </c>
      <c r="D1940" t="inlineStr">
        <is>
          <t>Pension</t>
        </is>
      </c>
      <c r="E1940" s="50" t="n">
        <v>2023</v>
      </c>
      <c r="F1940" s="50" t="inlineStr">
        <is>
          <t>2023-11-14</t>
        </is>
      </c>
      <c r="G1940" s="50" t="inlineStr">
        <is>
          <t>2023-06-30</t>
        </is>
      </c>
      <c r="H1940" t="inlineStr">
        <is>
          <t>Erik Moss</t>
        </is>
      </c>
      <c r="I1940" t="inlineStr">
        <is>
          <t>INVESTMENT DIRECTOR</t>
        </is>
      </c>
      <c r="J1940" t="inlineStr">
        <is>
          <t>Director of Investments</t>
        </is>
      </c>
      <c r="K1940" t="inlineStr">
        <is>
          <t>Sr Investment Professional</t>
        </is>
      </c>
      <c r="L1940" s="28" t="n">
        <v>316543</v>
      </c>
      <c r="M1940" s="28" t="n">
        <v>120046</v>
      </c>
      <c r="N1940" s="28" t="n">
        <v>160</v>
      </c>
      <c r="O1940" s="28" t="n">
        <v>36600</v>
      </c>
      <c r="P1940" s="28" t="n">
        <v>15132</v>
      </c>
      <c r="Q1940" s="28" t="n">
        <v>488481</v>
      </c>
      <c r="R1940" s="28" t="n">
        <v>0</v>
      </c>
      <c r="S1940" s="28">
        <f>Q1940-R1940</f>
        <v/>
      </c>
      <c r="T1940" s="28">
        <f>IF(S1940="","",S1940*(1+in_GrowthRate)^(YEARFRAC(DATE(2023,6,30),in_AgeToDate)*IF(in_AgeToDate&lt;DATE(2023,6,30),-1,1)+1))</f>
        <v/>
      </c>
      <c r="U1940" s="50">
        <f>IF(AND(AND(OR(in_Mode="All Funds",AND(C1940&gt;=in_BandFloor,C1940&lt;=in_BandCeiling,OR(in_Geography="National",COUNTIFS(lst_GeoPreset,in_Geography,lst_GeoState,B1940)&gt;0,AND(in_Geography="Custom",ISNUMBER(SEARCH(B1940,SUBSTITUTE(in_CustomStates," ",""))))),OR(AND(D1940="Endowment",Inputs!$B$14="Y"),AND(D1940="Foundation",Inputs!$B$15="Y"),AND(D1940="Healthcare",Inputs!$B$16="Y"),AND(D1940="Pension",Inputs!$B$17="Y"),AND(D1940="OCIO",Inputs!$B$18="Y"),AND(D1940="Other",Inputs!$B$19="Y")))),A1940&lt;&gt;in_ClientOrg,NOT(AND(in_ExclHarvard="Y",ISNUMBER(SEARCH("Harvard",A1940))))),$AD1940="Y",K1940&lt;&gt;"",S1940&gt;0),"Y","")</f>
        <v/>
      </c>
      <c r="V1940" s="30" t="n">
        <v>0.307517247761521</v>
      </c>
      <c r="W1940" t="inlineStr"/>
      <c r="X1940" s="28">
        <f>IF(L1940+M1940=0,"",L1940+M1940)</f>
        <v/>
      </c>
      <c r="Y1940" s="38">
        <f>IF(L1940=0,"",M1940/L1940)</f>
        <v/>
      </c>
      <c r="Z1940" t="inlineStr">
        <is>
          <t>Director &amp; Investment Officer</t>
        </is>
      </c>
      <c r="AA1940" t="inlineStr">
        <is>
          <t>Investments</t>
        </is>
      </c>
      <c r="AB1940" s="50" t="inlineStr"/>
      <c r="AC1940" s="43">
        <f>HYPERLINK("https://projects.propublica.org/nonprofits/organizations/135562401/202303189349310585/full","view filing")</f>
        <v/>
      </c>
      <c r="AD1940" s="50" t="inlineStr"/>
    </row>
    <row r="1941">
      <c r="A1941" t="inlineStr">
        <is>
          <t>Young Mens Christian Association Retirement Fund</t>
        </is>
      </c>
      <c r="B1941" s="50" t="inlineStr">
        <is>
          <t>NY</t>
        </is>
      </c>
      <c r="C1941" s="52" t="n">
        <v>9.75</v>
      </c>
      <c r="D1941" t="inlineStr">
        <is>
          <t>Pension</t>
        </is>
      </c>
      <c r="E1941" s="50" t="n">
        <v>2023</v>
      </c>
      <c r="F1941" s="50" t="inlineStr">
        <is>
          <t>2023-11-14</t>
        </is>
      </c>
      <c r="G1941" s="50" t="inlineStr">
        <is>
          <t>2023-06-30</t>
        </is>
      </c>
      <c r="H1941" t="inlineStr">
        <is>
          <t>Erik Strobel</t>
        </is>
      </c>
      <c r="I1941" t="inlineStr">
        <is>
          <t>INVESTMENT DIRECTOR</t>
        </is>
      </c>
      <c r="J1941" t="inlineStr">
        <is>
          <t>Director of Investments</t>
        </is>
      </c>
      <c r="K1941" t="inlineStr">
        <is>
          <t>Sr Investment Professional</t>
        </is>
      </c>
      <c r="L1941" s="28" t="n">
        <v>356788</v>
      </c>
      <c r="M1941" s="28" t="n">
        <v>133633</v>
      </c>
      <c r="N1941" s="28" t="n">
        <v>164</v>
      </c>
      <c r="O1941" s="28" t="n">
        <v>36600</v>
      </c>
      <c r="P1941" s="28" t="n">
        <v>16009</v>
      </c>
      <c r="Q1941" s="28" t="n">
        <v>543194</v>
      </c>
      <c r="R1941" s="28" t="n">
        <v>0</v>
      </c>
      <c r="S1941" s="28">
        <f>Q1941-R1941</f>
        <v/>
      </c>
      <c r="T1941" s="28">
        <f>IF(S1941="","",S1941*(1+in_GrowthRate)^(YEARFRAC(DATE(2023,6,30),in_AgeToDate)*IF(in_AgeToDate&lt;DATE(2023,6,30),-1,1)+1))</f>
        <v/>
      </c>
      <c r="U1941" s="50">
        <f>IF(AND(AND(OR(in_Mode="All Funds",AND(C1941&gt;=in_BandFloor,C1941&lt;=in_BandCeiling,OR(in_Geography="National",COUNTIFS(lst_GeoPreset,in_Geography,lst_GeoState,B1941)&gt;0,AND(in_Geography="Custom",ISNUMBER(SEARCH(B1941,SUBSTITUTE(in_CustomStates," ",""))))),OR(AND(D1941="Endowment",Inputs!$B$14="Y"),AND(D1941="Foundation",Inputs!$B$15="Y"),AND(D1941="Healthcare",Inputs!$B$16="Y"),AND(D1941="Pension",Inputs!$B$17="Y"),AND(D1941="OCIO",Inputs!$B$18="Y"),AND(D1941="Other",Inputs!$B$19="Y")))),A1941&lt;&gt;in_ClientOrg,NOT(AND(in_ExclHarvard="Y",ISNUMBER(SEARCH("Harvard",A1941))))),$AD1941="Y",K1941&lt;&gt;"",S1941&gt;0),"Y","")</f>
        <v/>
      </c>
      <c r="V1941" s="30" t="n">
        <v>0.3419611487050093</v>
      </c>
      <c r="W1941" t="inlineStr"/>
      <c r="X1941" s="28">
        <f>IF(L1941+M1941=0,"",L1941+M1941)</f>
        <v/>
      </c>
      <c r="Y1941" s="38">
        <f>IF(L1941=0,"",M1941/L1941)</f>
        <v/>
      </c>
      <c r="Z1941" t="inlineStr">
        <is>
          <t>Director &amp; Investment Officer</t>
        </is>
      </c>
      <c r="AA1941" t="inlineStr">
        <is>
          <t>Investments</t>
        </is>
      </c>
      <c r="AB1941" s="50" t="inlineStr"/>
      <c r="AC1941" s="43">
        <f>HYPERLINK("https://projects.propublica.org/nonprofits/organizations/135562401/202303189349310585/full","view filing")</f>
        <v/>
      </c>
      <c r="AD1941" s="50" t="inlineStr"/>
    </row>
    <row r="1942">
      <c r="A1942" t="inlineStr">
        <is>
          <t>Young Mens Christian Association Retirement Fund</t>
        </is>
      </c>
      <c r="B1942" s="50" t="inlineStr">
        <is>
          <t>NY</t>
        </is>
      </c>
      <c r="C1942" s="52" t="n">
        <v>9.75</v>
      </c>
      <c r="D1942" t="inlineStr">
        <is>
          <t>Pension</t>
        </is>
      </c>
      <c r="E1942" s="50" t="n">
        <v>2023</v>
      </c>
      <c r="F1942" s="50" t="inlineStr">
        <is>
          <t>2023-11-14</t>
        </is>
      </c>
      <c r="G1942" s="50" t="inlineStr">
        <is>
          <t>2023-06-30</t>
        </is>
      </c>
      <c r="H1942" t="inlineStr">
        <is>
          <t>Hunter Reisner</t>
        </is>
      </c>
      <c r="I1942" t="inlineStr">
        <is>
          <t>CHIEF INVESTMENT OFFICER</t>
        </is>
      </c>
      <c r="J1942" t="inlineStr">
        <is>
          <t>CIO</t>
        </is>
      </c>
      <c r="K1942" t="inlineStr">
        <is>
          <t>CIO - Top Investment Executive</t>
        </is>
      </c>
      <c r="L1942" s="28" t="n">
        <v>716470</v>
      </c>
      <c r="M1942" s="28" t="n">
        <v>773350</v>
      </c>
      <c r="N1942" s="28" t="n">
        <v>5547</v>
      </c>
      <c r="O1942" s="28" t="n">
        <v>57100</v>
      </c>
      <c r="P1942" s="28" t="n">
        <v>36000</v>
      </c>
      <c r="Q1942" s="28" t="n">
        <v>1588467</v>
      </c>
      <c r="R1942" s="28" t="n">
        <v>0</v>
      </c>
      <c r="S1942" s="28">
        <f>Q1942-R1942</f>
        <v/>
      </c>
      <c r="T1942" s="28">
        <f>IF(S1942="","",S1942*(1+in_GrowthRate)^(YEARFRAC(DATE(2023,6,30),in_AgeToDate)*IF(in_AgeToDate&lt;DATE(2023,6,30),-1,1)+1))</f>
        <v/>
      </c>
      <c r="U1942" s="50">
        <f>IF(AND(AND(OR(in_Mode="All Funds",AND(C1942&gt;=in_BandFloor,C1942&lt;=in_BandCeiling,OR(in_Geography="National",COUNTIFS(lst_GeoPreset,in_Geography,lst_GeoState,B1942)&gt;0,AND(in_Geography="Custom",ISNUMBER(SEARCH(B1942,SUBSTITUTE(in_CustomStates," ",""))))),OR(AND(D1942="Endowment",Inputs!$B$14="Y"),AND(D1942="Foundation",Inputs!$B$15="Y"),AND(D1942="Healthcare",Inputs!$B$16="Y"),AND(D1942="Pension",Inputs!$B$17="Y"),AND(D1942="OCIO",Inputs!$B$18="Y"),AND(D1942="Other",Inputs!$B$19="Y")))),A1942&lt;&gt;in_ClientOrg,NOT(AND(in_ExclHarvard="Y",ISNUMBER(SEARCH("Harvard",A1942))))),$AD1942="Y",K1942&lt;&gt;"",S1942&gt;0),"Y","")</f>
        <v/>
      </c>
      <c r="V1942" s="30" t="n">
        <v>1</v>
      </c>
      <c r="W1942" t="inlineStr"/>
      <c r="X1942" s="28">
        <f>IF(L1942+M1942=0,"",L1942+M1942)</f>
        <v/>
      </c>
      <c r="Y1942" s="38">
        <f>IF(L1942=0,"",M1942/L1942)</f>
        <v/>
      </c>
      <c r="Z1942" t="inlineStr">
        <is>
          <t>CIO - Top Investment Executive</t>
        </is>
      </c>
      <c r="AA1942" t="inlineStr">
        <is>
          <t>Leadership</t>
        </is>
      </c>
      <c r="AB1942" s="50" t="inlineStr">
        <is>
          <t>Y</t>
        </is>
      </c>
      <c r="AC1942" s="43">
        <f>HYPERLINK("https://projects.propublica.org/nonprofits/organizations/135562401/202303189349310585/full","view filing")</f>
        <v/>
      </c>
      <c r="AD1942" s="50" t="inlineStr"/>
    </row>
    <row r="1943">
      <c r="A1943" t="inlineStr">
        <is>
          <t>Young Mens Christian Association Retirement Fund</t>
        </is>
      </c>
      <c r="B1943" s="50" t="inlineStr">
        <is>
          <t>NY</t>
        </is>
      </c>
      <c r="C1943" s="52" t="n">
        <v>9.75</v>
      </c>
      <c r="D1943" t="inlineStr">
        <is>
          <t>Pension</t>
        </is>
      </c>
      <c r="E1943" s="50" t="n">
        <v>2023</v>
      </c>
      <c r="F1943" s="50" t="inlineStr">
        <is>
          <t>2023-11-14</t>
        </is>
      </c>
      <c r="G1943" s="50" t="inlineStr">
        <is>
          <t>2023-06-30</t>
        </is>
      </c>
      <c r="H1943" t="inlineStr">
        <is>
          <t>Ivan Manolov</t>
        </is>
      </c>
      <c r="I1943" t="inlineStr">
        <is>
          <t>SENIOR PORTFOLIO MANAGER</t>
        </is>
      </c>
      <c r="J1943" t="inlineStr">
        <is>
          <t>Senior Portfolio Manager</t>
        </is>
      </c>
      <c r="K1943" t="inlineStr">
        <is>
          <t>Sr Investment Professional</t>
        </is>
      </c>
      <c r="L1943" s="28" t="n">
        <v>450061</v>
      </c>
      <c r="M1943" s="28" t="n">
        <v>321079</v>
      </c>
      <c r="N1943" s="28" t="n">
        <v>345</v>
      </c>
      <c r="O1943" s="28" t="n">
        <v>36600</v>
      </c>
      <c r="P1943" s="28" t="n">
        <v>3127</v>
      </c>
      <c r="Q1943" s="28" t="n">
        <v>811212</v>
      </c>
      <c r="R1943" s="28" t="n">
        <v>0</v>
      </c>
      <c r="S1943" s="28">
        <f>Q1943-R1943</f>
        <v/>
      </c>
      <c r="T1943" s="28">
        <f>IF(S1943="","",S1943*(1+in_GrowthRate)^(YEARFRAC(DATE(2023,6,30),in_AgeToDate)*IF(in_AgeToDate&lt;DATE(2023,6,30),-1,1)+1))</f>
        <v/>
      </c>
      <c r="U1943" s="50">
        <f>IF(AND(AND(OR(in_Mode="All Funds",AND(C1943&gt;=in_BandFloor,C1943&lt;=in_BandCeiling,OR(in_Geography="National",COUNTIFS(lst_GeoPreset,in_Geography,lst_GeoState,B1943)&gt;0,AND(in_Geography="Custom",ISNUMBER(SEARCH(B1943,SUBSTITUTE(in_CustomStates," ",""))))),OR(AND(D1943="Endowment",Inputs!$B$14="Y"),AND(D1943="Foundation",Inputs!$B$15="Y"),AND(D1943="Healthcare",Inputs!$B$16="Y"),AND(D1943="Pension",Inputs!$B$17="Y"),AND(D1943="OCIO",Inputs!$B$18="Y"),AND(D1943="Other",Inputs!$B$19="Y")))),A1943&lt;&gt;in_ClientOrg,NOT(AND(in_ExclHarvard="Y",ISNUMBER(SEARCH("Harvard",A1943))))),$AD1943="Y",K1943&lt;&gt;"",S1943&gt;0),"Y","")</f>
        <v/>
      </c>
      <c r="V1943" s="30" t="n">
        <v>0.5106886073176213</v>
      </c>
      <c r="W1943" t="inlineStr"/>
      <c r="X1943" s="28">
        <f>IF(L1943+M1943=0,"",L1943+M1943)</f>
        <v/>
      </c>
      <c r="Y1943" s="38">
        <f>IF(L1943=0,"",M1943/L1943)</f>
        <v/>
      </c>
      <c r="Z1943" t="inlineStr">
        <is>
          <t>Other investment staff</t>
        </is>
      </c>
      <c r="AA1943" t="inlineStr">
        <is>
          <t>Investments</t>
        </is>
      </c>
      <c r="AB1943" s="50" t="inlineStr"/>
      <c r="AC1943" s="43">
        <f>HYPERLINK("https://projects.propublica.org/nonprofits/organizations/135562401/202303189349310585/full","view filing")</f>
        <v/>
      </c>
      <c r="AD1943" s="50" t="inlineStr"/>
    </row>
    <row r="1944">
      <c r="A1944" t="inlineStr">
        <is>
          <t>Young Mens Christian Association Retirement Fund</t>
        </is>
      </c>
      <c r="B1944" s="50" t="inlineStr">
        <is>
          <t>NY</t>
        </is>
      </c>
      <c r="C1944" s="52" t="n">
        <v>9.75</v>
      </c>
      <c r="D1944" t="inlineStr">
        <is>
          <t>Pension</t>
        </is>
      </c>
      <c r="E1944" s="50" t="n">
        <v>2023</v>
      </c>
      <c r="F1944" s="50" t="inlineStr">
        <is>
          <t>2023-11-14</t>
        </is>
      </c>
      <c r="G1944" s="50" t="inlineStr">
        <is>
          <t>2023-06-30</t>
        </is>
      </c>
      <c r="H1944" t="inlineStr">
        <is>
          <t>John Maimone Medwick</t>
        </is>
      </c>
      <c r="I1944" t="inlineStr">
        <is>
          <t>INVESTMENT DIRECTOR</t>
        </is>
      </c>
      <c r="J1944" t="inlineStr">
        <is>
          <t>Director of Investments</t>
        </is>
      </c>
      <c r="K1944" t="inlineStr">
        <is>
          <t>Sr Investment Professional</t>
        </is>
      </c>
      <c r="L1944" s="28" t="n">
        <v>329919</v>
      </c>
      <c r="M1944" s="28" t="n">
        <v>228466</v>
      </c>
      <c r="N1944" s="28" t="n">
        <v>170</v>
      </c>
      <c r="O1944" s="28" t="n">
        <v>36600</v>
      </c>
      <c r="P1944" s="28" t="n">
        <v>14039</v>
      </c>
      <c r="Q1944" s="28" t="n">
        <v>609194</v>
      </c>
      <c r="R1944" s="28" t="n">
        <v>0</v>
      </c>
      <c r="S1944" s="28">
        <f>Q1944-R1944</f>
        <v/>
      </c>
      <c r="T1944" s="28">
        <f>IF(S1944="","",S1944*(1+in_GrowthRate)^(YEARFRAC(DATE(2023,6,30),in_AgeToDate)*IF(in_AgeToDate&lt;DATE(2023,6,30),-1,1)+1))</f>
        <v/>
      </c>
      <c r="U1944" s="50">
        <f>IF(AND(AND(OR(in_Mode="All Funds",AND(C1944&gt;=in_BandFloor,C1944&lt;=in_BandCeiling,OR(in_Geography="National",COUNTIFS(lst_GeoPreset,in_Geography,lst_GeoState,B1944)&gt;0,AND(in_Geography="Custom",ISNUMBER(SEARCH(B1944,SUBSTITUTE(in_CustomStates," ",""))))),OR(AND(D1944="Endowment",Inputs!$B$14="Y"),AND(D1944="Foundation",Inputs!$B$15="Y"),AND(D1944="Healthcare",Inputs!$B$16="Y"),AND(D1944="Pension",Inputs!$B$17="Y"),AND(D1944="OCIO",Inputs!$B$18="Y"),AND(D1944="Other",Inputs!$B$19="Y")))),A1944&lt;&gt;in_ClientOrg,NOT(AND(in_ExclHarvard="Y",ISNUMBER(SEARCH("Harvard",A1944))))),$AD1944="Y",K1944&lt;&gt;"",S1944&gt;0),"Y","")</f>
        <v/>
      </c>
      <c r="V1944" s="30" t="n">
        <v>0.3835106426510592</v>
      </c>
      <c r="W1944" t="inlineStr"/>
      <c r="X1944" s="28">
        <f>IF(L1944+M1944=0,"",L1944+M1944)</f>
        <v/>
      </c>
      <c r="Y1944" s="38">
        <f>IF(L1944=0,"",M1944/L1944)</f>
        <v/>
      </c>
      <c r="Z1944" t="inlineStr">
        <is>
          <t>Director &amp; Investment Officer</t>
        </is>
      </c>
      <c r="AA1944" t="inlineStr">
        <is>
          <t>Investments</t>
        </is>
      </c>
      <c r="AB1944" s="50" t="inlineStr"/>
      <c r="AC1944" s="43">
        <f>HYPERLINK("https://projects.propublica.org/nonprofits/organizations/135562401/202303189349310585/full","view filing")</f>
        <v/>
      </c>
      <c r="AD1944" s="50" t="inlineStr"/>
    </row>
    <row r="1945">
      <c r="A1945" t="inlineStr">
        <is>
          <t>Young Mens Christian Association Retirement Fund</t>
        </is>
      </c>
      <c r="B1945" s="50" t="inlineStr">
        <is>
          <t>NY</t>
        </is>
      </c>
      <c r="C1945" s="52" t="n">
        <v>9.75</v>
      </c>
      <c r="D1945" t="inlineStr">
        <is>
          <t>Pension</t>
        </is>
      </c>
      <c r="E1945" s="50" t="n">
        <v>2023</v>
      </c>
      <c r="F1945" s="50" t="inlineStr">
        <is>
          <t>2023-11-14</t>
        </is>
      </c>
      <c r="G1945" s="50" t="inlineStr">
        <is>
          <t>2023-06-30</t>
        </is>
      </c>
      <c r="H1945" t="inlineStr">
        <is>
          <t>Mark Sinni</t>
        </is>
      </c>
      <c r="I1945" t="inlineStr">
        <is>
          <t>DEPUTY CHIEF INVESTMENT OFFICER</t>
        </is>
      </c>
      <c r="J1945" t="inlineStr">
        <is>
          <t>Deputy CIO</t>
        </is>
      </c>
      <c r="K1945" t="inlineStr">
        <is>
          <t>Sr Investment Professional</t>
        </is>
      </c>
      <c r="L1945" s="28" t="n">
        <v>584829</v>
      </c>
      <c r="M1945" s="28" t="n">
        <v>440309</v>
      </c>
      <c r="N1945" s="28" t="n">
        <v>467</v>
      </c>
      <c r="O1945" s="28" t="n">
        <v>57100</v>
      </c>
      <c r="P1945" s="28" t="n">
        <v>22623</v>
      </c>
      <c r="Q1945" s="28" t="n">
        <v>1105328</v>
      </c>
      <c r="R1945" s="28" t="n">
        <v>0</v>
      </c>
      <c r="S1945" s="28">
        <f>Q1945-R1945</f>
        <v/>
      </c>
      <c r="T1945" s="28">
        <f>IF(S1945="","",S1945*(1+in_GrowthRate)^(YEARFRAC(DATE(2023,6,30),in_AgeToDate)*IF(in_AgeToDate&lt;DATE(2023,6,30),-1,1)+1))</f>
        <v/>
      </c>
      <c r="U1945" s="50">
        <f>IF(AND(AND(OR(in_Mode="All Funds",AND(C1945&gt;=in_BandFloor,C1945&lt;=in_BandCeiling,OR(in_Geography="National",COUNTIFS(lst_GeoPreset,in_Geography,lst_GeoState,B1945)&gt;0,AND(in_Geography="Custom",ISNUMBER(SEARCH(B1945,SUBSTITUTE(in_CustomStates," ",""))))),OR(AND(D1945="Endowment",Inputs!$B$14="Y"),AND(D1945="Foundation",Inputs!$B$15="Y"),AND(D1945="Healthcare",Inputs!$B$16="Y"),AND(D1945="Pension",Inputs!$B$17="Y"),AND(D1945="OCIO",Inputs!$B$18="Y"),AND(D1945="Other",Inputs!$B$19="Y")))),A1945&lt;&gt;in_ClientOrg,NOT(AND(in_ExclHarvard="Y",ISNUMBER(SEARCH("Harvard",A1945))))),$AD1945="Y",K1945&lt;&gt;"",S1945&gt;0),"Y","")</f>
        <v/>
      </c>
      <c r="V1945" s="30" t="n">
        <v>0.6958457430969608</v>
      </c>
      <c r="W1945" t="inlineStr"/>
      <c r="X1945" s="28">
        <f>IF(L1945+M1945=0,"",L1945+M1945)</f>
        <v/>
      </c>
      <c r="Y1945" s="38">
        <f>IF(L1945=0,"",M1945/L1945)</f>
        <v/>
      </c>
      <c r="Z1945" t="inlineStr">
        <is>
          <t>Deputy CIO</t>
        </is>
      </c>
      <c r="AA1945" t="inlineStr">
        <is>
          <t>Leadership</t>
        </is>
      </c>
      <c r="AB1945" s="50" t="inlineStr"/>
      <c r="AC1945" s="43">
        <f>HYPERLINK("https://projects.propublica.org/nonprofits/organizations/135562401/202303189349310585/full","view filing")</f>
        <v/>
      </c>
      <c r="AD1945" s="50" t="inlineStr"/>
    </row>
    <row r="1946">
      <c r="A1946" t="inlineStr">
        <is>
          <t>Young Mens Christian Association Retirement Fund</t>
        </is>
      </c>
      <c r="B1946" s="50" t="inlineStr">
        <is>
          <t>NY</t>
        </is>
      </c>
      <c r="C1946" s="52" t="n">
        <v>9.75</v>
      </c>
      <c r="D1946" t="inlineStr">
        <is>
          <t>Pension</t>
        </is>
      </c>
      <c r="E1946" s="50" t="n">
        <v>2023</v>
      </c>
      <c r="F1946" s="50" t="inlineStr">
        <is>
          <t>2023-11-14</t>
        </is>
      </c>
      <c r="G1946" s="50" t="inlineStr">
        <is>
          <t>2023-06-30</t>
        </is>
      </c>
      <c r="H1946" t="inlineStr">
        <is>
          <t>Nicholas Pon</t>
        </is>
      </c>
      <c r="I1946" t="inlineStr">
        <is>
          <t>INVESTMENT DIRECTOR</t>
        </is>
      </c>
      <c r="J1946" t="inlineStr">
        <is>
          <t>Director of Investments</t>
        </is>
      </c>
      <c r="K1946" t="inlineStr">
        <is>
          <t>Sr Investment Professional</t>
        </is>
      </c>
      <c r="L1946" s="28" t="n">
        <v>261078</v>
      </c>
      <c r="M1946" s="28" t="n">
        <v>83477</v>
      </c>
      <c r="N1946" s="28" t="n">
        <v>153</v>
      </c>
      <c r="O1946" s="28" t="n">
        <v>36600</v>
      </c>
      <c r="P1946" s="28" t="n">
        <v>13327</v>
      </c>
      <c r="Q1946" s="28" t="n">
        <v>394635</v>
      </c>
      <c r="R1946" s="28" t="n">
        <v>0</v>
      </c>
      <c r="S1946" s="28">
        <f>Q1946-R1946</f>
        <v/>
      </c>
      <c r="T1946" s="28">
        <f>IF(S1946="","",S1946*(1+in_GrowthRate)^(YEARFRAC(DATE(2023,6,30),in_AgeToDate)*IF(in_AgeToDate&lt;DATE(2023,6,30),-1,1)+1))</f>
        <v/>
      </c>
      <c r="U1946" s="50">
        <f>IF(AND(AND(OR(in_Mode="All Funds",AND(C1946&gt;=in_BandFloor,C1946&lt;=in_BandCeiling,OR(in_Geography="National",COUNTIFS(lst_GeoPreset,in_Geography,lst_GeoState,B1946)&gt;0,AND(in_Geography="Custom",ISNUMBER(SEARCH(B1946,SUBSTITUTE(in_CustomStates," ",""))))),OR(AND(D1946="Endowment",Inputs!$B$14="Y"),AND(D1946="Foundation",Inputs!$B$15="Y"),AND(D1946="Healthcare",Inputs!$B$16="Y"),AND(D1946="Pension",Inputs!$B$17="Y"),AND(D1946="OCIO",Inputs!$B$18="Y"),AND(D1946="Other",Inputs!$B$19="Y")))),A1946&lt;&gt;in_ClientOrg,NOT(AND(in_ExclHarvard="Y",ISNUMBER(SEARCH("Harvard",A1946))))),$AD1946="Y",K1946&lt;&gt;"",S1946&gt;0),"Y","")</f>
        <v/>
      </c>
      <c r="V1946" s="30" t="n">
        <v>0.2484376445969605</v>
      </c>
      <c r="W1946" t="inlineStr"/>
      <c r="X1946" s="28">
        <f>IF(L1946+M1946=0,"",L1946+M1946)</f>
        <v/>
      </c>
      <c r="Y1946" s="38">
        <f>IF(L1946=0,"",M1946/L1946)</f>
        <v/>
      </c>
      <c r="Z1946" t="inlineStr">
        <is>
          <t>Director &amp; Investment Officer</t>
        </is>
      </c>
      <c r="AA1946" t="inlineStr">
        <is>
          <t>Investments</t>
        </is>
      </c>
      <c r="AB1946" s="50" t="inlineStr"/>
      <c r="AC1946" s="43">
        <f>HYPERLINK("https://projects.propublica.org/nonprofits/organizations/135562401/202303189349310585/full","view filing")</f>
        <v/>
      </c>
      <c r="AD1946" s="50" t="inlineStr"/>
    </row>
    <row r="1947">
      <c r="A1947" t="inlineStr">
        <is>
          <t>Young Mens Christian Association Retirement Fund</t>
        </is>
      </c>
      <c r="B1947" s="50" t="inlineStr">
        <is>
          <t>NY</t>
        </is>
      </c>
      <c r="C1947" s="52" t="n">
        <v>9.75</v>
      </c>
      <c r="D1947" t="inlineStr">
        <is>
          <t>Pension</t>
        </is>
      </c>
      <c r="E1947" s="50" t="n">
        <v>2023</v>
      </c>
      <c r="F1947" s="50" t="inlineStr">
        <is>
          <t>2023-11-14</t>
        </is>
      </c>
      <c r="G1947" s="50" t="inlineStr">
        <is>
          <t>2023-06-30</t>
        </is>
      </c>
      <c r="H1947" t="inlineStr">
        <is>
          <t>Suleyman Gokcan</t>
        </is>
      </c>
      <c r="I1947" t="inlineStr">
        <is>
          <t>SENIOR MANAGING DIRECTOR OF RISK</t>
        </is>
      </c>
      <c r="J1947" t="inlineStr">
        <is>
          <t>Senior Managing Director</t>
        </is>
      </c>
      <c r="K1947" t="inlineStr">
        <is>
          <t>Sr Investment Professional</t>
        </is>
      </c>
      <c r="L1947" s="28" t="n">
        <v>570585</v>
      </c>
      <c r="M1947" s="28" t="n">
        <v>260980</v>
      </c>
      <c r="N1947" s="28" t="n">
        <v>2256</v>
      </c>
      <c r="O1947" s="28" t="n">
        <v>57100</v>
      </c>
      <c r="P1947" s="28" t="n">
        <v>41734</v>
      </c>
      <c r="Q1947" s="28" t="n">
        <v>932655</v>
      </c>
      <c r="R1947" s="28" t="n">
        <v>0</v>
      </c>
      <c r="S1947" s="28">
        <f>Q1947-R1947</f>
        <v/>
      </c>
      <c r="T1947" s="28">
        <f>IF(S1947="","",S1947*(1+in_GrowthRate)^(YEARFRAC(DATE(2023,6,30),in_AgeToDate)*IF(in_AgeToDate&lt;DATE(2023,6,30),-1,1)+1))</f>
        <v/>
      </c>
      <c r="U1947" s="50">
        <f>IF(AND(AND(OR(in_Mode="All Funds",AND(C1947&gt;=in_BandFloor,C1947&lt;=in_BandCeiling,OR(in_Geography="National",COUNTIFS(lst_GeoPreset,in_Geography,lst_GeoState,B1947)&gt;0,AND(in_Geography="Custom",ISNUMBER(SEARCH(B1947,SUBSTITUTE(in_CustomStates," ",""))))),OR(AND(D1947="Endowment",Inputs!$B$14="Y"),AND(D1947="Foundation",Inputs!$B$15="Y"),AND(D1947="Healthcare",Inputs!$B$16="Y"),AND(D1947="Pension",Inputs!$B$17="Y"),AND(D1947="OCIO",Inputs!$B$18="Y"),AND(D1947="Other",Inputs!$B$19="Y")))),A1947&lt;&gt;in_ClientOrg,NOT(AND(in_ExclHarvard="Y",ISNUMBER(SEARCH("Harvard",A1947))))),$AD1947="Y",K1947&lt;&gt;"",S1947&gt;0),"Y","")</f>
        <v/>
      </c>
      <c r="V1947" s="30" t="n">
        <v>0.5871415647917143</v>
      </c>
      <c r="W1947" t="inlineStr"/>
      <c r="X1947" s="28">
        <f>IF(L1947+M1947=0,"",L1947+M1947)</f>
        <v/>
      </c>
      <c r="Y1947" s="38">
        <f>IF(L1947=0,"",M1947/L1947)</f>
        <v/>
      </c>
      <c r="Z1947" t="inlineStr">
        <is>
          <t>Managing Director</t>
        </is>
      </c>
      <c r="AA1947" t="inlineStr">
        <is>
          <t>Investments</t>
        </is>
      </c>
      <c r="AB1947" s="50" t="inlineStr"/>
      <c r="AC1947" s="43">
        <f>HYPERLINK("https://projects.propublica.org/nonprofits/organizations/135562401/202303189349310585/full","view filing")</f>
        <v/>
      </c>
      <c r="AD1947" s="50" t="inlineStr"/>
    </row>
    <row r="1948">
      <c r="A1948" t="inlineStr">
        <is>
          <t>Young Mens Christian Association Retirement Fund</t>
        </is>
      </c>
      <c r="B1948" s="50" t="inlineStr">
        <is>
          <t>NY</t>
        </is>
      </c>
      <c r="C1948" s="52" t="n">
        <v>9.75</v>
      </c>
      <c r="D1948" t="inlineStr">
        <is>
          <t>Pension</t>
        </is>
      </c>
      <c r="E1948" s="50" t="n">
        <v>2022</v>
      </c>
      <c r="F1948" s="50" t="inlineStr">
        <is>
          <t>2022-11-14</t>
        </is>
      </c>
      <c r="G1948" s="50" t="inlineStr">
        <is>
          <t>2022-06-30</t>
        </is>
      </c>
      <c r="H1948" t="inlineStr">
        <is>
          <t>Hunter Reisner</t>
        </is>
      </c>
      <c r="I1948" t="inlineStr">
        <is>
          <t>CHIEF INVESTMENT OFFICER</t>
        </is>
      </c>
      <c r="J1948" t="inlineStr">
        <is>
          <t>CIO</t>
        </is>
      </c>
      <c r="K1948" t="inlineStr">
        <is>
          <t>CIO - Top Investment Executive</t>
        </is>
      </c>
      <c r="L1948" s="28" t="n">
        <v>629636</v>
      </c>
      <c r="M1948" s="28" t="n">
        <v>615810</v>
      </c>
      <c r="N1948" s="28" t="n">
        <v>4658</v>
      </c>
      <c r="O1948" s="28" t="n">
        <v>54300</v>
      </c>
      <c r="P1948" s="28" t="n">
        <v>33932</v>
      </c>
      <c r="Q1948" s="28" t="n">
        <v>1338336</v>
      </c>
      <c r="R1948" s="28" t="n">
        <v>0</v>
      </c>
      <c r="S1948" s="28">
        <f>Q1948-R1948</f>
        <v/>
      </c>
      <c r="T1948" s="28">
        <f>IF(S1948="","",S1948*(1+in_GrowthRate)^(YEARFRAC(DATE(2022,6,30),in_AgeToDate)*IF(in_AgeToDate&lt;DATE(2022,6,30),-1,1)+1))</f>
        <v/>
      </c>
      <c r="U1948" s="50">
        <f>IF(AND(AND(OR(in_Mode="All Funds",AND(C1948&gt;=in_BandFloor,C1948&lt;=in_BandCeiling,OR(in_Geography="National",COUNTIFS(lst_GeoPreset,in_Geography,lst_GeoState,B1948)&gt;0,AND(in_Geography="Custom",ISNUMBER(SEARCH(B1948,SUBSTITUTE(in_CustomStates," ",""))))),OR(AND(D1948="Endowment",Inputs!$B$14="Y"),AND(D1948="Foundation",Inputs!$B$15="Y"),AND(D1948="Healthcare",Inputs!$B$16="Y"),AND(D1948="Pension",Inputs!$B$17="Y"),AND(D1948="OCIO",Inputs!$B$18="Y"),AND(D1948="Other",Inputs!$B$19="Y")))),A1948&lt;&gt;in_ClientOrg,NOT(AND(in_ExclHarvard="Y",ISNUMBER(SEARCH("Harvard",A1948))))),$AD1948="Y",K1948&lt;&gt;"",S1948&gt;0),"Y","")</f>
        <v/>
      </c>
      <c r="V1948" s="30" t="n">
        <v>1</v>
      </c>
      <c r="W1948" t="inlineStr"/>
      <c r="X1948" s="28">
        <f>IF(L1948+M1948=0,"",L1948+M1948)</f>
        <v/>
      </c>
      <c r="Y1948" s="38">
        <f>IF(L1948=0,"",M1948/L1948)</f>
        <v/>
      </c>
      <c r="Z1948" t="inlineStr">
        <is>
          <t>CIO - Top Investment Executive</t>
        </is>
      </c>
      <c r="AA1948" t="inlineStr">
        <is>
          <t>Leadership</t>
        </is>
      </c>
      <c r="AB1948" s="50" t="inlineStr">
        <is>
          <t>Y</t>
        </is>
      </c>
      <c r="AC1948" s="43">
        <f>HYPERLINK("https://projects.propublica.org/nonprofits/organizations/135562401/202243189349318819/full","view filing")</f>
        <v/>
      </c>
      <c r="AD1948" s="50" t="inlineStr"/>
    </row>
    <row r="1949">
      <c r="A1949" t="inlineStr">
        <is>
          <t>Young Mens Christian Association Retirement Fund</t>
        </is>
      </c>
      <c r="B1949" s="50" t="inlineStr">
        <is>
          <t>NY</t>
        </is>
      </c>
      <c r="C1949" s="52" t="n">
        <v>9.75</v>
      </c>
      <c r="D1949" t="inlineStr">
        <is>
          <t>Pension</t>
        </is>
      </c>
      <c r="E1949" s="50" t="n">
        <v>2022</v>
      </c>
      <c r="F1949" s="50" t="inlineStr">
        <is>
          <t>2022-11-14</t>
        </is>
      </c>
      <c r="G1949" s="50" t="inlineStr">
        <is>
          <t>2022-06-30</t>
        </is>
      </c>
      <c r="H1949" t="inlineStr">
        <is>
          <t>Ivan Manolov</t>
        </is>
      </c>
      <c r="I1949" t="inlineStr">
        <is>
          <t>SENIOR PORTFOLIO MANAGER</t>
        </is>
      </c>
      <c r="J1949" t="inlineStr">
        <is>
          <t>Senior Portfolio Manager</t>
        </is>
      </c>
      <c r="K1949" t="inlineStr">
        <is>
          <t>Sr Investment Professional</t>
        </is>
      </c>
      <c r="L1949" s="28" t="n">
        <v>430623</v>
      </c>
      <c r="M1949" s="28" t="n">
        <v>202967</v>
      </c>
      <c r="N1949" s="28" t="n">
        <v>373</v>
      </c>
      <c r="O1949" s="28" t="n">
        <v>54300</v>
      </c>
      <c r="P1949" s="28" t="n">
        <v>4112</v>
      </c>
      <c r="Q1949" s="28" t="n">
        <v>692375</v>
      </c>
      <c r="R1949" s="28" t="n">
        <v>0</v>
      </c>
      <c r="S1949" s="28">
        <f>Q1949-R1949</f>
        <v/>
      </c>
      <c r="T1949" s="28">
        <f>IF(S1949="","",S1949*(1+in_GrowthRate)^(YEARFRAC(DATE(2022,6,30),in_AgeToDate)*IF(in_AgeToDate&lt;DATE(2022,6,30),-1,1)+1))</f>
        <v/>
      </c>
      <c r="U1949" s="50">
        <f>IF(AND(AND(OR(in_Mode="All Funds",AND(C1949&gt;=in_BandFloor,C1949&lt;=in_BandCeiling,OR(in_Geography="National",COUNTIFS(lst_GeoPreset,in_Geography,lst_GeoState,B1949)&gt;0,AND(in_Geography="Custom",ISNUMBER(SEARCH(B1949,SUBSTITUTE(in_CustomStates," ",""))))),OR(AND(D1949="Endowment",Inputs!$B$14="Y"),AND(D1949="Foundation",Inputs!$B$15="Y"),AND(D1949="Healthcare",Inputs!$B$16="Y"),AND(D1949="Pension",Inputs!$B$17="Y"),AND(D1949="OCIO",Inputs!$B$18="Y"),AND(D1949="Other",Inputs!$B$19="Y")))),A1949&lt;&gt;in_ClientOrg,NOT(AND(in_ExclHarvard="Y",ISNUMBER(SEARCH("Harvard",A1949))))),$AD1949="Y",K1949&lt;&gt;"",S1949&gt;0),"Y","")</f>
        <v/>
      </c>
      <c r="V1949" s="30" t="n">
        <v>0.5173401896085886</v>
      </c>
      <c r="W1949" t="inlineStr"/>
      <c r="X1949" s="28">
        <f>IF(L1949+M1949=0,"",L1949+M1949)</f>
        <v/>
      </c>
      <c r="Y1949" s="38">
        <f>IF(L1949=0,"",M1949/L1949)</f>
        <v/>
      </c>
      <c r="Z1949" t="inlineStr">
        <is>
          <t>Other investment staff</t>
        </is>
      </c>
      <c r="AA1949" t="inlineStr">
        <is>
          <t>Investments</t>
        </is>
      </c>
      <c r="AB1949" s="50" t="inlineStr"/>
      <c r="AC1949" s="43">
        <f>HYPERLINK("https://projects.propublica.org/nonprofits/organizations/135562401/202243189349318819/full","view filing")</f>
        <v/>
      </c>
      <c r="AD1949" s="50" t="inlineStr"/>
    </row>
    <row r="1950">
      <c r="A1950" t="inlineStr">
        <is>
          <t>Young Mens Christian Association Retirement Fund</t>
        </is>
      </c>
      <c r="B1950" s="50" t="inlineStr">
        <is>
          <t>NY</t>
        </is>
      </c>
      <c r="C1950" s="52" t="n">
        <v>9.75</v>
      </c>
      <c r="D1950" t="inlineStr">
        <is>
          <t>Pension</t>
        </is>
      </c>
      <c r="E1950" s="50" t="n">
        <v>2022</v>
      </c>
      <c r="F1950" s="50" t="inlineStr">
        <is>
          <t>2022-11-14</t>
        </is>
      </c>
      <c r="G1950" s="50" t="inlineStr">
        <is>
          <t>2022-06-30</t>
        </is>
      </c>
      <c r="H1950" t="inlineStr">
        <is>
          <t>John Maimone Medwick</t>
        </is>
      </c>
      <c r="I1950" t="inlineStr">
        <is>
          <t>INVESTMENT MANAGER</t>
        </is>
      </c>
      <c r="J1950" t="inlineStr">
        <is>
          <t>Investment Manager</t>
        </is>
      </c>
      <c r="K1950" t="inlineStr">
        <is>
          <t>Sr Investment Professional</t>
        </is>
      </c>
      <c r="L1950" s="28" t="n">
        <v>368245</v>
      </c>
      <c r="M1950" s="28" t="n">
        <v>0</v>
      </c>
      <c r="N1950" s="28" t="n">
        <v>133</v>
      </c>
      <c r="O1950" s="28" t="n">
        <v>34800</v>
      </c>
      <c r="P1950" s="28" t="n">
        <v>13654</v>
      </c>
      <c r="Q1950" s="28" t="n">
        <v>416832</v>
      </c>
      <c r="R1950" s="28" t="n">
        <v>0</v>
      </c>
      <c r="S1950" s="28">
        <f>Q1950-R1950</f>
        <v/>
      </c>
      <c r="T1950" s="28">
        <f>IF(S1950="","",S1950*(1+in_GrowthRate)^(YEARFRAC(DATE(2022,6,30),in_AgeToDate)*IF(in_AgeToDate&lt;DATE(2022,6,30),-1,1)+1))</f>
        <v/>
      </c>
      <c r="U1950" s="50">
        <f>IF(AND(AND(OR(in_Mode="All Funds",AND(C1950&gt;=in_BandFloor,C1950&lt;=in_BandCeiling,OR(in_Geography="National",COUNTIFS(lst_GeoPreset,in_Geography,lst_GeoState,B1950)&gt;0,AND(in_Geography="Custom",ISNUMBER(SEARCH(B1950,SUBSTITUTE(in_CustomStates," ",""))))),OR(AND(D1950="Endowment",Inputs!$B$14="Y"),AND(D1950="Foundation",Inputs!$B$15="Y"),AND(D1950="Healthcare",Inputs!$B$16="Y"),AND(D1950="Pension",Inputs!$B$17="Y"),AND(D1950="OCIO",Inputs!$B$18="Y"),AND(D1950="Other",Inputs!$B$19="Y")))),A1950&lt;&gt;in_ClientOrg,NOT(AND(in_ExclHarvard="Y",ISNUMBER(SEARCH("Harvard",A1950))))),$AD1950="Y",K1950&lt;&gt;"",S1950&gt;0),"Y","")</f>
        <v/>
      </c>
      <c r="V1950" s="30" t="n">
        <v>0.3114554192669106</v>
      </c>
      <c r="W1950" t="inlineStr"/>
      <c r="X1950" s="28">
        <f>IF(L1950+M1950=0,"",L1950+M1950)</f>
        <v/>
      </c>
      <c r="Y1950" s="38">
        <f>IF(L1950=0,"",M1950/L1950)</f>
        <v/>
      </c>
      <c r="Z1950" t="inlineStr">
        <is>
          <t>Director &amp; Investment Officer</t>
        </is>
      </c>
      <c r="AA1950" t="inlineStr">
        <is>
          <t>Investments</t>
        </is>
      </c>
      <c r="AB1950" s="50" t="inlineStr"/>
      <c r="AC1950" s="43">
        <f>HYPERLINK("https://projects.propublica.org/nonprofits/organizations/135562401/202243189349318819/full","view filing")</f>
        <v/>
      </c>
      <c r="AD1950" s="50" t="inlineStr"/>
    </row>
    <row r="1951">
      <c r="A1951" t="inlineStr">
        <is>
          <t>Young Mens Christian Association Retirement Fund</t>
        </is>
      </c>
      <c r="B1951" s="50" t="inlineStr">
        <is>
          <t>NY</t>
        </is>
      </c>
      <c r="C1951" s="52" t="n">
        <v>9.75</v>
      </c>
      <c r="D1951" t="inlineStr">
        <is>
          <t>Pension</t>
        </is>
      </c>
      <c r="E1951" s="50" t="n">
        <v>2022</v>
      </c>
      <c r="F1951" s="50" t="inlineStr">
        <is>
          <t>2022-11-14</t>
        </is>
      </c>
      <c r="G1951" s="50" t="inlineStr">
        <is>
          <t>2022-06-30</t>
        </is>
      </c>
      <c r="H1951" t="inlineStr">
        <is>
          <t>Mark Sinni</t>
        </is>
      </c>
      <c r="I1951" t="inlineStr">
        <is>
          <t>SENIOR PORTFOLIO MANAGER</t>
        </is>
      </c>
      <c r="J1951" t="inlineStr">
        <is>
          <t>Senior Portfolio Manager</t>
        </is>
      </c>
      <c r="K1951" t="inlineStr">
        <is>
          <t>Sr Investment Professional</t>
        </is>
      </c>
      <c r="L1951" s="28" t="n">
        <v>513154</v>
      </c>
      <c r="M1951" s="28" t="n">
        <v>223900</v>
      </c>
      <c r="N1951" s="28" t="n">
        <v>403</v>
      </c>
      <c r="O1951" s="28" t="n">
        <v>54300</v>
      </c>
      <c r="P1951" s="28" t="n">
        <v>13662</v>
      </c>
      <c r="Q1951" s="28" t="n">
        <v>805419</v>
      </c>
      <c r="R1951" s="28" t="n">
        <v>0</v>
      </c>
      <c r="S1951" s="28">
        <f>Q1951-R1951</f>
        <v/>
      </c>
      <c r="T1951" s="28">
        <f>IF(S1951="","",S1951*(1+in_GrowthRate)^(YEARFRAC(DATE(2022,6,30),in_AgeToDate)*IF(in_AgeToDate&lt;DATE(2022,6,30),-1,1)+1))</f>
        <v/>
      </c>
      <c r="U1951" s="50">
        <f>IF(AND(AND(OR(in_Mode="All Funds",AND(C1951&gt;=in_BandFloor,C1951&lt;=in_BandCeiling,OR(in_Geography="National",COUNTIFS(lst_GeoPreset,in_Geography,lst_GeoState,B1951)&gt;0,AND(in_Geography="Custom",ISNUMBER(SEARCH(B1951,SUBSTITUTE(in_CustomStates," ",""))))),OR(AND(D1951="Endowment",Inputs!$B$14="Y"),AND(D1951="Foundation",Inputs!$B$15="Y"),AND(D1951="Healthcare",Inputs!$B$16="Y"),AND(D1951="Pension",Inputs!$B$17="Y"),AND(D1951="OCIO",Inputs!$B$18="Y"),AND(D1951="Other",Inputs!$B$19="Y")))),A1951&lt;&gt;in_ClientOrg,NOT(AND(in_ExclHarvard="Y",ISNUMBER(SEARCH("Harvard",A1951))))),$AD1951="Y",K1951&lt;&gt;"",S1951&gt;0),"Y","")</f>
        <v/>
      </c>
      <c r="V1951" s="30" t="n">
        <v>0.6018062728642135</v>
      </c>
      <c r="W1951" t="inlineStr"/>
      <c r="X1951" s="28">
        <f>IF(L1951+M1951=0,"",L1951+M1951)</f>
        <v/>
      </c>
      <c r="Y1951" s="38">
        <f>IF(L1951=0,"",M1951/L1951)</f>
        <v/>
      </c>
      <c r="Z1951" t="inlineStr">
        <is>
          <t>Other investment staff</t>
        </is>
      </c>
      <c r="AA1951" t="inlineStr">
        <is>
          <t>Investments</t>
        </is>
      </c>
      <c r="AB1951" s="50" t="inlineStr"/>
      <c r="AC1951" s="43">
        <f>HYPERLINK("https://projects.propublica.org/nonprofits/organizations/135562401/202243189349318819/full","view filing")</f>
        <v/>
      </c>
      <c r="AD1951" s="50" t="inlineStr"/>
    </row>
    <row r="1952">
      <c r="A1952" t="inlineStr">
        <is>
          <t>Young Mens Christian Association Retirement Fund</t>
        </is>
      </c>
      <c r="B1952" s="50" t="inlineStr">
        <is>
          <t>NY</t>
        </is>
      </c>
      <c r="C1952" s="52" t="n">
        <v>9.75</v>
      </c>
      <c r="D1952" t="inlineStr">
        <is>
          <t>Pension</t>
        </is>
      </c>
      <c r="E1952" s="50" t="n">
        <v>2022</v>
      </c>
      <c r="F1952" s="50" t="inlineStr">
        <is>
          <t>2022-11-14</t>
        </is>
      </c>
      <c r="G1952" s="50" t="inlineStr">
        <is>
          <t>2022-06-30</t>
        </is>
      </c>
      <c r="H1952" t="inlineStr">
        <is>
          <t>Matthew Hershey</t>
        </is>
      </c>
      <c r="I1952" t="inlineStr">
        <is>
          <t>INVESTMENT MANAGER</t>
        </is>
      </c>
      <c r="J1952" t="inlineStr">
        <is>
          <t>Investment Manager</t>
        </is>
      </c>
      <c r="K1952" t="inlineStr">
        <is>
          <t>Sr Investment Professional</t>
        </is>
      </c>
      <c r="L1952" s="28" t="n">
        <v>322580</v>
      </c>
      <c r="M1952" s="28" t="n">
        <v>99178</v>
      </c>
      <c r="N1952" s="28" t="n">
        <v>150</v>
      </c>
      <c r="O1952" s="28" t="n">
        <v>34800</v>
      </c>
      <c r="P1952" s="28" t="n">
        <v>13543</v>
      </c>
      <c r="Q1952" s="28" t="n">
        <v>470251</v>
      </c>
      <c r="R1952" s="28" t="n">
        <v>0</v>
      </c>
      <c r="S1952" s="28">
        <f>Q1952-R1952</f>
        <v/>
      </c>
      <c r="T1952" s="28">
        <f>IF(S1952="","",S1952*(1+in_GrowthRate)^(YEARFRAC(DATE(2022,6,30),in_AgeToDate)*IF(in_AgeToDate&lt;DATE(2022,6,30),-1,1)+1))</f>
        <v/>
      </c>
      <c r="U1952" s="50">
        <f>IF(AND(AND(OR(in_Mode="All Funds",AND(C1952&gt;=in_BandFloor,C1952&lt;=in_BandCeiling,OR(in_Geography="National",COUNTIFS(lst_GeoPreset,in_Geography,lst_GeoState,B1952)&gt;0,AND(in_Geography="Custom",ISNUMBER(SEARCH(B1952,SUBSTITUTE(in_CustomStates," ",""))))),OR(AND(D1952="Endowment",Inputs!$B$14="Y"),AND(D1952="Foundation",Inputs!$B$15="Y"),AND(D1952="Healthcare",Inputs!$B$16="Y"),AND(D1952="Pension",Inputs!$B$17="Y"),AND(D1952="OCIO",Inputs!$B$18="Y"),AND(D1952="Other",Inputs!$B$19="Y")))),A1952&lt;&gt;in_ClientOrg,NOT(AND(in_ExclHarvard="Y",ISNUMBER(SEARCH("Harvard",A1952))))),$AD1952="Y",K1952&lt;&gt;"",S1952&gt;0),"Y","")</f>
        <v/>
      </c>
      <c r="V1952" s="30" t="n">
        <v>0.3513699100973149</v>
      </c>
      <c r="W1952" t="inlineStr"/>
      <c r="X1952" s="28">
        <f>IF(L1952+M1952=0,"",L1952+M1952)</f>
        <v/>
      </c>
      <c r="Y1952" s="38">
        <f>IF(L1952=0,"",M1952/L1952)</f>
        <v/>
      </c>
      <c r="Z1952" t="inlineStr">
        <is>
          <t>Director &amp; Investment Officer</t>
        </is>
      </c>
      <c r="AA1952" t="inlineStr">
        <is>
          <t>Investments</t>
        </is>
      </c>
      <c r="AB1952" s="50" t="inlineStr"/>
      <c r="AC1952" s="43">
        <f>HYPERLINK("https://projects.propublica.org/nonprofits/organizations/135562401/202243189349318819/full","view filing")</f>
        <v/>
      </c>
      <c r="AD1952" s="50" t="inlineStr"/>
    </row>
    <row r="1953">
      <c r="A1953" t="inlineStr">
        <is>
          <t>Young Mens Christian Association Retirement Fund</t>
        </is>
      </c>
      <c r="B1953" s="50" t="inlineStr">
        <is>
          <t>NY</t>
        </is>
      </c>
      <c r="C1953" s="52" t="n">
        <v>9.75</v>
      </c>
      <c r="D1953" t="inlineStr">
        <is>
          <t>Pension</t>
        </is>
      </c>
      <c r="E1953" s="50" t="n">
        <v>2022</v>
      </c>
      <c r="F1953" s="50" t="inlineStr">
        <is>
          <t>2022-11-14</t>
        </is>
      </c>
      <c r="G1953" s="50" t="inlineStr">
        <is>
          <t>2022-06-30</t>
        </is>
      </c>
      <c r="H1953" t="inlineStr">
        <is>
          <t>Won Lee</t>
        </is>
      </c>
      <c r="I1953" t="inlineStr">
        <is>
          <t>PORTFOLIO MANAGER</t>
        </is>
      </c>
      <c r="J1953" t="inlineStr">
        <is>
          <t>Portfolio Manager</t>
        </is>
      </c>
      <c r="K1953" t="inlineStr">
        <is>
          <t>Sr Investment Professional</t>
        </is>
      </c>
      <c r="L1953" s="28" t="n">
        <v>305093</v>
      </c>
      <c r="M1953" s="28" t="n">
        <v>128552</v>
      </c>
      <c r="N1953" s="28" t="n">
        <v>251</v>
      </c>
      <c r="O1953" s="28" t="n">
        <v>50212</v>
      </c>
      <c r="P1953" s="28" t="n">
        <v>38685</v>
      </c>
      <c r="Q1953" s="28" t="n">
        <v>522793</v>
      </c>
      <c r="R1953" s="28" t="n">
        <v>0</v>
      </c>
      <c r="S1953" s="28">
        <f>Q1953-R1953</f>
        <v/>
      </c>
      <c r="T1953" s="28">
        <f>IF(S1953="","",S1953*(1+in_GrowthRate)^(YEARFRAC(DATE(2022,6,30),in_AgeToDate)*IF(in_AgeToDate&lt;DATE(2022,6,30),-1,1)+1))</f>
        <v/>
      </c>
      <c r="U1953" s="50">
        <f>IF(AND(AND(OR(in_Mode="All Funds",AND(C1953&gt;=in_BandFloor,C1953&lt;=in_BandCeiling,OR(in_Geography="National",COUNTIFS(lst_GeoPreset,in_Geography,lst_GeoState,B1953)&gt;0,AND(in_Geography="Custom",ISNUMBER(SEARCH(B1953,SUBSTITUTE(in_CustomStates," ",""))))),OR(AND(D1953="Endowment",Inputs!$B$14="Y"),AND(D1953="Foundation",Inputs!$B$15="Y"),AND(D1953="Healthcare",Inputs!$B$16="Y"),AND(D1953="Pension",Inputs!$B$17="Y"),AND(D1953="OCIO",Inputs!$B$18="Y"),AND(D1953="Other",Inputs!$B$19="Y")))),A1953&lt;&gt;in_ClientOrg,NOT(AND(in_ExclHarvard="Y",ISNUMBER(SEARCH("Harvard",A1953))))),$AD1953="Y",K1953&lt;&gt;"",S1953&gt;0),"Y","")</f>
        <v/>
      </c>
      <c r="V1953" s="30" t="n">
        <v>0.3906291095808526</v>
      </c>
      <c r="W1953" t="inlineStr"/>
      <c r="X1953" s="28">
        <f>IF(L1953+M1953=0,"",L1953+M1953)</f>
        <v/>
      </c>
      <c r="Y1953" s="38">
        <f>IF(L1953=0,"",M1953/L1953)</f>
        <v/>
      </c>
      <c r="Z1953" t="inlineStr">
        <is>
          <t>Other investment staff</t>
        </is>
      </c>
      <c r="AA1953" t="inlineStr">
        <is>
          <t>Investments</t>
        </is>
      </c>
      <c r="AB1953" s="50" t="inlineStr"/>
      <c r="AC1953" s="43">
        <f>HYPERLINK("https://projects.propublica.org/nonprofits/organizations/135562401/202243189349318819/full","view filing")</f>
        <v/>
      </c>
      <c r="AD1953" s="50" t="inlineStr"/>
    </row>
  </sheetData>
  <conditionalFormatting sqref="A2:V1953">
    <cfRule type="expression" priority="1" dxfId="0">
      <formula>$U2="Y"</formula>
    </cfRule>
  </conditionalFormatting>
  <printOptions horizontalCentered="1"/>
  <pageMargins left="0.75" right="0.75" top="1" bottom="1" header="0.5" footer="0.5"/>
  <pageSetup orientation="landscape" fitToHeight="0" fitToWidth="1"/>
  <headerFooter>
    <oddHeader/>
    <oddFooter>&amp;LMichael Oak Advisors&amp;R&amp;P of &amp;N</oddFooter>
    <evenHeader/>
    <evenFooter/>
    <firstHeader/>
    <firstFooter/>
  </headerFooter>
  <tableParts count="1">
    <tablePart xmlns:r="http://schemas.openxmlformats.org/officeDocument/2006/relationships" r:id="rId1"/>
  </tableParts>
</worksheet>
</file>

<file path=xl/worksheets/sheet12.xml><?xml version="1.0" encoding="utf-8"?>
<worksheet xmlns="http://schemas.openxmlformats.org/spreadsheetml/2006/main">
  <sheetPr>
    <tabColor rgb="00ED7D31"/>
    <outlinePr summaryBelow="1" summaryRight="1"/>
    <pageSetUpPr fitToPage="1"/>
  </sheetPr>
  <dimension ref="A1:G247"/>
  <sheetViews>
    <sheetView showGridLines="0" workbookViewId="0">
      <pane xSplit="1" ySplit="12" topLeftCell="B13"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0" customWidth="1" min="3" max="3"/>
    <col width="22" customWidth="1" min="4" max="4"/>
    <col width="10" customWidth="1" min="5" max="5"/>
    <col width="12" customWidth="1" min="6" max="6"/>
    <col width="9" customWidth="1" min="7" max="7"/>
  </cols>
  <sheetData>
    <row r="1">
      <c r="A1" s="1" t="inlineStr">
        <is>
          <t>990 Peer Database</t>
        </is>
      </c>
    </row>
    <row r="2">
      <c r="A2" s="14">
        <f>IF(Inputs!$D$4="All Funds","All Funds"&amp;IF(Inputs!$B$11="Y"," (excl. Harvard)","")&amp;IF(Inputs!$B$21&lt;&gt;""," (excl. "&amp;Inputs!$B$21&amp;")","")&amp;" | Aged to "&amp;TEXT(Inputs!$B$24,"mmm d, yyyy")&amp;" at "&amp;TEXT(Inputs!$B$25,"0%"),Inputs!$B$8&amp;" | AUM $"&amp;TEXT(Inputs!$F$5,"0.0")&amp;"B to $"&amp;TEXT(Inputs!$F$6,"0.0")&amp;"B"&amp;IF(Inputs!$B$7="Absolute ($B)",""," ("&amp;TEXT(Inputs!$B$5,"0.0#")&amp;"x to "&amp;TEXT(Inputs!$B$6,"0.0#")&amp;"x your AUM)")&amp;" | Aged to "&amp;TEXT(Inputs!$B$24,"mmm d, yyyy")&amp;" at "&amp;TEXT(Inputs!$B$25,"0%")&amp;IF(Inputs!$B$11="Y"," | excl. Harvard","")&amp;IF(Inputs!$B$21&lt;&gt;""," | excl. "&amp;Inputs!$B$21,""))</f>
        <v/>
      </c>
    </row>
    <row r="3">
      <c r="A3" s="4" t="inlineStr">
        <is>
          <t>Included Peer AUM Summary</t>
        </is>
      </c>
      <c r="B3" s="5" t="n"/>
    </row>
    <row r="4">
      <c r="A4" s="53" t="inlineStr">
        <is>
          <t>Included Peers</t>
        </is>
      </c>
      <c r="B4" s="54">
        <f>COUNTIF(lst_PeerIncluded,"Y")</f>
        <v/>
      </c>
    </row>
    <row r="5">
      <c r="A5" s="53" t="inlineStr">
        <is>
          <t>AUM P10</t>
        </is>
      </c>
      <c r="B5" s="55">
        <f>IF(COUNTIF(lst_PeerIncluded,"Y")&gt;=k_MinMedian,_xlfn.PERCENTILE.INC(_xlfn._xlws.FILTER(lst_PeerAum,lst_PeerIncluded="Y"),0.1),"")</f>
        <v/>
      </c>
    </row>
    <row r="6">
      <c r="A6" s="53" t="inlineStr">
        <is>
          <t>AUM P25</t>
        </is>
      </c>
      <c r="B6" s="55">
        <f>IF(COUNTIF(lst_PeerIncluded,"Y")&gt;=k_MinMedian,_xlfn.PERCENTILE.INC(_xlfn._xlws.FILTER(lst_PeerAum,lst_PeerIncluded="Y"),0.25),"")</f>
        <v/>
      </c>
    </row>
    <row r="7">
      <c r="A7" s="53" t="inlineStr">
        <is>
          <t>AUM P50</t>
        </is>
      </c>
      <c r="B7" s="55">
        <f>IF(COUNTIF(lst_PeerIncluded,"Y")&gt;=k_MinMedian,_xlfn.PERCENTILE.INC(_xlfn._xlws.FILTER(lst_PeerAum,lst_PeerIncluded="Y"),0.5),"")</f>
        <v/>
      </c>
    </row>
    <row r="8">
      <c r="A8" s="53" t="inlineStr">
        <is>
          <t>AUM P75</t>
        </is>
      </c>
      <c r="B8" s="55">
        <f>IF(COUNTIF(lst_PeerIncluded,"Y")&gt;=k_MinMedian,_xlfn.PERCENTILE.INC(_xlfn._xlws.FILTER(lst_PeerAum,lst_PeerIncluded="Y"),0.75),"")</f>
        <v/>
      </c>
    </row>
    <row r="9">
      <c r="A9" s="53" t="inlineStr">
        <is>
          <t>AUM P90</t>
        </is>
      </c>
      <c r="B9" s="55">
        <f>IF(COUNTIF(lst_PeerIncluded,"Y")&gt;=k_MinMedian,_xlfn.PERCENTILE.INC(_xlfn._xlws.FILTER(lst_PeerAum,lst_PeerIncluded="Y"),0.9),"")</f>
        <v/>
      </c>
    </row>
    <row r="10"/>
    <row r="11">
      <c r="A11" s="4" t="inlineStr">
        <is>
          <t>Full Sample (235 Organizations)</t>
        </is>
      </c>
      <c r="B11" s="5" t="n"/>
      <c r="C11" s="5" t="n"/>
      <c r="D11" s="5" t="n"/>
      <c r="E11" s="5" t="n"/>
      <c r="F11" s="5" t="n"/>
      <c r="G11" s="5" t="n"/>
    </row>
    <row r="12">
      <c r="A12" s="27" t="inlineStr">
        <is>
          <t>Organization</t>
        </is>
      </c>
      <c r="B12" s="27" t="inlineStr">
        <is>
          <t>State</t>
        </is>
      </c>
      <c r="C12" s="27" t="inlineStr">
        <is>
          <t>AUM ($B)</t>
        </is>
      </c>
      <c r="D12" s="27" t="inlineStr">
        <is>
          <t>Institution Type</t>
        </is>
      </c>
      <c r="E12" s="27" t="inlineStr">
        <is>
          <t>Records</t>
        </is>
      </c>
      <c r="F12" s="27" t="inlineStr">
        <is>
          <t>CIO Records</t>
        </is>
      </c>
      <c r="G12" s="27" t="inlineStr">
        <is>
          <t>Include</t>
        </is>
      </c>
    </row>
    <row r="13">
      <c r="A13" t="inlineStr">
        <is>
          <t>The University Of Texas Texas A M Investment Management Company</t>
        </is>
      </c>
      <c r="B13" s="50" t="inlineStr">
        <is>
          <t>TX</t>
        </is>
      </c>
      <c r="C13" s="52" t="n">
        <v>67.84</v>
      </c>
      <c r="D13" t="inlineStr">
        <is>
          <t>Endowment</t>
        </is>
      </c>
      <c r="E13" s="50" t="n">
        <v>91</v>
      </c>
      <c r="F13" s="50">
        <f>COUNTIFS(Records[Organization],A13,Records[Tier],"CIO - Top Investment Executive")</f>
        <v/>
      </c>
      <c r="G13" s="50">
        <f>IF(COUNTIFS(Records[Organization],A13,Records[Include],"Y")&gt;0,"Y","")</f>
        <v/>
      </c>
    </row>
    <row r="14">
      <c r="A14" t="inlineStr">
        <is>
          <t>Uaw Retiree Medical Benefits Tr</t>
        </is>
      </c>
      <c r="B14" s="50" t="inlineStr">
        <is>
          <t>MI</t>
        </is>
      </c>
      <c r="C14" s="52" t="n">
        <v>61.42</v>
      </c>
      <c r="D14" t="inlineStr">
        <is>
          <t>Pension</t>
        </is>
      </c>
      <c r="E14" s="50" t="n">
        <v>11</v>
      </c>
      <c r="F14" s="50">
        <f>COUNTIFS(Records[Organization],A14,Records[Tier],"CIO - Top Investment Executive")</f>
        <v/>
      </c>
      <c r="G14" s="50">
        <f>IF(COUNTIFS(Records[Organization],A14,Records[Include],"Y")&gt;0,"Y","")</f>
        <v/>
      </c>
    </row>
    <row r="15">
      <c r="A15" t="inlineStr">
        <is>
          <t>Lilly Endowment Inc</t>
        </is>
      </c>
      <c r="B15" s="50" t="inlineStr">
        <is>
          <t>IN</t>
        </is>
      </c>
      <c r="C15" s="52" t="n">
        <v>60.57</v>
      </c>
      <c r="D15" t="inlineStr">
        <is>
          <t>Foundation</t>
        </is>
      </c>
      <c r="E15" s="50" t="n">
        <v>4</v>
      </c>
      <c r="F15" s="50">
        <f>COUNTIFS(Records[Organization],A15,Records[Tier],"CIO - Top Investment Executive")</f>
        <v/>
      </c>
      <c r="G15" s="50">
        <f>IF(COUNTIFS(Records[Organization],A15,Records[Include],"Y")&gt;0,"Y","")</f>
        <v/>
      </c>
    </row>
    <row r="16">
      <c r="A16" t="inlineStr">
        <is>
          <t>Harvard Management Company Inc</t>
        </is>
      </c>
      <c r="B16" s="50" t="inlineStr">
        <is>
          <t>MA</t>
        </is>
      </c>
      <c r="C16" s="52" t="n">
        <v>53.2</v>
      </c>
      <c r="D16" t="inlineStr">
        <is>
          <t>Endowment</t>
        </is>
      </c>
      <c r="E16" s="50" t="n">
        <v>37</v>
      </c>
      <c r="F16" s="50">
        <f>COUNTIFS(Records[Organization],A16,Records[Tier],"CIO - Top Investment Executive")</f>
        <v/>
      </c>
      <c r="G16" s="50">
        <f>IF(COUNTIFS(Records[Organization],A16,Records[Include],"Y")&gt;0,"Y","")</f>
        <v/>
      </c>
    </row>
    <row r="17">
      <c r="A17" t="inlineStr">
        <is>
          <t>Yale University</t>
        </is>
      </c>
      <c r="B17" s="50" t="inlineStr">
        <is>
          <t>CT</t>
        </is>
      </c>
      <c r="C17" s="52" t="n">
        <v>44.15</v>
      </c>
      <c r="D17" t="inlineStr">
        <is>
          <t>Endowment</t>
        </is>
      </c>
      <c r="E17" s="50" t="n">
        <v>16</v>
      </c>
      <c r="F17" s="50">
        <f>COUNTIFS(Records[Organization],A17,Records[Tier],"CIO - Top Investment Executive")</f>
        <v/>
      </c>
      <c r="G17" s="50">
        <f>IF(COUNTIFS(Records[Organization],A17,Records[Include],"Y")&gt;0,"Y","")</f>
        <v/>
      </c>
    </row>
    <row r="18">
      <c r="A18" t="inlineStr">
        <is>
          <t>The Board Of Trustees Of The Leland Stanford Junior University</t>
        </is>
      </c>
      <c r="B18" s="50" t="inlineStr">
        <is>
          <t>CA</t>
        </is>
      </c>
      <c r="C18" s="52" t="n">
        <v>40.79</v>
      </c>
      <c r="D18" t="inlineStr">
        <is>
          <t>Endowment</t>
        </is>
      </c>
      <c r="E18" s="50" t="n">
        <v>8</v>
      </c>
      <c r="F18" s="50">
        <f>COUNTIFS(Records[Organization],A18,Records[Tier],"CIO - Top Investment Executive")</f>
        <v/>
      </c>
      <c r="G18" s="50">
        <f>IF(COUNTIFS(Records[Organization],A18,Records[Include],"Y")&gt;0,"Y","")</f>
        <v/>
      </c>
    </row>
    <row r="19">
      <c r="A19" t="inlineStr">
        <is>
          <t>Princeton University</t>
        </is>
      </c>
      <c r="B19" s="50" t="inlineStr">
        <is>
          <t>NJ</t>
        </is>
      </c>
      <c r="C19" s="52" t="n">
        <v>36.42</v>
      </c>
      <c r="D19" t="inlineStr">
        <is>
          <t>Endowment</t>
        </is>
      </c>
      <c r="E19" s="50" t="n">
        <v>22</v>
      </c>
      <c r="F19" s="50">
        <f>COUNTIFS(Records[Organization],A19,Records[Tier],"CIO - Top Investment Executive")</f>
        <v/>
      </c>
      <c r="G19" s="50">
        <f>IF(COUNTIFS(Records[Organization],A19,Records[Include],"Y")&gt;0,"Y","")</f>
        <v/>
      </c>
    </row>
    <row r="20">
      <c r="A20" t="inlineStr">
        <is>
          <t>Howard Hughes Medical Institute</t>
        </is>
      </c>
      <c r="B20" s="50" t="inlineStr">
        <is>
          <t>MD</t>
        </is>
      </c>
      <c r="C20" s="52" t="n">
        <v>27.97</v>
      </c>
      <c r="D20" t="inlineStr">
        <is>
          <t>Other</t>
        </is>
      </c>
      <c r="E20" s="50" t="n">
        <v>15</v>
      </c>
      <c r="F20" s="50">
        <f>COUNTIFS(Records[Organization],A20,Records[Tier],"CIO - Top Investment Executive")</f>
        <v/>
      </c>
      <c r="G20" s="50">
        <f>IF(COUNTIFS(Records[Organization],A20,Records[Include],"Y")&gt;0,"Y","")</f>
        <v/>
      </c>
    </row>
    <row r="21">
      <c r="A21" t="inlineStr">
        <is>
          <t>Massachusetts Institute Of Technology</t>
        </is>
      </c>
      <c r="B21" s="50" t="inlineStr">
        <is>
          <t>MA</t>
        </is>
      </c>
      <c r="C21" s="52" t="n">
        <v>27.37</v>
      </c>
      <c r="D21" t="inlineStr">
        <is>
          <t>Endowment</t>
        </is>
      </c>
      <c r="E21" s="50" t="n">
        <v>22</v>
      </c>
      <c r="F21" s="50">
        <f>COUNTIFS(Records[Organization],A21,Records[Tier],"CIO - Top Investment Executive")</f>
        <v/>
      </c>
      <c r="G21" s="50">
        <f>IF(COUNTIFS(Records[Organization],A21,Records[Include],"Y")&gt;0,"Y","")</f>
        <v/>
      </c>
    </row>
    <row r="22">
      <c r="A22" t="inlineStr">
        <is>
          <t>Trustees Of The University Of Pennsylvania</t>
        </is>
      </c>
      <c r="B22" s="50" t="inlineStr">
        <is>
          <t>PA</t>
        </is>
      </c>
      <c r="C22" s="52" t="n">
        <v>24.81</v>
      </c>
      <c r="D22" t="inlineStr">
        <is>
          <t>Endowment</t>
        </is>
      </c>
      <c r="E22" s="50" t="n">
        <v>4</v>
      </c>
      <c r="F22" s="50">
        <f>COUNTIFS(Records[Organization],A22,Records[Tier],"CIO - Top Investment Executive")</f>
        <v/>
      </c>
      <c r="G22" s="50">
        <f>IF(COUNTIFS(Records[Organization],A22,Records[Include],"Y")&gt;0,"Y","")</f>
        <v/>
      </c>
    </row>
    <row r="23">
      <c r="A23" t="inlineStr">
        <is>
          <t>Duke University</t>
        </is>
      </c>
      <c r="B23" s="50" t="inlineStr">
        <is>
          <t>NC</t>
        </is>
      </c>
      <c r="C23" s="52" t="n">
        <v>21.16</v>
      </c>
      <c r="D23" t="inlineStr">
        <is>
          <t>Endowment</t>
        </is>
      </c>
      <c r="E23" s="50" t="n">
        <v>18</v>
      </c>
      <c r="F23" s="50">
        <f>COUNTIFS(Records[Organization],A23,Records[Tier],"CIO - Top Investment Executive")</f>
        <v/>
      </c>
      <c r="G23" s="50">
        <f>IF(COUNTIFS(Records[Organization],A23,Records[Include],"Y")&gt;0,"Y","")</f>
        <v/>
      </c>
    </row>
    <row r="24">
      <c r="A24" t="inlineStr">
        <is>
          <t>University Of Notre Dame Du Lac</t>
        </is>
      </c>
      <c r="B24" s="50" t="inlineStr">
        <is>
          <t>IN</t>
        </is>
      </c>
      <c r="C24" s="52" t="n">
        <v>20.09</v>
      </c>
      <c r="D24" t="inlineStr">
        <is>
          <t>Endowment</t>
        </is>
      </c>
      <c r="E24" s="50" t="n">
        <v>8</v>
      </c>
      <c r="F24" s="50">
        <f>COUNTIFS(Records[Organization],A24,Records[Tier],"CIO - Top Investment Executive")</f>
        <v/>
      </c>
      <c r="G24" s="50">
        <f>IF(COUNTIFS(Records[Organization],A24,Records[Include],"Y")&gt;0,"Y","")</f>
        <v/>
      </c>
    </row>
    <row r="25">
      <c r="A25" t="inlineStr">
        <is>
          <t>Advocate Aurora Health Inc</t>
        </is>
      </c>
      <c r="B25" s="50" t="inlineStr">
        <is>
          <t>IL</t>
        </is>
      </c>
      <c r="C25" s="52" t="n">
        <v>18.93</v>
      </c>
      <c r="D25" t="inlineStr">
        <is>
          <t>Healthcare</t>
        </is>
      </c>
      <c r="E25" s="50" t="n">
        <v>1</v>
      </c>
      <c r="F25" s="50">
        <f>COUNTIFS(Records[Organization],A25,Records[Tier],"CIO - Top Investment Executive")</f>
        <v/>
      </c>
      <c r="G25" s="50">
        <f>IF(COUNTIFS(Records[Organization],A25,Records[Include],"Y")&gt;0,"Y","")</f>
        <v/>
      </c>
    </row>
    <row r="26">
      <c r="A26" t="inlineStr">
        <is>
          <t>Trustees Of Columbia University</t>
        </is>
      </c>
      <c r="B26" s="50" t="inlineStr">
        <is>
          <t>NY</t>
        </is>
      </c>
      <c r="C26" s="52" t="n">
        <v>15.92</v>
      </c>
      <c r="D26" t="inlineStr">
        <is>
          <t>Endowment</t>
        </is>
      </c>
      <c r="E26" s="50" t="n">
        <v>4</v>
      </c>
      <c r="F26" s="50">
        <f>COUNTIFS(Records[Organization],A26,Records[Tier],"CIO - Top Investment Executive")</f>
        <v/>
      </c>
      <c r="G26" s="50">
        <f>IF(COUNTIFS(Records[Organization],A26,Records[Include],"Y")&gt;0,"Y","")</f>
        <v/>
      </c>
    </row>
    <row r="27">
      <c r="A27" t="inlineStr">
        <is>
          <t>University Of Virginia Investment Management Company</t>
        </is>
      </c>
      <c r="B27" s="50" t="inlineStr">
        <is>
          <t>VA</t>
        </is>
      </c>
      <c r="C27" s="52" t="n">
        <v>15.5</v>
      </c>
      <c r="D27" t="inlineStr">
        <is>
          <t>Endowment</t>
        </is>
      </c>
      <c r="E27" s="50" t="n">
        <v>40</v>
      </c>
      <c r="F27" s="50">
        <f>COUNTIFS(Records[Organization],A27,Records[Tier],"CIO - Top Investment Executive")</f>
        <v/>
      </c>
      <c r="G27" s="50">
        <f>IF(COUNTIFS(Records[Organization],A27,Records[Include],"Y")&gt;0,"Y","")</f>
        <v/>
      </c>
    </row>
    <row r="28">
      <c r="A28" t="inlineStr">
        <is>
          <t>Northwestern University</t>
        </is>
      </c>
      <c r="B28" s="50" t="inlineStr">
        <is>
          <t>IL</t>
        </is>
      </c>
      <c r="C28" s="52" t="n">
        <v>15.17</v>
      </c>
      <c r="D28" t="inlineStr">
        <is>
          <t>Endowment</t>
        </is>
      </c>
      <c r="E28" s="50" t="n">
        <v>11</v>
      </c>
      <c r="F28" s="50">
        <f>COUNTIFS(Records[Organization],A28,Records[Tier],"CIO - Top Investment Executive")</f>
        <v/>
      </c>
      <c r="G28" s="50">
        <f>IF(COUNTIFS(Records[Organization],A28,Records[Include],"Y")&gt;0,"Y","")</f>
        <v/>
      </c>
    </row>
    <row r="29">
      <c r="A29" t="inlineStr">
        <is>
          <t>Ford Foundation</t>
        </is>
      </c>
      <c r="B29" s="50" t="inlineStr">
        <is>
          <t>NY</t>
        </is>
      </c>
      <c r="C29" s="52" t="n">
        <v>14.37</v>
      </c>
      <c r="D29" t="inlineStr">
        <is>
          <t>Foundation</t>
        </is>
      </c>
      <c r="E29" s="50" t="n">
        <v>3</v>
      </c>
      <c r="F29" s="50">
        <f>COUNTIFS(Records[Organization],A29,Records[Tier],"CIO - Top Investment Executive")</f>
        <v/>
      </c>
      <c r="G29" s="50">
        <f>IF(COUNTIFS(Records[Organization],A29,Records[Include],"Y")&gt;0,"Y","")</f>
        <v/>
      </c>
    </row>
    <row r="30">
      <c r="A30" t="inlineStr">
        <is>
          <t>Cleveland Clinic Foundation</t>
        </is>
      </c>
      <c r="B30" s="50" t="inlineStr">
        <is>
          <t>OH</t>
        </is>
      </c>
      <c r="C30" s="52" t="n">
        <v>14.26</v>
      </c>
      <c r="D30" t="inlineStr">
        <is>
          <t>Healthcare</t>
        </is>
      </c>
      <c r="E30" s="50" t="n">
        <v>4</v>
      </c>
      <c r="F30" s="50">
        <f>COUNTIFS(Records[Organization],A30,Records[Tier],"CIO - Top Investment Executive")</f>
        <v/>
      </c>
      <c r="G30" s="50">
        <f>IF(COUNTIFS(Records[Organization],A30,Records[Include],"Y")&gt;0,"Y","")</f>
        <v/>
      </c>
    </row>
    <row r="31">
      <c r="A31" t="inlineStr">
        <is>
          <t>Johns Hopkins University</t>
        </is>
      </c>
      <c r="B31" s="50" t="inlineStr">
        <is>
          <t>MD</t>
        </is>
      </c>
      <c r="C31" s="52" t="n">
        <v>13.73</v>
      </c>
      <c r="D31" t="inlineStr">
        <is>
          <t>Endowment</t>
        </is>
      </c>
      <c r="E31" s="50" t="n">
        <v>3</v>
      </c>
      <c r="F31" s="50">
        <f>COUNTIFS(Records[Organization],A31,Records[Tier],"CIO - Top Investment Executive")</f>
        <v/>
      </c>
      <c r="G31" s="50">
        <f>IF(COUNTIFS(Records[Organization],A31,Records[Include],"Y")&gt;0,"Y","")</f>
        <v/>
      </c>
    </row>
    <row r="32">
      <c r="A32" t="inlineStr">
        <is>
          <t>Washington University</t>
        </is>
      </c>
      <c r="B32" s="50" t="inlineStr">
        <is>
          <t>MO</t>
        </is>
      </c>
      <c r="C32" s="52" t="n">
        <v>13.3</v>
      </c>
      <c r="D32" t="inlineStr">
        <is>
          <t>Endowment</t>
        </is>
      </c>
      <c r="E32" s="50" t="n">
        <v>19</v>
      </c>
      <c r="F32" s="50">
        <f>COUNTIFS(Records[Organization],A32,Records[Tier],"CIO - Top Investment Executive")</f>
        <v/>
      </c>
      <c r="G32" s="50">
        <f>IF(COUNTIFS(Records[Organization],A32,Records[Include],"Y")&gt;0,"Y","")</f>
        <v/>
      </c>
    </row>
    <row r="33">
      <c r="A33" t="inlineStr">
        <is>
          <t>William &amp; Flora Hewlett Foundation</t>
        </is>
      </c>
      <c r="B33" s="50" t="inlineStr">
        <is>
          <t>CA</t>
        </is>
      </c>
      <c r="C33" s="52" t="n">
        <v>13.18</v>
      </c>
      <c r="D33" t="inlineStr">
        <is>
          <t>Foundation</t>
        </is>
      </c>
      <c r="E33" s="50" t="n">
        <v>10</v>
      </c>
      <c r="F33" s="50">
        <f>COUNTIFS(Records[Organization],A33,Records[Tier],"CIO - Top Investment Executive")</f>
        <v/>
      </c>
      <c r="G33" s="50">
        <f>IF(COUNTIFS(Records[Organization],A33,Records[Include],"Y")&gt;0,"Y","")</f>
        <v/>
      </c>
    </row>
    <row r="34">
      <c r="A34" t="inlineStr">
        <is>
          <t>Robert Wood Johnson Foundation</t>
        </is>
      </c>
      <c r="B34" s="50" t="inlineStr">
        <is>
          <t>NJ</t>
        </is>
      </c>
      <c r="C34" s="52" t="n">
        <v>12.61</v>
      </c>
      <c r="D34" t="inlineStr">
        <is>
          <t>Foundation</t>
        </is>
      </c>
      <c r="E34" s="50" t="n">
        <v>12</v>
      </c>
      <c r="F34" s="50">
        <f>COUNTIFS(Records[Organization],A34,Records[Tier],"CIO - Top Investment Executive")</f>
        <v/>
      </c>
      <c r="G34" s="50">
        <f>IF(COUNTIFS(Records[Organization],A34,Records[Include],"Y")&gt;0,"Y","")</f>
        <v/>
      </c>
    </row>
    <row r="35">
      <c r="A35" t="inlineStr">
        <is>
          <t>Emory University</t>
        </is>
      </c>
      <c r="B35" s="50" t="inlineStr">
        <is>
          <t>GA</t>
        </is>
      </c>
      <c r="C35" s="52" t="n">
        <v>12</v>
      </c>
      <c r="D35" t="inlineStr">
        <is>
          <t>Endowment</t>
        </is>
      </c>
      <c r="E35" s="50" t="n">
        <v>5</v>
      </c>
      <c r="F35" s="50">
        <f>COUNTIFS(Records[Organization],A35,Records[Tier],"CIO - Top Investment Executive")</f>
        <v/>
      </c>
      <c r="G35" s="50">
        <f>IF(COUNTIFS(Records[Organization],A35,Records[Include],"Y")&gt;0,"Y","")</f>
        <v/>
      </c>
    </row>
    <row r="36">
      <c r="A36" t="inlineStr">
        <is>
          <t>Cornell University</t>
        </is>
      </c>
      <c r="B36" s="50" t="inlineStr">
        <is>
          <t>NY</t>
        </is>
      </c>
      <c r="C36" s="52" t="n">
        <v>11.75</v>
      </c>
      <c r="D36" t="inlineStr">
        <is>
          <t>Endowment</t>
        </is>
      </c>
      <c r="E36" s="50" t="n">
        <v>4</v>
      </c>
      <c r="F36" s="50">
        <f>COUNTIFS(Records[Organization],A36,Records[Tier],"CIO - Top Investment Executive")</f>
        <v/>
      </c>
      <c r="G36" s="50">
        <f>IF(COUNTIFS(Records[Organization],A36,Records[Include],"Y")&gt;0,"Y","")</f>
        <v/>
      </c>
    </row>
    <row r="37">
      <c r="A37" t="inlineStr">
        <is>
          <t>Trustees Of The Estate Of Bernice Pauahi Bishop</t>
        </is>
      </c>
      <c r="B37" s="50" t="inlineStr">
        <is>
          <t>HI</t>
        </is>
      </c>
      <c r="C37" s="52" t="n">
        <v>11.66</v>
      </c>
      <c r="D37" t="inlineStr">
        <is>
          <t>Endowment</t>
        </is>
      </c>
      <c r="E37" s="50" t="n">
        <v>20</v>
      </c>
      <c r="F37" s="50">
        <f>COUNTIFS(Records[Organization],A37,Records[Tier],"CIO - Top Investment Executive")</f>
        <v/>
      </c>
      <c r="G37" s="50">
        <f>IF(COUNTIFS(Records[Organization],A37,Records[Include],"Y")&gt;0,"Y","")</f>
        <v/>
      </c>
    </row>
    <row r="38">
      <c r="A38" t="inlineStr">
        <is>
          <t>Gordon E And Betty I Moore Foundation</t>
        </is>
      </c>
      <c r="B38" s="50" t="inlineStr">
        <is>
          <t>CA</t>
        </is>
      </c>
      <c r="C38" s="52" t="n">
        <v>11.35</v>
      </c>
      <c r="D38" t="inlineStr">
        <is>
          <t>Foundation</t>
        </is>
      </c>
      <c r="E38" s="50" t="n">
        <v>17</v>
      </c>
      <c r="F38" s="50">
        <f>COUNTIFS(Records[Organization],A38,Records[Tier],"CIO - Top Investment Executive")</f>
        <v/>
      </c>
      <c r="G38" s="50">
        <f>IF(COUNTIFS(Records[Organization],A38,Records[Include],"Y")&gt;0,"Y","")</f>
        <v/>
      </c>
    </row>
    <row r="39">
      <c r="A39" t="inlineStr">
        <is>
          <t>Vanderbilt University</t>
        </is>
      </c>
      <c r="B39" s="50" t="inlineStr">
        <is>
          <t>TN</t>
        </is>
      </c>
      <c r="C39" s="52" t="n">
        <v>10.86</v>
      </c>
      <c r="D39" t="inlineStr">
        <is>
          <t>Endowment</t>
        </is>
      </c>
      <c r="E39" s="50" t="n">
        <v>5</v>
      </c>
      <c r="F39" s="50">
        <f>COUNTIFS(Records[Organization],A39,Records[Tier],"CIO - Top Investment Executive")</f>
        <v/>
      </c>
      <c r="G39" s="50">
        <f>IF(COUNTIFS(Records[Organization],A39,Records[Include],"Y")&gt;0,"Y","")</f>
        <v/>
      </c>
    </row>
    <row r="40">
      <c r="A40" t="inlineStr">
        <is>
          <t>University Of Chicago</t>
        </is>
      </c>
      <c r="B40" s="50" t="inlineStr">
        <is>
          <t>IL</t>
        </is>
      </c>
      <c r="C40" s="52" t="n">
        <v>10.62</v>
      </c>
      <c r="D40" t="inlineStr">
        <is>
          <t>Endowment</t>
        </is>
      </c>
      <c r="E40" s="50" t="n">
        <v>9</v>
      </c>
      <c r="F40" s="50">
        <f>COUNTIFS(Records[Organization],A40,Records[Tier],"CIO - Top Investment Executive")</f>
        <v/>
      </c>
      <c r="G40" s="50">
        <f>IF(COUNTIFS(Records[Organization],A40,Records[Include],"Y")&gt;0,"Y","")</f>
        <v/>
      </c>
    </row>
    <row r="41">
      <c r="A41" t="inlineStr">
        <is>
          <t>American Lebanese Syrian Assoc Char Inc</t>
        </is>
      </c>
      <c r="B41" s="50" t="inlineStr">
        <is>
          <t>TN</t>
        </is>
      </c>
      <c r="C41" s="52" t="n">
        <v>10.46</v>
      </c>
      <c r="D41" t="inlineStr">
        <is>
          <t>Other</t>
        </is>
      </c>
      <c r="E41" s="50" t="n">
        <v>4</v>
      </c>
      <c r="F41" s="50">
        <f>COUNTIFS(Records[Organization],A41,Records[Tier],"CIO - Top Investment Executive")</f>
        <v/>
      </c>
      <c r="G41" s="50">
        <f>IF(COUNTIFS(Records[Organization],A41,Records[Include],"Y")&gt;0,"Y","")</f>
        <v/>
      </c>
    </row>
    <row r="42">
      <c r="A42" t="inlineStr">
        <is>
          <t>J Paul Getty Trust</t>
        </is>
      </c>
      <c r="B42" s="50" t="inlineStr">
        <is>
          <t>CA</t>
        </is>
      </c>
      <c r="C42" s="52" t="n">
        <v>9.880000000000001</v>
      </c>
      <c r="D42" t="inlineStr">
        <is>
          <t>Foundation</t>
        </is>
      </c>
      <c r="E42" s="50" t="n">
        <v>15</v>
      </c>
      <c r="F42" s="50">
        <f>COUNTIFS(Records[Organization],A42,Records[Tier],"CIO - Top Investment Executive")</f>
        <v/>
      </c>
      <c r="G42" s="50">
        <f>IF(COUNTIFS(Records[Organization],A42,Records[Include],"Y")&gt;0,"Y","")</f>
        <v/>
      </c>
    </row>
    <row r="43">
      <c r="A43" t="inlineStr">
        <is>
          <t>Young Mens Christian Association Retirement Fund</t>
        </is>
      </c>
      <c r="B43" s="50" t="inlineStr">
        <is>
          <t>NY</t>
        </is>
      </c>
      <c r="C43" s="52" t="n">
        <v>9.75</v>
      </c>
      <c r="D43" t="inlineStr">
        <is>
          <t>Pension</t>
        </is>
      </c>
      <c r="E43" s="50" t="n">
        <v>26</v>
      </c>
      <c r="F43" s="50">
        <f>COUNTIFS(Records[Organization],A43,Records[Tier],"CIO - Top Investment Executive")</f>
        <v/>
      </c>
      <c r="G43" s="50">
        <f>IF(COUNTIFS(Records[Organization],A43,Records[Include],"Y")&gt;0,"Y","")</f>
        <v/>
      </c>
    </row>
    <row r="44">
      <c r="A44" t="inlineStr">
        <is>
          <t>University Of Southern California</t>
        </is>
      </c>
      <c r="B44" s="50" t="inlineStr">
        <is>
          <t>CA</t>
        </is>
      </c>
      <c r="C44" s="52" t="n">
        <v>9.029999999999999</v>
      </c>
      <c r="D44" t="inlineStr">
        <is>
          <t>Endowment</t>
        </is>
      </c>
      <c r="E44" s="50" t="n">
        <v>4</v>
      </c>
      <c r="F44" s="50">
        <f>COUNTIFS(Records[Organization],A44,Records[Tier],"CIO - Top Investment Executive")</f>
        <v/>
      </c>
      <c r="G44" s="50">
        <f>IF(COUNTIFS(Records[Organization],A44,Records[Include],"Y")&gt;0,"Y","")</f>
        <v/>
      </c>
    </row>
    <row r="45">
      <c r="A45" t="inlineStr">
        <is>
          <t>Trustees Of Dartmouth College</t>
        </is>
      </c>
      <c r="B45" s="50" t="inlineStr">
        <is>
          <t>NH</t>
        </is>
      </c>
      <c r="C45" s="52" t="n">
        <v>8.960000000000001</v>
      </c>
      <c r="D45" t="inlineStr">
        <is>
          <t>Endowment</t>
        </is>
      </c>
      <c r="E45" s="50" t="n">
        <v>17</v>
      </c>
      <c r="F45" s="50">
        <f>COUNTIFS(Records[Organization],A45,Records[Tier],"CIO - Top Investment Executive")</f>
        <v/>
      </c>
      <c r="G45" s="50">
        <f>IF(COUNTIFS(Records[Organization],A45,Records[Include],"Y")&gt;0,"Y","")</f>
        <v/>
      </c>
    </row>
    <row r="46">
      <c r="A46" t="inlineStr">
        <is>
          <t>William Marsh Rice University</t>
        </is>
      </c>
      <c r="B46" s="50" t="inlineStr">
        <is>
          <t>TX</t>
        </is>
      </c>
      <c r="C46" s="52" t="n">
        <v>8.5</v>
      </c>
      <c r="D46" t="inlineStr">
        <is>
          <t>Endowment</t>
        </is>
      </c>
      <c r="E46" s="50" t="n">
        <v>13</v>
      </c>
      <c r="F46" s="50">
        <f>COUNTIFS(Records[Organization],A46,Records[Tier],"CIO - Top Investment Executive")</f>
        <v/>
      </c>
      <c r="G46" s="50">
        <f>IF(COUNTIFS(Records[Organization],A46,Records[Include],"Y")&gt;0,"Y","")</f>
        <v/>
      </c>
    </row>
    <row r="47">
      <c r="A47" t="inlineStr">
        <is>
          <t>David And Lucile Packard Foundation</t>
        </is>
      </c>
      <c r="B47" s="50" t="inlineStr">
        <is>
          <t>CA</t>
        </is>
      </c>
      <c r="C47" s="52" t="n">
        <v>8.07</v>
      </c>
      <c r="D47" t="inlineStr">
        <is>
          <t>Foundation</t>
        </is>
      </c>
      <c r="E47" s="50" t="n">
        <v>14</v>
      </c>
      <c r="F47" s="50">
        <f>COUNTIFS(Records[Organization],A47,Records[Tier],"CIO - Top Investment Executive")</f>
        <v/>
      </c>
      <c r="G47" s="50">
        <f>IF(COUNTIFS(Records[Organization],A47,Records[Include],"Y")&gt;0,"Y","")</f>
        <v/>
      </c>
    </row>
    <row r="48">
      <c r="A48" t="inlineStr">
        <is>
          <t>Texas Health Resources</t>
        </is>
      </c>
      <c r="B48" s="50" t="inlineStr">
        <is>
          <t>TX</t>
        </is>
      </c>
      <c r="C48" s="52" t="n">
        <v>7.87</v>
      </c>
      <c r="D48" t="inlineStr">
        <is>
          <t>Healthcare</t>
        </is>
      </c>
      <c r="E48" s="50" t="n">
        <v>6</v>
      </c>
      <c r="F48" s="50">
        <f>COUNTIFS(Records[Organization],A48,Records[Tier],"CIO - Top Investment Executive")</f>
        <v/>
      </c>
      <c r="G48" s="50">
        <f>IF(COUNTIFS(Records[Organization],A48,Records[Include],"Y")&gt;0,"Y","")</f>
        <v/>
      </c>
    </row>
    <row r="49">
      <c r="A49" t="inlineStr">
        <is>
          <t>Andrew W Mellon Foundation</t>
        </is>
      </c>
      <c r="B49" s="50" t="inlineStr">
        <is>
          <t>NY</t>
        </is>
      </c>
      <c r="C49" s="52" t="n">
        <v>7.85</v>
      </c>
      <c r="D49" t="inlineStr">
        <is>
          <t>Foundation</t>
        </is>
      </c>
      <c r="E49" s="50" t="n">
        <v>14</v>
      </c>
      <c r="F49" s="50">
        <f>COUNTIFS(Records[Organization],A49,Records[Tier],"CIO - Top Investment Executive")</f>
        <v/>
      </c>
      <c r="G49" s="50">
        <f>IF(COUNTIFS(Records[Organization],A49,Records[Include],"Y")&gt;0,"Y","")</f>
        <v/>
      </c>
    </row>
    <row r="50">
      <c r="A50" t="inlineStr">
        <is>
          <t>Brown University Of Providence</t>
        </is>
      </c>
      <c r="B50" s="50" t="inlineStr">
        <is>
          <t>RI</t>
        </is>
      </c>
      <c r="C50" s="52" t="n">
        <v>7.28</v>
      </c>
      <c r="D50" t="inlineStr">
        <is>
          <t>Endowment</t>
        </is>
      </c>
      <c r="E50" s="50" t="n">
        <v>19</v>
      </c>
      <c r="F50" s="50">
        <f>COUNTIFS(Records[Organization],A50,Records[Tier],"CIO - Top Investment Executive")</f>
        <v/>
      </c>
      <c r="G50" s="50">
        <f>IF(COUNTIFS(Records[Organization],A50,Records[Include],"Y")&gt;0,"Y","")</f>
        <v/>
      </c>
    </row>
    <row r="51">
      <c r="A51" t="inlineStr">
        <is>
          <t>New York University</t>
        </is>
      </c>
      <c r="B51" s="50" t="inlineStr">
        <is>
          <t>NY</t>
        </is>
      </c>
      <c r="C51" s="52" t="n">
        <v>7.28</v>
      </c>
      <c r="D51" t="inlineStr">
        <is>
          <t>Endowment</t>
        </is>
      </c>
      <c r="E51" s="50" t="n">
        <v>4</v>
      </c>
      <c r="F51" s="50">
        <f>COUNTIFS(Records[Organization],A51,Records[Tier],"CIO - Top Investment Executive")</f>
        <v/>
      </c>
      <c r="G51" s="50">
        <f>IF(COUNTIFS(Records[Organization],A51,Records[Include],"Y")&gt;0,"Y","")</f>
        <v/>
      </c>
    </row>
    <row r="52">
      <c r="A52" t="inlineStr">
        <is>
          <t>John D &amp; Catherine T Macarthur Foundation</t>
        </is>
      </c>
      <c r="B52" s="50" t="inlineStr">
        <is>
          <t>IL</t>
        </is>
      </c>
      <c r="C52" s="52" t="n">
        <v>7.19</v>
      </c>
      <c r="D52" t="inlineStr">
        <is>
          <t>Foundation</t>
        </is>
      </c>
      <c r="E52" s="50" t="n">
        <v>18</v>
      </c>
      <c r="F52" s="50">
        <f>COUNTIFS(Records[Organization],A52,Records[Tier],"CIO - Top Investment Executive")</f>
        <v/>
      </c>
      <c r="G52" s="50">
        <f>IF(COUNTIFS(Records[Organization],A52,Records[Include],"Y")&gt;0,"Y","")</f>
        <v/>
      </c>
    </row>
    <row r="53">
      <c r="A53" t="inlineStr">
        <is>
          <t>Leona M &amp; Harry B Helmsley Charitable Trust</t>
        </is>
      </c>
      <c r="B53" s="50" t="inlineStr">
        <is>
          <t>NY</t>
        </is>
      </c>
      <c r="C53" s="52" t="n">
        <v>6.99</v>
      </c>
      <c r="D53" t="inlineStr">
        <is>
          <t>Foundation</t>
        </is>
      </c>
      <c r="E53" s="50" t="n">
        <v>14</v>
      </c>
      <c r="F53" s="50">
        <f>COUNTIFS(Records[Organization],A53,Records[Tier],"CIO - Top Investment Executive")</f>
        <v/>
      </c>
      <c r="G53" s="50">
        <f>IF(COUNTIFS(Records[Organization],A53,Records[Include],"Y")&gt;0,"Y","")</f>
        <v/>
      </c>
    </row>
    <row r="54">
      <c r="A54" t="inlineStr">
        <is>
          <t>Conrad N Hilton Foundation</t>
        </is>
      </c>
      <c r="B54" s="50" t="inlineStr">
        <is>
          <t>CA</t>
        </is>
      </c>
      <c r="C54" s="52" t="n">
        <v>6.78</v>
      </c>
      <c r="D54" t="inlineStr">
        <is>
          <t>Foundation</t>
        </is>
      </c>
      <c r="E54" s="50" t="n">
        <v>13</v>
      </c>
      <c r="F54" s="50">
        <f>COUNTIFS(Records[Organization],A54,Records[Tier],"CIO - Top Investment Executive")</f>
        <v/>
      </c>
      <c r="G54" s="50">
        <f>IF(COUNTIFS(Records[Organization],A54,Records[Include],"Y")&gt;0,"Y","")</f>
        <v/>
      </c>
    </row>
    <row r="55">
      <c r="A55" t="inlineStr">
        <is>
          <t>Memorial Sloan Kettering Cancer Center</t>
        </is>
      </c>
      <c r="B55" s="50" t="inlineStr">
        <is>
          <t>NY</t>
        </is>
      </c>
      <c r="C55" s="52" t="n">
        <v>6.52</v>
      </c>
      <c r="D55" t="inlineStr">
        <is>
          <t>Healthcare</t>
        </is>
      </c>
      <c r="E55" s="50" t="n">
        <v>6</v>
      </c>
      <c r="F55" s="50">
        <f>COUNTIFS(Records[Organization],A55,Records[Tier],"CIO - Top Investment Executive")</f>
        <v/>
      </c>
      <c r="G55" s="50">
        <f>IF(COUNTIFS(Records[Organization],A55,Records[Include],"Y")&gt;0,"Y","")</f>
        <v/>
      </c>
    </row>
    <row r="56">
      <c r="A56" t="inlineStr">
        <is>
          <t>The Chicago Community Trust</t>
        </is>
      </c>
      <c r="B56" s="50" t="inlineStr">
        <is>
          <t>IL</t>
        </is>
      </c>
      <c r="C56" s="52" t="n">
        <v>6.48</v>
      </c>
      <c r="D56" t="inlineStr">
        <is>
          <t>Foundation</t>
        </is>
      </c>
      <c r="E56" s="50" t="n">
        <v>1</v>
      </c>
      <c r="F56" s="50">
        <f>COUNTIFS(Records[Organization],A56,Records[Tier],"CIO - Top Investment Executive")</f>
        <v/>
      </c>
      <c r="G56" s="50">
        <f>IF(COUNTIFS(Records[Organization],A56,Records[Include],"Y")&gt;0,"Y","")</f>
        <v/>
      </c>
    </row>
    <row r="57">
      <c r="A57" t="inlineStr">
        <is>
          <t>Unc Management Company Inc</t>
        </is>
      </c>
      <c r="B57" s="50" t="inlineStr">
        <is>
          <t>NC</t>
        </is>
      </c>
      <c r="C57" s="52" t="n">
        <v>6.22</v>
      </c>
      <c r="D57" t="inlineStr">
        <is>
          <t>Endowment</t>
        </is>
      </c>
      <c r="E57" s="50" t="n">
        <v>41</v>
      </c>
      <c r="F57" s="50">
        <f>COUNTIFS(Records[Organization],A57,Records[Tier],"CIO - Top Investment Executive")</f>
        <v/>
      </c>
      <c r="G57" s="50">
        <f>IF(COUNTIFS(Records[Organization],A57,Records[Include],"Y")&gt;0,"Y","")</f>
        <v/>
      </c>
    </row>
    <row r="58">
      <c r="A58" t="inlineStr">
        <is>
          <t>University Of Pittsburgh</t>
        </is>
      </c>
      <c r="B58" s="50" t="inlineStr">
        <is>
          <t>PA</t>
        </is>
      </c>
      <c r="C58" s="52" t="n">
        <v>6.15</v>
      </c>
      <c r="D58" t="inlineStr">
        <is>
          <t>Endowment</t>
        </is>
      </c>
      <c r="E58" s="50" t="n">
        <v>3</v>
      </c>
      <c r="F58" s="50">
        <f>COUNTIFS(Records[Organization],A58,Records[Tier],"CIO - Top Investment Executive")</f>
        <v/>
      </c>
      <c r="G58" s="50">
        <f>IF(COUNTIFS(Records[Organization],A58,Records[Include],"Y")&gt;0,"Y","")</f>
        <v/>
      </c>
    </row>
    <row r="59">
      <c r="A59" t="inlineStr">
        <is>
          <t>National Christian Charitable Foundation</t>
        </is>
      </c>
      <c r="B59" s="50" t="inlineStr">
        <is>
          <t>GA</t>
        </is>
      </c>
      <c r="C59" s="52" t="n">
        <v>5.9</v>
      </c>
      <c r="D59" t="inlineStr">
        <is>
          <t>Foundation</t>
        </is>
      </c>
      <c r="E59" s="50" t="n">
        <v>3</v>
      </c>
      <c r="F59" s="50">
        <f>COUNTIFS(Records[Organization],A59,Records[Tier],"CIO - Top Investment Executive")</f>
        <v/>
      </c>
      <c r="G59" s="50">
        <f>IF(COUNTIFS(Records[Organization],A59,Records[Include],"Y")&gt;0,"Y","")</f>
        <v/>
      </c>
    </row>
    <row r="60">
      <c r="A60" t="inlineStr">
        <is>
          <t>University Of Richmond</t>
        </is>
      </c>
      <c r="B60" s="50" t="inlineStr">
        <is>
          <t>VA</t>
        </is>
      </c>
      <c r="C60" s="52" t="n">
        <v>5.9</v>
      </c>
      <c r="D60" t="inlineStr">
        <is>
          <t>Endowment</t>
        </is>
      </c>
      <c r="E60" s="50" t="n">
        <v>19</v>
      </c>
      <c r="F60" s="50">
        <f>COUNTIFS(Records[Organization],A60,Records[Tier],"CIO - Top Investment Executive")</f>
        <v/>
      </c>
      <c r="G60" s="50">
        <f>IF(COUNTIFS(Records[Organization],A60,Records[Include],"Y")&gt;0,"Y","")</f>
        <v/>
      </c>
    </row>
    <row r="61">
      <c r="A61" t="inlineStr">
        <is>
          <t>The Metropolitan Museum Of Art</t>
        </is>
      </c>
      <c r="B61" s="50" t="inlineStr">
        <is>
          <t>NY</t>
        </is>
      </c>
      <c r="C61" s="52" t="n">
        <v>5.63</v>
      </c>
      <c r="D61" t="inlineStr">
        <is>
          <t>Other</t>
        </is>
      </c>
      <c r="E61" s="50" t="n">
        <v>8</v>
      </c>
      <c r="F61" s="50">
        <f>COUNTIFS(Records[Organization],A61,Records[Tier],"CIO - Top Investment Executive")</f>
        <v/>
      </c>
      <c r="G61" s="50">
        <f>IF(COUNTIFS(Records[Organization],A61,Records[Include],"Y")&gt;0,"Y","")</f>
        <v/>
      </c>
    </row>
    <row r="62">
      <c r="A62" t="inlineStr">
        <is>
          <t>Rockefeller Foundation</t>
        </is>
      </c>
      <c r="B62" s="50" t="inlineStr">
        <is>
          <t>NY</t>
        </is>
      </c>
      <c r="C62" s="52" t="n">
        <v>5.4</v>
      </c>
      <c r="D62" t="inlineStr">
        <is>
          <t>Foundation</t>
        </is>
      </c>
      <c r="E62" s="50" t="n">
        <v>8</v>
      </c>
      <c r="F62" s="50">
        <f>COUNTIFS(Records[Organization],A62,Records[Tier],"CIO - Top Investment Executive")</f>
        <v/>
      </c>
      <c r="G62" s="50">
        <f>IF(COUNTIFS(Records[Organization],A62,Records[Include],"Y")&gt;0,"Y","")</f>
        <v/>
      </c>
    </row>
    <row r="63">
      <c r="A63" t="inlineStr">
        <is>
          <t>University Of Minnesota Foundation Investment Advisors</t>
        </is>
      </c>
      <c r="B63" s="50" t="inlineStr">
        <is>
          <t>MN</t>
        </is>
      </c>
      <c r="C63" s="52" t="n">
        <v>5.2</v>
      </c>
      <c r="D63" t="inlineStr">
        <is>
          <t>Endowment</t>
        </is>
      </c>
      <c r="E63" s="50" t="n">
        <v>25</v>
      </c>
      <c r="F63" s="50">
        <f>COUNTIFS(Records[Organization],A63,Records[Tier],"CIO - Top Investment Executive")</f>
        <v/>
      </c>
      <c r="G63" s="50">
        <f>IF(COUNTIFS(Records[Organization],A63,Records[Include],"Y")&gt;0,"Y","")</f>
        <v/>
      </c>
    </row>
    <row r="64">
      <c r="A64" t="inlineStr">
        <is>
          <t>Duke Endowment</t>
        </is>
      </c>
      <c r="B64" s="50" t="inlineStr">
        <is>
          <t>NC</t>
        </is>
      </c>
      <c r="C64" s="52" t="n">
        <v>4.97</v>
      </c>
      <c r="D64" t="inlineStr">
        <is>
          <t>Foundation</t>
        </is>
      </c>
      <c r="E64" s="50" t="n">
        <v>3</v>
      </c>
      <c r="F64" s="50">
        <f>COUNTIFS(Records[Organization],A64,Records[Tier],"CIO - Top Investment Executive")</f>
        <v/>
      </c>
      <c r="G64" s="50">
        <f>IF(COUNTIFS(Records[Organization],A64,Records[Include],"Y")&gt;0,"Y","")</f>
        <v/>
      </c>
    </row>
    <row r="65">
      <c r="A65" t="inlineStr">
        <is>
          <t>University Of Wisconsin Foundation</t>
        </is>
      </c>
      <c r="B65" s="50" t="inlineStr">
        <is>
          <t>WI</t>
        </is>
      </c>
      <c r="C65" s="52" t="n">
        <v>4.92</v>
      </c>
      <c r="D65" t="inlineStr">
        <is>
          <t>Endowment</t>
        </is>
      </c>
      <c r="E65" s="50" t="n">
        <v>19</v>
      </c>
      <c r="F65" s="50">
        <f>COUNTIFS(Records[Organization],A65,Records[Tier],"CIO - Top Investment Executive")</f>
        <v/>
      </c>
      <c r="G65" s="50">
        <f>IF(COUNTIFS(Records[Organization],A65,Records[Include],"Y")&gt;0,"Y","")</f>
        <v/>
      </c>
    </row>
    <row r="66">
      <c r="A66" t="inlineStr">
        <is>
          <t>Carnegie Corporation Of New York</t>
        </is>
      </c>
      <c r="B66" s="50" t="inlineStr">
        <is>
          <t>NY</t>
        </is>
      </c>
      <c r="C66" s="52" t="n">
        <v>4.81</v>
      </c>
      <c r="D66" t="inlineStr">
        <is>
          <t>Foundation</t>
        </is>
      </c>
      <c r="E66" s="50" t="n">
        <v>6</v>
      </c>
      <c r="F66" s="50">
        <f>COUNTIFS(Records[Organization],A66,Records[Tier],"CIO - Top Investment Executive")</f>
        <v/>
      </c>
      <c r="G66" s="50">
        <f>IF(COUNTIFS(Records[Organization],A66,Records[Include],"Y")&gt;0,"Y","")</f>
        <v/>
      </c>
    </row>
    <row r="67">
      <c r="A67" t="inlineStr">
        <is>
          <t>Cystic Fibrosis Foundation</t>
        </is>
      </c>
      <c r="B67" s="50" t="inlineStr">
        <is>
          <t>MD</t>
        </is>
      </c>
      <c r="C67" s="52" t="n">
        <v>4.78</v>
      </c>
      <c r="D67" t="inlineStr">
        <is>
          <t>Foundation</t>
        </is>
      </c>
      <c r="E67" s="50" t="n">
        <v>13</v>
      </c>
      <c r="F67" s="50">
        <f>COUNTIFS(Records[Organization],A67,Records[Tier],"CIO - Top Investment Executive")</f>
        <v/>
      </c>
      <c r="G67" s="50">
        <f>IF(COUNTIFS(Records[Organization],A67,Records[Include],"Y")&gt;0,"Y","")</f>
        <v/>
      </c>
    </row>
    <row r="68">
      <c r="A68" t="inlineStr">
        <is>
          <t>The Ucla Foundation</t>
        </is>
      </c>
      <c r="B68" s="50" t="inlineStr">
        <is>
          <t>CA</t>
        </is>
      </c>
      <c r="C68" s="52" t="n">
        <v>4.77</v>
      </c>
      <c r="D68" t="inlineStr">
        <is>
          <t>Foundation</t>
        </is>
      </c>
      <c r="E68" s="50" t="n">
        <v>4</v>
      </c>
      <c r="F68" s="50">
        <f>COUNTIFS(Records[Organization],A68,Records[Tier],"CIO - Top Investment Executive")</f>
        <v/>
      </c>
      <c r="G68" s="50">
        <f>IF(COUNTIFS(Records[Organization],A68,Records[Include],"Y")&gt;0,"Y","")</f>
        <v/>
      </c>
    </row>
    <row r="69">
      <c r="A69" t="inlineStr">
        <is>
          <t>Purdue Research Foundation</t>
        </is>
      </c>
      <c r="B69" s="50" t="inlineStr">
        <is>
          <t>IN</t>
        </is>
      </c>
      <c r="C69" s="52" t="n">
        <v>4.67</v>
      </c>
      <c r="D69" t="inlineStr">
        <is>
          <t>Foundation</t>
        </is>
      </c>
      <c r="E69" s="50" t="n">
        <v>7</v>
      </c>
      <c r="F69" s="50">
        <f>COUNTIFS(Records[Organization],A69,Records[Tier],"CIO - Top Investment Executive")</f>
        <v/>
      </c>
      <c r="G69" s="50">
        <f>IF(COUNTIFS(Records[Organization],A69,Records[Include],"Y")&gt;0,"Y","")</f>
        <v/>
      </c>
    </row>
    <row r="70">
      <c r="A70" t="inlineStr">
        <is>
          <t>California Institute Of Technology</t>
        </is>
      </c>
      <c r="B70" s="50" t="inlineStr">
        <is>
          <t>CA</t>
        </is>
      </c>
      <c r="C70" s="52" t="n">
        <v>4.32</v>
      </c>
      <c r="D70" t="inlineStr">
        <is>
          <t>Endowment</t>
        </is>
      </c>
      <c r="E70" s="50" t="n">
        <v>10</v>
      </c>
      <c r="F70" s="50">
        <f>COUNTIFS(Records[Organization],A70,Records[Tier],"CIO - Top Investment Executive")</f>
        <v/>
      </c>
      <c r="G70" s="50">
        <f>IF(COUNTIFS(Records[Organization],A70,Records[Include],"Y")&gt;0,"Y","")</f>
        <v/>
      </c>
    </row>
    <row r="71">
      <c r="A71" t="inlineStr">
        <is>
          <t>Texas Scottish Rite Hospital For Children</t>
        </is>
      </c>
      <c r="B71" s="50" t="inlineStr">
        <is>
          <t>TX</t>
        </is>
      </c>
      <c r="C71" s="52" t="n">
        <v>4.31</v>
      </c>
      <c r="D71" t="inlineStr">
        <is>
          <t>Healthcare</t>
        </is>
      </c>
      <c r="E71" s="50" t="n">
        <v>6</v>
      </c>
      <c r="F71" s="50">
        <f>COUNTIFS(Records[Organization],A71,Records[Tier],"CIO - Top Investment Executive")</f>
        <v/>
      </c>
      <c r="G71" s="50">
        <f>IF(COUNTIFS(Records[Organization],A71,Records[Include],"Y")&gt;0,"Y","")</f>
        <v/>
      </c>
    </row>
    <row r="72">
      <c r="A72" t="inlineStr">
        <is>
          <t>Carnegie Mellon University</t>
        </is>
      </c>
      <c r="B72" s="50" t="inlineStr">
        <is>
          <t>PA</t>
        </is>
      </c>
      <c r="C72" s="52" t="n">
        <v>4.29</v>
      </c>
      <c r="D72" t="inlineStr">
        <is>
          <t>Endowment</t>
        </is>
      </c>
      <c r="E72" s="50" t="n">
        <v>4</v>
      </c>
      <c r="F72" s="50">
        <f>COUNTIFS(Records[Organization],A72,Records[Tier],"CIO - Top Investment Executive")</f>
        <v/>
      </c>
      <c r="G72" s="50">
        <f>IF(COUNTIFS(Records[Organization],A72,Records[Include],"Y")&gt;0,"Y","")</f>
        <v/>
      </c>
    </row>
    <row r="73">
      <c r="A73" t="inlineStr">
        <is>
          <t>Boston College Trustees</t>
        </is>
      </c>
      <c r="B73" s="50" t="inlineStr">
        <is>
          <t>MA</t>
        </is>
      </c>
      <c r="C73" s="52" t="n">
        <v>4.24</v>
      </c>
      <c r="D73" t="inlineStr">
        <is>
          <t>Endowment</t>
        </is>
      </c>
      <c r="E73" s="50" t="n">
        <v>4</v>
      </c>
      <c r="F73" s="50">
        <f>COUNTIFS(Records[Organization],A73,Records[Tier],"CIO - Top Investment Executive")</f>
        <v/>
      </c>
      <c r="G73" s="50">
        <f>IF(COUNTIFS(Records[Organization],A73,Records[Include],"Y")&gt;0,"Y","")</f>
        <v/>
      </c>
    </row>
    <row r="74">
      <c r="A74" t="inlineStr">
        <is>
          <t>Freedom Together Foundation</t>
        </is>
      </c>
      <c r="B74" s="50" t="inlineStr">
        <is>
          <t>NY</t>
        </is>
      </c>
      <c r="C74" s="52" t="n">
        <v>4.05</v>
      </c>
      <c r="D74" t="inlineStr">
        <is>
          <t>Foundation</t>
        </is>
      </c>
      <c r="E74" s="50" t="n">
        <v>7</v>
      </c>
      <c r="F74" s="50">
        <f>COUNTIFS(Records[Organization],A74,Records[Tier],"CIO - Top Investment Executive")</f>
        <v/>
      </c>
      <c r="G74" s="50">
        <f>IF(COUNTIFS(Records[Organization],A74,Records[Include],"Y")&gt;0,"Y","")</f>
        <v/>
      </c>
    </row>
    <row r="75">
      <c r="A75" t="inlineStr">
        <is>
          <t>Indiana University Foundation</t>
        </is>
      </c>
      <c r="B75" s="50" t="inlineStr">
        <is>
          <t>IN</t>
        </is>
      </c>
      <c r="C75" s="52" t="n">
        <v>4.05</v>
      </c>
      <c r="D75" t="inlineStr">
        <is>
          <t>Endowment</t>
        </is>
      </c>
      <c r="E75" s="50" t="n">
        <v>11</v>
      </c>
      <c r="F75" s="50">
        <f>COUNTIFS(Records[Organization],A75,Records[Tier],"CIO - Top Investment Executive")</f>
        <v/>
      </c>
      <c r="G75" s="50">
        <f>IF(COUNTIFS(Records[Organization],A75,Records[Include],"Y")&gt;0,"Y","")</f>
        <v/>
      </c>
    </row>
    <row r="76">
      <c r="A76" t="inlineStr">
        <is>
          <t>Trustees Of Boston University</t>
        </is>
      </c>
      <c r="B76" s="50" t="inlineStr">
        <is>
          <t>MA</t>
        </is>
      </c>
      <c r="C76" s="52" t="n">
        <v>4.02</v>
      </c>
      <c r="D76" t="inlineStr">
        <is>
          <t>Endowment</t>
        </is>
      </c>
      <c r="E76" s="50" t="n">
        <v>4</v>
      </c>
      <c r="F76" s="50">
        <f>COUNTIFS(Records[Organization],A76,Records[Tier],"CIO - Top Investment Executive")</f>
        <v/>
      </c>
      <c r="G76" s="50">
        <f>IF(COUNTIFS(Records[Organization],A76,Records[Include],"Y")&gt;0,"Y","")</f>
        <v/>
      </c>
    </row>
    <row r="77">
      <c r="A77" t="inlineStr">
        <is>
          <t>Kresge Foundation</t>
        </is>
      </c>
      <c r="B77" s="50" t="inlineStr">
        <is>
          <t>MI</t>
        </is>
      </c>
      <c r="C77" s="52" t="n">
        <v>3.96</v>
      </c>
      <c r="D77" t="inlineStr">
        <is>
          <t>Foundation</t>
        </is>
      </c>
      <c r="E77" s="50" t="n">
        <v>15</v>
      </c>
      <c r="F77" s="50">
        <f>COUNTIFS(Records[Organization],A77,Records[Tier],"CIO - Top Investment Executive")</f>
        <v/>
      </c>
      <c r="G77" s="50">
        <f>IF(COUNTIFS(Records[Organization],A77,Records[Include],"Y")&gt;0,"Y","")</f>
        <v/>
      </c>
    </row>
    <row r="78">
      <c r="A78" t="inlineStr">
        <is>
          <t>Georgetown University</t>
        </is>
      </c>
      <c r="B78" s="50" t="inlineStr">
        <is>
          <t>DC</t>
        </is>
      </c>
      <c r="C78" s="52" t="n">
        <v>3.95</v>
      </c>
      <c r="D78" t="inlineStr">
        <is>
          <t>Endowment</t>
        </is>
      </c>
      <c r="E78" s="50" t="n">
        <v>9</v>
      </c>
      <c r="F78" s="50">
        <f>COUNTIFS(Records[Organization],A78,Records[Tier],"CIO - Top Investment Executive")</f>
        <v/>
      </c>
      <c r="G78" s="50">
        <f>IF(COUNTIFS(Records[Organization],A78,Records[Include],"Y")&gt;0,"Y","")</f>
        <v/>
      </c>
    </row>
    <row r="79">
      <c r="A79" t="inlineStr">
        <is>
          <t>Williams College</t>
        </is>
      </c>
      <c r="B79" s="50" t="inlineStr">
        <is>
          <t>MA</t>
        </is>
      </c>
      <c r="C79" s="52" t="n">
        <v>3.93</v>
      </c>
      <c r="D79" t="inlineStr">
        <is>
          <t>Endowment</t>
        </is>
      </c>
      <c r="E79" s="50" t="n">
        <v>10</v>
      </c>
      <c r="F79" s="50">
        <f>COUNTIFS(Records[Organization],A79,Records[Tier],"CIO - Top Investment Executive")</f>
        <v/>
      </c>
      <c r="G79" s="50">
        <f>IF(COUNTIFS(Records[Organization],A79,Records[Include],"Y")&gt;0,"Y","")</f>
        <v/>
      </c>
    </row>
    <row r="80">
      <c r="A80" t="inlineStr">
        <is>
          <t>Trustees Of Amherst College</t>
        </is>
      </c>
      <c r="B80" s="50" t="inlineStr">
        <is>
          <t>MA</t>
        </is>
      </c>
      <c r="C80" s="52" t="n">
        <v>3.9</v>
      </c>
      <c r="D80" t="inlineStr">
        <is>
          <t>Endowment</t>
        </is>
      </c>
      <c r="E80" s="50" t="n">
        <v>10</v>
      </c>
      <c r="F80" s="50">
        <f>COUNTIFS(Records[Organization],A80,Records[Tier],"CIO - Top Investment Executive")</f>
        <v/>
      </c>
      <c r="G80" s="50">
        <f>IF(COUNTIFS(Records[Organization],A80,Records[Include],"Y")&gt;0,"Y","")</f>
        <v/>
      </c>
    </row>
    <row r="81">
      <c r="A81" t="inlineStr">
        <is>
          <t>Nature Conservancy</t>
        </is>
      </c>
      <c r="B81" s="50" t="inlineStr">
        <is>
          <t>VA</t>
        </is>
      </c>
      <c r="C81" s="52" t="n">
        <v>3.86</v>
      </c>
      <c r="D81" t="inlineStr">
        <is>
          <t>Other</t>
        </is>
      </c>
      <c r="E81" s="50" t="n">
        <v>4</v>
      </c>
      <c r="F81" s="50">
        <f>COUNTIFS(Records[Organization],A81,Records[Tier],"CIO - Top Investment Executive")</f>
        <v/>
      </c>
      <c r="G81" s="50">
        <f>IF(COUNTIFS(Records[Organization],A81,Records[Include],"Y")&gt;0,"Y","")</f>
        <v/>
      </c>
    </row>
    <row r="82">
      <c r="A82" t="inlineStr">
        <is>
          <t>University Of Illinois Foundation</t>
        </is>
      </c>
      <c r="B82" s="50" t="inlineStr">
        <is>
          <t>IL</t>
        </is>
      </c>
      <c r="C82" s="52" t="n">
        <v>3.8</v>
      </c>
      <c r="D82" t="inlineStr">
        <is>
          <t>Endowment</t>
        </is>
      </c>
      <c r="E82" s="50" t="n">
        <v>10</v>
      </c>
      <c r="F82" s="50">
        <f>COUNTIFS(Records[Organization],A82,Records[Tier],"CIO - Top Investment Executive")</f>
        <v/>
      </c>
      <c r="G82" s="50">
        <f>IF(COUNTIFS(Records[Organization],A82,Records[Include],"Y")&gt;0,"Y","")</f>
        <v/>
      </c>
    </row>
    <row r="83">
      <c r="A83" t="inlineStr">
        <is>
          <t>State University Of Iowa Foundation</t>
        </is>
      </c>
      <c r="B83" s="50" t="inlineStr">
        <is>
          <t>IA</t>
        </is>
      </c>
      <c r="C83" s="52" t="n">
        <v>3.77</v>
      </c>
      <c r="D83" t="inlineStr">
        <is>
          <t>Endowment</t>
        </is>
      </c>
      <c r="E83" s="50" t="n">
        <v>4</v>
      </c>
      <c r="F83" s="50">
        <f>COUNTIFS(Records[Organization],A83,Records[Tier],"CIO - Top Investment Executive")</f>
        <v/>
      </c>
      <c r="G83" s="50">
        <f>IF(COUNTIFS(Records[Organization],A83,Records[Include],"Y")&gt;0,"Y","")</f>
        <v/>
      </c>
    </row>
    <row r="84">
      <c r="A84" t="inlineStr">
        <is>
          <t>Smithsonian Institute</t>
        </is>
      </c>
      <c r="B84" s="50" t="inlineStr">
        <is>
          <t>DC</t>
        </is>
      </c>
      <c r="C84" s="52" t="n">
        <v>3.63</v>
      </c>
      <c r="D84" t="inlineStr">
        <is>
          <t>Other</t>
        </is>
      </c>
      <c r="E84" s="50" t="n">
        <v>11</v>
      </c>
      <c r="F84" s="50">
        <f>COUNTIFS(Records[Organization],A84,Records[Tier],"CIO - Top Investment Executive")</f>
        <v/>
      </c>
      <c r="G84" s="50">
        <f>IF(COUNTIFS(Records[Organization],A84,Records[Include],"Y")&gt;0,"Y","")</f>
        <v/>
      </c>
    </row>
    <row r="85">
      <c r="A85" t="inlineStr">
        <is>
          <t>Charles Stewart Mott Foundation</t>
        </is>
      </c>
      <c r="B85" s="50" t="inlineStr">
        <is>
          <t>MI</t>
        </is>
      </c>
      <c r="C85" s="52" t="n">
        <v>3.6</v>
      </c>
      <c r="D85" t="inlineStr">
        <is>
          <t>Foundation</t>
        </is>
      </c>
      <c r="E85" s="50" t="n">
        <v>14</v>
      </c>
      <c r="F85" s="50">
        <f>COUNTIFS(Records[Organization],A85,Records[Tier],"CIO - Top Investment Executive")</f>
        <v/>
      </c>
      <c r="G85" s="50">
        <f>IF(COUNTIFS(Records[Organization],A85,Records[Include],"Y")&gt;0,"Y","")</f>
        <v/>
      </c>
    </row>
    <row r="86">
      <c r="A86" t="inlineStr">
        <is>
          <t>The New York Community Trust</t>
        </is>
      </c>
      <c r="B86" s="50" t="inlineStr">
        <is>
          <t>NY</t>
        </is>
      </c>
      <c r="C86" s="52" t="n">
        <v>3.49</v>
      </c>
      <c r="D86" t="inlineStr">
        <is>
          <t>Foundation</t>
        </is>
      </c>
      <c r="E86" s="50" t="n">
        <v>5</v>
      </c>
      <c r="F86" s="50">
        <f>COUNTIFS(Records[Organization],A86,Records[Tier],"CIO - Top Investment Executive")</f>
        <v/>
      </c>
      <c r="G86" s="50">
        <f>IF(COUNTIFS(Records[Organization],A86,Records[Include],"Y")&gt;0,"Y","")</f>
        <v/>
      </c>
    </row>
    <row r="87">
      <c r="A87" t="inlineStr">
        <is>
          <t>Texas A&amp;M Foundation</t>
        </is>
      </c>
      <c r="B87" s="50" t="inlineStr">
        <is>
          <t>TX</t>
        </is>
      </c>
      <c r="C87" s="52" t="n">
        <v>3.43</v>
      </c>
      <c r="D87" t="inlineStr">
        <is>
          <t>Foundation</t>
        </is>
      </c>
      <c r="E87" s="50" t="n">
        <v>13</v>
      </c>
      <c r="F87" s="50">
        <f>COUNTIFS(Records[Organization],A87,Records[Tier],"CIO - Top Investment Executive")</f>
        <v/>
      </c>
      <c r="G87" s="50">
        <f>IF(COUNTIFS(Records[Organization],A87,Records[Include],"Y")&gt;0,"Y","")</f>
        <v/>
      </c>
    </row>
    <row r="88">
      <c r="A88" t="inlineStr">
        <is>
          <t>Wisconsin Alumni Research Foundation</t>
        </is>
      </c>
      <c r="B88" s="50" t="inlineStr">
        <is>
          <t>WI</t>
        </is>
      </c>
      <c r="C88" s="52" t="n">
        <v>3.4</v>
      </c>
      <c r="D88" t="inlineStr">
        <is>
          <t>Foundation</t>
        </is>
      </c>
      <c r="E88" s="50" t="n">
        <v>8</v>
      </c>
      <c r="F88" s="50">
        <f>COUNTIFS(Records[Organization],A88,Records[Tier],"CIO - Top Investment Executive")</f>
        <v/>
      </c>
      <c r="G88" s="50">
        <f>IF(COUNTIFS(Records[Organization],A88,Records[Include],"Y")&gt;0,"Y","")</f>
        <v/>
      </c>
    </row>
    <row r="89">
      <c r="A89" t="inlineStr">
        <is>
          <t>Uc Berkeley Management Company</t>
        </is>
      </c>
      <c r="B89" s="50" t="inlineStr">
        <is>
          <t>CA</t>
        </is>
      </c>
      <c r="C89" s="52" t="n">
        <v>3.39</v>
      </c>
      <c r="D89" t="inlineStr">
        <is>
          <t>Endowment</t>
        </is>
      </c>
      <c r="E89" s="50" t="n">
        <v>23</v>
      </c>
      <c r="F89" s="50">
        <f>COUNTIFS(Records[Organization],A89,Records[Tier],"CIO - Top Investment Executive")</f>
        <v/>
      </c>
      <c r="G89" s="50">
        <f>IF(COUNTIFS(Records[Organization],A89,Records[Include],"Y")&gt;0,"Y","")</f>
        <v/>
      </c>
    </row>
    <row r="90">
      <c r="A90" t="inlineStr">
        <is>
          <t>John Templeton Foundation</t>
        </is>
      </c>
      <c r="B90" s="50" t="inlineStr">
        <is>
          <t>PA</t>
        </is>
      </c>
      <c r="C90" s="52" t="n">
        <v>3.27</v>
      </c>
      <c r="D90" t="inlineStr">
        <is>
          <t>Foundation</t>
        </is>
      </c>
      <c r="E90" s="50" t="n">
        <v>3</v>
      </c>
      <c r="F90" s="50">
        <f>COUNTIFS(Records[Organization],A90,Records[Tier],"CIO - Top Investment Executive")</f>
        <v/>
      </c>
      <c r="G90" s="50">
        <f>IF(COUNTIFS(Records[Organization],A90,Records[Include],"Y")&gt;0,"Y","")</f>
        <v/>
      </c>
    </row>
    <row r="91">
      <c r="A91" t="inlineStr">
        <is>
          <t>William Penn Foundation</t>
        </is>
      </c>
      <c r="B91" s="50" t="inlineStr">
        <is>
          <t>PA</t>
        </is>
      </c>
      <c r="C91" s="52" t="n">
        <v>3.26</v>
      </c>
      <c r="D91" t="inlineStr">
        <is>
          <t>Foundation</t>
        </is>
      </c>
      <c r="E91" s="50" t="n">
        <v>15</v>
      </c>
      <c r="F91" s="50">
        <f>COUNTIFS(Records[Organization],A91,Records[Tier],"CIO - Top Investment Executive")</f>
        <v/>
      </c>
      <c r="G91" s="50">
        <f>IF(COUNTIFS(Records[Organization],A91,Records[Include],"Y")&gt;0,"Y","")</f>
        <v/>
      </c>
    </row>
    <row r="92">
      <c r="A92" t="inlineStr">
        <is>
          <t>University Of Rochester</t>
        </is>
      </c>
      <c r="B92" s="50" t="inlineStr">
        <is>
          <t>NY</t>
        </is>
      </c>
      <c r="C92" s="52" t="n">
        <v>3.24</v>
      </c>
      <c r="D92" t="inlineStr">
        <is>
          <t>Endowment</t>
        </is>
      </c>
      <c r="E92" s="50" t="n">
        <v>4</v>
      </c>
      <c r="F92" s="50">
        <f>COUNTIFS(Records[Organization],A92,Records[Tier],"CIO - Top Investment Executive")</f>
        <v/>
      </c>
      <c r="G92" s="50">
        <f>IF(COUNTIFS(Records[Organization],A92,Records[Include],"Y")&gt;0,"Y","")</f>
        <v/>
      </c>
    </row>
    <row r="93">
      <c r="A93" t="inlineStr">
        <is>
          <t>Pomona College</t>
        </is>
      </c>
      <c r="B93" s="50" t="inlineStr">
        <is>
          <t>CA</t>
        </is>
      </c>
      <c r="C93" s="52" t="n">
        <v>3.22</v>
      </c>
      <c r="D93" t="inlineStr">
        <is>
          <t>Endowment</t>
        </is>
      </c>
      <c r="E93" s="50" t="n">
        <v>7</v>
      </c>
      <c r="F93" s="50">
        <f>COUNTIFS(Records[Organization],A93,Records[Tier],"CIO - Top Investment Executive")</f>
        <v/>
      </c>
      <c r="G93" s="50">
        <f>IF(COUNTIFS(Records[Organization],A93,Records[Include],"Y")&gt;0,"Y","")</f>
        <v/>
      </c>
    </row>
    <row r="94">
      <c r="A94" t="inlineStr">
        <is>
          <t>James Irvine Foundation</t>
        </is>
      </c>
      <c r="B94" s="50" t="inlineStr">
        <is>
          <t>CA</t>
        </is>
      </c>
      <c r="C94" s="52" t="n">
        <v>3.21</v>
      </c>
      <c r="D94" t="inlineStr">
        <is>
          <t>Foundation</t>
        </is>
      </c>
      <c r="E94" s="50" t="n">
        <v>12</v>
      </c>
      <c r="F94" s="50">
        <f>COUNTIFS(Records[Organization],A94,Records[Tier],"CIO - Top Investment Executive")</f>
        <v/>
      </c>
      <c r="G94" s="50">
        <f>IF(COUNTIFS(Records[Organization],A94,Records[Include],"Y")&gt;0,"Y","")</f>
        <v/>
      </c>
    </row>
    <row r="95">
      <c r="A95" t="inlineStr">
        <is>
          <t>Mother Cabrini Health Foundation</t>
        </is>
      </c>
      <c r="B95" s="50" t="inlineStr">
        <is>
          <t>NY</t>
        </is>
      </c>
      <c r="C95" s="52" t="n">
        <v>3.2</v>
      </c>
      <c r="D95" t="inlineStr">
        <is>
          <t>Healthcare</t>
        </is>
      </c>
      <c r="E95" s="50" t="n">
        <v>15</v>
      </c>
      <c r="F95" s="50">
        <f>COUNTIFS(Records[Organization],A95,Records[Tier],"CIO - Top Investment Executive")</f>
        <v/>
      </c>
      <c r="G95" s="50">
        <f>IF(COUNTIFS(Records[Organization],A95,Records[Include],"Y")&gt;0,"Y","")</f>
        <v/>
      </c>
    </row>
    <row r="96">
      <c r="A96" t="inlineStr">
        <is>
          <t>Richard King Mellon Foundation Dtd 01 01 47</t>
        </is>
      </c>
      <c r="B96" s="50" t="inlineStr">
        <is>
          <t>PA</t>
        </is>
      </c>
      <c r="C96" s="52" t="n">
        <v>3.19</v>
      </c>
      <c r="D96" t="inlineStr">
        <is>
          <t>Foundation</t>
        </is>
      </c>
      <c r="E96" s="50" t="n">
        <v>1</v>
      </c>
      <c r="F96" s="50">
        <f>COUNTIFS(Records[Organization],A96,Records[Tier],"CIO - Top Investment Executive")</f>
        <v/>
      </c>
      <c r="G96" s="50">
        <f>IF(COUNTIFS(Records[Organization],A96,Records[Include],"Y")&gt;0,"Y","")</f>
        <v/>
      </c>
    </row>
    <row r="97">
      <c r="A97" t="inlineStr">
        <is>
          <t>Wellesley College</t>
        </is>
      </c>
      <c r="B97" s="50" t="inlineStr">
        <is>
          <t>MA</t>
        </is>
      </c>
      <c r="C97" s="52" t="n">
        <v>3.19</v>
      </c>
      <c r="D97" t="inlineStr">
        <is>
          <t>Endowment</t>
        </is>
      </c>
      <c r="E97" s="50" t="n">
        <v>15</v>
      </c>
      <c r="F97" s="50">
        <f>COUNTIFS(Records[Organization],A97,Records[Tier],"CIO - Top Investment Executive")</f>
        <v/>
      </c>
      <c r="G97" s="50">
        <f>IF(COUNTIFS(Records[Organization],A97,Records[Include],"Y")&gt;0,"Y","")</f>
        <v/>
      </c>
    </row>
    <row r="98">
      <c r="A98" t="inlineStr">
        <is>
          <t>West Virginia Univ Foundation Inc</t>
        </is>
      </c>
      <c r="B98" s="50" t="inlineStr">
        <is>
          <t>WV</t>
        </is>
      </c>
      <c r="C98" s="52" t="n">
        <v>3.15</v>
      </c>
      <c r="D98" t="inlineStr">
        <is>
          <t>Foundation</t>
        </is>
      </c>
      <c r="E98" s="50" t="n">
        <v>12</v>
      </c>
      <c r="F98" s="50">
        <f>COUNTIFS(Records[Organization],A98,Records[Tier],"CIO - Top Investment Executive")</f>
        <v/>
      </c>
      <c r="G98" s="50">
        <f>IF(COUNTIFS(Records[Organization],A98,Records[Include],"Y")&gt;0,"Y","")</f>
        <v/>
      </c>
    </row>
    <row r="99">
      <c r="A99" t="inlineStr">
        <is>
          <t>Annie E Casey Foundation</t>
        </is>
      </c>
      <c r="B99" s="50" t="inlineStr">
        <is>
          <t>MD</t>
        </is>
      </c>
      <c r="C99" s="52" t="n">
        <v>3.11</v>
      </c>
      <c r="D99" t="inlineStr">
        <is>
          <t>Foundation</t>
        </is>
      </c>
      <c r="E99" s="50" t="n">
        <v>6</v>
      </c>
      <c r="F99" s="50">
        <f>COUNTIFS(Records[Organization],A99,Records[Tier],"CIO - Top Investment Executive")</f>
        <v/>
      </c>
      <c r="G99" s="50">
        <f>IF(COUNTIFS(Records[Organization],A99,Records[Include],"Y")&gt;0,"Y","")</f>
        <v/>
      </c>
    </row>
    <row r="100">
      <c r="A100" t="inlineStr">
        <is>
          <t>American National Red Cross</t>
        </is>
      </c>
      <c r="B100" s="50" t="inlineStr">
        <is>
          <t>DC</t>
        </is>
      </c>
      <c r="C100" s="52" t="n">
        <v>3.08</v>
      </c>
      <c r="D100" t="inlineStr">
        <is>
          <t>Other</t>
        </is>
      </c>
      <c r="E100" s="50" t="n">
        <v>3</v>
      </c>
      <c r="F100" s="50">
        <f>COUNTIFS(Records[Organization],A100,Records[Tier],"CIO - Top Investment Executive")</f>
        <v/>
      </c>
      <c r="G100" s="50">
        <f>IF(COUNTIFS(Records[Organization],A100,Records[Include],"Y")&gt;0,"Y","")</f>
        <v/>
      </c>
    </row>
    <row r="101">
      <c r="A101" t="inlineStr">
        <is>
          <t>Intermountain Health Care Inc</t>
        </is>
      </c>
      <c r="B101" s="50" t="inlineStr">
        <is>
          <t>UT</t>
        </is>
      </c>
      <c r="C101" s="52" t="n">
        <v>3.07</v>
      </c>
      <c r="D101" t="inlineStr">
        <is>
          <t>Healthcare</t>
        </is>
      </c>
      <c r="E101" s="50" t="n">
        <v>3</v>
      </c>
      <c r="F101" s="50">
        <f>COUNTIFS(Records[Organization],A101,Records[Tier],"CIO - Top Investment Executive")</f>
        <v/>
      </c>
      <c r="G101" s="50">
        <f>IF(COUNTIFS(Records[Organization],A101,Records[Include],"Y")&gt;0,"Y","")</f>
        <v/>
      </c>
    </row>
    <row r="102">
      <c r="A102" t="inlineStr">
        <is>
          <t>Margaret A Cargill Foundation</t>
        </is>
      </c>
      <c r="B102" s="50" t="inlineStr">
        <is>
          <t>MN</t>
        </is>
      </c>
      <c r="C102" s="52" t="n">
        <v>3.05</v>
      </c>
      <c r="D102" t="inlineStr">
        <is>
          <t>Foundation</t>
        </is>
      </c>
      <c r="E102" s="50" t="n">
        <v>18</v>
      </c>
      <c r="F102" s="50">
        <f>COUNTIFS(Records[Organization],A102,Records[Tier],"CIO - Top Investment Executive")</f>
        <v/>
      </c>
      <c r="G102" s="50">
        <f>IF(COUNTIFS(Records[Organization],A102,Records[Include],"Y")&gt;0,"Y","")</f>
        <v/>
      </c>
    </row>
    <row r="103">
      <c r="A103" t="inlineStr">
        <is>
          <t>Georgia Tech Foundation Inc</t>
        </is>
      </c>
      <c r="B103" s="50" t="inlineStr">
        <is>
          <t>GA</t>
        </is>
      </c>
      <c r="C103" s="52" t="n">
        <v>3.04</v>
      </c>
      <c r="D103" t="inlineStr">
        <is>
          <t>Foundation</t>
        </is>
      </c>
      <c r="E103" s="50" t="n">
        <v>16</v>
      </c>
      <c r="F103" s="50">
        <f>COUNTIFS(Records[Organization],A103,Records[Tier],"CIO - Top Investment Executive")</f>
        <v/>
      </c>
      <c r="G103" s="50">
        <f>IF(COUNTIFS(Records[Organization],A103,Records[Include],"Y")&gt;0,"Y","")</f>
        <v/>
      </c>
    </row>
    <row r="104">
      <c r="A104" t="inlineStr">
        <is>
          <t>Liberty University Inc</t>
        </is>
      </c>
      <c r="B104" s="50" t="inlineStr">
        <is>
          <t>VA</t>
        </is>
      </c>
      <c r="C104" s="52" t="n">
        <v>2.97</v>
      </c>
      <c r="D104" t="inlineStr">
        <is>
          <t>Endowment</t>
        </is>
      </c>
      <c r="E104" s="50" t="n">
        <v>4</v>
      </c>
      <c r="F104" s="50">
        <f>COUNTIFS(Records[Organization],A104,Records[Tier],"CIO - Top Investment Executive")</f>
        <v/>
      </c>
      <c r="G104" s="50">
        <f>IF(COUNTIFS(Records[Organization],A104,Records[Include],"Y")&gt;0,"Y","")</f>
        <v/>
      </c>
    </row>
    <row r="105">
      <c r="A105" t="inlineStr">
        <is>
          <t>Ucsf Foundation Investment Company</t>
        </is>
      </c>
      <c r="B105" s="50" t="inlineStr">
        <is>
          <t>CA</t>
        </is>
      </c>
      <c r="C105" s="52" t="n">
        <v>2.95</v>
      </c>
      <c r="D105" t="inlineStr">
        <is>
          <t>Endowment</t>
        </is>
      </c>
      <c r="E105" s="50" t="n">
        <v>24</v>
      </c>
      <c r="F105" s="50">
        <f>COUNTIFS(Records[Organization],A105,Records[Tier],"CIO - Top Investment Executive")</f>
        <v/>
      </c>
      <c r="G105" s="50">
        <f>IF(COUNTIFS(Records[Organization],A105,Records[Include],"Y")&gt;0,"Y","")</f>
        <v/>
      </c>
    </row>
    <row r="106">
      <c r="A106" t="inlineStr">
        <is>
          <t>Bowdoin College</t>
        </is>
      </c>
      <c r="B106" s="50" t="inlineStr">
        <is>
          <t>ME</t>
        </is>
      </c>
      <c r="C106" s="52" t="n">
        <v>2.92</v>
      </c>
      <c r="D106" t="inlineStr">
        <is>
          <t>Endowment</t>
        </is>
      </c>
      <c r="E106" s="50" t="n">
        <v>15</v>
      </c>
      <c r="F106" s="50">
        <f>COUNTIFS(Records[Organization],A106,Records[Tier],"CIO - Top Investment Executive")</f>
        <v/>
      </c>
      <c r="G106" s="50">
        <f>IF(COUNTIFS(Records[Organization],A106,Records[Include],"Y")&gt;0,"Y","")</f>
        <v/>
      </c>
    </row>
    <row r="107">
      <c r="A107" t="inlineStr">
        <is>
          <t>Ewing Marion Kauffman Foundation</t>
        </is>
      </c>
      <c r="B107" s="50" t="inlineStr">
        <is>
          <t>MO</t>
        </is>
      </c>
      <c r="C107" s="52" t="n">
        <v>2.92</v>
      </c>
      <c r="D107" t="inlineStr">
        <is>
          <t>Foundation</t>
        </is>
      </c>
      <c r="E107" s="50" t="n">
        <v>6</v>
      </c>
      <c r="F107" s="50">
        <f>COUNTIFS(Records[Organization],A107,Records[Tier],"CIO - Top Investment Executive")</f>
        <v/>
      </c>
      <c r="G107" s="50">
        <f>IF(COUNTIFS(Records[Organization],A107,Records[Include],"Y")&gt;0,"Y","")</f>
        <v/>
      </c>
    </row>
    <row r="108">
      <c r="A108" t="inlineStr">
        <is>
          <t>Vcu Investment Management Company</t>
        </is>
      </c>
      <c r="B108" s="50" t="inlineStr">
        <is>
          <t>VA</t>
        </is>
      </c>
      <c r="C108" s="52" t="n">
        <v>2.89</v>
      </c>
      <c r="D108" t="inlineStr">
        <is>
          <t>Endowment</t>
        </is>
      </c>
      <c r="E108" s="50" t="n">
        <v>16</v>
      </c>
      <c r="F108" s="50">
        <f>COUNTIFS(Records[Organization],A108,Records[Tier],"CIO - Top Investment Executive")</f>
        <v/>
      </c>
      <c r="G108" s="50">
        <f>IF(COUNTIFS(Records[Organization],A108,Records[Include],"Y")&gt;0,"Y","")</f>
        <v/>
      </c>
    </row>
    <row r="109">
      <c r="A109" t="inlineStr">
        <is>
          <t>Texas Christian University</t>
        </is>
      </c>
      <c r="B109" s="50" t="inlineStr">
        <is>
          <t>TX</t>
        </is>
      </c>
      <c r="C109" s="52" t="n">
        <v>2.85</v>
      </c>
      <c r="D109" t="inlineStr">
        <is>
          <t>Endowment</t>
        </is>
      </c>
      <c r="E109" s="50" t="n">
        <v>5</v>
      </c>
      <c r="F109" s="50">
        <f>COUNTIFS(Records[Organization],A109,Records[Tier],"CIO - Top Investment Executive")</f>
        <v/>
      </c>
      <c r="G109" s="50">
        <f>IF(COUNTIFS(Records[Organization],A109,Records[Include],"Y")&gt;0,"Y","")</f>
        <v/>
      </c>
    </row>
    <row r="110">
      <c r="A110" t="inlineStr">
        <is>
          <t>The Trustees Of Grinnell College</t>
        </is>
      </c>
      <c r="B110" s="50" t="inlineStr">
        <is>
          <t>IA</t>
        </is>
      </c>
      <c r="C110" s="52" t="n">
        <v>2.85</v>
      </c>
      <c r="D110" t="inlineStr">
        <is>
          <t>Endowment</t>
        </is>
      </c>
      <c r="E110" s="50" t="n">
        <v>15</v>
      </c>
      <c r="F110" s="50">
        <f>COUNTIFS(Records[Organization],A110,Records[Tier],"CIO - Top Investment Executive")</f>
        <v/>
      </c>
      <c r="G110" s="50">
        <f>IF(COUNTIFS(Records[Organization],A110,Records[Include],"Y")&gt;0,"Y","")</f>
        <v/>
      </c>
    </row>
    <row r="111">
      <c r="A111" t="inlineStr">
        <is>
          <t>Swarthmore College</t>
        </is>
      </c>
      <c r="B111" s="50" t="inlineStr">
        <is>
          <t>PA</t>
        </is>
      </c>
      <c r="C111" s="52" t="n">
        <v>2.84</v>
      </c>
      <c r="D111" t="inlineStr">
        <is>
          <t>Endowment</t>
        </is>
      </c>
      <c r="E111" s="50" t="n">
        <v>6</v>
      </c>
      <c r="F111" s="50">
        <f>COUNTIFS(Records[Organization],A111,Records[Tier],"CIO - Top Investment Executive")</f>
        <v/>
      </c>
      <c r="G111" s="50">
        <f>IF(COUNTIFS(Records[Organization],A111,Records[Include],"Y")&gt;0,"Y","")</f>
        <v/>
      </c>
    </row>
    <row r="112">
      <c r="A112" t="inlineStr">
        <is>
          <t>University Of Oklahoma Foundation Inc</t>
        </is>
      </c>
      <c r="B112" s="50" t="inlineStr">
        <is>
          <t>OK</t>
        </is>
      </c>
      <c r="C112" s="52" t="n">
        <v>2.74</v>
      </c>
      <c r="D112" t="inlineStr">
        <is>
          <t>Endowment</t>
        </is>
      </c>
      <c r="E112" s="50" t="n">
        <v>9</v>
      </c>
      <c r="F112" s="50">
        <f>COUNTIFS(Records[Organization],A112,Records[Tier],"CIO - Top Investment Executive")</f>
        <v/>
      </c>
      <c r="G112" s="50">
        <f>IF(COUNTIFS(Records[Organization],A112,Records[Include],"Y")&gt;0,"Y","")</f>
        <v/>
      </c>
    </row>
    <row r="113">
      <c r="A113" t="inlineStr">
        <is>
          <t>University Of Nebraska Foundation</t>
        </is>
      </c>
      <c r="B113" s="50" t="inlineStr">
        <is>
          <t>NE</t>
        </is>
      </c>
      <c r="C113" s="52" t="n">
        <v>2.72</v>
      </c>
      <c r="D113" t="inlineStr">
        <is>
          <t>Endowment</t>
        </is>
      </c>
      <c r="E113" s="50" t="n">
        <v>4</v>
      </c>
      <c r="F113" s="50">
        <f>COUNTIFS(Records[Organization],A113,Records[Tier],"CIO - Top Investment Executive")</f>
        <v/>
      </c>
      <c r="G113" s="50">
        <f>IF(COUNTIFS(Records[Organization],A113,Records[Include],"Y")&gt;0,"Y","")</f>
        <v/>
      </c>
    </row>
    <row r="114">
      <c r="A114" t="inlineStr">
        <is>
          <t>Trustees Of The Smith College</t>
        </is>
      </c>
      <c r="B114" s="50" t="inlineStr">
        <is>
          <t>MA</t>
        </is>
      </c>
      <c r="C114" s="52" t="n">
        <v>2.71</v>
      </c>
      <c r="D114" t="inlineStr">
        <is>
          <t>Endowment</t>
        </is>
      </c>
      <c r="E114" s="50" t="n">
        <v>12</v>
      </c>
      <c r="F114" s="50">
        <f>COUNTIFS(Records[Organization],A114,Records[Tier],"CIO - Top Investment Executive")</f>
        <v/>
      </c>
      <c r="G114" s="50">
        <f>IF(COUNTIFS(Records[Organization],A114,Records[Include],"Y")&gt;0,"Y","")</f>
        <v/>
      </c>
    </row>
    <row r="115">
      <c r="A115" t="inlineStr">
        <is>
          <t>Trustees Of Tufts College</t>
        </is>
      </c>
      <c r="B115" s="50" t="inlineStr">
        <is>
          <t>MA</t>
        </is>
      </c>
      <c r="C115" s="52" t="n">
        <v>2.71</v>
      </c>
      <c r="D115" t="inlineStr">
        <is>
          <t>Endowment</t>
        </is>
      </c>
      <c r="E115" s="50" t="n">
        <v>6</v>
      </c>
      <c r="F115" s="50">
        <f>COUNTIFS(Records[Organization],A115,Records[Tier],"CIO - Top Investment Executive")</f>
        <v/>
      </c>
      <c r="G115" s="50">
        <f>IF(COUNTIFS(Records[Organization],A115,Records[Include],"Y")&gt;0,"Y","")</f>
        <v/>
      </c>
    </row>
    <row r="116">
      <c r="A116" t="inlineStr">
        <is>
          <t>Kansas University Endowment Assoc</t>
        </is>
      </c>
      <c r="B116" s="50" t="inlineStr">
        <is>
          <t>KS</t>
        </is>
      </c>
      <c r="C116" s="52" t="n">
        <v>2.69</v>
      </c>
      <c r="D116" t="inlineStr">
        <is>
          <t>Endowment</t>
        </is>
      </c>
      <c r="E116" s="50" t="n">
        <v>11</v>
      </c>
      <c r="F116" s="50">
        <f>COUNTIFS(Records[Organization],A116,Records[Tier],"CIO - Top Investment Executive")</f>
        <v/>
      </c>
      <c r="G116" s="50">
        <f>IF(COUNTIFS(Records[Organization],A116,Records[Include],"Y")&gt;0,"Y","")</f>
        <v/>
      </c>
    </row>
    <row r="117">
      <c r="A117" t="inlineStr">
        <is>
          <t>The Colorado Health Foundation</t>
        </is>
      </c>
      <c r="B117" s="50" t="inlineStr">
        <is>
          <t>CO</t>
        </is>
      </c>
      <c r="C117" s="52" t="n">
        <v>2.69</v>
      </c>
      <c r="D117" t="inlineStr">
        <is>
          <t>Healthcare</t>
        </is>
      </c>
      <c r="E117" s="50" t="n">
        <v>4</v>
      </c>
      <c r="F117" s="50">
        <f>COUNTIFS(Records[Organization],A117,Records[Tier],"CIO - Top Investment Executive")</f>
        <v/>
      </c>
      <c r="G117" s="50">
        <f>IF(COUNTIFS(Records[Organization],A117,Records[Include],"Y")&gt;0,"Y","")</f>
        <v/>
      </c>
    </row>
    <row r="118">
      <c r="A118" t="inlineStr">
        <is>
          <t>Geisinger System Services</t>
        </is>
      </c>
      <c r="B118" s="50" t="inlineStr">
        <is>
          <t>PA</t>
        </is>
      </c>
      <c r="C118" s="52" t="n">
        <v>2.65</v>
      </c>
      <c r="D118" t="inlineStr">
        <is>
          <t>Healthcare</t>
        </is>
      </c>
      <c r="E118" s="50" t="n">
        <v>6</v>
      </c>
      <c r="F118" s="50">
        <f>COUNTIFS(Records[Organization],A118,Records[Tier],"CIO - Top Investment Executive")</f>
        <v/>
      </c>
      <c r="G118" s="50">
        <f>IF(COUNTIFS(Records[Organization],A118,Records[Include],"Y")&gt;0,"Y","")</f>
        <v/>
      </c>
    </row>
    <row r="119">
      <c r="A119" t="inlineStr">
        <is>
          <t>Rockefeller University</t>
        </is>
      </c>
      <c r="B119" s="50" t="inlineStr">
        <is>
          <t>NY</t>
        </is>
      </c>
      <c r="C119" s="52" t="n">
        <v>2.61</v>
      </c>
      <c r="D119" t="inlineStr">
        <is>
          <t>Endowment</t>
        </is>
      </c>
      <c r="E119" s="50" t="n">
        <v>4</v>
      </c>
      <c r="F119" s="50">
        <f>COUNTIFS(Records[Organization],A119,Records[Tier],"CIO - Top Investment Executive")</f>
        <v/>
      </c>
      <c r="G119" s="50">
        <f>IF(COUNTIFS(Records[Organization],A119,Records[Include],"Y")&gt;0,"Y","")</f>
        <v/>
      </c>
    </row>
    <row r="120">
      <c r="A120" t="inlineStr">
        <is>
          <t>Mcknight Foundation</t>
        </is>
      </c>
      <c r="B120" s="50" t="inlineStr">
        <is>
          <t>MN</t>
        </is>
      </c>
      <c r="C120" s="52" t="n">
        <v>2.6</v>
      </c>
      <c r="D120" t="inlineStr">
        <is>
          <t>Foundation</t>
        </is>
      </c>
      <c r="E120" s="50" t="n">
        <v>3</v>
      </c>
      <c r="F120" s="50">
        <f>COUNTIFS(Records[Organization],A120,Records[Tier],"CIO - Top Investment Executive")</f>
        <v/>
      </c>
      <c r="G120" s="50">
        <f>IF(COUNTIFS(Records[Organization],A120,Records[Include],"Y")&gt;0,"Y","")</f>
        <v/>
      </c>
    </row>
    <row r="121">
      <c r="A121" t="inlineStr">
        <is>
          <t>University Of Arkansas Foundation Inc</t>
        </is>
      </c>
      <c r="B121" s="50" t="inlineStr">
        <is>
          <t>AR</t>
        </is>
      </c>
      <c r="C121" s="52" t="n">
        <v>2.56</v>
      </c>
      <c r="D121" t="inlineStr">
        <is>
          <t>Endowment</t>
        </is>
      </c>
      <c r="E121" s="50" t="n">
        <v>4</v>
      </c>
      <c r="F121" s="50">
        <f>COUNTIFS(Records[Organization],A121,Records[Tier],"CIO - Top Investment Executive")</f>
        <v/>
      </c>
      <c r="G121" s="50">
        <f>IF(COUNTIFS(Records[Organization],A121,Records[Include],"Y")&gt;0,"Y","")</f>
        <v/>
      </c>
    </row>
    <row r="122">
      <c r="A122" t="inlineStr">
        <is>
          <t>Case Western Reserve University</t>
        </is>
      </c>
      <c r="B122" s="50" t="inlineStr">
        <is>
          <t>OH</t>
        </is>
      </c>
      <c r="C122" s="52" t="n">
        <v>2.52</v>
      </c>
      <c r="D122" t="inlineStr">
        <is>
          <t>Endowment</t>
        </is>
      </c>
      <c r="E122" s="50" t="n">
        <v>4</v>
      </c>
      <c r="F122" s="50">
        <f>COUNTIFS(Records[Organization],A122,Records[Tier],"CIO - Top Investment Executive")</f>
        <v/>
      </c>
      <c r="G122" s="50">
        <f>IF(COUNTIFS(Records[Organization],A122,Records[Include],"Y")&gt;0,"Y","")</f>
        <v/>
      </c>
    </row>
    <row r="123">
      <c r="A123" t="inlineStr">
        <is>
          <t>The Administrators Of The Tulane Educational Fund</t>
        </is>
      </c>
      <c r="B123" s="50" t="inlineStr">
        <is>
          <t>LA</t>
        </is>
      </c>
      <c r="C123" s="52" t="n">
        <v>2.46</v>
      </c>
      <c r="D123" t="inlineStr">
        <is>
          <t>Endowment</t>
        </is>
      </c>
      <c r="E123" s="50" t="n">
        <v>5</v>
      </c>
      <c r="F123" s="50">
        <f>COUNTIFS(Records[Organization],A123,Records[Tier],"CIO - Top Investment Executive")</f>
        <v/>
      </c>
      <c r="G123" s="50">
        <f>IF(COUNTIFS(Records[Organization],A123,Records[Include],"Y")&gt;0,"Y","")</f>
        <v/>
      </c>
    </row>
    <row r="124">
      <c r="A124" t="inlineStr">
        <is>
          <t>University Of Maryland Foundation Inc</t>
        </is>
      </c>
      <c r="B124" s="50" t="inlineStr">
        <is>
          <t>MD</t>
        </is>
      </c>
      <c r="C124" s="52" t="n">
        <v>2.46</v>
      </c>
      <c r="D124" t="inlineStr">
        <is>
          <t>Endowment</t>
        </is>
      </c>
      <c r="E124" s="50" t="n">
        <v>21</v>
      </c>
      <c r="F124" s="50">
        <f>COUNTIFS(Records[Organization],A124,Records[Tier],"CIO - Top Investment Executive")</f>
        <v/>
      </c>
      <c r="G124" s="50">
        <f>IF(COUNTIFS(Records[Organization],A124,Records[Include],"Y")&gt;0,"Y","")</f>
        <v/>
      </c>
    </row>
    <row r="125">
      <c r="A125" t="inlineStr">
        <is>
          <t>Casey Family Programs</t>
        </is>
      </c>
      <c r="B125" s="50" t="inlineStr">
        <is>
          <t>WA</t>
        </is>
      </c>
      <c r="C125" s="52" t="n">
        <v>2.45</v>
      </c>
      <c r="D125" t="inlineStr">
        <is>
          <t>Foundation</t>
        </is>
      </c>
      <c r="E125" s="50" t="n">
        <v>9</v>
      </c>
      <c r="F125" s="50">
        <f>COUNTIFS(Records[Organization],A125,Records[Tier],"CIO - Top Investment Executive")</f>
        <v/>
      </c>
      <c r="G125" s="50">
        <f>IF(COUNTIFS(Records[Organization],A125,Records[Include],"Y")&gt;0,"Y","")</f>
        <v/>
      </c>
    </row>
    <row r="126">
      <c r="A126" t="inlineStr">
        <is>
          <t>University Of Florida Investment Corporation</t>
        </is>
      </c>
      <c r="B126" s="50" t="inlineStr">
        <is>
          <t>FL</t>
        </is>
      </c>
      <c r="C126" s="52" t="n">
        <v>2.45</v>
      </c>
      <c r="D126" t="inlineStr">
        <is>
          <t>Endowment</t>
        </is>
      </c>
      <c r="E126" s="50" t="n">
        <v>26</v>
      </c>
      <c r="F126" s="50">
        <f>COUNTIFS(Records[Organization],A126,Records[Tier],"CIO - Top Investment Executive")</f>
        <v/>
      </c>
      <c r="G126" s="50">
        <f>IF(COUNTIFS(Records[Organization],A126,Records[Include],"Y")&gt;0,"Y","")</f>
        <v/>
      </c>
    </row>
    <row r="127">
      <c r="A127" t="inlineStr">
        <is>
          <t>Inatai Foundation</t>
        </is>
      </c>
      <c r="B127" s="50" t="inlineStr">
        <is>
          <t>WA</t>
        </is>
      </c>
      <c r="C127" s="52" t="n">
        <v>2.35</v>
      </c>
      <c r="D127" t="inlineStr">
        <is>
          <t>Foundation</t>
        </is>
      </c>
      <c r="E127" s="50" t="n">
        <v>9</v>
      </c>
      <c r="F127" s="50">
        <f>COUNTIFS(Records[Organization],A127,Records[Tier],"CIO - Top Investment Executive")</f>
        <v/>
      </c>
      <c r="G127" s="50">
        <f>IF(COUNTIFS(Records[Organization],A127,Records[Include],"Y")&gt;0,"Y","")</f>
        <v/>
      </c>
    </row>
    <row r="128">
      <c r="A128" t="inlineStr">
        <is>
          <t>Southern Methodist University</t>
        </is>
      </c>
      <c r="B128" s="50" t="inlineStr">
        <is>
          <t>TX</t>
        </is>
      </c>
      <c r="C128" s="52" t="n">
        <v>2.34</v>
      </c>
      <c r="D128" t="inlineStr">
        <is>
          <t>Endowment</t>
        </is>
      </c>
      <c r="E128" s="50" t="n">
        <v>4</v>
      </c>
      <c r="F128" s="50">
        <f>COUNTIFS(Records[Organization],A128,Records[Tier],"CIO - Top Investment Executive")</f>
        <v/>
      </c>
      <c r="G128" s="50">
        <f>IF(COUNTIFS(Records[Organization],A128,Records[Include],"Y")&gt;0,"Y","")</f>
        <v/>
      </c>
    </row>
    <row r="129">
      <c r="A129" t="inlineStr">
        <is>
          <t>Mass General Brigham Incorporated</t>
        </is>
      </c>
      <c r="B129" s="50" t="inlineStr">
        <is>
          <t>MA</t>
        </is>
      </c>
      <c r="C129" s="52" t="n">
        <v>2.28</v>
      </c>
      <c r="D129" t="inlineStr">
        <is>
          <t>Healthcare</t>
        </is>
      </c>
      <c r="E129" s="50" t="n">
        <v>11</v>
      </c>
      <c r="F129" s="50">
        <f>COUNTIFS(Records[Organization],A129,Records[Tier],"CIO - Top Investment Executive")</f>
        <v/>
      </c>
      <c r="G129" s="50">
        <f>IF(COUNTIFS(Records[Organization],A129,Records[Include],"Y")&gt;0,"Y","")</f>
        <v/>
      </c>
    </row>
    <row r="130">
      <c r="A130" t="inlineStr">
        <is>
          <t>Baylor University</t>
        </is>
      </c>
      <c r="B130" s="50" t="inlineStr">
        <is>
          <t>TX</t>
        </is>
      </c>
      <c r="C130" s="52" t="n">
        <v>2.18</v>
      </c>
      <c r="D130" t="inlineStr">
        <is>
          <t>Endowment</t>
        </is>
      </c>
      <c r="E130" s="50" t="n">
        <v>5</v>
      </c>
      <c r="F130" s="50">
        <f>COUNTIFS(Records[Organization],A130,Records[Tier],"CIO - Top Investment Executive")</f>
        <v/>
      </c>
      <c r="G130" s="50">
        <f>IF(COUNTIFS(Records[Organization],A130,Records[Include],"Y")&gt;0,"Y","")</f>
        <v/>
      </c>
    </row>
    <row r="131">
      <c r="A131" t="inlineStr">
        <is>
          <t>University Of Georgia Foundation</t>
        </is>
      </c>
      <c r="B131" s="50" t="inlineStr">
        <is>
          <t>GA</t>
        </is>
      </c>
      <c r="C131" s="52" t="n">
        <v>2.18</v>
      </c>
      <c r="D131" t="inlineStr">
        <is>
          <t>Endowment</t>
        </is>
      </c>
      <c r="E131" s="50" t="n">
        <v>4</v>
      </c>
      <c r="F131" s="50">
        <f>COUNTIFS(Records[Organization],A131,Records[Tier],"CIO - Top Investment Executive")</f>
        <v/>
      </c>
      <c r="G131" s="50">
        <f>IF(COUNTIFS(Records[Organization],A131,Records[Include],"Y")&gt;0,"Y","")</f>
        <v/>
      </c>
    </row>
    <row r="132">
      <c r="A132" t="inlineStr">
        <is>
          <t>Childrens Hospital Corporation</t>
        </is>
      </c>
      <c r="B132" s="50" t="inlineStr">
        <is>
          <t>MA</t>
        </is>
      </c>
      <c r="C132" s="52" t="n">
        <v>2.12</v>
      </c>
      <c r="D132" t="inlineStr">
        <is>
          <t>Healthcare</t>
        </is>
      </c>
      <c r="E132" s="50" t="n">
        <v>14</v>
      </c>
      <c r="F132" s="50">
        <f>COUNTIFS(Records[Organization],A132,Records[Tier],"CIO - Top Investment Executive")</f>
        <v/>
      </c>
      <c r="G132" s="50">
        <f>IF(COUNTIFS(Records[Organization],A132,Records[Include],"Y")&gt;0,"Y","")</f>
        <v/>
      </c>
    </row>
    <row r="133">
      <c r="A133" t="inlineStr">
        <is>
          <t>Brown Foundation Inc</t>
        </is>
      </c>
      <c r="B133" s="50" t="inlineStr">
        <is>
          <t>TX</t>
        </is>
      </c>
      <c r="C133" s="52" t="n">
        <v>2.11</v>
      </c>
      <c r="D133" t="inlineStr">
        <is>
          <t>Foundation</t>
        </is>
      </c>
      <c r="E133" s="50" t="n">
        <v>2</v>
      </c>
      <c r="F133" s="50">
        <f>COUNTIFS(Records[Organization],A133,Records[Tier],"CIO - Top Investment Executive")</f>
        <v/>
      </c>
      <c r="G133" s="50">
        <f>IF(COUNTIFS(Records[Organization],A133,Records[Include],"Y")&gt;0,"Y","")</f>
        <v/>
      </c>
    </row>
    <row r="134">
      <c r="A134" t="inlineStr">
        <is>
          <t>Virginia Tech Foundation Inc</t>
        </is>
      </c>
      <c r="B134" s="50" t="inlineStr">
        <is>
          <t>VA</t>
        </is>
      </c>
      <c r="C134" s="52" t="n">
        <v>2.09</v>
      </c>
      <c r="D134" t="inlineStr">
        <is>
          <t>Foundation</t>
        </is>
      </c>
      <c r="E134" s="50" t="n">
        <v>7</v>
      </c>
      <c r="F134" s="50">
        <f>COUNTIFS(Records[Organization],A134,Records[Tier],"CIO - Top Investment Executive")</f>
        <v/>
      </c>
      <c r="G134" s="50">
        <f>IF(COUNTIFS(Records[Organization],A134,Records[Include],"Y")&gt;0,"Y","")</f>
        <v/>
      </c>
    </row>
    <row r="135">
      <c r="A135" t="inlineStr">
        <is>
          <t>University Of Delaware</t>
        </is>
      </c>
      <c r="B135" s="50" t="inlineStr">
        <is>
          <t>DE</t>
        </is>
      </c>
      <c r="C135" s="52" t="n">
        <v>2.06</v>
      </c>
      <c r="D135" t="inlineStr">
        <is>
          <t>Endowment</t>
        </is>
      </c>
      <c r="E135" s="50" t="n">
        <v>4</v>
      </c>
      <c r="F135" s="50">
        <f>COUNTIFS(Records[Organization],A135,Records[Tier],"CIO - Top Investment Executive")</f>
        <v/>
      </c>
      <c r="G135" s="50">
        <f>IF(COUNTIFS(Records[Organization],A135,Records[Include],"Y")&gt;0,"Y","")</f>
        <v/>
      </c>
    </row>
    <row r="136">
      <c r="A136" t="inlineStr">
        <is>
          <t>Alfred P Sloan Foundation</t>
        </is>
      </c>
      <c r="B136" s="50" t="inlineStr">
        <is>
          <t>NY</t>
        </is>
      </c>
      <c r="C136" s="52" t="n">
        <v>2.05</v>
      </c>
      <c r="D136" t="inlineStr">
        <is>
          <t>Foundation</t>
        </is>
      </c>
      <c r="E136" s="50" t="n">
        <v>6</v>
      </c>
      <c r="F136" s="50">
        <f>COUNTIFS(Records[Organization],A136,Records[Tier],"CIO - Top Investment Executive")</f>
        <v/>
      </c>
      <c r="G136" s="50">
        <f>IF(COUNTIFS(Records[Organization],A136,Records[Include],"Y")&gt;0,"Y","")</f>
        <v/>
      </c>
    </row>
    <row r="137">
      <c r="A137" t="inlineStr">
        <is>
          <t>The New York Public Library Astor Lenox And Tilden Foundations</t>
        </is>
      </c>
      <c r="B137" s="50" t="inlineStr">
        <is>
          <t>NY</t>
        </is>
      </c>
      <c r="C137" s="52" t="n">
        <v>2.01</v>
      </c>
      <c r="D137" t="inlineStr">
        <is>
          <t>Other</t>
        </is>
      </c>
      <c r="E137" s="50" t="n">
        <v>12</v>
      </c>
      <c r="F137" s="50">
        <f>COUNTIFS(Records[Organization],A137,Records[Tier],"CIO - Top Investment Executive")</f>
        <v/>
      </c>
      <c r="G137" s="50">
        <f>IF(COUNTIFS(Records[Organization],A137,Records[Include],"Y")&gt;0,"Y","")</f>
        <v/>
      </c>
    </row>
    <row r="138">
      <c r="A138" t="inlineStr">
        <is>
          <t>Lehigh University</t>
        </is>
      </c>
      <c r="B138" s="50" t="inlineStr">
        <is>
          <t>PA</t>
        </is>
      </c>
      <c r="C138" s="52" t="n">
        <v>2</v>
      </c>
      <c r="D138" t="inlineStr">
        <is>
          <t>Endowment</t>
        </is>
      </c>
      <c r="E138" s="50" t="n">
        <v>8</v>
      </c>
      <c r="F138" s="50">
        <f>COUNTIFS(Records[Organization],A138,Records[Tier],"CIO - Top Investment Executive")</f>
        <v/>
      </c>
      <c r="G138" s="50">
        <f>IF(COUNTIFS(Records[Organization],A138,Records[Include],"Y")&gt;0,"Y","")</f>
        <v/>
      </c>
    </row>
    <row r="139">
      <c r="A139" t="inlineStr">
        <is>
          <t>M J Murdock Charitable Trust</t>
        </is>
      </c>
      <c r="B139" s="50" t="inlineStr">
        <is>
          <t>WA</t>
        </is>
      </c>
      <c r="C139" s="52" t="n">
        <v>1.96</v>
      </c>
      <c r="D139" t="inlineStr">
        <is>
          <t>Foundation</t>
        </is>
      </c>
      <c r="E139" s="50" t="n">
        <v>6</v>
      </c>
      <c r="F139" s="50">
        <f>COUNTIFS(Records[Organization],A139,Records[Tier],"CIO - Top Investment Executive")</f>
        <v/>
      </c>
      <c r="G139" s="50">
        <f>IF(COUNTIFS(Records[Organization],A139,Records[Include],"Y")&gt;0,"Y","")</f>
        <v/>
      </c>
    </row>
    <row r="140">
      <c r="A140" t="inlineStr">
        <is>
          <t>Mount Sinai Hospital</t>
        </is>
      </c>
      <c r="B140" s="50" t="inlineStr">
        <is>
          <t>NY</t>
        </is>
      </c>
      <c r="C140" s="52" t="n">
        <v>1.96</v>
      </c>
      <c r="D140" t="inlineStr">
        <is>
          <t>Healthcare</t>
        </is>
      </c>
      <c r="E140" s="50" t="n">
        <v>3</v>
      </c>
      <c r="F140" s="50">
        <f>COUNTIFS(Records[Organization],A140,Records[Tier],"CIO - Top Investment Executive")</f>
        <v/>
      </c>
      <c r="G140" s="50">
        <f>IF(COUNTIFS(Records[Organization],A140,Records[Include],"Y")&gt;0,"Y","")</f>
        <v/>
      </c>
    </row>
    <row r="141">
      <c r="A141" t="inlineStr">
        <is>
          <t>Museum Of Modern Art</t>
        </is>
      </c>
      <c r="B141" s="50" t="inlineStr">
        <is>
          <t>NY</t>
        </is>
      </c>
      <c r="C141" s="52" t="n">
        <v>1.95</v>
      </c>
      <c r="D141" t="inlineStr">
        <is>
          <t>Other</t>
        </is>
      </c>
      <c r="E141" s="50" t="n">
        <v>7</v>
      </c>
      <c r="F141" s="50">
        <f>COUNTIFS(Records[Organization],A141,Records[Tier],"CIO - Top Investment Executive")</f>
        <v/>
      </c>
      <c r="G141" s="50">
        <f>IF(COUNTIFS(Records[Organization],A141,Records[Include],"Y")&gt;0,"Y","")</f>
        <v/>
      </c>
    </row>
    <row r="142">
      <c r="A142" t="inlineStr">
        <is>
          <t>Trinity University</t>
        </is>
      </c>
      <c r="B142" s="50" t="inlineStr">
        <is>
          <t>TX</t>
        </is>
      </c>
      <c r="C142" s="52" t="n">
        <v>1.94</v>
      </c>
      <c r="D142" t="inlineStr">
        <is>
          <t>Endowment</t>
        </is>
      </c>
      <c r="E142" s="50" t="n">
        <v>6</v>
      </c>
      <c r="F142" s="50">
        <f>COUNTIFS(Records[Organization],A142,Records[Tier],"CIO - Top Investment Executive")</f>
        <v/>
      </c>
      <c r="G142" s="50">
        <f>IF(COUNTIFS(Records[Organization],A142,Records[Include],"Y")&gt;0,"Y","")</f>
        <v/>
      </c>
    </row>
    <row r="143">
      <c r="A143" t="inlineStr">
        <is>
          <t>Iowa State University Foundation</t>
        </is>
      </c>
      <c r="B143" s="50" t="inlineStr">
        <is>
          <t>IA</t>
        </is>
      </c>
      <c r="C143" s="52" t="n">
        <v>1.91</v>
      </c>
      <c r="D143" t="inlineStr">
        <is>
          <t>Endowment</t>
        </is>
      </c>
      <c r="E143" s="50" t="n">
        <v>1</v>
      </c>
      <c r="F143" s="50">
        <f>COUNTIFS(Records[Organization],A143,Records[Tier],"CIO - Top Investment Executive")</f>
        <v/>
      </c>
      <c r="G143" s="50">
        <f>IF(COUNTIFS(Records[Organization],A143,Records[Include],"Y")&gt;0,"Y","")</f>
        <v/>
      </c>
    </row>
    <row r="144">
      <c r="A144" t="inlineStr">
        <is>
          <t>Museum Of Fine Arts Houston</t>
        </is>
      </c>
      <c r="B144" s="50" t="inlineStr">
        <is>
          <t>TX</t>
        </is>
      </c>
      <c r="C144" s="52" t="n">
        <v>1.87</v>
      </c>
      <c r="D144" t="inlineStr">
        <is>
          <t>Other</t>
        </is>
      </c>
      <c r="E144" s="50" t="n">
        <v>6</v>
      </c>
      <c r="F144" s="50">
        <f>COUNTIFS(Records[Organization],A144,Records[Tier],"CIO - Top Investment Executive")</f>
        <v/>
      </c>
      <c r="G144" s="50">
        <f>IF(COUNTIFS(Records[Organization],A144,Records[Include],"Y")&gt;0,"Y","")</f>
        <v/>
      </c>
    </row>
    <row r="145">
      <c r="A145" t="inlineStr">
        <is>
          <t>San Francisco Foundation</t>
        </is>
      </c>
      <c r="B145" s="50" t="inlineStr">
        <is>
          <t>CA</t>
        </is>
      </c>
      <c r="C145" s="52" t="n">
        <v>1.8</v>
      </c>
      <c r="D145" t="inlineStr">
        <is>
          <t>Foundation</t>
        </is>
      </c>
      <c r="E145" s="50" t="n">
        <v>7</v>
      </c>
      <c r="F145" s="50">
        <f>COUNTIFS(Records[Organization],A145,Records[Tier],"CIO - Top Investment Executive")</f>
        <v/>
      </c>
      <c r="G145" s="50">
        <f>IF(COUNTIFS(Records[Organization],A145,Records[Include],"Y")&gt;0,"Y","")</f>
        <v/>
      </c>
    </row>
    <row r="146">
      <c r="A146" t="inlineStr">
        <is>
          <t>University Of Massachusetts Foundation Inc</t>
        </is>
      </c>
      <c r="B146" s="50" t="inlineStr">
        <is>
          <t>MA</t>
        </is>
      </c>
      <c r="C146" s="52" t="n">
        <v>1.8</v>
      </c>
      <c r="D146" t="inlineStr">
        <is>
          <t>Endowment</t>
        </is>
      </c>
      <c r="E146" s="50" t="n">
        <v>12</v>
      </c>
      <c r="F146" s="50">
        <f>COUNTIFS(Records[Organization],A146,Records[Tier],"CIO - Top Investment Executive")</f>
        <v/>
      </c>
      <c r="G146" s="50">
        <f>IF(COUNTIFS(Records[Organization],A146,Records[Include],"Y")&gt;0,"Y","")</f>
        <v/>
      </c>
    </row>
    <row r="147">
      <c r="A147" t="inlineStr">
        <is>
          <t>National Geographic Society</t>
        </is>
      </c>
      <c r="B147" s="50" t="inlineStr">
        <is>
          <t>DC</t>
        </is>
      </c>
      <c r="C147" s="52" t="n">
        <v>1.71</v>
      </c>
      <c r="D147" t="inlineStr">
        <is>
          <t>Other</t>
        </is>
      </c>
      <c r="E147" s="50" t="n">
        <v>7</v>
      </c>
      <c r="F147" s="50">
        <f>COUNTIFS(Records[Organization],A147,Records[Tier],"CIO - Top Investment Executive")</f>
        <v/>
      </c>
      <c r="G147" s="50">
        <f>IF(COUNTIFS(Records[Organization],A147,Records[Include],"Y")&gt;0,"Y","")</f>
        <v/>
      </c>
    </row>
    <row r="148">
      <c r="A148" t="inlineStr">
        <is>
          <t>President Board Of Trustees Santa Clara College</t>
        </is>
      </c>
      <c r="B148" s="50" t="inlineStr">
        <is>
          <t>CA</t>
        </is>
      </c>
      <c r="C148" s="52" t="n">
        <v>1.67</v>
      </c>
      <c r="D148" t="inlineStr">
        <is>
          <t>Endowment</t>
        </is>
      </c>
      <c r="E148" s="50" t="n">
        <v>3</v>
      </c>
      <c r="F148" s="50">
        <f>COUNTIFS(Records[Organization],A148,Records[Tier],"CIO - Top Investment Executive")</f>
        <v/>
      </c>
      <c r="G148" s="50">
        <f>IF(COUNTIFS(Records[Organization],A148,Records[Include],"Y")&gt;0,"Y","")</f>
        <v/>
      </c>
    </row>
    <row r="149">
      <c r="A149" t="inlineStr">
        <is>
          <t>Saint Paul &amp; Minnesota Foundation</t>
        </is>
      </c>
      <c r="B149" s="50" t="inlineStr">
        <is>
          <t>MN</t>
        </is>
      </c>
      <c r="C149" s="52" t="n">
        <v>1.65</v>
      </c>
      <c r="D149" t="inlineStr">
        <is>
          <t>Foundation</t>
        </is>
      </c>
      <c r="E149" s="50" t="n">
        <v>6</v>
      </c>
      <c r="F149" s="50">
        <f>COUNTIFS(Records[Organization],A149,Records[Tier],"CIO - Top Investment Executive")</f>
        <v/>
      </c>
      <c r="G149" s="50">
        <f>IF(COUNTIFS(Records[Organization],A149,Records[Include],"Y")&gt;0,"Y","")</f>
        <v/>
      </c>
    </row>
    <row r="150">
      <c r="A150" t="inlineStr">
        <is>
          <t>The Wallace Foundation</t>
        </is>
      </c>
      <c r="B150" s="50" t="inlineStr">
        <is>
          <t>NY</t>
        </is>
      </c>
      <c r="C150" s="52" t="n">
        <v>1.64</v>
      </c>
      <c r="D150" t="inlineStr">
        <is>
          <t>Foundation</t>
        </is>
      </c>
      <c r="E150" s="50" t="n">
        <v>3</v>
      </c>
      <c r="F150" s="50">
        <f>COUNTIFS(Records[Organization],A150,Records[Tier],"CIO - Top Investment Executive")</f>
        <v/>
      </c>
      <c r="G150" s="50">
        <f>IF(COUNTIFS(Records[Organization],A150,Records[Include],"Y")&gt;0,"Y","")</f>
        <v/>
      </c>
    </row>
    <row r="151">
      <c r="A151" t="inlineStr">
        <is>
          <t>Wesleyan University</t>
        </is>
      </c>
      <c r="B151" s="50" t="inlineStr">
        <is>
          <t>CT</t>
        </is>
      </c>
      <c r="C151" s="52" t="n">
        <v>1.64</v>
      </c>
      <c r="D151" t="inlineStr">
        <is>
          <t>Endowment</t>
        </is>
      </c>
      <c r="E151" s="50" t="n">
        <v>12</v>
      </c>
      <c r="F151" s="50">
        <f>COUNTIFS(Records[Organization],A151,Records[Tier],"CIO - Top Investment Executive")</f>
        <v/>
      </c>
      <c r="G151" s="50">
        <f>IF(COUNTIFS(Records[Organization],A151,Records[Include],"Y")&gt;0,"Y","")</f>
        <v/>
      </c>
    </row>
    <row r="152">
      <c r="A152" t="inlineStr">
        <is>
          <t>Daniels Fund</t>
        </is>
      </c>
      <c r="B152" s="50" t="inlineStr">
        <is>
          <t>CO</t>
        </is>
      </c>
      <c r="C152" s="52" t="n">
        <v>1.61</v>
      </c>
      <c r="D152" t="inlineStr">
        <is>
          <t>Foundation</t>
        </is>
      </c>
      <c r="E152" s="50" t="n">
        <v>1</v>
      </c>
      <c r="F152" s="50">
        <f>COUNTIFS(Records[Organization],A152,Records[Tier],"CIO - Top Investment Executive")</f>
        <v/>
      </c>
      <c r="G152" s="50">
        <f>IF(COUNTIFS(Records[Organization],A152,Records[Include],"Y")&gt;0,"Y","")</f>
        <v/>
      </c>
    </row>
    <row r="153">
      <c r="A153" t="inlineStr">
        <is>
          <t>Soka University Of America</t>
        </is>
      </c>
      <c r="B153" s="50" t="inlineStr">
        <is>
          <t>CA</t>
        </is>
      </c>
      <c r="C153" s="52" t="n">
        <v>1.61</v>
      </c>
      <c r="D153" t="inlineStr">
        <is>
          <t>Endowment</t>
        </is>
      </c>
      <c r="E153" s="50" t="n">
        <v>4</v>
      </c>
      <c r="F153" s="50">
        <f>COUNTIFS(Records[Organization],A153,Records[Tier],"CIO - Top Investment Executive")</f>
        <v/>
      </c>
      <c r="G153" s="50">
        <f>IF(COUNTIFS(Records[Organization],A153,Records[Include],"Y")&gt;0,"Y","")</f>
        <v/>
      </c>
    </row>
    <row r="154">
      <c r="A154" t="inlineStr">
        <is>
          <t>Colgate University Treasurers Office</t>
        </is>
      </c>
      <c r="B154" s="50" t="inlineStr">
        <is>
          <t>NY</t>
        </is>
      </c>
      <c r="C154" s="52" t="n">
        <v>1.6</v>
      </c>
      <c r="D154" t="inlineStr">
        <is>
          <t>Endowment</t>
        </is>
      </c>
      <c r="E154" s="50" t="n">
        <v>5</v>
      </c>
      <c r="F154" s="50">
        <f>COUNTIFS(Records[Organization],A154,Records[Tier],"CIO - Top Investment Executive")</f>
        <v/>
      </c>
      <c r="G154" s="50">
        <f>IF(COUNTIFS(Records[Organization],A154,Records[Include],"Y")&gt;0,"Y","")</f>
        <v/>
      </c>
    </row>
    <row r="155">
      <c r="A155" t="inlineStr">
        <is>
          <t>William &amp; Mary Foundation</t>
        </is>
      </c>
      <c r="B155" s="50" t="inlineStr">
        <is>
          <t>VA</t>
        </is>
      </c>
      <c r="C155" s="52" t="n">
        <v>1.59</v>
      </c>
      <c r="D155" t="inlineStr">
        <is>
          <t>Foundation</t>
        </is>
      </c>
      <c r="E155" s="50" t="n">
        <v>5</v>
      </c>
      <c r="F155" s="50">
        <f>COUNTIFS(Records[Organization],A155,Records[Tier],"CIO - Top Investment Executive")</f>
        <v/>
      </c>
      <c r="G155" s="50">
        <f>IF(COUNTIFS(Records[Organization],A155,Records[Include],"Y")&gt;0,"Y","")</f>
        <v/>
      </c>
    </row>
    <row r="156">
      <c r="A156" t="inlineStr">
        <is>
          <t>Oklahoma State University Foundation</t>
        </is>
      </c>
      <c r="B156" s="50" t="inlineStr">
        <is>
          <t>OK</t>
        </is>
      </c>
      <c r="C156" s="52" t="n">
        <v>1.56</v>
      </c>
      <c r="D156" t="inlineStr">
        <is>
          <t>Endowment</t>
        </is>
      </c>
      <c r="E156" s="50" t="n">
        <v>5</v>
      </c>
      <c r="F156" s="50">
        <f>COUNTIFS(Records[Organization],A156,Records[Tier],"CIO - Top Investment Executive")</f>
        <v/>
      </c>
      <c r="G156" s="50">
        <f>IF(COUNTIFS(Records[Organization],A156,Records[Include],"Y")&gt;0,"Y","")</f>
        <v/>
      </c>
    </row>
    <row r="157">
      <c r="A157" t="inlineStr">
        <is>
          <t>United Jewish Appeal Federation Of Jewish Philanthropies Of Ny Inc</t>
        </is>
      </c>
      <c r="B157" s="50" t="inlineStr">
        <is>
          <t>NY</t>
        </is>
      </c>
      <c r="C157" s="52" t="n">
        <v>1.54</v>
      </c>
      <c r="D157" t="inlineStr">
        <is>
          <t>Foundation</t>
        </is>
      </c>
      <c r="E157" s="50" t="n">
        <v>11</v>
      </c>
      <c r="F157" s="50">
        <f>COUNTIFS(Records[Organization],A157,Records[Tier],"CIO - Top Investment Executive")</f>
        <v/>
      </c>
      <c r="G157" s="50">
        <f>IF(COUNTIFS(Records[Organization],A157,Records[Include],"Y")&gt;0,"Y","")</f>
        <v/>
      </c>
    </row>
    <row r="158">
      <c r="A158" t="inlineStr">
        <is>
          <t>Trustees Of Phillips Academy</t>
        </is>
      </c>
      <c r="B158" s="50" t="inlineStr">
        <is>
          <t>MA</t>
        </is>
      </c>
      <c r="C158" s="52" t="n">
        <v>1.51</v>
      </c>
      <c r="D158" t="inlineStr">
        <is>
          <t>Endowment</t>
        </is>
      </c>
      <c r="E158" s="50" t="n">
        <v>15</v>
      </c>
      <c r="F158" s="50">
        <f>COUNTIFS(Records[Organization],A158,Records[Tier],"CIO - Top Investment Executive")</f>
        <v/>
      </c>
      <c r="G158" s="50">
        <f>IF(COUNTIFS(Records[Organization],A158,Records[Include],"Y")&gt;0,"Y","")</f>
        <v/>
      </c>
    </row>
    <row r="159">
      <c r="A159" t="inlineStr">
        <is>
          <t>Trustees Of Hamilton College</t>
        </is>
      </c>
      <c r="B159" s="50" t="inlineStr">
        <is>
          <t>NY</t>
        </is>
      </c>
      <c r="C159" s="52" t="n">
        <v>1.5</v>
      </c>
      <c r="D159" t="inlineStr">
        <is>
          <t>Endowment</t>
        </is>
      </c>
      <c r="E159" s="50" t="n">
        <v>12</v>
      </c>
      <c r="F159" s="50">
        <f>COUNTIFS(Records[Organization],A159,Records[Tier],"CIO - Top Investment Executive")</f>
        <v/>
      </c>
      <c r="G159" s="50">
        <f>IF(COUNTIFS(Records[Organization],A159,Records[Include],"Y")&gt;0,"Y","")</f>
        <v/>
      </c>
    </row>
    <row r="160">
      <c r="A160" t="inlineStr">
        <is>
          <t>Oberlin College</t>
        </is>
      </c>
      <c r="B160" s="50" t="inlineStr">
        <is>
          <t>OH</t>
        </is>
      </c>
      <c r="C160" s="52" t="n">
        <v>1.48</v>
      </c>
      <c r="D160" t="inlineStr">
        <is>
          <t>Endowment</t>
        </is>
      </c>
      <c r="E160" s="50" t="n">
        <v>7</v>
      </c>
      <c r="F160" s="50">
        <f>COUNTIFS(Records[Organization],A160,Records[Tier],"CIO - Top Investment Executive")</f>
        <v/>
      </c>
      <c r="G160" s="50">
        <f>IF(COUNTIFS(Records[Organization],A160,Records[Include],"Y")&gt;0,"Y","")</f>
        <v/>
      </c>
    </row>
    <row r="161">
      <c r="A161" t="inlineStr">
        <is>
          <t>Dietrich Foundation</t>
        </is>
      </c>
      <c r="B161" s="50" t="inlineStr">
        <is>
          <t>PA</t>
        </is>
      </c>
      <c r="C161" s="52" t="n">
        <v>1.47</v>
      </c>
      <c r="D161" t="inlineStr">
        <is>
          <t>Foundation</t>
        </is>
      </c>
      <c r="E161" s="50" t="n">
        <v>12</v>
      </c>
      <c r="F161" s="50">
        <f>COUNTIFS(Records[Organization],A161,Records[Tier],"CIO - Top Investment Executive")</f>
        <v/>
      </c>
      <c r="G161" s="50">
        <f>IF(COUNTIFS(Records[Organization],A161,Records[Include],"Y")&gt;0,"Y","")</f>
        <v/>
      </c>
    </row>
    <row r="162">
      <c r="A162" t="inlineStr">
        <is>
          <t>Villanova University</t>
        </is>
      </c>
      <c r="B162" s="50" t="inlineStr">
        <is>
          <t>PA</t>
        </is>
      </c>
      <c r="C162" s="52" t="n">
        <v>1.47</v>
      </c>
      <c r="D162" t="inlineStr">
        <is>
          <t>Endowment</t>
        </is>
      </c>
      <c r="E162" s="50" t="n">
        <v>6</v>
      </c>
      <c r="F162" s="50">
        <f>COUNTIFS(Records[Organization],A162,Records[Tier],"CIO - Top Investment Executive")</f>
        <v/>
      </c>
      <c r="G162" s="50">
        <f>IF(COUNTIFS(Records[Organization],A162,Records[Include],"Y")&gt;0,"Y","")</f>
        <v/>
      </c>
    </row>
    <row r="163">
      <c r="A163" t="inlineStr">
        <is>
          <t>Davidson College</t>
        </is>
      </c>
      <c r="B163" s="50" t="inlineStr">
        <is>
          <t>NC</t>
        </is>
      </c>
      <c r="C163" s="52" t="n">
        <v>1.46</v>
      </c>
      <c r="D163" t="inlineStr">
        <is>
          <t>Endowment</t>
        </is>
      </c>
      <c r="E163" s="50" t="n">
        <v>8</v>
      </c>
      <c r="F163" s="50">
        <f>COUNTIFS(Records[Organization],A163,Records[Tier],"CIO - Top Investment Executive")</f>
        <v/>
      </c>
      <c r="G163" s="50">
        <f>IF(COUNTIFS(Records[Organization],A163,Records[Include],"Y")&gt;0,"Y","")</f>
        <v/>
      </c>
    </row>
    <row r="164">
      <c r="A164" t="inlineStr">
        <is>
          <t>Baylor College Of Medicine</t>
        </is>
      </c>
      <c r="B164" s="50" t="inlineStr">
        <is>
          <t>TX</t>
        </is>
      </c>
      <c r="C164" s="52" t="n">
        <v>1.43</v>
      </c>
      <c r="D164" t="inlineStr">
        <is>
          <t>Endowment</t>
        </is>
      </c>
      <c r="E164" s="50" t="n">
        <v>4</v>
      </c>
      <c r="F164" s="50">
        <f>COUNTIFS(Records[Organization],A164,Records[Tier],"CIO - Top Investment Executive")</f>
        <v/>
      </c>
      <c r="G164" s="50">
        <f>IF(COUNTIFS(Records[Organization],A164,Records[Include],"Y")&gt;0,"Y","")</f>
        <v/>
      </c>
    </row>
    <row r="165">
      <c r="A165" t="inlineStr">
        <is>
          <t>Christus Health</t>
        </is>
      </c>
      <c r="B165" s="50" t="inlineStr">
        <is>
          <t>TX</t>
        </is>
      </c>
      <c r="C165" s="52" t="n">
        <v>1.43</v>
      </c>
      <c r="D165" t="inlineStr">
        <is>
          <t>Healthcare</t>
        </is>
      </c>
      <c r="E165" s="50" t="n">
        <v>4</v>
      </c>
      <c r="F165" s="50">
        <f>COUNTIFS(Records[Organization],A165,Records[Tier],"CIO - Top Investment Executive")</f>
        <v/>
      </c>
      <c r="G165" s="50">
        <f>IF(COUNTIFS(Records[Organization],A165,Records[Include],"Y")&gt;0,"Y","")</f>
        <v/>
      </c>
    </row>
    <row r="166">
      <c r="A166" t="inlineStr">
        <is>
          <t>Brandeis University</t>
        </is>
      </c>
      <c r="B166" s="50" t="inlineStr">
        <is>
          <t>MA</t>
        </is>
      </c>
      <c r="C166" s="52" t="n">
        <v>1.36</v>
      </c>
      <c r="D166" t="inlineStr">
        <is>
          <t>Endowment</t>
        </is>
      </c>
      <c r="E166" s="50" t="n">
        <v>3</v>
      </c>
      <c r="F166" s="50">
        <f>COUNTIFS(Records[Organization],A166,Records[Tier],"CIO - Top Investment Executive")</f>
        <v/>
      </c>
      <c r="G166" s="50">
        <f>IF(COUNTIFS(Records[Organization],A166,Records[Include],"Y")&gt;0,"Y","")</f>
        <v/>
      </c>
    </row>
    <row r="167">
      <c r="A167" t="inlineStr">
        <is>
          <t>Bush Foundation</t>
        </is>
      </c>
      <c r="B167" s="50" t="inlineStr">
        <is>
          <t>MN</t>
        </is>
      </c>
      <c r="C167" s="52" t="n">
        <v>1.36</v>
      </c>
      <c r="D167" t="inlineStr">
        <is>
          <t>Foundation</t>
        </is>
      </c>
      <c r="E167" s="50" t="n">
        <v>3</v>
      </c>
      <c r="F167" s="50">
        <f>COUNTIFS(Records[Organization],A167,Records[Tier],"CIO - Top Investment Executive")</f>
        <v/>
      </c>
      <c r="G167" s="50">
        <f>IF(COUNTIFS(Records[Organization],A167,Records[Include],"Y")&gt;0,"Y","")</f>
        <v/>
      </c>
    </row>
    <row r="168">
      <c r="A168" t="inlineStr">
        <is>
          <t>Lumina Foundation For Education Inc</t>
        </is>
      </c>
      <c r="B168" s="50" t="inlineStr">
        <is>
          <t>IN</t>
        </is>
      </c>
      <c r="C168" s="52" t="n">
        <v>1.36</v>
      </c>
      <c r="D168" t="inlineStr">
        <is>
          <t>Foundation</t>
        </is>
      </c>
      <c r="E168" s="50" t="n">
        <v>3</v>
      </c>
      <c r="F168" s="50">
        <f>COUNTIFS(Records[Organization],A168,Records[Tier],"CIO - Top Investment Executive")</f>
        <v/>
      </c>
      <c r="G168" s="50">
        <f>IF(COUNTIFS(Records[Organization],A168,Records[Include],"Y")&gt;0,"Y","")</f>
        <v/>
      </c>
    </row>
    <row r="169">
      <c r="A169" t="inlineStr">
        <is>
          <t>National Fish And Wildlife Foundation</t>
        </is>
      </c>
      <c r="B169" s="50" t="inlineStr">
        <is>
          <t>DC</t>
        </is>
      </c>
      <c r="C169" s="52" t="n">
        <v>1.36</v>
      </c>
      <c r="D169" t="inlineStr">
        <is>
          <t>Foundation</t>
        </is>
      </c>
      <c r="E169" s="50" t="n">
        <v>4</v>
      </c>
      <c r="F169" s="50">
        <f>COUNTIFS(Records[Organization],A169,Records[Tier],"CIO - Top Investment Executive")</f>
        <v/>
      </c>
      <c r="G169" s="50">
        <f>IF(COUNTIFS(Records[Organization],A169,Records[Include],"Y")&gt;0,"Y","")</f>
        <v/>
      </c>
    </row>
    <row r="170">
      <c r="A170" t="inlineStr">
        <is>
          <t>Claremont Mckenna College</t>
        </is>
      </c>
      <c r="B170" s="50" t="inlineStr">
        <is>
          <t>CA</t>
        </is>
      </c>
      <c r="C170" s="52" t="n">
        <v>1.35</v>
      </c>
      <c r="D170" t="inlineStr">
        <is>
          <t>Endowment</t>
        </is>
      </c>
      <c r="E170" s="50" t="n">
        <v>6</v>
      </c>
      <c r="F170" s="50">
        <f>COUNTIFS(Records[Organization],A170,Records[Tier],"CIO - Top Investment Executive")</f>
        <v/>
      </c>
      <c r="G170" s="50">
        <f>IF(COUNTIFS(Records[Organization],A170,Records[Include],"Y")&gt;0,"Y","")</f>
        <v/>
      </c>
    </row>
    <row r="171">
      <c r="A171" t="inlineStr">
        <is>
          <t>Bryn Mawr College</t>
        </is>
      </c>
      <c r="B171" s="50" t="inlineStr">
        <is>
          <t>PA</t>
        </is>
      </c>
      <c r="C171" s="52" t="n">
        <v>1.34</v>
      </c>
      <c r="D171" t="inlineStr">
        <is>
          <t>Endowment</t>
        </is>
      </c>
      <c r="E171" s="50" t="n">
        <v>10</v>
      </c>
      <c r="F171" s="50">
        <f>COUNTIFS(Records[Organization],A171,Records[Tier],"CIO - Top Investment Executive")</f>
        <v/>
      </c>
      <c r="G171" s="50">
        <f>IF(COUNTIFS(Records[Organization],A171,Records[Include],"Y")&gt;0,"Y","")</f>
        <v/>
      </c>
    </row>
    <row r="172">
      <c r="A172" t="inlineStr">
        <is>
          <t>Red Gates Foundation</t>
        </is>
      </c>
      <c r="B172" s="50" t="inlineStr">
        <is>
          <t>VA</t>
        </is>
      </c>
      <c r="C172" s="52" t="n">
        <v>1.34</v>
      </c>
      <c r="D172" t="inlineStr">
        <is>
          <t>Foundation</t>
        </is>
      </c>
      <c r="E172" s="50" t="n">
        <v>2</v>
      </c>
      <c r="F172" s="50">
        <f>COUNTIFS(Records[Organization],A172,Records[Tier],"CIO - Top Investment Executive")</f>
        <v/>
      </c>
      <c r="G172" s="50">
        <f>IF(COUNTIFS(Records[Organization],A172,Records[Include],"Y")&gt;0,"Y","")</f>
        <v/>
      </c>
    </row>
    <row r="173">
      <c r="A173" t="inlineStr">
        <is>
          <t>The Annenberg Foundation</t>
        </is>
      </c>
      <c r="B173" s="50" t="inlineStr">
        <is>
          <t>PA</t>
        </is>
      </c>
      <c r="C173" s="52" t="n">
        <v>1.34</v>
      </c>
      <c r="D173" t="inlineStr">
        <is>
          <t>Foundation</t>
        </is>
      </c>
      <c r="E173" s="50" t="n">
        <v>3</v>
      </c>
      <c r="F173" s="50">
        <f>COUNTIFS(Records[Organization],A173,Records[Tier],"CIO - Top Investment Executive")</f>
        <v/>
      </c>
      <c r="G173" s="50">
        <f>IF(COUNTIFS(Records[Organization],A173,Records[Include],"Y")&gt;0,"Y","")</f>
        <v/>
      </c>
    </row>
    <row r="174">
      <c r="A174" t="inlineStr">
        <is>
          <t>Carleton College</t>
        </is>
      </c>
      <c r="B174" s="50" t="inlineStr">
        <is>
          <t>MN</t>
        </is>
      </c>
      <c r="C174" s="52" t="n">
        <v>1.33</v>
      </c>
      <c r="D174" t="inlineStr">
        <is>
          <t>Endowment</t>
        </is>
      </c>
      <c r="E174" s="50" t="n">
        <v>9</v>
      </c>
      <c r="F174" s="50">
        <f>COUNTIFS(Records[Organization],A174,Records[Tier],"CIO - Top Investment Executive")</f>
        <v/>
      </c>
      <c r="G174" s="50">
        <f>IF(COUNTIFS(Records[Organization],A174,Records[Include],"Y")&gt;0,"Y","")</f>
        <v/>
      </c>
    </row>
    <row r="175">
      <c r="A175" t="inlineStr">
        <is>
          <t>The Pittsburgh Foundation</t>
        </is>
      </c>
      <c r="B175" s="50" t="inlineStr">
        <is>
          <t>PA</t>
        </is>
      </c>
      <c r="C175" s="52" t="n">
        <v>1.32</v>
      </c>
      <c r="D175" t="inlineStr">
        <is>
          <t>Foundation</t>
        </is>
      </c>
      <c r="E175" s="50" t="n">
        <v>2</v>
      </c>
      <c r="F175" s="50">
        <f>COUNTIFS(Records[Organization],A175,Records[Tier],"CIO - Top Investment Executive")</f>
        <v/>
      </c>
      <c r="G175" s="50">
        <f>IF(COUNTIFS(Records[Organization],A175,Records[Include],"Y")&gt;0,"Y","")</f>
        <v/>
      </c>
    </row>
    <row r="176">
      <c r="A176" t="inlineStr">
        <is>
          <t>Boilermakers National Health &amp; Welfare Fund</t>
        </is>
      </c>
      <c r="B176" s="50" t="inlineStr">
        <is>
          <t>MN</t>
        </is>
      </c>
      <c r="C176" s="52" t="n">
        <v>1.3</v>
      </c>
      <c r="D176" t="inlineStr">
        <is>
          <t>Pension</t>
        </is>
      </c>
      <c r="E176" s="50" t="n">
        <v>3</v>
      </c>
      <c r="F176" s="50">
        <f>COUNTIFS(Records[Organization],A176,Records[Tier],"CIO - Top Investment Executive")</f>
        <v/>
      </c>
      <c r="G176" s="50">
        <f>IF(COUNTIFS(Records[Organization],A176,Records[Include],"Y")&gt;0,"Y","")</f>
        <v/>
      </c>
    </row>
    <row r="177">
      <c r="A177" t="inlineStr">
        <is>
          <t>Pepperdine University</t>
        </is>
      </c>
      <c r="B177" s="50" t="inlineStr">
        <is>
          <t>CA</t>
        </is>
      </c>
      <c r="C177" s="52" t="n">
        <v>1.29</v>
      </c>
      <c r="D177" t="inlineStr">
        <is>
          <t>Endowment</t>
        </is>
      </c>
      <c r="E177" s="50" t="n">
        <v>11</v>
      </c>
      <c r="F177" s="50">
        <f>COUNTIFS(Records[Organization],A177,Records[Tier],"CIO - Top Investment Executive")</f>
        <v/>
      </c>
      <c r="G177" s="50">
        <f>IF(COUNTIFS(Records[Organization],A177,Records[Include],"Y")&gt;0,"Y","")</f>
        <v/>
      </c>
    </row>
    <row r="178">
      <c r="A178" t="inlineStr">
        <is>
          <t>Institute For Advanced Study</t>
        </is>
      </c>
      <c r="B178" s="50" t="inlineStr">
        <is>
          <t>NJ</t>
        </is>
      </c>
      <c r="C178" s="52" t="n">
        <v>1.27</v>
      </c>
      <c r="D178" t="inlineStr">
        <is>
          <t>Other</t>
        </is>
      </c>
      <c r="E178" s="50" t="n">
        <v>7</v>
      </c>
      <c r="F178" s="50">
        <f>COUNTIFS(Records[Organization],A178,Records[Tier],"CIO - Top Investment Executive")</f>
        <v/>
      </c>
      <c r="G178" s="50">
        <f>IF(COUNTIFS(Records[Organization],A178,Records[Include],"Y")&gt;0,"Y","")</f>
        <v/>
      </c>
    </row>
    <row r="179">
      <c r="A179" t="inlineStr">
        <is>
          <t>Clemson University Foundation</t>
        </is>
      </c>
      <c r="B179" s="50" t="inlineStr">
        <is>
          <t>SC</t>
        </is>
      </c>
      <c r="C179" s="52" t="n">
        <v>1.24</v>
      </c>
      <c r="D179" t="inlineStr">
        <is>
          <t>Endowment</t>
        </is>
      </c>
      <c r="E179" s="50" t="n">
        <v>4</v>
      </c>
      <c r="F179" s="50">
        <f>COUNTIFS(Records[Organization],A179,Records[Tier],"CIO - Top Investment Executive")</f>
        <v/>
      </c>
      <c r="G179" s="50">
        <f>IF(COUNTIFS(Records[Organization],A179,Records[Include],"Y")&gt;0,"Y","")</f>
        <v/>
      </c>
    </row>
    <row r="180">
      <c r="A180" t="inlineStr">
        <is>
          <t>Beth Israel Deaconess Medical Center Inc</t>
        </is>
      </c>
      <c r="B180" s="50" t="inlineStr">
        <is>
          <t>MA</t>
        </is>
      </c>
      <c r="C180" s="52" t="n">
        <v>1.21</v>
      </c>
      <c r="D180" t="inlineStr">
        <is>
          <t>Healthcare</t>
        </is>
      </c>
      <c r="E180" s="50" t="n">
        <v>2</v>
      </c>
      <c r="F180" s="50">
        <f>COUNTIFS(Records[Organization],A180,Records[Tier],"CIO - Top Investment Executive")</f>
        <v/>
      </c>
      <c r="G180" s="50">
        <f>IF(COUNTIFS(Records[Organization],A180,Records[Include],"Y")&gt;0,"Y","")</f>
        <v/>
      </c>
    </row>
    <row r="181">
      <c r="A181" t="inlineStr">
        <is>
          <t>Joyce Foundation</t>
        </is>
      </c>
      <c r="B181" s="50" t="inlineStr">
        <is>
          <t>IL</t>
        </is>
      </c>
      <c r="C181" s="52" t="n">
        <v>1.21</v>
      </c>
      <c r="D181" t="inlineStr">
        <is>
          <t>Foundation</t>
        </is>
      </c>
      <c r="E181" s="50" t="n">
        <v>3</v>
      </c>
      <c r="F181" s="50">
        <f>COUNTIFS(Records[Organization],A181,Records[Tier],"CIO - Top Investment Executive")</f>
        <v/>
      </c>
      <c r="G181" s="50">
        <f>IF(COUNTIFS(Records[Organization],A181,Records[Include],"Y")&gt;0,"Y","")</f>
        <v/>
      </c>
    </row>
    <row r="182">
      <c r="A182" t="inlineStr">
        <is>
          <t>Lafayette College</t>
        </is>
      </c>
      <c r="B182" s="50" t="inlineStr">
        <is>
          <t>PA</t>
        </is>
      </c>
      <c r="C182" s="52" t="n">
        <v>1.2</v>
      </c>
      <c r="D182" t="inlineStr">
        <is>
          <t>Endowment</t>
        </is>
      </c>
      <c r="E182" s="50" t="n">
        <v>10</v>
      </c>
      <c r="F182" s="50">
        <f>COUNTIFS(Records[Organization],A182,Records[Tier],"CIO - Top Investment Executive")</f>
        <v/>
      </c>
      <c r="G182" s="50">
        <f>IF(COUNTIFS(Records[Organization],A182,Records[Include],"Y")&gt;0,"Y","")</f>
        <v/>
      </c>
    </row>
    <row r="183">
      <c r="A183" t="inlineStr">
        <is>
          <t>Loyola University Of Chicago</t>
        </is>
      </c>
      <c r="B183" s="50" t="inlineStr">
        <is>
          <t>IL</t>
        </is>
      </c>
      <c r="C183" s="52" t="n">
        <v>1.18</v>
      </c>
      <c r="D183" t="inlineStr">
        <is>
          <t>Endowment</t>
        </is>
      </c>
      <c r="E183" s="50" t="n">
        <v>4</v>
      </c>
      <c r="F183" s="50">
        <f>COUNTIFS(Records[Organization],A183,Records[Tier],"CIO - Top Investment Executive")</f>
        <v/>
      </c>
      <c r="G183" s="50">
        <f>IF(COUNTIFS(Records[Organization],A183,Records[Include],"Y")&gt;0,"Y","")</f>
        <v/>
      </c>
    </row>
    <row r="184">
      <c r="A184" t="inlineStr">
        <is>
          <t>Trustees Of Mount Holyoke College</t>
        </is>
      </c>
      <c r="B184" s="50" t="inlineStr">
        <is>
          <t>MA</t>
        </is>
      </c>
      <c r="C184" s="52" t="n">
        <v>1.18</v>
      </c>
      <c r="D184" t="inlineStr">
        <is>
          <t>Endowment</t>
        </is>
      </c>
      <c r="E184" s="50" t="n">
        <v>11</v>
      </c>
      <c r="F184" s="50">
        <f>COUNTIFS(Records[Organization],A184,Records[Tier],"CIO - Top Investment Executive")</f>
        <v/>
      </c>
      <c r="G184" s="50">
        <f>IF(COUNTIFS(Records[Organization],A184,Records[Include],"Y")&gt;0,"Y","")</f>
        <v/>
      </c>
    </row>
    <row r="185">
      <c r="A185" t="inlineStr">
        <is>
          <t>Diana Davis Spencer Foundation</t>
        </is>
      </c>
      <c r="B185" s="50" t="inlineStr">
        <is>
          <t>MD</t>
        </is>
      </c>
      <c r="C185" s="52" t="n">
        <v>1.17</v>
      </c>
      <c r="D185" t="inlineStr">
        <is>
          <t>Foundation</t>
        </is>
      </c>
      <c r="E185" s="50" t="n">
        <v>3</v>
      </c>
      <c r="F185" s="50">
        <f>COUNTIFS(Records[Organization],A185,Records[Tier],"CIO - Top Investment Executive")</f>
        <v/>
      </c>
      <c r="G185" s="50">
        <f>IF(COUNTIFS(Records[Organization],A185,Records[Include],"Y")&gt;0,"Y","")</f>
        <v/>
      </c>
    </row>
    <row r="186">
      <c r="A186" t="inlineStr">
        <is>
          <t>President &amp; Trustees Of Colby College</t>
        </is>
      </c>
      <c r="B186" s="50" t="inlineStr">
        <is>
          <t>ME</t>
        </is>
      </c>
      <c r="C186" s="52" t="n">
        <v>1.16</v>
      </c>
      <c r="D186" t="inlineStr">
        <is>
          <t>Endowment</t>
        </is>
      </c>
      <c r="E186" s="50" t="n">
        <v>7</v>
      </c>
      <c r="F186" s="50">
        <f>COUNTIFS(Records[Organization],A186,Records[Tier],"CIO - Top Investment Executive")</f>
        <v/>
      </c>
      <c r="G186" s="50">
        <f>IF(COUNTIFS(Records[Organization],A186,Records[Include],"Y")&gt;0,"Y","")</f>
        <v/>
      </c>
    </row>
    <row r="187">
      <c r="A187" t="inlineStr">
        <is>
          <t>Seattle Childrens Healthcare System</t>
        </is>
      </c>
      <c r="B187" s="50" t="inlineStr">
        <is>
          <t>WA</t>
        </is>
      </c>
      <c r="C187" s="52" t="n">
        <v>1.16</v>
      </c>
      <c r="D187" t="inlineStr">
        <is>
          <t>Healthcare</t>
        </is>
      </c>
      <c r="E187" s="50" t="n">
        <v>6</v>
      </c>
      <c r="F187" s="50">
        <f>COUNTIFS(Records[Organization],A187,Records[Tier],"CIO - Top Investment Executive")</f>
        <v/>
      </c>
      <c r="G187" s="50">
        <f>IF(COUNTIFS(Records[Organization],A187,Records[Include],"Y")&gt;0,"Y","")</f>
        <v/>
      </c>
    </row>
    <row r="188">
      <c r="A188" t="inlineStr">
        <is>
          <t>The New York And Presbyterian Hospital</t>
        </is>
      </c>
      <c r="B188" s="50" t="inlineStr">
        <is>
          <t>NY</t>
        </is>
      </c>
      <c r="C188" s="52" t="n">
        <v>1.14</v>
      </c>
      <c r="D188" t="inlineStr">
        <is>
          <t>Healthcare</t>
        </is>
      </c>
      <c r="E188" s="50" t="n">
        <v>3</v>
      </c>
      <c r="F188" s="50">
        <f>COUNTIFS(Records[Organization],A188,Records[Tier],"CIO - Top Investment Executive")</f>
        <v/>
      </c>
      <c r="G188" s="50">
        <f>IF(COUNTIFS(Records[Organization],A188,Records[Include],"Y")&gt;0,"Y","")</f>
        <v/>
      </c>
    </row>
    <row r="189">
      <c r="A189" t="inlineStr">
        <is>
          <t>Drexel University</t>
        </is>
      </c>
      <c r="B189" s="50" t="inlineStr">
        <is>
          <t>PA</t>
        </is>
      </c>
      <c r="C189" s="52" t="n">
        <v>1.13</v>
      </c>
      <c r="D189" t="inlineStr">
        <is>
          <t>Endowment</t>
        </is>
      </c>
      <c r="E189" s="50" t="n">
        <v>4</v>
      </c>
      <c r="F189" s="50">
        <f>COUNTIFS(Records[Organization],A189,Records[Tier],"CIO - Top Investment Executive")</f>
        <v/>
      </c>
      <c r="G189" s="50">
        <f>IF(COUNTIFS(Records[Organization],A189,Records[Include],"Y")&gt;0,"Y","")</f>
        <v/>
      </c>
    </row>
    <row r="190">
      <c r="A190" t="inlineStr">
        <is>
          <t>Marquette University</t>
        </is>
      </c>
      <c r="B190" s="50" t="inlineStr">
        <is>
          <t>WI</t>
        </is>
      </c>
      <c r="C190" s="52" t="n">
        <v>1.13</v>
      </c>
      <c r="D190" t="inlineStr">
        <is>
          <t>Endowment</t>
        </is>
      </c>
      <c r="E190" s="50" t="n">
        <v>4</v>
      </c>
      <c r="F190" s="50">
        <f>COUNTIFS(Records[Organization],A190,Records[Tier],"CIO - Top Investment Executive")</f>
        <v/>
      </c>
      <c r="G190" s="50">
        <f>IF(COUNTIFS(Records[Organization],A190,Records[Include],"Y")&gt;0,"Y","")</f>
        <v/>
      </c>
    </row>
    <row r="191">
      <c r="A191" t="inlineStr">
        <is>
          <t>Communities Foundation Of Texas</t>
        </is>
      </c>
      <c r="B191" s="50" t="inlineStr">
        <is>
          <t>TX</t>
        </is>
      </c>
      <c r="C191" s="52" t="n">
        <v>1.1</v>
      </c>
      <c r="D191" t="inlineStr">
        <is>
          <t>Foundation</t>
        </is>
      </c>
      <c r="E191" s="50" t="n">
        <v>4</v>
      </c>
      <c r="F191" s="50">
        <f>COUNTIFS(Records[Organization],A191,Records[Tier],"CIO - Top Investment Executive")</f>
        <v/>
      </c>
      <c r="G191" s="50">
        <f>IF(COUNTIFS(Records[Organization],A191,Records[Include],"Y")&gt;0,"Y","")</f>
        <v/>
      </c>
    </row>
    <row r="192">
      <c r="A192" t="inlineStr">
        <is>
          <t>Denison University</t>
        </is>
      </c>
      <c r="B192" s="50" t="inlineStr">
        <is>
          <t>OH</t>
        </is>
      </c>
      <c r="C192" s="52" t="n">
        <v>1.1</v>
      </c>
      <c r="D192" t="inlineStr">
        <is>
          <t>Endowment</t>
        </is>
      </c>
      <c r="E192" s="50" t="n">
        <v>13</v>
      </c>
      <c r="F192" s="50">
        <f>COUNTIFS(Records[Organization],A192,Records[Tier],"CIO - Top Investment Executive")</f>
        <v/>
      </c>
      <c r="G192" s="50">
        <f>IF(COUNTIFS(Records[Organization],A192,Records[Include],"Y")&gt;0,"Y","")</f>
        <v/>
      </c>
    </row>
    <row r="193">
      <c r="A193" t="inlineStr">
        <is>
          <t>Moses H Cone Memorial Hospital</t>
        </is>
      </c>
      <c r="B193" s="50" t="inlineStr">
        <is>
          <t>NC</t>
        </is>
      </c>
      <c r="C193" s="52" t="n">
        <v>1.07</v>
      </c>
      <c r="D193" t="inlineStr">
        <is>
          <t>Healthcare</t>
        </is>
      </c>
      <c r="E193" s="50" t="n">
        <v>3</v>
      </c>
      <c r="F193" s="50">
        <f>COUNTIFS(Records[Organization],A193,Records[Tier],"CIO - Top Investment Executive")</f>
        <v/>
      </c>
      <c r="G193" s="50">
        <f>IF(COUNTIFS(Records[Organization],A193,Records[Include],"Y")&gt;0,"Y","")</f>
        <v/>
      </c>
    </row>
    <row r="194">
      <c r="A194" t="inlineStr">
        <is>
          <t>Fordham University</t>
        </is>
      </c>
      <c r="B194" s="50" t="inlineStr">
        <is>
          <t>NY</t>
        </is>
      </c>
      <c r="C194" s="52" t="n">
        <v>1.05</v>
      </c>
      <c r="D194" t="inlineStr">
        <is>
          <t>Endowment</t>
        </is>
      </c>
      <c r="E194" s="50" t="n">
        <v>2</v>
      </c>
      <c r="F194" s="50">
        <f>COUNTIFS(Records[Organization],A194,Records[Tier],"CIO - Top Investment Executive")</f>
        <v/>
      </c>
      <c r="G194" s="50">
        <f>IF(COUNTIFS(Records[Organization],A194,Records[Include],"Y")&gt;0,"Y","")</f>
        <v/>
      </c>
    </row>
    <row r="195">
      <c r="A195" t="inlineStr">
        <is>
          <t>Rainwater Charitable Foundation</t>
        </is>
      </c>
      <c r="B195" s="50" t="inlineStr">
        <is>
          <t>TX</t>
        </is>
      </c>
      <c r="C195" s="52" t="n">
        <v>1.03</v>
      </c>
      <c r="D195" t="inlineStr">
        <is>
          <t>Foundation</t>
        </is>
      </c>
      <c r="E195" s="50" t="n">
        <v>7</v>
      </c>
      <c r="F195" s="50">
        <f>COUNTIFS(Records[Organization],A195,Records[Tier],"CIO - Top Investment Executive")</f>
        <v/>
      </c>
      <c r="G195" s="50">
        <f>IF(COUNTIFS(Records[Organization],A195,Records[Include],"Y")&gt;0,"Y","")</f>
        <v/>
      </c>
    </row>
    <row r="196">
      <c r="A196" t="inlineStr">
        <is>
          <t>University Of Mississippi Foundation</t>
        </is>
      </c>
      <c r="B196" s="50" t="inlineStr">
        <is>
          <t>MS</t>
        </is>
      </c>
      <c r="C196" s="52" t="n">
        <v>1</v>
      </c>
      <c r="D196" t="inlineStr">
        <is>
          <t>Endowment</t>
        </is>
      </c>
      <c r="E196" s="50" t="n">
        <v>2</v>
      </c>
      <c r="F196" s="50">
        <f>COUNTIFS(Records[Organization],A196,Records[Tier],"CIO - Top Investment Executive")</f>
        <v/>
      </c>
      <c r="G196" s="50">
        <f>IF(COUNTIFS(Records[Organization],A196,Records[Include],"Y")&gt;0,"Y","")</f>
        <v/>
      </c>
    </row>
    <row r="197">
      <c r="A197" t="inlineStr">
        <is>
          <t>Carnegie Institution Of Washington</t>
        </is>
      </c>
      <c r="B197" s="50" t="inlineStr">
        <is>
          <t>DC</t>
        </is>
      </c>
      <c r="C197" s="52" t="n">
        <v>0.99</v>
      </c>
      <c r="D197" t="inlineStr">
        <is>
          <t>Other</t>
        </is>
      </c>
      <c r="E197" s="50" t="n">
        <v>8</v>
      </c>
      <c r="F197" s="50">
        <f>COUNTIFS(Records[Organization],A197,Records[Tier],"CIO - Top Investment Executive")</f>
        <v/>
      </c>
      <c r="G197" s="50">
        <f>IF(COUNTIFS(Records[Organization],A197,Records[Include],"Y")&gt;0,"Y","")</f>
        <v/>
      </c>
    </row>
    <row r="198">
      <c r="A198" t="inlineStr">
        <is>
          <t>Principia Corporation</t>
        </is>
      </c>
      <c r="B198" s="50" t="inlineStr">
        <is>
          <t>MO</t>
        </is>
      </c>
      <c r="C198" s="52" t="n">
        <v>0.96</v>
      </c>
      <c r="D198" t="inlineStr">
        <is>
          <t>Endowment</t>
        </is>
      </c>
      <c r="E198" s="50" t="n">
        <v>4</v>
      </c>
      <c r="F198" s="50">
        <f>COUNTIFS(Records[Organization],A198,Records[Tier],"CIO - Top Investment Executive")</f>
        <v/>
      </c>
      <c r="G198" s="50">
        <f>IF(COUNTIFS(Records[Organization],A198,Records[Include],"Y")&gt;0,"Y","")</f>
        <v/>
      </c>
    </row>
    <row r="199">
      <c r="A199" t="inlineStr">
        <is>
          <t>Lynde And Harry Bradley Foundation Inc</t>
        </is>
      </c>
      <c r="B199" s="50" t="inlineStr">
        <is>
          <t>WI</t>
        </is>
      </c>
      <c r="C199" s="52" t="n">
        <v>0.95</v>
      </c>
      <c r="D199" t="inlineStr">
        <is>
          <t>Foundation</t>
        </is>
      </c>
      <c r="E199" s="50" t="n">
        <v>4</v>
      </c>
      <c r="F199" s="50">
        <f>COUNTIFS(Records[Organization],A199,Records[Tier],"CIO - Top Investment Executive")</f>
        <v/>
      </c>
      <c r="G199" s="50">
        <f>IF(COUNTIFS(Records[Organization],A199,Records[Include],"Y")&gt;0,"Y","")</f>
        <v/>
      </c>
    </row>
    <row r="200">
      <c r="A200" t="inlineStr">
        <is>
          <t>Sherman Fairchild Foundation Inc</t>
        </is>
      </c>
      <c r="B200" s="50" t="inlineStr">
        <is>
          <t>MD</t>
        </is>
      </c>
      <c r="C200" s="52" t="n">
        <v>0.95</v>
      </c>
      <c r="D200" t="inlineStr">
        <is>
          <t>Foundation</t>
        </is>
      </c>
      <c r="E200" s="50" t="n">
        <v>3</v>
      </c>
      <c r="F200" s="50">
        <f>COUNTIFS(Records[Organization],A200,Records[Tier],"CIO - Top Investment Executive")</f>
        <v/>
      </c>
      <c r="G200" s="50">
        <f>IF(COUNTIFS(Records[Organization],A200,Records[Include],"Y")&gt;0,"Y","")</f>
        <v/>
      </c>
    </row>
    <row r="201">
      <c r="A201" t="inlineStr">
        <is>
          <t>University Of Dayton</t>
        </is>
      </c>
      <c r="B201" s="50" t="inlineStr">
        <is>
          <t>OH</t>
        </is>
      </c>
      <c r="C201" s="52" t="n">
        <v>0.9399999999999999</v>
      </c>
      <c r="D201" t="inlineStr">
        <is>
          <t>Endowment</t>
        </is>
      </c>
      <c r="E201" s="50" t="n">
        <v>2</v>
      </c>
      <c r="F201" s="50">
        <f>COUNTIFS(Records[Organization],A201,Records[Tier],"CIO - Top Investment Executive")</f>
        <v/>
      </c>
      <c r="G201" s="50">
        <f>IF(COUNTIFS(Records[Organization],A201,Records[Include],"Y")&gt;0,"Y","")</f>
        <v/>
      </c>
    </row>
    <row r="202">
      <c r="A202" t="inlineStr">
        <is>
          <t>Chapman University</t>
        </is>
      </c>
      <c r="B202" s="50" t="inlineStr">
        <is>
          <t>CA</t>
        </is>
      </c>
      <c r="C202" s="52" t="n">
        <v>0.93</v>
      </c>
      <c r="D202" t="inlineStr">
        <is>
          <t>Endowment</t>
        </is>
      </c>
      <c r="E202" s="50" t="n">
        <v>8</v>
      </c>
      <c r="F202" s="50">
        <f>COUNTIFS(Records[Organization],A202,Records[Tier],"CIO - Top Investment Executive")</f>
        <v/>
      </c>
      <c r="G202" s="50">
        <f>IF(COUNTIFS(Records[Organization],A202,Records[Include],"Y")&gt;0,"Y","")</f>
        <v/>
      </c>
    </row>
    <row r="203">
      <c r="A203" t="inlineStr">
        <is>
          <t>Rush University Medical Center</t>
        </is>
      </c>
      <c r="B203" s="50" t="inlineStr">
        <is>
          <t>IL</t>
        </is>
      </c>
      <c r="C203" s="52" t="n">
        <v>0.93</v>
      </c>
      <c r="D203" t="inlineStr">
        <is>
          <t>Healthcare</t>
        </is>
      </c>
      <c r="E203" s="50" t="n">
        <v>5</v>
      </c>
      <c r="F203" s="50">
        <f>COUNTIFS(Records[Organization],A203,Records[Tier],"CIO - Top Investment Executive")</f>
        <v/>
      </c>
      <c r="G203" s="50">
        <f>IF(COUNTIFS(Records[Organization],A203,Records[Include],"Y")&gt;0,"Y","")</f>
        <v/>
      </c>
    </row>
    <row r="204">
      <c r="A204" t="inlineStr">
        <is>
          <t>Macalester College</t>
        </is>
      </c>
      <c r="B204" s="50" t="inlineStr">
        <is>
          <t>MN</t>
        </is>
      </c>
      <c r="C204" s="52" t="n">
        <v>0.92</v>
      </c>
      <c r="D204" t="inlineStr">
        <is>
          <t>Endowment</t>
        </is>
      </c>
      <c r="E204" s="50" t="n">
        <v>6</v>
      </c>
      <c r="F204" s="50">
        <f>COUNTIFS(Records[Organization],A204,Records[Tier],"CIO - Top Investment Executive")</f>
        <v/>
      </c>
      <c r="G204" s="50">
        <f>IF(COUNTIFS(Records[Organization],A204,Records[Include],"Y")&gt;0,"Y","")</f>
        <v/>
      </c>
    </row>
    <row r="205">
      <c r="A205" t="inlineStr">
        <is>
          <t>Ghr Foundation</t>
        </is>
      </c>
      <c r="B205" s="50" t="inlineStr">
        <is>
          <t>MN</t>
        </is>
      </c>
      <c r="C205" s="52" t="n">
        <v>0.91</v>
      </c>
      <c r="D205" t="inlineStr">
        <is>
          <t>Foundation</t>
        </is>
      </c>
      <c r="E205" s="50" t="n">
        <v>4</v>
      </c>
      <c r="F205" s="50">
        <f>COUNTIFS(Records[Organization],A205,Records[Tier],"CIO - Top Investment Executive")</f>
        <v/>
      </c>
      <c r="G205" s="50">
        <f>IF(COUNTIFS(Records[Organization],A205,Records[Include],"Y")&gt;0,"Y","")</f>
        <v/>
      </c>
    </row>
    <row r="206">
      <c r="A206" t="inlineStr">
        <is>
          <t>Kansas State University Foundation</t>
        </is>
      </c>
      <c r="B206" s="50" t="inlineStr">
        <is>
          <t>KS</t>
        </is>
      </c>
      <c r="C206" s="52" t="n">
        <v>0.9</v>
      </c>
      <c r="D206" t="inlineStr">
        <is>
          <t>Endowment</t>
        </is>
      </c>
      <c r="E206" s="50" t="n">
        <v>8</v>
      </c>
      <c r="F206" s="50">
        <f>COUNTIFS(Records[Organization],A206,Records[Tier],"CIO - Top Investment Executive")</f>
        <v/>
      </c>
      <c r="G206" s="50">
        <f>IF(COUNTIFS(Records[Organization],A206,Records[Include],"Y")&gt;0,"Y","")</f>
        <v/>
      </c>
    </row>
    <row r="207">
      <c r="A207" t="inlineStr">
        <is>
          <t>Abilene Christian University</t>
        </is>
      </c>
      <c r="B207" s="50" t="inlineStr">
        <is>
          <t>TX</t>
        </is>
      </c>
      <c r="C207" s="52" t="n">
        <v>0.89</v>
      </c>
      <c r="D207" t="inlineStr">
        <is>
          <t>Endowment</t>
        </is>
      </c>
      <c r="E207" s="50" t="n">
        <v>3</v>
      </c>
      <c r="F207" s="50">
        <f>COUNTIFS(Records[Organization],A207,Records[Tier],"CIO - Top Investment Executive")</f>
        <v/>
      </c>
      <c r="G207" s="50">
        <f>IF(COUNTIFS(Records[Organization],A207,Records[Include],"Y")&gt;0,"Y","")</f>
        <v/>
      </c>
    </row>
    <row r="208">
      <c r="A208" t="inlineStr">
        <is>
          <t>Furman University</t>
        </is>
      </c>
      <c r="B208" s="50" t="inlineStr">
        <is>
          <t>SC</t>
        </is>
      </c>
      <c r="C208" s="52" t="n">
        <v>0.89</v>
      </c>
      <c r="D208" t="inlineStr">
        <is>
          <t>Endowment</t>
        </is>
      </c>
      <c r="E208" s="50" t="n">
        <v>5</v>
      </c>
      <c r="F208" s="50">
        <f>COUNTIFS(Records[Organization],A208,Records[Tier],"CIO - Top Investment Executive")</f>
        <v/>
      </c>
      <c r="G208" s="50">
        <f>IF(COUNTIFS(Records[Organization],A208,Records[Include],"Y")&gt;0,"Y","")</f>
        <v/>
      </c>
    </row>
    <row r="209">
      <c r="A209" t="inlineStr">
        <is>
          <t>Meyer Memorial Trust</t>
        </is>
      </c>
      <c r="B209" s="50" t="inlineStr">
        <is>
          <t>OR</t>
        </is>
      </c>
      <c r="C209" s="52" t="n">
        <v>0.88</v>
      </c>
      <c r="D209" t="inlineStr">
        <is>
          <t>Foundation</t>
        </is>
      </c>
      <c r="E209" s="50" t="n">
        <v>5</v>
      </c>
      <c r="F209" s="50">
        <f>COUNTIFS(Records[Organization],A209,Records[Tier],"CIO - Top Investment Executive")</f>
        <v/>
      </c>
      <c r="G209" s="50">
        <f>IF(COUNTIFS(Records[Organization],A209,Records[Include],"Y")&gt;0,"Y","")</f>
        <v/>
      </c>
    </row>
    <row r="210">
      <c r="A210" t="inlineStr">
        <is>
          <t>Reed Institute</t>
        </is>
      </c>
      <c r="B210" s="50" t="inlineStr">
        <is>
          <t>OR</t>
        </is>
      </c>
      <c r="C210" s="52" t="n">
        <v>0.88</v>
      </c>
      <c r="D210" t="inlineStr">
        <is>
          <t>Endowment</t>
        </is>
      </c>
      <c r="E210" s="50" t="n">
        <v>7</v>
      </c>
      <c r="F210" s="50">
        <f>COUNTIFS(Records[Organization],A210,Records[Tier],"CIO - Top Investment Executive")</f>
        <v/>
      </c>
      <c r="G210" s="50">
        <f>IF(COUNTIFS(Records[Organization],A210,Records[Include],"Y")&gt;0,"Y","")</f>
        <v/>
      </c>
    </row>
    <row r="211">
      <c r="A211" t="inlineStr">
        <is>
          <t>University Of Wyoming Foundation</t>
        </is>
      </c>
      <c r="B211" s="50" t="inlineStr">
        <is>
          <t>WY</t>
        </is>
      </c>
      <c r="C211" s="52" t="n">
        <v>0.88</v>
      </c>
      <c r="D211" t="inlineStr">
        <is>
          <t>Endowment</t>
        </is>
      </c>
      <c r="E211" s="50" t="n">
        <v>7</v>
      </c>
      <c r="F211" s="50">
        <f>COUNTIFS(Records[Organization],A211,Records[Tier],"CIO - Top Investment Executive")</f>
        <v/>
      </c>
      <c r="G211" s="50">
        <f>IF(COUNTIFS(Records[Organization],A211,Records[Include],"Y")&gt;0,"Y","")</f>
        <v/>
      </c>
    </row>
    <row r="212">
      <c r="A212" t="inlineStr">
        <is>
          <t>Duquesne University Of The Holy Spirit</t>
        </is>
      </c>
      <c r="B212" s="50" t="inlineStr">
        <is>
          <t>PA</t>
        </is>
      </c>
      <c r="C212" s="52" t="n">
        <v>0.83</v>
      </c>
      <c r="D212" t="inlineStr">
        <is>
          <t>Endowment</t>
        </is>
      </c>
      <c r="E212" s="50" t="n">
        <v>3</v>
      </c>
      <c r="F212" s="50">
        <f>COUNTIFS(Records[Organization],A212,Records[Tier],"CIO - Top Investment Executive")</f>
        <v/>
      </c>
      <c r="G212" s="50">
        <f>IF(COUNTIFS(Records[Organization],A212,Records[Include],"Y")&gt;0,"Y","")</f>
        <v/>
      </c>
    </row>
    <row r="213">
      <c r="A213" t="inlineStr">
        <is>
          <t>Marguerite Casey Foundation</t>
        </is>
      </c>
      <c r="B213" s="50" t="inlineStr">
        <is>
          <t>WA</t>
        </is>
      </c>
      <c r="C213" s="52" t="n">
        <v>0.83</v>
      </c>
      <c r="D213" t="inlineStr">
        <is>
          <t>Foundation</t>
        </is>
      </c>
      <c r="E213" s="50" t="n">
        <v>4</v>
      </c>
      <c r="F213" s="50">
        <f>COUNTIFS(Records[Organization],A213,Records[Tier],"CIO - Top Investment Executive")</f>
        <v/>
      </c>
      <c r="G213" s="50">
        <f>IF(COUNTIFS(Records[Organization],A213,Records[Include],"Y")&gt;0,"Y","")</f>
        <v/>
      </c>
    </row>
    <row r="214">
      <c r="A214" t="inlineStr">
        <is>
          <t>American Institutes For Research In The Behavioral Sciences</t>
        </is>
      </c>
      <c r="B214" s="50" t="inlineStr">
        <is>
          <t>VA</t>
        </is>
      </c>
      <c r="C214" s="52" t="n">
        <v>0.82</v>
      </c>
      <c r="D214" t="inlineStr">
        <is>
          <t>Other</t>
        </is>
      </c>
      <c r="E214" s="50" t="n">
        <v>1</v>
      </c>
      <c r="F214" s="50">
        <f>COUNTIFS(Records[Organization],A214,Records[Tier],"CIO - Top Investment Executive")</f>
        <v/>
      </c>
      <c r="G214" s="50">
        <f>IF(COUNTIFS(Records[Organization],A214,Records[Include],"Y")&gt;0,"Y","")</f>
        <v/>
      </c>
    </row>
    <row r="215">
      <c r="A215" t="inlineStr">
        <is>
          <t>The Heinz Endowments</t>
        </is>
      </c>
      <c r="B215" s="50" t="inlineStr">
        <is>
          <t>PA</t>
        </is>
      </c>
      <c r="C215" s="52" t="n">
        <v>0.8</v>
      </c>
      <c r="D215" t="inlineStr">
        <is>
          <t>Foundation</t>
        </is>
      </c>
      <c r="E215" s="50" t="n">
        <v>3</v>
      </c>
      <c r="F215" s="50">
        <f>COUNTIFS(Records[Organization],A215,Records[Tier],"CIO - Top Investment Executive")</f>
        <v/>
      </c>
      <c r="G215" s="50">
        <f>IF(COUNTIFS(Records[Organization],A215,Records[Include],"Y")&gt;0,"Y","")</f>
        <v/>
      </c>
    </row>
    <row r="216">
      <c r="A216" t="inlineStr">
        <is>
          <t>University Of St Thomas</t>
        </is>
      </c>
      <c r="B216" s="50" t="inlineStr">
        <is>
          <t>MN</t>
        </is>
      </c>
      <c r="C216" s="52" t="n">
        <v>0.79</v>
      </c>
      <c r="D216" t="inlineStr">
        <is>
          <t>Endowment</t>
        </is>
      </c>
      <c r="E216" s="50" t="n">
        <v>2</v>
      </c>
      <c r="F216" s="50">
        <f>COUNTIFS(Records[Organization],A216,Records[Tier],"CIO - Top Investment Executive")</f>
        <v/>
      </c>
      <c r="G216" s="50">
        <f>IF(COUNTIFS(Records[Organization],A216,Records[Include],"Y")&gt;0,"Y","")</f>
        <v/>
      </c>
    </row>
    <row r="217">
      <c r="A217" t="inlineStr">
        <is>
          <t>Ahimsa Foundation</t>
        </is>
      </c>
      <c r="B217" s="50" t="inlineStr">
        <is>
          <t>CO</t>
        </is>
      </c>
      <c r="C217" s="52" t="n">
        <v>0.77</v>
      </c>
      <c r="D217" t="inlineStr">
        <is>
          <t>Foundation</t>
        </is>
      </c>
      <c r="E217" s="50" t="n">
        <v>1</v>
      </c>
      <c r="F217" s="50">
        <f>COUNTIFS(Records[Organization],A217,Records[Tier],"CIO - Top Investment Executive")</f>
        <v/>
      </c>
      <c r="G217" s="50">
        <f>IF(COUNTIFS(Records[Organization],A217,Records[Include],"Y")&gt;0,"Y","")</f>
        <v/>
      </c>
    </row>
    <row r="218">
      <c r="A218" t="inlineStr">
        <is>
          <t>Corporation Of Haverford College</t>
        </is>
      </c>
      <c r="B218" s="50" t="inlineStr">
        <is>
          <t>PA</t>
        </is>
      </c>
      <c r="C218" s="52" t="n">
        <v>0.76</v>
      </c>
      <c r="D218" t="inlineStr">
        <is>
          <t>Endowment</t>
        </is>
      </c>
      <c r="E218" s="50" t="n">
        <v>1</v>
      </c>
      <c r="F218" s="50">
        <f>COUNTIFS(Records[Organization],A218,Records[Tier],"CIO - Top Investment Executive")</f>
        <v/>
      </c>
      <c r="G218" s="50">
        <f>IF(COUNTIFS(Records[Organization],A218,Records[Include],"Y")&gt;0,"Y","")</f>
        <v/>
      </c>
    </row>
    <row r="219">
      <c r="A219" t="inlineStr">
        <is>
          <t>Cyrus Tang Foundation</t>
        </is>
      </c>
      <c r="B219" s="50" t="inlineStr">
        <is>
          <t>NV</t>
        </is>
      </c>
      <c r="C219" s="52" t="n">
        <v>0.76</v>
      </c>
      <c r="D219" t="inlineStr">
        <is>
          <t>Foundation</t>
        </is>
      </c>
      <c r="E219" s="50" t="n">
        <v>3</v>
      </c>
      <c r="F219" s="50">
        <f>COUNTIFS(Records[Organization],A219,Records[Tier],"CIO - Top Investment Executive")</f>
        <v/>
      </c>
      <c r="G219" s="50">
        <f>IF(COUNTIFS(Records[Organization],A219,Records[Include],"Y")&gt;0,"Y","")</f>
        <v/>
      </c>
    </row>
    <row r="220">
      <c r="A220" t="inlineStr">
        <is>
          <t>University Of South Carolina Educational Foundation</t>
        </is>
      </c>
      <c r="B220" s="50" t="inlineStr">
        <is>
          <t>SC</t>
        </is>
      </c>
      <c r="C220" s="52" t="n">
        <v>0.74</v>
      </c>
      <c r="D220" t="inlineStr">
        <is>
          <t>Endowment</t>
        </is>
      </c>
      <c r="E220" s="50" t="n">
        <v>4</v>
      </c>
      <c r="F220" s="50">
        <f>COUNTIFS(Records[Organization],A220,Records[Tier],"CIO - Top Investment Executive")</f>
        <v/>
      </c>
      <c r="G220" s="50">
        <f>IF(COUNTIFS(Records[Organization],A220,Records[Include],"Y")&gt;0,"Y","")</f>
        <v/>
      </c>
    </row>
    <row r="221">
      <c r="A221" t="inlineStr">
        <is>
          <t>Council On Foreign Relations Inc</t>
        </is>
      </c>
      <c r="B221" s="50" t="inlineStr">
        <is>
          <t>NY</t>
        </is>
      </c>
      <c r="C221" s="52" t="n">
        <v>0.73</v>
      </c>
      <c r="D221" t="inlineStr">
        <is>
          <t>Other</t>
        </is>
      </c>
      <c r="E221" s="50" t="n">
        <v>6</v>
      </c>
      <c r="F221" s="50">
        <f>COUNTIFS(Records[Organization],A221,Records[Tier],"CIO - Top Investment Executive")</f>
        <v/>
      </c>
      <c r="G221" s="50">
        <f>IF(COUNTIFS(Records[Organization],A221,Records[Include],"Y")&gt;0,"Y","")</f>
        <v/>
      </c>
    </row>
    <row r="222">
      <c r="A222" t="inlineStr">
        <is>
          <t>Yeshiva University</t>
        </is>
      </c>
      <c r="B222" s="50" t="inlineStr">
        <is>
          <t>NY</t>
        </is>
      </c>
      <c r="C222" s="52" t="n">
        <v>0.71</v>
      </c>
      <c r="D222" t="inlineStr">
        <is>
          <t>Endowment</t>
        </is>
      </c>
      <c r="E222" s="50" t="n">
        <v>4</v>
      </c>
      <c r="F222" s="50">
        <f>COUNTIFS(Records[Organization],A222,Records[Tier],"CIO - Top Investment Executive")</f>
        <v/>
      </c>
      <c r="G222" s="50">
        <f>IF(COUNTIFS(Records[Organization],A222,Records[Include],"Y")&gt;0,"Y","")</f>
        <v/>
      </c>
    </row>
    <row r="223">
      <c r="A223" t="inlineStr">
        <is>
          <t>College Of The Ozarks</t>
        </is>
      </c>
      <c r="B223" s="50" t="inlineStr">
        <is>
          <t>MO</t>
        </is>
      </c>
      <c r="C223" s="52" t="n">
        <v>0.7</v>
      </c>
      <c r="D223" t="inlineStr">
        <is>
          <t>Endowment</t>
        </is>
      </c>
      <c r="E223" s="50" t="n">
        <v>1</v>
      </c>
      <c r="F223" s="50">
        <f>COUNTIFS(Records[Organization],A223,Records[Tier],"CIO - Top Investment Executive")</f>
        <v/>
      </c>
      <c r="G223" s="50">
        <f>IF(COUNTIFS(Records[Organization],A223,Records[Include],"Y")&gt;0,"Y","")</f>
        <v/>
      </c>
    </row>
    <row r="224">
      <c r="A224" t="inlineStr">
        <is>
          <t>Conference On Jewish Material Claims Against Germany</t>
        </is>
      </c>
      <c r="B224" s="50" t="inlineStr">
        <is>
          <t>NY</t>
        </is>
      </c>
      <c r="C224" s="52" t="n">
        <v>0.6899999999999999</v>
      </c>
      <c r="D224" t="inlineStr">
        <is>
          <t>Other</t>
        </is>
      </c>
      <c r="E224" s="50" t="n">
        <v>2</v>
      </c>
      <c r="F224" s="50">
        <f>COUNTIFS(Records[Organization],A224,Records[Tier],"CIO - Top Investment Executive")</f>
        <v/>
      </c>
      <c r="G224" s="50">
        <f>IF(COUNTIFS(Records[Organization],A224,Records[Include],"Y")&gt;0,"Y","")</f>
        <v/>
      </c>
    </row>
    <row r="225">
      <c r="A225" t="inlineStr">
        <is>
          <t>Henry J Kaiser Family Foundation</t>
        </is>
      </c>
      <c r="B225" s="50" t="inlineStr">
        <is>
          <t>CA</t>
        </is>
      </c>
      <c r="C225" s="52" t="n">
        <v>0.6899999999999999</v>
      </c>
      <c r="D225" t="inlineStr">
        <is>
          <t>Foundation</t>
        </is>
      </c>
      <c r="E225" s="50" t="n">
        <v>5</v>
      </c>
      <c r="F225" s="50">
        <f>COUNTIFS(Records[Organization],A225,Records[Tier],"CIO - Top Investment Executive")</f>
        <v/>
      </c>
      <c r="G225" s="50">
        <f>IF(COUNTIFS(Records[Organization],A225,Records[Include],"Y")&gt;0,"Y","")</f>
        <v/>
      </c>
    </row>
    <row r="226">
      <c r="A226" t="inlineStr">
        <is>
          <t>Wheaton College</t>
        </is>
      </c>
      <c r="B226" s="50" t="inlineStr">
        <is>
          <t>IL</t>
        </is>
      </c>
      <c r="C226" s="52" t="n">
        <v>0.67</v>
      </c>
      <c r="D226" t="inlineStr">
        <is>
          <t>Endowment</t>
        </is>
      </c>
      <c r="E226" s="50" t="n">
        <v>4</v>
      </c>
      <c r="F226" s="50">
        <f>COUNTIFS(Records[Organization],A226,Records[Tier],"CIO - Top Investment Executive")</f>
        <v/>
      </c>
      <c r="G226" s="50">
        <f>IF(COUNTIFS(Records[Organization],A226,Records[Include],"Y")&gt;0,"Y","")</f>
        <v/>
      </c>
    </row>
    <row r="227">
      <c r="A227" t="inlineStr">
        <is>
          <t>International City Management Association Retirement Corporation</t>
        </is>
      </c>
      <c r="B227" s="50" t="inlineStr">
        <is>
          <t>DC</t>
        </is>
      </c>
      <c r="C227" s="52" t="n">
        <v>0.63</v>
      </c>
      <c r="D227" t="inlineStr">
        <is>
          <t>Pension</t>
        </is>
      </c>
      <c r="E227" s="50" t="n">
        <v>6</v>
      </c>
      <c r="F227" s="50">
        <f>COUNTIFS(Records[Organization],A227,Records[Tier],"CIO - Top Investment Executive")</f>
        <v/>
      </c>
      <c r="G227" s="50">
        <f>IF(COUNTIFS(Records[Organization],A227,Records[Include],"Y")&gt;0,"Y","")</f>
        <v/>
      </c>
    </row>
    <row r="228">
      <c r="A228" t="inlineStr">
        <is>
          <t>Community Foundation For Greater New Haven</t>
        </is>
      </c>
      <c r="B228" s="50" t="inlineStr">
        <is>
          <t>CT</t>
        </is>
      </c>
      <c r="C228" s="52" t="n">
        <v>0.61</v>
      </c>
      <c r="D228" t="inlineStr">
        <is>
          <t>Foundation</t>
        </is>
      </c>
      <c r="E228" s="50" t="n">
        <v>4</v>
      </c>
      <c r="F228" s="50">
        <f>COUNTIFS(Records[Organization],A228,Records[Tier],"CIO - Top Investment Executive")</f>
        <v/>
      </c>
      <c r="G228" s="50">
        <f>IF(COUNTIFS(Records[Organization],A228,Records[Include],"Y")&gt;0,"Y","")</f>
        <v/>
      </c>
    </row>
    <row r="229">
      <c r="A229" t="inlineStr">
        <is>
          <t>Betterlife</t>
        </is>
      </c>
      <c r="B229" s="50" t="inlineStr">
        <is>
          <t>WI</t>
        </is>
      </c>
      <c r="C229" s="52" t="n">
        <v>0.59</v>
      </c>
      <c r="D229" t="inlineStr">
        <is>
          <t>Other</t>
        </is>
      </c>
      <c r="E229" s="50" t="n">
        <v>2</v>
      </c>
      <c r="F229" s="50">
        <f>COUNTIFS(Records[Organization],A229,Records[Tier],"CIO - Top Investment Executive")</f>
        <v/>
      </c>
      <c r="G229" s="50">
        <f>IF(COUNTIFS(Records[Organization],A229,Records[Include],"Y")&gt;0,"Y","")</f>
        <v/>
      </c>
    </row>
    <row r="230">
      <c r="A230" t="inlineStr">
        <is>
          <t>The Grace And Mercy Foundation Inc</t>
        </is>
      </c>
      <c r="B230" s="50" t="inlineStr">
        <is>
          <t>NY</t>
        </is>
      </c>
      <c r="C230" s="52" t="n">
        <v>0.59</v>
      </c>
      <c r="D230" t="inlineStr">
        <is>
          <t>Foundation</t>
        </is>
      </c>
      <c r="E230" s="50" t="n">
        <v>14</v>
      </c>
      <c r="F230" s="50">
        <f>COUNTIFS(Records[Organization],A230,Records[Tier],"CIO - Top Investment Executive")</f>
        <v/>
      </c>
      <c r="G230" s="50">
        <f>IF(COUNTIFS(Records[Organization],A230,Records[Include],"Y")&gt;0,"Y","")</f>
        <v/>
      </c>
    </row>
    <row r="231">
      <c r="A231" t="inlineStr">
        <is>
          <t>Spelman College</t>
        </is>
      </c>
      <c r="B231" s="50" t="inlineStr">
        <is>
          <t>GA</t>
        </is>
      </c>
      <c r="C231" s="52" t="n">
        <v>0.57</v>
      </c>
      <c r="D231" t="inlineStr">
        <is>
          <t>Endowment</t>
        </is>
      </c>
      <c r="E231" s="50" t="n">
        <v>4</v>
      </c>
      <c r="F231" s="50">
        <f>COUNTIFS(Records[Organization],A231,Records[Tier],"CIO - Top Investment Executive")</f>
        <v/>
      </c>
      <c r="G231" s="50">
        <f>IF(COUNTIFS(Records[Organization],A231,Records[Include],"Y")&gt;0,"Y","")</f>
        <v/>
      </c>
    </row>
    <row r="232">
      <c r="A232" t="inlineStr">
        <is>
          <t>American Armed Forces Mutual Aid Association</t>
        </is>
      </c>
      <c r="B232" s="50" t="inlineStr">
        <is>
          <t>VA</t>
        </is>
      </c>
      <c r="C232" s="52" t="n">
        <v>0.55</v>
      </c>
      <c r="D232" t="inlineStr">
        <is>
          <t>Pension</t>
        </is>
      </c>
      <c r="E232" s="50" t="n">
        <v>8</v>
      </c>
      <c r="F232" s="50">
        <f>COUNTIFS(Records[Organization],A232,Records[Tier],"CIO - Top Investment Executive")</f>
        <v/>
      </c>
      <c r="G232" s="50">
        <f>IF(COUNTIFS(Records[Organization],A232,Records[Include],"Y")&gt;0,"Y","")</f>
        <v/>
      </c>
    </row>
    <row r="233">
      <c r="A233" t="inlineStr">
        <is>
          <t>Community Foundation Of North Texas</t>
        </is>
      </c>
      <c r="B233" s="50" t="inlineStr">
        <is>
          <t>TX</t>
        </is>
      </c>
      <c r="C233" s="52" t="n">
        <v>0.5</v>
      </c>
      <c r="D233" t="inlineStr">
        <is>
          <t>Foundation</t>
        </is>
      </c>
      <c r="E233" s="50" t="n">
        <v>2</v>
      </c>
      <c r="F233" s="50">
        <f>COUNTIFS(Records[Organization],A233,Records[Tier],"CIO - Top Investment Executive")</f>
        <v/>
      </c>
      <c r="G233" s="50">
        <f>IF(COUNTIFS(Records[Organization],A233,Records[Include],"Y")&gt;0,"Y","")</f>
        <v/>
      </c>
    </row>
    <row r="234">
      <c r="A234" t="inlineStr">
        <is>
          <t>Brookings Institution</t>
        </is>
      </c>
      <c r="B234" s="50" t="inlineStr">
        <is>
          <t>DC</t>
        </is>
      </c>
      <c r="C234" s="52" t="n">
        <v>0.47</v>
      </c>
      <c r="D234" t="inlineStr">
        <is>
          <t>Other</t>
        </is>
      </c>
      <c r="E234" s="50" t="n">
        <v>5</v>
      </c>
      <c r="F234" s="50">
        <f>COUNTIFS(Records[Organization],A234,Records[Tier],"CIO - Top Investment Executive")</f>
        <v/>
      </c>
      <c r="G234" s="50">
        <f>IF(COUNTIFS(Records[Organization],A234,Records[Include],"Y")&gt;0,"Y","")</f>
        <v/>
      </c>
    </row>
    <row r="235">
      <c r="A235" t="inlineStr">
        <is>
          <t>Kimbell Art Foundation</t>
        </is>
      </c>
      <c r="B235" s="50" t="inlineStr">
        <is>
          <t>TX</t>
        </is>
      </c>
      <c r="C235" s="52" t="n">
        <v>0.44</v>
      </c>
      <c r="D235" t="inlineStr">
        <is>
          <t>Foundation</t>
        </is>
      </c>
      <c r="E235" s="50" t="n">
        <v>4</v>
      </c>
      <c r="F235" s="50">
        <f>COUNTIFS(Records[Organization],A235,Records[Tier],"CIO - Top Investment Executive")</f>
        <v/>
      </c>
      <c r="G235" s="50">
        <f>IF(COUNTIFS(Records[Organization],A235,Records[Include],"Y")&gt;0,"Y","")</f>
        <v/>
      </c>
    </row>
    <row r="236">
      <c r="A236" t="inlineStr">
        <is>
          <t>W K Kellogg Foundation</t>
        </is>
      </c>
      <c r="B236" s="50" t="inlineStr">
        <is>
          <t>MI</t>
        </is>
      </c>
      <c r="C236" s="52" t="n">
        <v>0.38</v>
      </c>
      <c r="D236" t="inlineStr">
        <is>
          <t>Foundation</t>
        </is>
      </c>
      <c r="E236" s="50" t="n">
        <v>16</v>
      </c>
      <c r="F236" s="50">
        <f>COUNTIFS(Records[Organization],A236,Records[Tier],"CIO - Top Investment Executive")</f>
        <v/>
      </c>
      <c r="G236" s="50">
        <f>IF(COUNTIFS(Records[Organization],A236,Records[Include],"Y")&gt;0,"Y","")</f>
        <v/>
      </c>
    </row>
    <row r="237">
      <c r="A237" t="inlineStr">
        <is>
          <t>Asu Enterprise Partners</t>
        </is>
      </c>
      <c r="B237" s="50" t="inlineStr">
        <is>
          <t>AZ</t>
        </is>
      </c>
      <c r="C237" s="52" t="n">
        <v>0.28</v>
      </c>
      <c r="D237" t="inlineStr">
        <is>
          <t>Endowment</t>
        </is>
      </c>
      <c r="E237" s="50" t="n">
        <v>4</v>
      </c>
      <c r="F237" s="50">
        <f>COUNTIFS(Records[Organization],A237,Records[Tier],"CIO - Top Investment Executive")</f>
        <v/>
      </c>
      <c r="G237" s="50">
        <f>IF(COUNTIFS(Records[Organization],A237,Records[Include],"Y")&gt;0,"Y","")</f>
        <v/>
      </c>
    </row>
    <row r="238">
      <c r="A238" t="inlineStr">
        <is>
          <t>Mercy Corps</t>
        </is>
      </c>
      <c r="B238" s="50" t="inlineStr">
        <is>
          <t>OR</t>
        </is>
      </c>
      <c r="C238" s="52" t="n">
        <v>0.26</v>
      </c>
      <c r="D238" t="inlineStr">
        <is>
          <t>Other</t>
        </is>
      </c>
      <c r="E238" s="50" t="n">
        <v>1</v>
      </c>
      <c r="F238" s="50">
        <f>COUNTIFS(Records[Organization],A238,Records[Tier],"CIO - Top Investment Executive")</f>
        <v/>
      </c>
      <c r="G238" s="50">
        <f>IF(COUNTIFS(Records[Organization],A238,Records[Include],"Y")&gt;0,"Y","")</f>
        <v/>
      </c>
    </row>
    <row r="239">
      <c r="A239" t="inlineStr">
        <is>
          <t>Maclellan Foundation Inc</t>
        </is>
      </c>
      <c r="B239" s="50" t="inlineStr">
        <is>
          <t>TN</t>
        </is>
      </c>
      <c r="C239" s="52" t="n">
        <v>0.24</v>
      </c>
      <c r="D239" t="inlineStr">
        <is>
          <t>Foundation</t>
        </is>
      </c>
      <c r="E239" s="50" t="n">
        <v>3</v>
      </c>
      <c r="F239" s="50">
        <f>COUNTIFS(Records[Organization],A239,Records[Tier],"CIO - Top Investment Executive")</f>
        <v/>
      </c>
      <c r="G239" s="50">
        <f>IF(COUNTIFS(Records[Organization],A239,Records[Include],"Y")&gt;0,"Y","")</f>
        <v/>
      </c>
    </row>
    <row r="240">
      <c r="A240" t="inlineStr">
        <is>
          <t>Boy Scouts Of America</t>
        </is>
      </c>
      <c r="B240" s="50" t="inlineStr">
        <is>
          <t>TX</t>
        </is>
      </c>
      <c r="C240" s="52" t="n">
        <v>0.23</v>
      </c>
      <c r="D240" t="inlineStr">
        <is>
          <t>Other</t>
        </is>
      </c>
      <c r="E240" s="50" t="n">
        <v>3</v>
      </c>
      <c r="F240" s="50">
        <f>COUNTIFS(Records[Organization],A240,Records[Tier],"CIO - Top Investment Executive")</f>
        <v/>
      </c>
      <c r="G240" s="50">
        <f>IF(COUNTIFS(Records[Organization],A240,Records[Include],"Y")&gt;0,"Y","")</f>
        <v/>
      </c>
    </row>
    <row r="241">
      <c r="A241" t="inlineStr">
        <is>
          <t>Rf Catalytic Capital Inc</t>
        </is>
      </c>
      <c r="B241" s="50" t="inlineStr">
        <is>
          <t>NY</t>
        </is>
      </c>
      <c r="C241" s="52" t="n">
        <v>0.18</v>
      </c>
      <c r="D241" t="inlineStr">
        <is>
          <t>Foundation</t>
        </is>
      </c>
      <c r="E241" s="50" t="n">
        <v>2</v>
      </c>
      <c r="F241" s="50">
        <f>COUNTIFS(Records[Organization],A241,Records[Tier],"CIO - Top Investment Executive")</f>
        <v/>
      </c>
      <c r="G241" s="50">
        <f>IF(COUNTIFS(Records[Organization],A241,Records[Include],"Y")&gt;0,"Y","")</f>
        <v/>
      </c>
    </row>
    <row r="242">
      <c r="A242" t="inlineStr">
        <is>
          <t>Beth Israel Lahey Health Inc Hcsr</t>
        </is>
      </c>
      <c r="B242" s="50" t="inlineStr">
        <is>
          <t>MA</t>
        </is>
      </c>
      <c r="C242" s="52" t="n">
        <v>0.14</v>
      </c>
      <c r="D242" t="inlineStr">
        <is>
          <t>Healthcare</t>
        </is>
      </c>
      <c r="E242" s="50" t="n">
        <v>7</v>
      </c>
      <c r="F242" s="50">
        <f>COUNTIFS(Records[Organization],A242,Records[Tier],"CIO - Top Investment Executive")</f>
        <v/>
      </c>
      <c r="G242" s="50">
        <f>IF(COUNTIFS(Records[Organization],A242,Records[Include],"Y")&gt;0,"Y","")</f>
        <v/>
      </c>
    </row>
    <row r="243">
      <c r="A243" t="inlineStr">
        <is>
          <t>Dana Farber Cancer Institute</t>
        </is>
      </c>
      <c r="B243" s="50" t="inlineStr">
        <is>
          <t>MA</t>
        </is>
      </c>
      <c r="C243" s="52" t="n">
        <v>0.12</v>
      </c>
      <c r="D243" t="inlineStr">
        <is>
          <t>Other</t>
        </is>
      </c>
      <c r="E243" s="50" t="n">
        <v>1</v>
      </c>
      <c r="F243" s="50">
        <f>COUNTIFS(Records[Organization],A243,Records[Tier],"CIO - Top Investment Executive")</f>
        <v/>
      </c>
      <c r="G243" s="50">
        <f>IF(COUNTIFS(Records[Organization],A243,Records[Include],"Y")&gt;0,"Y","")</f>
        <v/>
      </c>
    </row>
    <row r="244">
      <c r="A244" t="inlineStr">
        <is>
          <t>Rotary International</t>
        </is>
      </c>
      <c r="B244" s="50" t="inlineStr">
        <is>
          <t>IL</t>
        </is>
      </c>
      <c r="C244" s="52" t="n">
        <v>0.11</v>
      </c>
      <c r="D244" t="inlineStr">
        <is>
          <t>Other</t>
        </is>
      </c>
      <c r="E244" s="50" t="n">
        <v>12</v>
      </c>
      <c r="F244" s="50">
        <f>COUNTIFS(Records[Organization],A244,Records[Tier],"CIO - Top Investment Executive")</f>
        <v/>
      </c>
      <c r="G244" s="50">
        <f>IF(COUNTIFS(Records[Organization],A244,Records[Include],"Y")&gt;0,"Y","")</f>
        <v/>
      </c>
    </row>
    <row r="245">
      <c r="A245" t="inlineStr">
        <is>
          <t>Freed-hardeman University</t>
        </is>
      </c>
      <c r="B245" s="50" t="inlineStr">
        <is>
          <t>TN</t>
        </is>
      </c>
      <c r="C245" s="52" t="n">
        <v>0.1</v>
      </c>
      <c r="D245" t="inlineStr">
        <is>
          <t>Endowment</t>
        </is>
      </c>
      <c r="E245" s="50" t="n">
        <v>4</v>
      </c>
      <c r="F245" s="50">
        <f>COUNTIFS(Records[Organization],A245,Records[Tier],"CIO - Top Investment Executive")</f>
        <v/>
      </c>
      <c r="G245" s="50">
        <f>IF(COUNTIFS(Records[Organization],A245,Records[Include],"Y")&gt;0,"Y","")</f>
        <v/>
      </c>
    </row>
    <row r="246">
      <c r="A246" t="inlineStr">
        <is>
          <t>Bethune-cookman University</t>
        </is>
      </c>
      <c r="B246" s="50" t="inlineStr">
        <is>
          <t>FL</t>
        </is>
      </c>
      <c r="C246" s="52" t="n">
        <v>0.06</v>
      </c>
      <c r="D246" t="inlineStr">
        <is>
          <t>Endowment</t>
        </is>
      </c>
      <c r="E246" s="50" t="n">
        <v>2</v>
      </c>
      <c r="F246" s="50">
        <f>COUNTIFS(Records[Organization],A246,Records[Tier],"CIO - Top Investment Executive")</f>
        <v/>
      </c>
      <c r="G246" s="50">
        <f>IF(COUNTIFS(Records[Organization],A246,Records[Include],"Y")&gt;0,"Y","")</f>
        <v/>
      </c>
    </row>
    <row r="247">
      <c r="A247" t="inlineStr">
        <is>
          <t>American Journalism Project Inc</t>
        </is>
      </c>
      <c r="B247" s="50" t="inlineStr">
        <is>
          <t>DC</t>
        </is>
      </c>
      <c r="C247" s="52" t="n">
        <v>0.04</v>
      </c>
      <c r="D247" t="inlineStr">
        <is>
          <t>Other</t>
        </is>
      </c>
      <c r="E247" s="50" t="n">
        <v>2</v>
      </c>
      <c r="F247" s="50">
        <f>COUNTIFS(Records[Organization],A247,Records[Tier],"CIO - Top Investment Executive")</f>
        <v/>
      </c>
      <c r="G247" s="50">
        <f>IF(COUNTIFS(Records[Organization],A247,Records[Include],"Y")&gt;0,"Y","")</f>
        <v/>
      </c>
    </row>
  </sheetData>
  <mergeCells count="1">
    <mergeCell ref="A3:B3"/>
  </mergeCells>
  <conditionalFormatting sqref="A13:G247">
    <cfRule type="expression" priority="1" dxfId="0">
      <formula>$G13="Y"</formula>
    </cfRule>
  </conditionalFormatting>
  <printOptions horizontalCentered="1"/>
  <pageMargins left="0.75" right="0.75" top="1" bottom="1" header="0.5" footer="0.5"/>
  <pageSetup orientation="landscape" fitToHeight="0" fitToWidth="1"/>
  <headerFooter>
    <oddHeader/>
    <oddFooter>&amp;LMichael Oak Advisors&amp;R&amp;P of &amp;N</oddFooter>
    <evenHeader/>
    <evenFooter/>
    <firstHeader/>
    <firstFooter/>
  </headerFooter>
</worksheet>
</file>

<file path=xl/worksheets/sheet13.xml><?xml version="1.0" encoding="utf-8"?>
<worksheet xmlns="http://schemas.openxmlformats.org/spreadsheetml/2006/main">
  <sheetPr>
    <tabColor rgb="00C65911"/>
    <outlinePr summaryBelow="1" summaryRight="1"/>
    <pageSetUpPr fitToPage="1"/>
  </sheetPr>
  <dimension ref="A1:J264"/>
  <sheetViews>
    <sheetView showGridLines="0" workbookViewId="0">
      <pane ySplit="4" topLeftCell="A5" activePane="bottomLeft" state="frozen"/>
      <selection pane="bottomLeft" activeCell="A1" sqref="A1"/>
    </sheetView>
  </sheetViews>
  <sheetFormatPr baseColWidth="8" defaultRowHeight="15"/>
  <cols>
    <col width="38" customWidth="1" min="1" max="1"/>
    <col width="12" customWidth="1" min="2" max="2"/>
    <col width="16" customWidth="1" min="3" max="3"/>
    <col width="14" customWidth="1" min="4" max="4"/>
    <col width="12" customWidth="1" min="5" max="5"/>
    <col width="12" customWidth="1" min="6" max="6"/>
    <col width="12" customWidth="1" min="7" max="7"/>
    <col width="14" customWidth="1" min="8" max="8"/>
    <col width="30" customWidth="1" min="9" max="9"/>
    <col width="55" customWidth="1" min="10" max="10"/>
  </cols>
  <sheetData>
    <row r="1">
      <c r="A1" s="1" t="inlineStr">
        <is>
          <t>AUM Sources — Final = highest realistic across 990, NACUBO, P&amp;I, and manual overrides</t>
        </is>
      </c>
    </row>
    <row r="2">
      <c r="A2" s="3" t="inlineStr">
        <is>
          <t>Click Organization name to open the 990 on ProPublica. Source URL links to the authoritative table (NACUBO / P&amp;I / ProPublica).</t>
        </is>
      </c>
    </row>
    <row r="3"/>
    <row r="4">
      <c r="A4" s="27" t="inlineStr">
        <is>
          <t>Organization</t>
        </is>
      </c>
      <c r="B4" s="27" t="inlineStr">
        <is>
          <t>EIN</t>
        </is>
      </c>
      <c r="C4" s="27" t="inlineStr">
        <is>
          <t>990 Investments ($B)</t>
        </is>
      </c>
      <c r="D4" s="27" t="inlineStr">
        <is>
          <t>990 Assets ($B)</t>
        </is>
      </c>
      <c r="E4" s="27" t="inlineStr">
        <is>
          <t>NACUBO ($B)</t>
        </is>
      </c>
      <c r="F4" s="27" t="inlineStr">
        <is>
          <t>P&amp;I ($B)</t>
        </is>
      </c>
      <c r="G4" s="27" t="inlineStr">
        <is>
          <t>Manual ($B)</t>
        </is>
      </c>
      <c r="H4" s="27" t="inlineStr">
        <is>
          <t>Final AUM ($B)</t>
        </is>
      </c>
      <c r="I4" s="27" t="inlineStr">
        <is>
          <t>Final Source</t>
        </is>
      </c>
      <c r="J4" s="27" t="inlineStr">
        <is>
          <t>Source URL</t>
        </is>
      </c>
    </row>
    <row r="5">
      <c r="A5" s="56" t="inlineStr">
        <is>
          <t>The University Of Texas Texas A M Investment Management Company</t>
        </is>
      </c>
      <c r="B5" t="inlineStr">
        <is>
          <t>742765082</t>
        </is>
      </c>
      <c r="C5" s="57" t="n">
        <v>0.058251716</v>
      </c>
      <c r="D5" s="57" t="n">
        <v>0.08329804</v>
      </c>
      <c r="E5" s="57" t="n">
        <v/>
      </c>
      <c r="F5" s="57" t="n">
        <v/>
      </c>
      <c r="G5" s="57" t="n">
        <v>67.84</v>
      </c>
      <c r="H5" s="58" t="n">
        <v>67.84</v>
      </c>
      <c r="I5" s="50" t="inlineStr">
        <is>
          <t>Manual: UTIMCO FY2024 total AUM (NACUBO UT System $47.46B + TAM System $20.38B)</t>
        </is>
      </c>
      <c r="J5" s="56" t="inlineStr">
        <is>
          <t>https://www.utimco.org/</t>
        </is>
      </c>
    </row>
    <row r="6">
      <c r="A6" s="56" t="inlineStr">
        <is>
          <t>Uaw Retiree Medical Benefits Tr</t>
        </is>
      </c>
      <c r="B6" t="inlineStr">
        <is>
          <t>900424876</t>
        </is>
      </c>
      <c r="C6" s="57" t="n">
        <v>61.418390289</v>
      </c>
      <c r="D6" s="57" t="n">
        <v>62.856283467</v>
      </c>
      <c r="E6" s="57" t="n">
        <v/>
      </c>
      <c r="F6" s="57" t="n">
        <v/>
      </c>
      <c r="G6" s="57" t="n">
        <v/>
      </c>
      <c r="H6" s="58" t="n">
        <v>61.42</v>
      </c>
      <c r="I6" s="50" t="inlineStr">
        <is>
          <t>990 Investments</t>
        </is>
      </c>
      <c r="J6" s="56" t="inlineStr">
        <is>
          <t>https://projects.propublica.org/nonprofits/organizations/900424876</t>
        </is>
      </c>
    </row>
    <row r="7">
      <c r="A7" s="56" t="inlineStr">
        <is>
          <t>Lilly Endowment Inc</t>
        </is>
      </c>
      <c r="B7" t="inlineStr">
        <is>
          <t>350868122</t>
        </is>
      </c>
      <c r="C7" s="57" t="n">
        <v>105.899023358</v>
      </c>
      <c r="D7" s="57" t="n">
        <v>105.904049946</v>
      </c>
      <c r="E7" s="57" t="n">
        <v/>
      </c>
      <c r="F7" s="57" t="n">
        <v>60.566</v>
      </c>
      <c r="G7" s="57" t="n">
        <v/>
      </c>
      <c r="H7" s="58" t="n">
        <v>60.57</v>
      </c>
      <c r="I7" s="50" t="inlineStr">
        <is>
          <t>P&amp;I</t>
        </is>
      </c>
      <c r="J7" s="56" t="inlineStr">
        <is>
          <t>https://www.pionline.com/research-center/largest-endowments-foundations</t>
        </is>
      </c>
    </row>
    <row r="8">
      <c r="A8" s="56" t="inlineStr">
        <is>
          <t>Harvard Management Company Inc</t>
        </is>
      </c>
      <c r="B8" t="inlineStr">
        <is>
          <t>237361259</t>
        </is>
      </c>
      <c r="C8" s="57" t="n">
        <v/>
      </c>
      <c r="D8" s="57" t="n">
        <v>0.097988942</v>
      </c>
      <c r="E8" s="57" t="n">
        <v/>
      </c>
      <c r="F8" s="57" t="n">
        <v/>
      </c>
      <c r="G8" s="57" t="n">
        <v>53.2</v>
      </c>
      <c r="H8" s="58" t="n">
        <v>53.2</v>
      </c>
      <c r="I8" s="50" t="inlineStr">
        <is>
          <t>Manual: NACUBO Harvard endowment</t>
        </is>
      </c>
      <c r="J8" s="56" t="inlineStr">
        <is>
          <t>https://www.nacubo.org/research/2024-ncse-public-tables</t>
        </is>
      </c>
    </row>
    <row r="9">
      <c r="A9" s="56" t="inlineStr">
        <is>
          <t>Yale University</t>
        </is>
      </c>
      <c r="B9" t="inlineStr">
        <is>
          <t>060646973</t>
        </is>
      </c>
      <c r="C9" s="57" t="n">
        <v>49.348538548</v>
      </c>
      <c r="D9" s="57" t="n">
        <v>58.926726383</v>
      </c>
      <c r="E9" s="57" t="n">
        <v>44.1498</v>
      </c>
      <c r="F9" s="57" t="n">
        <v>41.4</v>
      </c>
      <c r="G9" s="57" t="n">
        <v/>
      </c>
      <c r="H9" s="58" t="n">
        <v>44.15</v>
      </c>
      <c r="I9" s="50" t="inlineStr">
        <is>
          <t>NACUBO</t>
        </is>
      </c>
      <c r="J9" s="56" t="inlineStr">
        <is>
          <t>https://www.nacubo.org/research/2024-ncse-public-tables</t>
        </is>
      </c>
    </row>
    <row r="10">
      <c r="A10" s="56" t="inlineStr">
        <is>
          <t>The Board Of Trustees Of The Leland Stanford Junior University</t>
        </is>
      </c>
      <c r="B10" t="inlineStr">
        <is>
          <t>941156365</t>
        </is>
      </c>
      <c r="C10" s="57" t="n">
        <v>54.331337094</v>
      </c>
      <c r="D10" s="57" t="n">
        <v>68.719825443</v>
      </c>
      <c r="E10" s="57" t="n">
        <v>40.786</v>
      </c>
      <c r="F10" s="57" t="n">
        <v>42.8</v>
      </c>
      <c r="G10" s="57" t="n">
        <v/>
      </c>
      <c r="H10" s="58" t="n">
        <v>40.79</v>
      </c>
      <c r="I10" s="50" t="inlineStr">
        <is>
          <t>NACUBO</t>
        </is>
      </c>
      <c r="J10" s="56" t="inlineStr">
        <is>
          <t>https://www.nacubo.org/research/2024-ncse-public-tables</t>
        </is>
      </c>
    </row>
    <row r="11">
      <c r="A11" s="56" t="inlineStr">
        <is>
          <t>Princeton University</t>
        </is>
      </c>
      <c r="B11" t="inlineStr">
        <is>
          <t>210634501</t>
        </is>
      </c>
      <c r="C11" s="57" t="n">
        <v>37.418513</v>
      </c>
      <c r="D11" s="57" t="n">
        <v>45.858792</v>
      </c>
      <c r="E11" s="57" t="n">
        <v>36.415027</v>
      </c>
      <c r="F11" s="57" t="n">
        <v>31.4</v>
      </c>
      <c r="G11" s="57" t="n">
        <v/>
      </c>
      <c r="H11" s="58" t="n">
        <v>36.42</v>
      </c>
      <c r="I11" s="50" t="inlineStr">
        <is>
          <t>NACUBO</t>
        </is>
      </c>
      <c r="J11" s="56" t="inlineStr">
        <is>
          <t>https://www.nacubo.org/research/2024-ncse-public-tables</t>
        </is>
      </c>
    </row>
    <row r="12">
      <c r="A12" s="56" t="inlineStr">
        <is>
          <t>Howard Hughes Medical Institute</t>
        </is>
      </c>
      <c r="B12" t="inlineStr">
        <is>
          <t>590735717</t>
        </is>
      </c>
      <c r="C12" s="57" t="n">
        <v>27.972241045</v>
      </c>
      <c r="D12" s="57" t="n">
        <v>29.497763012</v>
      </c>
      <c r="E12" s="57" t="n">
        <v/>
      </c>
      <c r="F12" s="57" t="n">
        <v/>
      </c>
      <c r="G12" s="57" t="n">
        <v/>
      </c>
      <c r="H12" s="58" t="n">
        <v>27.97</v>
      </c>
      <c r="I12" s="50" t="inlineStr">
        <is>
          <t>990 Investments</t>
        </is>
      </c>
      <c r="J12" s="56" t="inlineStr">
        <is>
          <t>https://projects.propublica.org/nonprofits/organizations/590735717</t>
        </is>
      </c>
    </row>
    <row r="13">
      <c r="A13" s="56" t="inlineStr">
        <is>
          <t>Massachusetts Institute Of Technology</t>
        </is>
      </c>
      <c r="B13" t="inlineStr">
        <is>
          <t>042103594</t>
        </is>
      </c>
      <c r="C13" s="57" t="n">
        <v>35.937986</v>
      </c>
      <c r="D13" s="57" t="n">
        <v>45.313517</v>
      </c>
      <c r="E13" s="57" t="n">
        <v>27.366239</v>
      </c>
      <c r="F13" s="57" t="n">
        <v>24.6</v>
      </c>
      <c r="G13" s="57" t="n">
        <v/>
      </c>
      <c r="H13" s="58" t="n">
        <v>27.37</v>
      </c>
      <c r="I13" s="50" t="inlineStr">
        <is>
          <t>NACUBO</t>
        </is>
      </c>
      <c r="J13" s="56" t="inlineStr">
        <is>
          <t>https://www.nacubo.org/research/2024-ncse-public-tables</t>
        </is>
      </c>
    </row>
    <row r="14">
      <c r="A14" s="56" t="inlineStr">
        <is>
          <t>Trustees Of The University Of Pennsylvania</t>
        </is>
      </c>
      <c r="B14" t="inlineStr">
        <is>
          <t>231352685</t>
        </is>
      </c>
      <c r="C14" s="57" t="n">
        <v>26.634126</v>
      </c>
      <c r="D14" s="57" t="n">
        <v>36.736678</v>
      </c>
      <c r="E14" s="57" t="n">
        <v>24.808028</v>
      </c>
      <c r="F14" s="57" t="n">
        <v>22.3</v>
      </c>
      <c r="G14" s="57" t="n">
        <v/>
      </c>
      <c r="H14" s="58" t="n">
        <v>24.81</v>
      </c>
      <c r="I14" s="50" t="inlineStr">
        <is>
          <t>NACUBO</t>
        </is>
      </c>
      <c r="J14" s="56" t="inlineStr">
        <is>
          <t>https://www.nacubo.org/research/2024-ncse-public-tables</t>
        </is>
      </c>
    </row>
    <row r="15">
      <c r="A15" s="56" t="inlineStr">
        <is>
          <t>Duke University</t>
        </is>
      </c>
      <c r="B15" t="inlineStr">
        <is>
          <t>560532129</t>
        </is>
      </c>
      <c r="C15" s="57" t="n">
        <v>16.813842863</v>
      </c>
      <c r="D15" s="57" t="n">
        <v>22.131922809</v>
      </c>
      <c r="E15" s="57" t="n">
        <v>12.318455</v>
      </c>
      <c r="F15" s="57" t="n">
        <v/>
      </c>
      <c r="G15" s="57" t="n">
        <v>21.16</v>
      </c>
      <c r="H15" s="58" t="n">
        <v>21.16</v>
      </c>
      <c r="I15" s="50" t="inlineStr">
        <is>
          <t>Manual: DUMAC-managed Duke University pool (990 total assets, reflects endowment + operating reserves)</t>
        </is>
      </c>
      <c r="J15" s="56" t="inlineStr">
        <is>
          <t>https://www.dumac.duke.edu/</t>
        </is>
      </c>
    </row>
    <row r="16">
      <c r="A16" s="56" t="inlineStr">
        <is>
          <t>University Of Notre Dame Du Lac</t>
        </is>
      </c>
      <c r="B16" t="inlineStr">
        <is>
          <t>350868188</t>
        </is>
      </c>
      <c r="C16" s="57" t="n">
        <v>25.955356164</v>
      </c>
      <c r="D16" s="57" t="n">
        <v>29.638395911</v>
      </c>
      <c r="E16" s="57" t="n">
        <v>20.092078</v>
      </c>
      <c r="F16" s="57" t="n">
        <v/>
      </c>
      <c r="G16" s="57" t="n">
        <v/>
      </c>
      <c r="H16" s="58" t="n">
        <v>20.09</v>
      </c>
      <c r="I16" s="50" t="inlineStr">
        <is>
          <t>NACUBO</t>
        </is>
      </c>
      <c r="J16" s="56" t="inlineStr">
        <is>
          <t>https://www.nacubo.org/research/2024-ncse-public-tables</t>
        </is>
      </c>
    </row>
    <row r="17">
      <c r="A17" s="56" t="inlineStr">
        <is>
          <t>Advocate Aurora Health Inc</t>
        </is>
      </c>
      <c r="B17" t="inlineStr">
        <is>
          <t>824184596</t>
        </is>
      </c>
      <c r="C17" s="57" t="n">
        <v>1.898949502</v>
      </c>
      <c r="D17" s="57" t="n">
        <v>2.178434482</v>
      </c>
      <c r="E17" s="57" t="n">
        <v/>
      </c>
      <c r="F17" s="57" t="n">
        <v/>
      </c>
      <c r="G17" s="57" t="n">
        <v>18.93</v>
      </c>
      <c r="H17" s="58" t="n">
        <v>18.93</v>
      </c>
      <c r="I17" s="50" t="inlineStr">
        <is>
          <t>Manual: Advocate Health and Hospitals Corp (EIN 36-2169147) FY2024 Form 990 Part X lines 2+11+12</t>
        </is>
      </c>
      <c r="J17" s="56" t="inlineStr">
        <is>
          <t>https://projects.propublica.org/nonprofits/organizations/824184596</t>
        </is>
      </c>
    </row>
    <row r="18">
      <c r="A18" s="56" t="inlineStr">
        <is>
          <t>Trustees Of Columbia University</t>
        </is>
      </c>
      <c r="B18" t="inlineStr">
        <is>
          <t>135598093</t>
        </is>
      </c>
      <c r="C18" s="57" t="n">
        <v>17.572231291</v>
      </c>
      <c r="D18" s="57" t="n">
        <v>26.028368945</v>
      </c>
      <c r="E18" s="57" t="n">
        <v>15.91749</v>
      </c>
      <c r="F18" s="57" t="n">
        <v>14.8</v>
      </c>
      <c r="G18" s="57" t="n">
        <v/>
      </c>
      <c r="H18" s="58" t="n">
        <v>15.92</v>
      </c>
      <c r="I18" s="50" t="inlineStr">
        <is>
          <t>NACUBO</t>
        </is>
      </c>
      <c r="J18" s="56" t="inlineStr">
        <is>
          <t>https://www.nacubo.org/research/2024-ncse-public-tables</t>
        </is>
      </c>
    </row>
    <row r="19">
      <c r="A19" s="56" t="inlineStr">
        <is>
          <t>University Of Virginia Investment Management Company</t>
        </is>
      </c>
      <c r="B19" t="inlineStr">
        <is>
          <t>562462804</t>
        </is>
      </c>
      <c r="C19" s="57" t="n">
        <v>16.063303932</v>
      </c>
      <c r="D19" s="57" t="n">
        <v>16.078987884</v>
      </c>
      <c r="E19" s="57" t="n">
        <v>11.229839</v>
      </c>
      <c r="F19" s="57" t="n">
        <v/>
      </c>
      <c r="G19" s="57" t="n">
        <v>15.5</v>
      </c>
      <c r="H19" s="58" t="n">
        <v>15.5</v>
      </c>
      <c r="I19" s="50" t="inlineStr">
        <is>
          <t>Manual: UVIMCO FY2025 Long Term Pool AUM (UVA endowment $7.9B + Strategic Investment Fund $2.1B + other University long-term assets $2.0B + University-associated organizations $3.5B)</t>
        </is>
      </c>
      <c r="J19" t="inlineStr"/>
    </row>
    <row r="20">
      <c r="A20" s="56" t="inlineStr">
        <is>
          <t>Northwestern University</t>
        </is>
      </c>
      <c r="B20" t="inlineStr">
        <is>
          <t>362167817</t>
        </is>
      </c>
      <c r="C20" s="57" t="n">
        <v>16.037245976</v>
      </c>
      <c r="D20" s="57" t="n">
        <v>20.789227097</v>
      </c>
      <c r="E20" s="57" t="n">
        <v>15.16762</v>
      </c>
      <c r="F20" s="57" t="n">
        <v>14.289</v>
      </c>
      <c r="G20" s="57" t="n">
        <v/>
      </c>
      <c r="H20" s="58" t="n">
        <v>15.17</v>
      </c>
      <c r="I20" s="50" t="inlineStr">
        <is>
          <t>NACUBO</t>
        </is>
      </c>
      <c r="J20" s="56" t="inlineStr">
        <is>
          <t>https://www.nacubo.org/research/2024-ncse-public-tables</t>
        </is>
      </c>
    </row>
    <row r="21">
      <c r="A21" s="56" t="inlineStr">
        <is>
          <t>Ford Foundation</t>
        </is>
      </c>
      <c r="B21" t="inlineStr">
        <is>
          <t>131684331</t>
        </is>
      </c>
      <c r="C21" s="57" t="n">
        <v>16.977688845</v>
      </c>
      <c r="D21" s="57" t="n">
        <v>17.482000476</v>
      </c>
      <c r="E21" s="57" t="n">
        <v/>
      </c>
      <c r="F21" s="57" t="n">
        <v>14.374</v>
      </c>
      <c r="G21" s="57" t="n">
        <v/>
      </c>
      <c r="H21" s="58" t="n">
        <v>14.37</v>
      </c>
      <c r="I21" s="50" t="inlineStr">
        <is>
          <t>P&amp;I</t>
        </is>
      </c>
      <c r="J21" s="56" t="inlineStr">
        <is>
          <t>https://www.pionline.com/research-center/largest-endowments-foundations</t>
        </is>
      </c>
    </row>
    <row r="22">
      <c r="A22" s="56" t="inlineStr">
        <is>
          <t>Cleveland Clinic Foundation</t>
        </is>
      </c>
      <c r="B22" t="inlineStr">
        <is>
          <t>912153073</t>
        </is>
      </c>
      <c r="C22" s="57" t="n">
        <v>14.262709971</v>
      </c>
      <c r="D22" s="57" t="n">
        <v>26.534014021</v>
      </c>
      <c r="E22" s="57" t="n">
        <v/>
      </c>
      <c r="F22" s="57" t="n">
        <v/>
      </c>
      <c r="G22" s="57" t="n">
        <v/>
      </c>
      <c r="H22" s="58" t="n">
        <v>14.26</v>
      </c>
      <c r="I22" s="50" t="inlineStr">
        <is>
          <t>990 Investments</t>
        </is>
      </c>
      <c r="J22" s="56" t="inlineStr">
        <is>
          <t>https://projects.propublica.org/nonprofits/organizations/912153073</t>
        </is>
      </c>
    </row>
    <row r="23">
      <c r="A23" s="56" t="inlineStr">
        <is>
          <t>Johns Hopkins University</t>
        </is>
      </c>
      <c r="B23" t="inlineStr">
        <is>
          <t>520595110</t>
        </is>
      </c>
      <c r="C23" s="57" t="n">
        <v>18.217175</v>
      </c>
      <c r="D23" s="57" t="n">
        <v>25.294054</v>
      </c>
      <c r="E23" s="57" t="n">
        <v>13.734964</v>
      </c>
      <c r="F23" s="57" t="n">
        <v/>
      </c>
      <c r="G23" s="57" t="n">
        <v/>
      </c>
      <c r="H23" s="58" t="n">
        <v>13.73</v>
      </c>
      <c r="I23" s="50" t="inlineStr">
        <is>
          <t>NACUBO</t>
        </is>
      </c>
      <c r="J23" s="56" t="inlineStr">
        <is>
          <t>https://www.nacubo.org/research/2024-ncse-public-tables</t>
        </is>
      </c>
    </row>
    <row r="24">
      <c r="A24" s="56" t="inlineStr">
        <is>
          <t>Washington University</t>
        </is>
      </c>
      <c r="B24" t="inlineStr">
        <is>
          <t>430653611</t>
        </is>
      </c>
      <c r="C24" s="57" t="n">
        <v>16.494498842</v>
      </c>
      <c r="D24" s="57" t="n">
        <v>22.330732</v>
      </c>
      <c r="E24" s="57" t="n">
        <v>13.298963</v>
      </c>
      <c r="F24" s="57" t="n">
        <v/>
      </c>
      <c r="G24" s="57" t="n">
        <v/>
      </c>
      <c r="H24" s="58" t="n">
        <v>13.3</v>
      </c>
      <c r="I24" s="50" t="inlineStr">
        <is>
          <t>NACUBO</t>
        </is>
      </c>
      <c r="J24" s="56" t="inlineStr">
        <is>
          <t>https://www.nacubo.org/research/2024-ncse-public-tables</t>
        </is>
      </c>
    </row>
    <row r="25">
      <c r="A25" s="56" t="inlineStr">
        <is>
          <t>William &amp; Flora Hewlett Foundation</t>
        </is>
      </c>
      <c r="B25" t="inlineStr">
        <is>
          <t>941655673</t>
        </is>
      </c>
      <c r="C25" s="57" t="n">
        <v>14.150711225</v>
      </c>
      <c r="D25" s="57" t="n">
        <v>14.20275128</v>
      </c>
      <c r="E25" s="57" t="n">
        <v/>
      </c>
      <c r="F25" s="57" t="n">
        <v>13.178</v>
      </c>
      <c r="G25" s="57" t="n">
        <v/>
      </c>
      <c r="H25" s="58" t="n">
        <v>13.18</v>
      </c>
      <c r="I25" s="50" t="inlineStr">
        <is>
          <t>P&amp;I</t>
        </is>
      </c>
      <c r="J25" s="56" t="inlineStr">
        <is>
          <t>https://www.pionline.com/research-center/largest-endowments-foundations</t>
        </is>
      </c>
    </row>
    <row r="26">
      <c r="A26" s="56" t="inlineStr">
        <is>
          <t>Robert Wood Johnson Foundation</t>
        </is>
      </c>
      <c r="B26" t="inlineStr">
        <is>
          <t>226029397</t>
        </is>
      </c>
      <c r="C26" s="57" t="n">
        <v>12.893195786</v>
      </c>
      <c r="D26" s="57" t="n">
        <v>13.41851067</v>
      </c>
      <c r="E26" s="57" t="n">
        <v/>
      </c>
      <c r="F26" s="57" t="n">
        <v>12.605</v>
      </c>
      <c r="G26" s="57" t="n">
        <v/>
      </c>
      <c r="H26" s="58" t="n">
        <v>12.61</v>
      </c>
      <c r="I26" s="50" t="inlineStr">
        <is>
          <t>P&amp;I</t>
        </is>
      </c>
      <c r="J26" s="56" t="inlineStr">
        <is>
          <t>https://www.pionline.com/research-center/largest-endowments-foundations</t>
        </is>
      </c>
    </row>
    <row r="27">
      <c r="A27" s="56" t="inlineStr">
        <is>
          <t>Emory University</t>
        </is>
      </c>
      <c r="B27" t="inlineStr">
        <is>
          <t>580566256</t>
        </is>
      </c>
      <c r="C27" s="57" t="n">
        <v>18.802263155</v>
      </c>
      <c r="D27" s="57" t="n">
        <v>24.888450281</v>
      </c>
      <c r="E27" s="57" t="n">
        <v>12.000436</v>
      </c>
      <c r="F27" s="57" t="n">
        <v/>
      </c>
      <c r="G27" s="57" t="n">
        <v/>
      </c>
      <c r="H27" s="58" t="n">
        <v>12</v>
      </c>
      <c r="I27" s="50" t="inlineStr">
        <is>
          <t>NACUBO</t>
        </is>
      </c>
      <c r="J27" s="56" t="inlineStr">
        <is>
          <t>https://www.nacubo.org/research/2024-ncse-public-tables</t>
        </is>
      </c>
    </row>
    <row r="28">
      <c r="A28" s="56" t="inlineStr">
        <is>
          <t>Cornell University</t>
        </is>
      </c>
      <c r="B28" t="inlineStr">
        <is>
          <t>150532082</t>
        </is>
      </c>
      <c r="C28" s="57" t="n">
        <v>12.548387356</v>
      </c>
      <c r="D28" s="57" t="n">
        <v>19.79626755</v>
      </c>
      <c r="E28" s="57" t="n">
        <v>11.748175</v>
      </c>
      <c r="F28" s="57" t="n">
        <v>10.7</v>
      </c>
      <c r="G28" s="57" t="n">
        <v/>
      </c>
      <c r="H28" s="58" t="n">
        <v>11.75</v>
      </c>
      <c r="I28" s="50" t="inlineStr">
        <is>
          <t>NACUBO</t>
        </is>
      </c>
      <c r="J28" s="56" t="inlineStr">
        <is>
          <t>https://www.nacubo.org/research/2024-ncse-public-tables</t>
        </is>
      </c>
    </row>
    <row r="29">
      <c r="A29" s="56" t="inlineStr">
        <is>
          <t>Trustees Of The Estate Of Bernice Pauahi Bishop</t>
        </is>
      </c>
      <c r="B29" t="inlineStr">
        <is>
          <t>990073480</t>
        </is>
      </c>
      <c r="C29" s="57" t="n">
        <v>11.659091861</v>
      </c>
      <c r="D29" s="57" t="n">
        <v>13.000665087</v>
      </c>
      <c r="E29" s="57" t="n">
        <v/>
      </c>
      <c r="F29" s="57" t="n">
        <v/>
      </c>
      <c r="G29" s="57" t="n">
        <v/>
      </c>
      <c r="H29" s="58" t="n">
        <v>11.66</v>
      </c>
      <c r="I29" s="50" t="inlineStr">
        <is>
          <t>990 Investments</t>
        </is>
      </c>
      <c r="J29" s="56" t="inlineStr">
        <is>
          <t>https://projects.propublica.org/nonprofits/organizations/990073480</t>
        </is>
      </c>
    </row>
    <row r="30">
      <c r="A30" s="56" t="inlineStr">
        <is>
          <t>Gordon E And Betty I Moore Foundation</t>
        </is>
      </c>
      <c r="B30" t="inlineStr">
        <is>
          <t>943397785</t>
        </is>
      </c>
      <c r="C30" s="57" t="n">
        <v>11.353914392</v>
      </c>
      <c r="D30" s="57" t="n">
        <v>11.522694235</v>
      </c>
      <c r="E30" s="57" t="n">
        <v/>
      </c>
      <c r="F30" s="57" t="n">
        <v/>
      </c>
      <c r="G30" s="57" t="n">
        <v/>
      </c>
      <c r="H30" s="58" t="n">
        <v>11.35</v>
      </c>
      <c r="I30" s="50" t="inlineStr">
        <is>
          <t>990 Investments</t>
        </is>
      </c>
      <c r="J30" s="56" t="inlineStr">
        <is>
          <t>https://projects.propublica.org/nonprofits/organizations/943397785</t>
        </is>
      </c>
    </row>
    <row r="31">
      <c r="A31" s="56" t="inlineStr">
        <is>
          <t>Vanderbilt University</t>
        </is>
      </c>
      <c r="B31" t="inlineStr">
        <is>
          <t>620476822</t>
        </is>
      </c>
      <c r="C31" s="57" t="n">
        <v>11.949268506</v>
      </c>
      <c r="D31" s="57" t="n">
        <v>14.8194924</v>
      </c>
      <c r="E31" s="57" t="n">
        <v>10.856983</v>
      </c>
      <c r="F31" s="57" t="n">
        <v>10.248</v>
      </c>
      <c r="G31" s="57" t="n">
        <v/>
      </c>
      <c r="H31" s="58" t="n">
        <v>10.86</v>
      </c>
      <c r="I31" s="50" t="inlineStr">
        <is>
          <t>NACUBO</t>
        </is>
      </c>
      <c r="J31" s="56" t="inlineStr">
        <is>
          <t>https://www.nacubo.org/research/2024-ncse-public-tables</t>
        </is>
      </c>
    </row>
    <row r="32">
      <c r="A32" s="56" t="inlineStr">
        <is>
          <t>University Of Chicago</t>
        </is>
      </c>
      <c r="B32" t="inlineStr">
        <is>
          <t>362177139</t>
        </is>
      </c>
      <c r="C32" s="57" t="n">
        <v>10.195744381</v>
      </c>
      <c r="D32" s="57" t="n">
        <v>15.80947898</v>
      </c>
      <c r="E32" s="57" t="n">
        <v>10.621048</v>
      </c>
      <c r="F32" s="57" t="n">
        <v/>
      </c>
      <c r="G32" s="57" t="n">
        <v/>
      </c>
      <c r="H32" s="58" t="n">
        <v>10.62</v>
      </c>
      <c r="I32" s="50" t="inlineStr">
        <is>
          <t>NACUBO</t>
        </is>
      </c>
      <c r="J32" s="56" t="inlineStr">
        <is>
          <t>https://www.nacubo.org/research/2024-ncse-public-tables</t>
        </is>
      </c>
    </row>
    <row r="33">
      <c r="A33" s="56" t="inlineStr">
        <is>
          <t>American Lebanese Syrian Assoc Char Inc</t>
        </is>
      </c>
      <c r="B33" t="inlineStr">
        <is>
          <t>351044585</t>
        </is>
      </c>
      <c r="C33" s="57" t="n">
        <v>10.460878248</v>
      </c>
      <c r="D33" s="57" t="n">
        <v>10.928116611</v>
      </c>
      <c r="E33" s="57" t="n">
        <v/>
      </c>
      <c r="F33" s="57" t="n">
        <v/>
      </c>
      <c r="G33" s="57" t="n">
        <v/>
      </c>
      <c r="H33" s="58" t="n">
        <v>10.46</v>
      </c>
      <c r="I33" s="50" t="inlineStr">
        <is>
          <t>990 Investments</t>
        </is>
      </c>
      <c r="J33" s="56" t="inlineStr">
        <is>
          <t>https://projects.propublica.org/nonprofits/organizations/351044585</t>
        </is>
      </c>
    </row>
    <row r="34">
      <c r="A34" s="56" t="inlineStr">
        <is>
          <t>J Paul Getty Trust</t>
        </is>
      </c>
      <c r="B34" t="inlineStr">
        <is>
          <t>951790021</t>
        </is>
      </c>
      <c r="C34" s="57" t="n">
        <v>9.87914803</v>
      </c>
      <c r="D34" s="57" t="n">
        <v>17.878410628</v>
      </c>
      <c r="E34" s="57" t="n">
        <v/>
      </c>
      <c r="F34" s="57" t="n">
        <v/>
      </c>
      <c r="G34" s="57" t="n">
        <v/>
      </c>
      <c r="H34" s="58" t="n">
        <v>9.880000000000001</v>
      </c>
      <c r="I34" s="50" t="inlineStr">
        <is>
          <t>990 Investments</t>
        </is>
      </c>
      <c r="J34" s="56" t="inlineStr">
        <is>
          <t>https://projects.propublica.org/nonprofits/organizations/951790021</t>
        </is>
      </c>
    </row>
    <row r="35">
      <c r="A35" s="56" t="inlineStr">
        <is>
          <t>Young Mens Christian Association Retirement Fund</t>
        </is>
      </c>
      <c r="B35" t="inlineStr">
        <is>
          <t>135562401</t>
        </is>
      </c>
      <c r="C35" s="57" t="n">
        <v>9.748513012</v>
      </c>
      <c r="D35" s="57" t="n">
        <v>10.272785034</v>
      </c>
      <c r="E35" s="57" t="n">
        <v/>
      </c>
      <c r="F35" s="57" t="n">
        <v/>
      </c>
      <c r="G35" s="57" t="n">
        <v/>
      </c>
      <c r="H35" s="58" t="n">
        <v>9.75</v>
      </c>
      <c r="I35" s="50" t="inlineStr">
        <is>
          <t>990 Investments</t>
        </is>
      </c>
      <c r="J35" s="56" t="inlineStr">
        <is>
          <t>https://projects.propublica.org/nonprofits/organizations/135562401</t>
        </is>
      </c>
    </row>
    <row r="36">
      <c r="A36" s="56" t="inlineStr">
        <is>
          <t>University Of Southern California</t>
        </is>
      </c>
      <c r="B36" t="inlineStr">
        <is>
          <t>951642394</t>
        </is>
      </c>
      <c r="C36" s="57" t="n">
        <v>9.036371674</v>
      </c>
      <c r="D36" s="57" t="n">
        <v>16.956079936</v>
      </c>
      <c r="E36" s="57" t="n">
        <v>9.028352</v>
      </c>
      <c r="F36" s="57" t="n">
        <v/>
      </c>
      <c r="G36" s="57" t="n">
        <v/>
      </c>
      <c r="H36" s="58" t="n">
        <v>9.029999999999999</v>
      </c>
      <c r="I36" s="50" t="inlineStr">
        <is>
          <t>NACUBO</t>
        </is>
      </c>
      <c r="J36" s="56" t="inlineStr">
        <is>
          <t>https://www.nacubo.org/research/2024-ncse-public-tables</t>
        </is>
      </c>
    </row>
    <row r="37">
      <c r="A37" s="56" t="inlineStr">
        <is>
          <t>Trustees Of Dartmouth College</t>
        </is>
      </c>
      <c r="B37" t="inlineStr">
        <is>
          <t>020222111</t>
        </is>
      </c>
      <c r="C37" s="57" t="n">
        <v>10.786529919</v>
      </c>
      <c r="D37" s="57" t="n">
        <v>13.111675654</v>
      </c>
      <c r="E37" s="57" t="n">
        <v>8.959701000000001</v>
      </c>
      <c r="F37" s="57" t="n">
        <v/>
      </c>
      <c r="G37" s="57" t="n">
        <v/>
      </c>
      <c r="H37" s="58" t="n">
        <v>8.960000000000001</v>
      </c>
      <c r="I37" s="50" t="inlineStr">
        <is>
          <t>NACUBO</t>
        </is>
      </c>
      <c r="J37" s="56" t="inlineStr">
        <is>
          <t>https://www.nacubo.org/research/2024-ncse-public-tables</t>
        </is>
      </c>
    </row>
    <row r="38">
      <c r="A38" s="56" t="inlineStr">
        <is>
          <t>William Marsh Rice University</t>
        </is>
      </c>
      <c r="B38" t="inlineStr">
        <is>
          <t>741109620</t>
        </is>
      </c>
      <c r="C38" s="57" t="n">
        <v>9.147689940999999</v>
      </c>
      <c r="D38" s="57" t="n">
        <v>11.183685</v>
      </c>
      <c r="E38" s="57" t="n">
        <v>8.496618</v>
      </c>
      <c r="F38" s="57" t="n">
        <v/>
      </c>
      <c r="G38" s="57" t="n">
        <v/>
      </c>
      <c r="H38" s="58" t="n">
        <v>8.5</v>
      </c>
      <c r="I38" s="50" t="inlineStr">
        <is>
          <t>NACUBO</t>
        </is>
      </c>
      <c r="J38" s="56" t="inlineStr">
        <is>
          <t>https://www.nacubo.org/research/2024-ncse-public-tables</t>
        </is>
      </c>
    </row>
    <row r="39">
      <c r="A39" s="56" t="inlineStr">
        <is>
          <t>David And Lucile Packard Foundation</t>
        </is>
      </c>
      <c r="B39" t="inlineStr">
        <is>
          <t>942278431</t>
        </is>
      </c>
      <c r="C39" s="57" t="n">
        <v>8.376816364</v>
      </c>
      <c r="D39" s="57" t="n">
        <v>8.547237871</v>
      </c>
      <c r="E39" s="57" t="n">
        <v/>
      </c>
      <c r="F39" s="57" t="n">
        <v>8.074</v>
      </c>
      <c r="G39" s="57" t="n">
        <v/>
      </c>
      <c r="H39" s="58" t="n">
        <v>8.07</v>
      </c>
      <c r="I39" s="50" t="inlineStr">
        <is>
          <t>P&amp;I</t>
        </is>
      </c>
      <c r="J39" s="56" t="inlineStr">
        <is>
          <t>https://www.pionline.com/research-center/largest-endowments-foundations</t>
        </is>
      </c>
    </row>
    <row r="40">
      <c r="A40" s="56" t="inlineStr">
        <is>
          <t>Texas Health Resources</t>
        </is>
      </c>
      <c r="B40" t="inlineStr">
        <is>
          <t>752702388</t>
        </is>
      </c>
      <c r="C40" s="57" t="n">
        <v>7.865165588</v>
      </c>
      <c r="D40" s="57" t="n">
        <v>9.856946354</v>
      </c>
      <c r="E40" s="57" t="n">
        <v/>
      </c>
      <c r="F40" s="57" t="n">
        <v/>
      </c>
      <c r="G40" s="57" t="n">
        <v/>
      </c>
      <c r="H40" s="58" t="n">
        <v>7.87</v>
      </c>
      <c r="I40" s="50" t="inlineStr">
        <is>
          <t>990 Investments</t>
        </is>
      </c>
      <c r="J40" s="56" t="inlineStr">
        <is>
          <t>https://projects.propublica.org/nonprofits/organizations/752702388</t>
        </is>
      </c>
    </row>
    <row r="41">
      <c r="A41" s="56" t="inlineStr">
        <is>
          <t>Andrew W Mellon Foundation</t>
        </is>
      </c>
      <c r="B41" t="inlineStr">
        <is>
          <t>131879954</t>
        </is>
      </c>
      <c r="C41" s="57" t="n">
        <v>7.728632839</v>
      </c>
      <c r="D41" s="57" t="n">
        <v>7.89493136</v>
      </c>
      <c r="E41" s="57" t="n">
        <v/>
      </c>
      <c r="F41" s="57" t="n">
        <v>7.85</v>
      </c>
      <c r="G41" s="57" t="n">
        <v/>
      </c>
      <c r="H41" s="58" t="n">
        <v>7.85</v>
      </c>
      <c r="I41" s="50" t="inlineStr">
        <is>
          <t>P&amp;I</t>
        </is>
      </c>
      <c r="J41" s="56" t="inlineStr">
        <is>
          <t>https://www.pionline.com/research-center/largest-endowments-foundations</t>
        </is>
      </c>
    </row>
    <row r="42">
      <c r="A42" s="56" t="inlineStr">
        <is>
          <t>Brown University Of Providence</t>
        </is>
      </c>
      <c r="B42" t="inlineStr">
        <is>
          <t>050258809</t>
        </is>
      </c>
      <c r="C42" s="57" t="n">
        <v>8.196888489999999</v>
      </c>
      <c r="D42" s="57" t="n">
        <v>11.263164029</v>
      </c>
      <c r="E42" s="57" t="n">
        <v>7.278252</v>
      </c>
      <c r="F42" s="57" t="n">
        <v>7.23</v>
      </c>
      <c r="G42" s="57" t="n">
        <v/>
      </c>
      <c r="H42" s="58" t="n">
        <v>7.28</v>
      </c>
      <c r="I42" s="50" t="inlineStr">
        <is>
          <t>NACUBO</t>
        </is>
      </c>
      <c r="J42" s="56" t="inlineStr">
        <is>
          <t>https://www.nacubo.org/research/2024-ncse-public-tables</t>
        </is>
      </c>
    </row>
    <row r="43">
      <c r="A43" s="56" t="inlineStr">
        <is>
          <t>New York University</t>
        </is>
      </c>
      <c r="B43" t="inlineStr">
        <is>
          <t>135562308</t>
        </is>
      </c>
      <c r="C43" s="57" t="n">
        <v>9.009579350999999</v>
      </c>
      <c r="D43" s="57" t="n">
        <v>23.589633382</v>
      </c>
      <c r="E43" s="57" t="n">
        <v>7.276</v>
      </c>
      <c r="F43" s="57" t="n">
        <v>6.7</v>
      </c>
      <c r="G43" s="57" t="n">
        <v/>
      </c>
      <c r="H43" s="58" t="n">
        <v>7.28</v>
      </c>
      <c r="I43" s="50" t="inlineStr">
        <is>
          <t>NACUBO</t>
        </is>
      </c>
      <c r="J43" s="56" t="inlineStr">
        <is>
          <t>https://www.nacubo.org/research/2024-ncse-public-tables</t>
        </is>
      </c>
    </row>
    <row r="44">
      <c r="A44" s="56" t="inlineStr">
        <is>
          <t>John D &amp; Catherine T Macarthur Foundation</t>
        </is>
      </c>
      <c r="B44" t="inlineStr">
        <is>
          <t>237093598</t>
        </is>
      </c>
      <c r="C44" s="57" t="n">
        <v>9.165912171</v>
      </c>
      <c r="D44" s="57" t="n">
        <v>9.311570851999999</v>
      </c>
      <c r="E44" s="57" t="n">
        <v/>
      </c>
      <c r="F44" s="57" t="n">
        <v>7.188</v>
      </c>
      <c r="G44" s="57" t="n">
        <v/>
      </c>
      <c r="H44" s="58" t="n">
        <v>7.19</v>
      </c>
      <c r="I44" s="50" t="inlineStr">
        <is>
          <t>P&amp;I</t>
        </is>
      </c>
      <c r="J44" s="56" t="inlineStr">
        <is>
          <t>https://www.pionline.com/research-center/largest-endowments-foundations</t>
        </is>
      </c>
    </row>
    <row r="45">
      <c r="A45" s="56" t="inlineStr">
        <is>
          <t>Leona M &amp; Harry B Helmsley Charitable Trust</t>
        </is>
      </c>
      <c r="B45" t="inlineStr">
        <is>
          <t>137184401</t>
        </is>
      </c>
      <c r="C45" s="57" t="n">
        <v>6.994047448</v>
      </c>
      <c r="D45" s="57" t="n">
        <v>7.108379897</v>
      </c>
      <c r="E45" s="57" t="n">
        <v/>
      </c>
      <c r="F45" s="57" t="n">
        <v/>
      </c>
      <c r="G45" s="57" t="n">
        <v/>
      </c>
      <c r="H45" s="58" t="n">
        <v>6.99</v>
      </c>
      <c r="I45" s="50" t="inlineStr">
        <is>
          <t>990 Investments</t>
        </is>
      </c>
      <c r="J45" s="56" t="inlineStr">
        <is>
          <t>https://projects.propublica.org/nonprofits/organizations/137184401</t>
        </is>
      </c>
    </row>
    <row r="46">
      <c r="A46" s="56" t="inlineStr">
        <is>
          <t>Conrad N Hilton Foundation</t>
        </is>
      </c>
      <c r="B46" t="inlineStr">
        <is>
          <t>943100217</t>
        </is>
      </c>
      <c r="C46" s="57" t="n">
        <v>7.133186609</v>
      </c>
      <c r="D46" s="57" t="n">
        <v>7.36288368</v>
      </c>
      <c r="E46" s="57" t="n">
        <v/>
      </c>
      <c r="F46" s="57" t="n">
        <v>6.777</v>
      </c>
      <c r="G46" s="57" t="n">
        <v/>
      </c>
      <c r="H46" s="58" t="n">
        <v>6.78</v>
      </c>
      <c r="I46" s="50" t="inlineStr">
        <is>
          <t>P&amp;I</t>
        </is>
      </c>
      <c r="J46" s="56" t="inlineStr">
        <is>
          <t>https://www.pionline.com/research-center/largest-endowments-foundations</t>
        </is>
      </c>
    </row>
    <row r="47">
      <c r="A47" s="56" t="inlineStr">
        <is>
          <t>Memorial Sloan Kettering Cancer Center</t>
        </is>
      </c>
      <c r="B47" t="inlineStr">
        <is>
          <t>131924236</t>
        </is>
      </c>
      <c r="C47" s="57" t="n">
        <v>6.519843</v>
      </c>
      <c r="D47" s="57" t="n">
        <v>9.181602</v>
      </c>
      <c r="E47" s="57" t="n">
        <v/>
      </c>
      <c r="F47" s="57" t="n">
        <v/>
      </c>
      <c r="G47" s="57" t="n">
        <v/>
      </c>
      <c r="H47" s="58" t="n">
        <v>6.52</v>
      </c>
      <c r="I47" s="50" t="inlineStr">
        <is>
          <t>990 Investments</t>
        </is>
      </c>
      <c r="J47" s="56" t="inlineStr">
        <is>
          <t>https://projects.propublica.org/nonprofits/organizations/131924236</t>
        </is>
      </c>
    </row>
    <row r="48">
      <c r="A48" s="56" t="inlineStr">
        <is>
          <t>The Chicago Community Trust</t>
        </is>
      </c>
      <c r="B48" t="inlineStr">
        <is>
          <t>362167000</t>
        </is>
      </c>
      <c r="C48" s="57" t="n">
        <v>6.480046402</v>
      </c>
      <c r="D48" s="57" t="n">
        <v>7.126827178</v>
      </c>
      <c r="E48" s="57" t="n">
        <v/>
      </c>
      <c r="F48" s="57" t="n">
        <v/>
      </c>
      <c r="G48" s="57" t="n">
        <v/>
      </c>
      <c r="H48" s="58" t="n">
        <v>6.48</v>
      </c>
      <c r="I48" s="50" t="inlineStr">
        <is>
          <t>990 Investments</t>
        </is>
      </c>
      <c r="J48" s="56" t="inlineStr">
        <is>
          <t>https://projects.propublica.org/nonprofits/organizations/362167000</t>
        </is>
      </c>
    </row>
    <row r="49">
      <c r="A49" s="56" t="inlineStr">
        <is>
          <t>Unc Management Company Inc</t>
        </is>
      </c>
      <c r="B49" t="inlineStr">
        <is>
          <t>364516257</t>
        </is>
      </c>
      <c r="C49" s="57" t="n">
        <v>0.045292707</v>
      </c>
      <c r="D49" s="57" t="n">
        <v>0.06173482</v>
      </c>
      <c r="E49" s="57" t="n">
        <v>6.222201</v>
      </c>
      <c r="F49" s="57" t="n">
        <v/>
      </c>
      <c r="G49" s="57" t="n">
        <v>5.73</v>
      </c>
      <c r="H49" s="58" t="n">
        <v>6.22</v>
      </c>
      <c r="I49" s="50" t="inlineStr">
        <is>
          <t>NACUBO</t>
        </is>
      </c>
      <c r="J49" s="56" t="inlineStr">
        <is>
          <t>https://www.nacubo.org/research/2024-ncse-public-tables</t>
        </is>
      </c>
    </row>
    <row r="50">
      <c r="A50" s="56" t="inlineStr">
        <is>
          <t>University Of Pittsburgh</t>
        </is>
      </c>
      <c r="B50" t="inlineStr">
        <is>
          <t>250965591</t>
        </is>
      </c>
      <c r="C50" s="57" t="n">
        <v>6.652296884</v>
      </c>
      <c r="D50" s="57" t="n">
        <v>10.911582101</v>
      </c>
      <c r="E50" s="57" t="n">
        <v>6.153502</v>
      </c>
      <c r="F50" s="57" t="n">
        <v/>
      </c>
      <c r="G50" s="57" t="n">
        <v/>
      </c>
      <c r="H50" s="58" t="n">
        <v>6.15</v>
      </c>
      <c r="I50" s="50" t="inlineStr">
        <is>
          <t>NACUBO</t>
        </is>
      </c>
      <c r="J50" s="56" t="inlineStr">
        <is>
          <t>https://www.nacubo.org/research/2024-ncse-public-tables</t>
        </is>
      </c>
    </row>
    <row r="51">
      <c r="A51" s="56" t="inlineStr">
        <is>
          <t>University Of Minnesota Foundation</t>
        </is>
      </c>
      <c r="B51" t="inlineStr">
        <is>
          <t>411931343</t>
        </is>
      </c>
      <c r="C51" s="57" t="n">
        <v/>
      </c>
      <c r="D51" s="57" t="n">
        <v>0.003926749</v>
      </c>
      <c r="E51" s="57" t="n">
        <v/>
      </c>
      <c r="F51" s="57" t="n">
        <v/>
      </c>
      <c r="G51" s="57" t="n">
        <v>5.94</v>
      </c>
      <c r="H51" s="58" t="n">
        <v>5.94</v>
      </c>
      <c r="I51" s="50" t="inlineStr">
        <is>
          <t>Manual: NACUBO U Minnesota &amp; Foundation</t>
        </is>
      </c>
      <c r="J51" s="56" t="inlineStr">
        <is>
          <t>https://www.nacubo.org/research/2024-ncse-public-tables</t>
        </is>
      </c>
    </row>
    <row r="52">
      <c r="A52" s="56" t="inlineStr">
        <is>
          <t>National Christian Charitable Foundation</t>
        </is>
      </c>
      <c r="B52" t="inlineStr">
        <is>
          <t>581493949</t>
        </is>
      </c>
      <c r="C52" s="57" t="n">
        <v>5.903424056</v>
      </c>
      <c r="D52" s="57" t="n">
        <v>6.06406016</v>
      </c>
      <c r="E52" s="57" t="n">
        <v/>
      </c>
      <c r="F52" s="57" t="n">
        <v/>
      </c>
      <c r="G52" s="57" t="n">
        <v/>
      </c>
      <c r="H52" s="58" t="n">
        <v>5.9</v>
      </c>
      <c r="I52" s="50" t="inlineStr">
        <is>
          <t>990 Investments</t>
        </is>
      </c>
      <c r="J52" s="56" t="inlineStr">
        <is>
          <t>https://projects.propublica.org/nonprofits/organizations/581493949</t>
        </is>
      </c>
    </row>
    <row r="53">
      <c r="A53" s="56" t="inlineStr">
        <is>
          <t>University Of Richmond</t>
        </is>
      </c>
      <c r="B53" t="inlineStr">
        <is>
          <t>540505965</t>
        </is>
      </c>
      <c r="C53" s="57" t="n">
        <v>3.610434935</v>
      </c>
      <c r="D53" s="57" t="n">
        <v>4.061013025</v>
      </c>
      <c r="E53" s="57" t="n">
        <v>3.49399</v>
      </c>
      <c r="F53" s="57" t="n">
        <v/>
      </c>
      <c r="G53" s="57" t="n">
        <v>5.9</v>
      </c>
      <c r="H53" s="58" t="n">
        <v>5.9</v>
      </c>
      <c r="I53" s="50" t="inlineStr">
        <is>
          <t>Manual: Spider Management total AUM (U Richmond + external)</t>
        </is>
      </c>
      <c r="J53" s="56" t="inlineStr">
        <is>
          <t>https://www.spidermanagement.com/</t>
        </is>
      </c>
    </row>
    <row r="54">
      <c r="A54" s="56" t="inlineStr">
        <is>
          <t>Vizo Financial Corporate Credit Union</t>
        </is>
      </c>
      <c r="B54" t="inlineStr">
        <is>
          <t>561295697</t>
        </is>
      </c>
      <c r="C54" s="57" t="n">
        <v>5.893001931</v>
      </c>
      <c r="D54" s="57" t="n">
        <v>6.045495809</v>
      </c>
      <c r="E54" s="57" t="n">
        <v/>
      </c>
      <c r="F54" s="57" t="n">
        <v/>
      </c>
      <c r="G54" s="57" t="n">
        <v/>
      </c>
      <c r="H54" s="58" t="n">
        <v>5.89</v>
      </c>
      <c r="I54" s="50" t="inlineStr">
        <is>
          <t>990 Investments</t>
        </is>
      </c>
      <c r="J54" s="56" t="inlineStr">
        <is>
          <t>https://projects.propublica.org/nonprofits/organizations/561295697</t>
        </is>
      </c>
    </row>
    <row r="55">
      <c r="A55" s="56" t="inlineStr">
        <is>
          <t>The Metropolitan Museum Of Art</t>
        </is>
      </c>
      <c r="B55" t="inlineStr">
        <is>
          <t>131624086</t>
        </is>
      </c>
      <c r="C55" s="57" t="n">
        <v>5.634638605</v>
      </c>
      <c r="D55" s="57" t="n">
        <v>6.42525027</v>
      </c>
      <c r="E55" s="57" t="n">
        <v/>
      </c>
      <c r="F55" s="57" t="n">
        <v/>
      </c>
      <c r="G55" s="57" t="n">
        <v/>
      </c>
      <c r="H55" s="58" t="n">
        <v>5.63</v>
      </c>
      <c r="I55" s="50" t="inlineStr">
        <is>
          <t>990 Investments</t>
        </is>
      </c>
      <c r="J55" s="56" t="inlineStr">
        <is>
          <t>https://projects.propublica.org/nonprofits/organizations/131624086</t>
        </is>
      </c>
    </row>
    <row r="56">
      <c r="A56" s="56" t="inlineStr">
        <is>
          <t>Rockefeller Foundation</t>
        </is>
      </c>
      <c r="B56" t="inlineStr">
        <is>
          <t>131659629</t>
        </is>
      </c>
      <c r="C56" s="57" t="n">
        <v>6.159140647</v>
      </c>
      <c r="D56" s="57" t="n">
        <v>6.401585166</v>
      </c>
      <c r="E56" s="57" t="n">
        <v/>
      </c>
      <c r="F56" s="57" t="n">
        <v>5.403</v>
      </c>
      <c r="G56" s="57" t="n">
        <v/>
      </c>
      <c r="H56" s="58" t="n">
        <v>5.4</v>
      </c>
      <c r="I56" s="50" t="inlineStr">
        <is>
          <t>P&amp;I</t>
        </is>
      </c>
      <c r="J56" s="56" t="inlineStr">
        <is>
          <t>https://www.pionline.com/research-center/largest-endowments-foundations</t>
        </is>
      </c>
    </row>
    <row r="57">
      <c r="A57" s="56" t="inlineStr">
        <is>
          <t>Duke Endowment</t>
        </is>
      </c>
      <c r="B57" t="inlineStr">
        <is>
          <t>560529965</t>
        </is>
      </c>
      <c r="C57" s="57" t="n">
        <v>4.973412803</v>
      </c>
      <c r="D57" s="57" t="n">
        <v>5.020065655</v>
      </c>
      <c r="E57" s="57" t="n">
        <v/>
      </c>
      <c r="F57" s="57" t="n">
        <v/>
      </c>
      <c r="G57" s="57" t="n">
        <v/>
      </c>
      <c r="H57" s="58" t="n">
        <v>4.97</v>
      </c>
      <c r="I57" s="50" t="inlineStr">
        <is>
          <t>990 Investments</t>
        </is>
      </c>
      <c r="J57" s="56" t="inlineStr">
        <is>
          <t>https://projects.propublica.org/nonprofits/organizations/560529965</t>
        </is>
      </c>
    </row>
    <row r="58">
      <c r="A58" s="56" t="inlineStr">
        <is>
          <t>University Of Wisconsin Foundation</t>
        </is>
      </c>
      <c r="B58" t="inlineStr">
        <is>
          <t>390743975</t>
        </is>
      </c>
      <c r="C58" s="57" t="n">
        <v>6.005916892</v>
      </c>
      <c r="D58" s="57" t="n">
        <v>6.317679254</v>
      </c>
      <c r="E58" s="57" t="n">
        <v>4.920667</v>
      </c>
      <c r="F58" s="57" t="n">
        <v/>
      </c>
      <c r="G58" s="57" t="n">
        <v/>
      </c>
      <c r="H58" s="58" t="n">
        <v>4.92</v>
      </c>
      <c r="I58" s="50" t="inlineStr">
        <is>
          <t>NACUBO</t>
        </is>
      </c>
      <c r="J58" s="56" t="inlineStr">
        <is>
          <t>https://www.nacubo.org/research/2024-ncse-public-tables</t>
        </is>
      </c>
    </row>
    <row r="59">
      <c r="A59" s="56" t="inlineStr">
        <is>
          <t>Carnegie Corporation Of New York</t>
        </is>
      </c>
      <c r="B59" t="inlineStr">
        <is>
          <t>131628151</t>
        </is>
      </c>
      <c r="C59" s="57" t="n">
        <v>4.813835234</v>
      </c>
      <c r="D59" s="57" t="n">
        <v>4.832583462</v>
      </c>
      <c r="E59" s="57" t="n">
        <v/>
      </c>
      <c r="F59" s="57" t="n">
        <v/>
      </c>
      <c r="G59" s="57" t="n">
        <v/>
      </c>
      <c r="H59" s="58" t="n">
        <v>4.81</v>
      </c>
      <c r="I59" s="50" t="inlineStr">
        <is>
          <t>990 Investments</t>
        </is>
      </c>
      <c r="J59" s="56" t="inlineStr">
        <is>
          <t>https://projects.propublica.org/nonprofits/organizations/131628151</t>
        </is>
      </c>
    </row>
    <row r="60">
      <c r="A60" s="56" t="inlineStr">
        <is>
          <t>Cystic Fibrosis Foundation</t>
        </is>
      </c>
      <c r="B60" t="inlineStr">
        <is>
          <t>131930701</t>
        </is>
      </c>
      <c r="C60" s="57" t="n">
        <v>4.782387704</v>
      </c>
      <c r="D60" s="57" t="n">
        <v>4.986222387</v>
      </c>
      <c r="E60" s="57" t="n">
        <v/>
      </c>
      <c r="F60" s="57" t="n">
        <v/>
      </c>
      <c r="G60" s="57" t="n">
        <v/>
      </c>
      <c r="H60" s="58" t="n">
        <v>4.78</v>
      </c>
      <c r="I60" s="50" t="inlineStr">
        <is>
          <t>990 Investments</t>
        </is>
      </c>
      <c r="J60" s="56" t="inlineStr">
        <is>
          <t>https://projects.propublica.org/nonprofits/organizations/131930701</t>
        </is>
      </c>
    </row>
    <row r="61">
      <c r="A61" s="56" t="inlineStr">
        <is>
          <t>The Ucla Foundation</t>
        </is>
      </c>
      <c r="B61" t="inlineStr">
        <is>
          <t>952250801</t>
        </is>
      </c>
      <c r="C61" s="57" t="n">
        <v>5.894761447</v>
      </c>
      <c r="D61" s="57" t="n">
        <v>6.339179256</v>
      </c>
      <c r="E61" s="57" t="n">
        <v>4.766818</v>
      </c>
      <c r="F61" s="57" t="n">
        <v/>
      </c>
      <c r="G61" s="57" t="n">
        <v/>
      </c>
      <c r="H61" s="58" t="n">
        <v>4.77</v>
      </c>
      <c r="I61" s="50" t="inlineStr">
        <is>
          <t>NACUBO</t>
        </is>
      </c>
      <c r="J61" s="56" t="inlineStr">
        <is>
          <t>https://www.nacubo.org/research/2024-ncse-public-tables</t>
        </is>
      </c>
    </row>
    <row r="62">
      <c r="A62" s="56" t="inlineStr">
        <is>
          <t>Purdue Research Foundation</t>
        </is>
      </c>
      <c r="B62" t="inlineStr">
        <is>
          <t>351052049</t>
        </is>
      </c>
      <c r="C62" s="57" t="n">
        <v>4.665612997</v>
      </c>
      <c r="D62" s="57" t="n">
        <v>5.101167755</v>
      </c>
      <c r="E62" s="57" t="n">
        <v/>
      </c>
      <c r="F62" s="57" t="n">
        <v/>
      </c>
      <c r="G62" s="57" t="n">
        <v/>
      </c>
      <c r="H62" s="58" t="n">
        <v>4.67</v>
      </c>
      <c r="I62" s="50" t="inlineStr">
        <is>
          <t>990 Investments</t>
        </is>
      </c>
      <c r="J62" s="56" t="inlineStr">
        <is>
          <t>https://projects.propublica.org/nonprofits/organizations/351052049</t>
        </is>
      </c>
    </row>
    <row r="63">
      <c r="A63" s="56" t="inlineStr">
        <is>
          <t>California Institute Of Technology</t>
        </is>
      </c>
      <c r="B63" t="inlineStr">
        <is>
          <t>951643307</t>
        </is>
      </c>
      <c r="C63" s="57" t="n">
        <v>5.341679637</v>
      </c>
      <c r="D63" s="57" t="n">
        <v>8.072661</v>
      </c>
      <c r="E63" s="57" t="n">
        <v>4.3172</v>
      </c>
      <c r="F63" s="57" t="n">
        <v/>
      </c>
      <c r="G63" s="57" t="n">
        <v/>
      </c>
      <c r="H63" s="58" t="n">
        <v>4.32</v>
      </c>
      <c r="I63" s="50" t="inlineStr">
        <is>
          <t>NACUBO</t>
        </is>
      </c>
      <c r="J63" s="56" t="inlineStr">
        <is>
          <t>https://www.nacubo.org/research/2024-ncse-public-tables</t>
        </is>
      </c>
    </row>
    <row r="64">
      <c r="A64" s="56" t="inlineStr">
        <is>
          <t>Texas Scottish Rite Hospital For Children</t>
        </is>
      </c>
      <c r="B64" t="inlineStr">
        <is>
          <t>750818178</t>
        </is>
      </c>
      <c r="C64" s="57" t="n">
        <v>4.313479725</v>
      </c>
      <c r="D64" s="57" t="n">
        <v>4.946776863</v>
      </c>
      <c r="E64" s="57" t="n">
        <v/>
      </c>
      <c r="F64" s="57" t="n">
        <v/>
      </c>
      <c r="G64" s="57" t="n">
        <v/>
      </c>
      <c r="H64" s="58" t="n">
        <v>4.31</v>
      </c>
      <c r="I64" s="50" t="inlineStr">
        <is>
          <t>990 Investments</t>
        </is>
      </c>
      <c r="J64" s="56" t="inlineStr">
        <is>
          <t>https://projects.propublica.org/nonprofits/organizations/750818178</t>
        </is>
      </c>
    </row>
    <row r="65">
      <c r="A65" s="56" t="inlineStr">
        <is>
          <t>Carnegie Mellon University</t>
        </is>
      </c>
      <c r="B65" t="inlineStr">
        <is>
          <t>250969449</t>
        </is>
      </c>
      <c r="C65" s="57" t="n">
        <v>5.549526478</v>
      </c>
      <c r="D65" s="57" t="n">
        <v>7.63620961</v>
      </c>
      <c r="E65" s="57" t="n">
        <v>4.287143</v>
      </c>
      <c r="F65" s="57" t="n">
        <v/>
      </c>
      <c r="G65" s="57" t="n">
        <v/>
      </c>
      <c r="H65" s="58" t="n">
        <v>4.29</v>
      </c>
      <c r="I65" s="50" t="inlineStr">
        <is>
          <t>NACUBO</t>
        </is>
      </c>
      <c r="J65" s="56" t="inlineStr">
        <is>
          <t>https://www.nacubo.org/research/2024-ncse-public-tables</t>
        </is>
      </c>
    </row>
    <row r="66">
      <c r="A66" s="56" t="inlineStr">
        <is>
          <t>Boston College Trustees</t>
        </is>
      </c>
      <c r="B66" t="inlineStr">
        <is>
          <t>042103545</t>
        </is>
      </c>
      <c r="C66" s="57" t="n">
        <v>4.986374857</v>
      </c>
      <c r="D66" s="57" t="n">
        <v>7.724895187</v>
      </c>
      <c r="E66" s="57" t="n">
        <v>4.2362</v>
      </c>
      <c r="F66" s="57" t="n">
        <v/>
      </c>
      <c r="G66" s="57" t="n">
        <v/>
      </c>
      <c r="H66" s="58" t="n">
        <v>4.24</v>
      </c>
      <c r="I66" s="50" t="inlineStr">
        <is>
          <t>NACUBO</t>
        </is>
      </c>
      <c r="J66" s="56" t="inlineStr">
        <is>
          <t>https://www.nacubo.org/research/2024-ncse-public-tables</t>
        </is>
      </c>
    </row>
    <row r="67">
      <c r="A67" s="56" t="inlineStr">
        <is>
          <t>Freedom Together Foundation</t>
        </is>
      </c>
      <c r="B67" t="inlineStr">
        <is>
          <t>900747216</t>
        </is>
      </c>
      <c r="C67" s="57" t="n">
        <v>4.050197224</v>
      </c>
      <c r="D67" s="57" t="n">
        <v>4.069471666</v>
      </c>
      <c r="E67" s="57" t="n">
        <v/>
      </c>
      <c r="F67" s="57" t="n">
        <v/>
      </c>
      <c r="G67" s="57" t="n">
        <v/>
      </c>
      <c r="H67" s="58" t="n">
        <v>4.05</v>
      </c>
      <c r="I67" s="50" t="inlineStr">
        <is>
          <t>990 Investments</t>
        </is>
      </c>
      <c r="J67" s="56" t="inlineStr">
        <is>
          <t>https://projects.propublica.org/nonprofits/organizations/900747216</t>
        </is>
      </c>
    </row>
    <row r="68">
      <c r="A68" s="56" t="inlineStr">
        <is>
          <t>Indiana University Foundation</t>
        </is>
      </c>
      <c r="B68" t="inlineStr">
        <is>
          <t>356018940</t>
        </is>
      </c>
      <c r="C68" s="57" t="n">
        <v>4.330901452</v>
      </c>
      <c r="D68" s="57" t="n">
        <v>4.668012589</v>
      </c>
      <c r="E68" s="57" t="n">
        <v>4.053279</v>
      </c>
      <c r="F68" s="57" t="n">
        <v/>
      </c>
      <c r="G68" s="57" t="n">
        <v/>
      </c>
      <c r="H68" s="58" t="n">
        <v>4.05</v>
      </c>
      <c r="I68" s="50" t="inlineStr">
        <is>
          <t>NACUBO</t>
        </is>
      </c>
      <c r="J68" s="56" t="inlineStr">
        <is>
          <t>https://www.nacubo.org/research/2024-ncse-public-tables</t>
        </is>
      </c>
    </row>
    <row r="69">
      <c r="A69" s="56" t="inlineStr">
        <is>
          <t>Trustees Of Boston University</t>
        </is>
      </c>
      <c r="B69" t="inlineStr">
        <is>
          <t>042103547</t>
        </is>
      </c>
      <c r="C69" s="57" t="n">
        <v>5.526106111</v>
      </c>
      <c r="D69" s="57" t="n">
        <v>9.263866015</v>
      </c>
      <c r="E69" s="57" t="n">
        <v>4.016142</v>
      </c>
      <c r="F69" s="57" t="n">
        <v/>
      </c>
      <c r="G69" s="57" t="n">
        <v/>
      </c>
      <c r="H69" s="58" t="n">
        <v>4.02</v>
      </c>
      <c r="I69" s="50" t="inlineStr">
        <is>
          <t>NACUBO</t>
        </is>
      </c>
      <c r="J69" s="56" t="inlineStr">
        <is>
          <t>https://www.nacubo.org/research/2024-ncse-public-tables</t>
        </is>
      </c>
    </row>
    <row r="70">
      <c r="A70" s="56" t="inlineStr">
        <is>
          <t>Kresge Foundation</t>
        </is>
      </c>
      <c r="B70" t="inlineStr">
        <is>
          <t>381359217</t>
        </is>
      </c>
      <c r="C70" s="57" t="n">
        <v>3.86208005</v>
      </c>
      <c r="D70" s="57" t="n">
        <v>3.984695361</v>
      </c>
      <c r="E70" s="57" t="n">
        <v/>
      </c>
      <c r="F70" s="57" t="n">
        <v>3.955</v>
      </c>
      <c r="G70" s="57" t="n">
        <v/>
      </c>
      <c r="H70" s="58" t="n">
        <v>3.96</v>
      </c>
      <c r="I70" s="50" t="inlineStr">
        <is>
          <t>P&amp;I</t>
        </is>
      </c>
      <c r="J70" s="56" t="inlineStr">
        <is>
          <t>https://www.pionline.com/research-center/largest-endowments-foundations</t>
        </is>
      </c>
    </row>
    <row r="71">
      <c r="A71" s="56" t="inlineStr">
        <is>
          <t>Georgetown University</t>
        </is>
      </c>
      <c r="B71" t="inlineStr">
        <is>
          <t>530196603</t>
        </is>
      </c>
      <c r="C71" s="57" t="n">
        <v>4.376148586</v>
      </c>
      <c r="D71" s="57" t="n">
        <v>6.88264169</v>
      </c>
      <c r="E71" s="57" t="n">
        <v>3.951364</v>
      </c>
      <c r="F71" s="57" t="n">
        <v/>
      </c>
      <c r="G71" s="57" t="n">
        <v/>
      </c>
      <c r="H71" s="58" t="n">
        <v>3.95</v>
      </c>
      <c r="I71" s="50" t="inlineStr">
        <is>
          <t>NACUBO</t>
        </is>
      </c>
      <c r="J71" s="56" t="inlineStr">
        <is>
          <t>https://www.nacubo.org/research/2024-ncse-public-tables</t>
        </is>
      </c>
    </row>
    <row r="72">
      <c r="A72" s="56" t="inlineStr">
        <is>
          <t>Williams College</t>
        </is>
      </c>
      <c r="B72" t="inlineStr">
        <is>
          <t>042104847</t>
        </is>
      </c>
      <c r="C72" s="57" t="n">
        <v>4.646854901</v>
      </c>
      <c r="D72" s="57" t="n">
        <v>5.54053068</v>
      </c>
      <c r="E72" s="57" t="n">
        <v>3.931247</v>
      </c>
      <c r="F72" s="57" t="n">
        <v/>
      </c>
      <c r="G72" s="57" t="n">
        <v/>
      </c>
      <c r="H72" s="58" t="n">
        <v>3.93</v>
      </c>
      <c r="I72" s="50" t="inlineStr">
        <is>
          <t>NACUBO</t>
        </is>
      </c>
      <c r="J72" s="56" t="inlineStr">
        <is>
          <t>https://www.nacubo.org/research/2024-ncse-public-tables</t>
        </is>
      </c>
    </row>
    <row r="73">
      <c r="A73" s="56" t="inlineStr">
        <is>
          <t>Trustees Of Amherst College</t>
        </is>
      </c>
      <c r="B73" t="inlineStr">
        <is>
          <t>042103542</t>
        </is>
      </c>
      <c r="C73" s="57" t="n">
        <v>5.128014298</v>
      </c>
      <c r="D73" s="57" t="n">
        <v>6.205673227</v>
      </c>
      <c r="E73" s="57" t="n">
        <v>3.898671</v>
      </c>
      <c r="F73" s="57" t="n">
        <v/>
      </c>
      <c r="G73" s="57" t="n">
        <v/>
      </c>
      <c r="H73" s="58" t="n">
        <v>3.9</v>
      </c>
      <c r="I73" s="50" t="inlineStr">
        <is>
          <t>NACUBO</t>
        </is>
      </c>
      <c r="J73" s="56" t="inlineStr">
        <is>
          <t>https://www.nacubo.org/research/2024-ncse-public-tables</t>
        </is>
      </c>
    </row>
    <row r="74">
      <c r="A74" s="56" t="inlineStr">
        <is>
          <t>Nature Conservancy</t>
        </is>
      </c>
      <c r="B74" t="inlineStr">
        <is>
          <t>530242652</t>
        </is>
      </c>
      <c r="C74" s="57" t="n">
        <v>3.857963404</v>
      </c>
      <c r="D74" s="57" t="n">
        <v>10.108681571</v>
      </c>
      <c r="E74" s="57" t="n">
        <v/>
      </c>
      <c r="F74" s="57" t="n">
        <v/>
      </c>
      <c r="G74" s="57" t="n">
        <v/>
      </c>
      <c r="H74" s="58" t="n">
        <v>3.86</v>
      </c>
      <c r="I74" s="50" t="inlineStr">
        <is>
          <t>990 Investments</t>
        </is>
      </c>
      <c r="J74" s="56" t="inlineStr">
        <is>
          <t>https://projects.propublica.org/nonprofits/organizations/530242652</t>
        </is>
      </c>
    </row>
    <row r="75">
      <c r="A75" s="56" t="inlineStr">
        <is>
          <t>University Of Illinois Foundation</t>
        </is>
      </c>
      <c r="B75" t="inlineStr">
        <is>
          <t>376006007</t>
        </is>
      </c>
      <c r="C75" s="57" t="n">
        <v>3.139315954</v>
      </c>
      <c r="D75" s="57" t="n">
        <v>3.696953968</v>
      </c>
      <c r="E75" s="57" t="n">
        <v>3.797808</v>
      </c>
      <c r="F75" s="57" t="n">
        <v>1.121</v>
      </c>
      <c r="G75" s="57" t="n">
        <v/>
      </c>
      <c r="H75" s="58" t="n">
        <v>3.8</v>
      </c>
      <c r="I75" s="50" t="inlineStr">
        <is>
          <t>NACUBO</t>
        </is>
      </c>
      <c r="J75" s="56" t="inlineStr">
        <is>
          <t>https://www.nacubo.org/research/2024-ncse-public-tables</t>
        </is>
      </c>
    </row>
    <row r="76">
      <c r="A76" s="56" t="inlineStr">
        <is>
          <t>State University Of Iowa Foundation</t>
        </is>
      </c>
      <c r="B76" t="inlineStr">
        <is>
          <t>420796760</t>
        </is>
      </c>
      <c r="C76" s="57" t="n">
        <v>1.981920762</v>
      </c>
      <c r="D76" s="57" t="n">
        <v>2.294681117</v>
      </c>
      <c r="E76" s="57" t="n">
        <v>3.773673</v>
      </c>
      <c r="F76" s="57" t="n">
        <v/>
      </c>
      <c r="G76" s="57" t="n">
        <v/>
      </c>
      <c r="H76" s="58" t="n">
        <v>3.77</v>
      </c>
      <c r="I76" s="50" t="inlineStr">
        <is>
          <t>NACUBO</t>
        </is>
      </c>
      <c r="J76" s="56" t="inlineStr">
        <is>
          <t>https://www.nacubo.org/research/2024-ncse-public-tables</t>
        </is>
      </c>
    </row>
    <row r="77">
      <c r="A77" s="56" t="inlineStr">
        <is>
          <t>Smithsonian Institute</t>
        </is>
      </c>
      <c r="B77" t="inlineStr">
        <is>
          <t>530206027</t>
        </is>
      </c>
      <c r="C77" s="57" t="n">
        <v>3.628842388</v>
      </c>
      <c r="D77" s="57" t="n">
        <v>7.890524121</v>
      </c>
      <c r="E77" s="57" t="n">
        <v/>
      </c>
      <c r="F77" s="57" t="n">
        <v/>
      </c>
      <c r="G77" s="57" t="n">
        <v/>
      </c>
      <c r="H77" s="58" t="n">
        <v>3.63</v>
      </c>
      <c r="I77" s="50" t="inlineStr">
        <is>
          <t>990 Investments</t>
        </is>
      </c>
      <c r="J77" s="56" t="inlineStr">
        <is>
          <t>https://projects.propublica.org/nonprofits/organizations/530206027</t>
        </is>
      </c>
    </row>
    <row r="78">
      <c r="A78" s="56" t="inlineStr">
        <is>
          <t>Charles Stewart Mott Foundation</t>
        </is>
      </c>
      <c r="B78" t="inlineStr">
        <is>
          <t>381211227</t>
        </is>
      </c>
      <c r="C78" s="57" t="n">
        <v>3.759402466</v>
      </c>
      <c r="D78" s="57" t="n">
        <v>3.77429744</v>
      </c>
      <c r="E78" s="57" t="n">
        <v/>
      </c>
      <c r="F78" s="57" t="n">
        <v>3.599</v>
      </c>
      <c r="G78" s="57" t="n">
        <v/>
      </c>
      <c r="H78" s="58" t="n">
        <v>3.6</v>
      </c>
      <c r="I78" s="50" t="inlineStr">
        <is>
          <t>P&amp;I</t>
        </is>
      </c>
      <c r="J78" s="56" t="inlineStr">
        <is>
          <t>https://www.pionline.com/research-center/largest-endowments-foundations</t>
        </is>
      </c>
    </row>
    <row r="79">
      <c r="A79" s="56" t="inlineStr">
        <is>
          <t>The New York Community Trust</t>
        </is>
      </c>
      <c r="B79" t="inlineStr">
        <is>
          <t>133062214</t>
        </is>
      </c>
      <c r="C79" s="57" t="n">
        <v>3.485155425</v>
      </c>
      <c r="D79" s="57" t="n">
        <v>3.517968264</v>
      </c>
      <c r="E79" s="57" t="n">
        <v/>
      </c>
      <c r="F79" s="57" t="n">
        <v/>
      </c>
      <c r="G79" s="57" t="n">
        <v/>
      </c>
      <c r="H79" s="58" t="n">
        <v>3.49</v>
      </c>
      <c r="I79" s="50" t="inlineStr">
        <is>
          <t>990 Investments</t>
        </is>
      </c>
      <c r="J79" s="56" t="inlineStr">
        <is>
          <t>https://projects.propublica.org/nonprofits/organizations/133062214</t>
        </is>
      </c>
    </row>
    <row r="80">
      <c r="A80" s="56" t="inlineStr">
        <is>
          <t>Texas A&amp;M Foundation</t>
        </is>
      </c>
      <c r="B80" t="inlineStr">
        <is>
          <t>742245072</t>
        </is>
      </c>
      <c r="C80" s="57" t="n">
        <v>3.429094248</v>
      </c>
      <c r="D80" s="57" t="n">
        <v>3.738939807</v>
      </c>
      <c r="E80" s="57" t="n">
        <v/>
      </c>
      <c r="F80" s="57" t="n">
        <v/>
      </c>
      <c r="G80" s="57" t="n">
        <v/>
      </c>
      <c r="H80" s="58" t="n">
        <v>3.43</v>
      </c>
      <c r="I80" s="50" t="inlineStr">
        <is>
          <t>990 Investments</t>
        </is>
      </c>
      <c r="J80" s="56" t="inlineStr">
        <is>
          <t>https://projects.propublica.org/nonprofits/organizations/742245072</t>
        </is>
      </c>
    </row>
    <row r="81">
      <c r="A81" s="56" t="inlineStr">
        <is>
          <t>Wisconsin Alumni Research Foundation</t>
        </is>
      </c>
      <c r="B81" t="inlineStr">
        <is>
          <t>390833612</t>
        </is>
      </c>
      <c r="C81" s="57" t="n">
        <v>3.398375845</v>
      </c>
      <c r="D81" s="57" t="n">
        <v>3.432336917</v>
      </c>
      <c r="E81" s="57" t="n">
        <v/>
      </c>
      <c r="F81" s="57" t="n">
        <v/>
      </c>
      <c r="G81" s="57" t="n">
        <v/>
      </c>
      <c r="H81" s="58" t="n">
        <v>3.4</v>
      </c>
      <c r="I81" s="50" t="inlineStr">
        <is>
          <t>990 Investments</t>
        </is>
      </c>
      <c r="J81" s="56" t="inlineStr">
        <is>
          <t>https://projects.propublica.org/nonprofits/organizations/390833612</t>
        </is>
      </c>
    </row>
    <row r="82">
      <c r="A82" s="56" t="inlineStr">
        <is>
          <t>Uc Berkeley Management Company</t>
        </is>
      </c>
      <c r="B82" t="inlineStr">
        <is>
          <t>270652636</t>
        </is>
      </c>
      <c r="C82" s="57" t="n">
        <v/>
      </c>
      <c r="D82" s="57" t="n">
        <v>0</v>
      </c>
      <c r="E82" s="57" t="n">
        <v/>
      </c>
      <c r="F82" s="57" t="n">
        <v/>
      </c>
      <c r="G82" s="57" t="n">
        <v>3.39</v>
      </c>
      <c r="H82" s="58" t="n">
        <v>3.39</v>
      </c>
      <c r="I82" s="50" t="inlineStr">
        <is>
          <t>Manual: NACUBO UC Berkeley Foundation endowment FY25</t>
        </is>
      </c>
      <c r="J82" s="56" t="inlineStr">
        <is>
          <t>https://www.nacubo.org/research/2024-ncse-public-tables</t>
        </is>
      </c>
    </row>
    <row r="83">
      <c r="A83" s="56" t="inlineStr">
        <is>
          <t>John Templeton Foundation</t>
        </is>
      </c>
      <c r="B83" t="inlineStr">
        <is>
          <t>621322826</t>
        </is>
      </c>
      <c r="C83" s="57" t="n">
        <v>3.598985058</v>
      </c>
      <c r="D83" s="57" t="n">
        <v>3.59948825</v>
      </c>
      <c r="E83" s="57" t="n">
        <v/>
      </c>
      <c r="F83" s="57" t="n">
        <v>3.27</v>
      </c>
      <c r="G83" s="57" t="n">
        <v/>
      </c>
      <c r="H83" s="58" t="n">
        <v>3.27</v>
      </c>
      <c r="I83" s="50" t="inlineStr">
        <is>
          <t>P&amp;I</t>
        </is>
      </c>
      <c r="J83" s="56" t="inlineStr">
        <is>
          <t>https://www.pionline.com/research-center/largest-endowments-foundations</t>
        </is>
      </c>
    </row>
    <row r="84">
      <c r="A84" s="56" t="inlineStr">
        <is>
          <t>William Penn Foundation</t>
        </is>
      </c>
      <c r="B84" t="inlineStr">
        <is>
          <t>231503488</t>
        </is>
      </c>
      <c r="C84" s="57" t="n">
        <v>3.411885527</v>
      </c>
      <c r="D84" s="57" t="n">
        <v>3.435225624</v>
      </c>
      <c r="E84" s="57" t="n">
        <v/>
      </c>
      <c r="F84" s="57" t="n">
        <v>3.264</v>
      </c>
      <c r="G84" s="57" t="n">
        <v/>
      </c>
      <c r="H84" s="58" t="n">
        <v>3.26</v>
      </c>
      <c r="I84" s="50" t="inlineStr">
        <is>
          <t>P&amp;I</t>
        </is>
      </c>
      <c r="J84" s="56" t="inlineStr">
        <is>
          <t>https://www.pionline.com/research-center/largest-endowments-foundations</t>
        </is>
      </c>
    </row>
    <row r="85">
      <c r="A85" s="56" t="inlineStr">
        <is>
          <t>University Of Rochester</t>
        </is>
      </c>
      <c r="B85" t="inlineStr">
        <is>
          <t>160743209</t>
        </is>
      </c>
      <c r="C85" s="57" t="n">
        <v>5.696601948</v>
      </c>
      <c r="D85" s="57" t="n">
        <v>9.066505709999999</v>
      </c>
      <c r="E85" s="57" t="n">
        <v>3.243682</v>
      </c>
      <c r="F85" s="57" t="n">
        <v/>
      </c>
      <c r="G85" s="57" t="n">
        <v/>
      </c>
      <c r="H85" s="58" t="n">
        <v>3.24</v>
      </c>
      <c r="I85" s="50" t="inlineStr">
        <is>
          <t>NACUBO</t>
        </is>
      </c>
      <c r="J85" s="56" t="inlineStr">
        <is>
          <t>https://www.nacubo.org/research/2024-ncse-public-tables</t>
        </is>
      </c>
    </row>
    <row r="86">
      <c r="A86" s="56" t="inlineStr">
        <is>
          <t>Pomona College</t>
        </is>
      </c>
      <c r="B86" t="inlineStr">
        <is>
          <t>951664112</t>
        </is>
      </c>
      <c r="C86" s="57" t="n">
        <v>3.679091661</v>
      </c>
      <c r="D86" s="57" t="n">
        <v>4.197450352</v>
      </c>
      <c r="E86" s="57" t="n">
        <v>3.220513</v>
      </c>
      <c r="F86" s="57" t="n">
        <v/>
      </c>
      <c r="G86" s="57" t="n">
        <v/>
      </c>
      <c r="H86" s="58" t="n">
        <v>3.22</v>
      </c>
      <c r="I86" s="50" t="inlineStr">
        <is>
          <t>NACUBO</t>
        </is>
      </c>
      <c r="J86" s="56" t="inlineStr">
        <is>
          <t>https://www.nacubo.org/research/2024-ncse-public-tables</t>
        </is>
      </c>
    </row>
    <row r="87">
      <c r="A87" s="56" t="inlineStr">
        <is>
          <t>James Irvine Foundation</t>
        </is>
      </c>
      <c r="B87" t="inlineStr">
        <is>
          <t>941236937</t>
        </is>
      </c>
      <c r="C87" s="57" t="n">
        <v>3.327607056</v>
      </c>
      <c r="D87" s="57" t="n">
        <v>3.386135557</v>
      </c>
      <c r="E87" s="57" t="n">
        <v/>
      </c>
      <c r="F87" s="57" t="n">
        <v>3.208</v>
      </c>
      <c r="G87" s="57" t="n">
        <v/>
      </c>
      <c r="H87" s="58" t="n">
        <v>3.21</v>
      </c>
      <c r="I87" s="50" t="inlineStr">
        <is>
          <t>P&amp;I</t>
        </is>
      </c>
      <c r="J87" s="56" t="inlineStr">
        <is>
          <t>https://www.pionline.com/research-center/largest-endowments-foundations</t>
        </is>
      </c>
    </row>
    <row r="88">
      <c r="A88" s="56" t="inlineStr">
        <is>
          <t>Mother Cabrini Health Foundation</t>
        </is>
      </c>
      <c r="B88" t="inlineStr">
        <is>
          <t>830590263</t>
        </is>
      </c>
      <c r="C88" s="57" t="n">
        <v>3.759398411</v>
      </c>
      <c r="D88" s="57" t="n">
        <v>3.89169621</v>
      </c>
      <c r="E88" s="57" t="n">
        <v/>
      </c>
      <c r="F88" s="57" t="n">
        <v>3.2</v>
      </c>
      <c r="G88" s="57" t="n">
        <v/>
      </c>
      <c r="H88" s="58" t="n">
        <v>3.2</v>
      </c>
      <c r="I88" s="50" t="inlineStr">
        <is>
          <t>P&amp;I</t>
        </is>
      </c>
      <c r="J88" s="56" t="inlineStr">
        <is>
          <t>https://www.pionline.com/research-center/largest-endowments-foundations</t>
        </is>
      </c>
    </row>
    <row r="89">
      <c r="A89" s="56" t="inlineStr">
        <is>
          <t>Richard King Mellon Foundation Dtd 01 01 47</t>
        </is>
      </c>
      <c r="B89" t="inlineStr">
        <is>
          <t>251127705</t>
        </is>
      </c>
      <c r="C89" s="57" t="n">
        <v>3.194436402</v>
      </c>
      <c r="D89" s="57" t="n">
        <v>3.464902651</v>
      </c>
      <c r="E89" s="57" t="n">
        <v/>
      </c>
      <c r="F89" s="57" t="n">
        <v/>
      </c>
      <c r="G89" s="57" t="n">
        <v/>
      </c>
      <c r="H89" s="58" t="n">
        <v>3.19</v>
      </c>
      <c r="I89" s="50" t="inlineStr">
        <is>
          <t>990 Investments</t>
        </is>
      </c>
      <c r="J89" s="56" t="inlineStr">
        <is>
          <t>https://projects.propublica.org/nonprofits/organizations/251127705</t>
        </is>
      </c>
    </row>
    <row r="90">
      <c r="A90" s="56" t="inlineStr">
        <is>
          <t>Wellesley College</t>
        </is>
      </c>
      <c r="B90" t="inlineStr">
        <is>
          <t>042103637</t>
        </is>
      </c>
      <c r="C90" s="57" t="n">
        <v>3.368281122</v>
      </c>
      <c r="D90" s="57" t="n">
        <v>4.206499425</v>
      </c>
      <c r="E90" s="57" t="n">
        <v>3.185271</v>
      </c>
      <c r="F90" s="57" t="n">
        <v/>
      </c>
      <c r="G90" s="57" t="n">
        <v/>
      </c>
      <c r="H90" s="58" t="n">
        <v>3.19</v>
      </c>
      <c r="I90" s="50" t="inlineStr">
        <is>
          <t>NACUBO</t>
        </is>
      </c>
      <c r="J90" s="56" t="inlineStr">
        <is>
          <t>https://www.nacubo.org/research/2024-ncse-public-tables</t>
        </is>
      </c>
    </row>
    <row r="91">
      <c r="A91" s="56" t="inlineStr">
        <is>
          <t>West Virginia Univ Foundation Inc</t>
        </is>
      </c>
      <c r="B91" t="inlineStr">
        <is>
          <t>556017181</t>
        </is>
      </c>
      <c r="C91" s="57" t="n">
        <v>3.147868564</v>
      </c>
      <c r="D91" s="57" t="n">
        <v>3.299917464</v>
      </c>
      <c r="E91" s="57" t="n">
        <v/>
      </c>
      <c r="F91" s="57" t="n">
        <v/>
      </c>
      <c r="G91" s="57" t="n">
        <v/>
      </c>
      <c r="H91" s="58" t="n">
        <v>3.15</v>
      </c>
      <c r="I91" s="50" t="inlineStr">
        <is>
          <t>990 Investments</t>
        </is>
      </c>
      <c r="J91" s="56" t="inlineStr">
        <is>
          <t>https://projects.propublica.org/nonprofits/organizations/556017181</t>
        </is>
      </c>
    </row>
    <row r="92">
      <c r="A92" s="56" t="inlineStr">
        <is>
          <t>Annie E Casey Foundation</t>
        </is>
      </c>
      <c r="B92" t="inlineStr">
        <is>
          <t>521951681</t>
        </is>
      </c>
      <c r="C92" s="57" t="n">
        <v>3.207753435</v>
      </c>
      <c r="D92" s="57" t="n">
        <v>3.468447673</v>
      </c>
      <c r="E92" s="57" t="n">
        <v/>
      </c>
      <c r="F92" s="57" t="n">
        <v>3.112</v>
      </c>
      <c r="G92" s="57" t="n">
        <v/>
      </c>
      <c r="H92" s="58" t="n">
        <v>3.11</v>
      </c>
      <c r="I92" s="50" t="inlineStr">
        <is>
          <t>P&amp;I</t>
        </is>
      </c>
      <c r="J92" s="56" t="inlineStr">
        <is>
          <t>https://www.pionline.com/research-center/largest-endowments-foundations</t>
        </is>
      </c>
    </row>
    <row r="93">
      <c r="A93" s="56" t="inlineStr">
        <is>
          <t>American National Red Cross</t>
        </is>
      </c>
      <c r="B93" t="inlineStr">
        <is>
          <t>530196605</t>
        </is>
      </c>
      <c r="C93" s="57" t="n">
        <v>3.083382978</v>
      </c>
      <c r="D93" s="57" t="n">
        <v>5.052941623</v>
      </c>
      <c r="E93" s="57" t="n">
        <v/>
      </c>
      <c r="F93" s="57" t="n">
        <v/>
      </c>
      <c r="G93" s="57" t="n">
        <v/>
      </c>
      <c r="H93" s="58" t="n">
        <v>3.08</v>
      </c>
      <c r="I93" s="50" t="inlineStr">
        <is>
          <t>990 Investments</t>
        </is>
      </c>
      <c r="J93" s="56" t="inlineStr">
        <is>
          <t>https://projects.propublica.org/nonprofits/organizations/530196605</t>
        </is>
      </c>
    </row>
    <row r="94">
      <c r="A94" s="56" t="inlineStr">
        <is>
          <t>Intermountain Health Care Inc</t>
        </is>
      </c>
      <c r="B94" t="inlineStr">
        <is>
          <t>870269232</t>
        </is>
      </c>
      <c r="C94" s="57" t="n">
        <v>3.071903528</v>
      </c>
      <c r="D94" s="57" t="n">
        <v>7.663912728</v>
      </c>
      <c r="E94" s="57" t="n">
        <v/>
      </c>
      <c r="F94" s="57" t="n">
        <v/>
      </c>
      <c r="G94" s="57" t="n">
        <v/>
      </c>
      <c r="H94" s="58" t="n">
        <v>3.07</v>
      </c>
      <c r="I94" s="50" t="inlineStr">
        <is>
          <t>990 Investments</t>
        </is>
      </c>
      <c r="J94" s="56" t="inlineStr">
        <is>
          <t>https://projects.propublica.org/nonprofits/organizations/870269232</t>
        </is>
      </c>
    </row>
    <row r="95">
      <c r="A95" s="56" t="inlineStr">
        <is>
          <t>Margaret A Cargill Foundation</t>
        </is>
      </c>
      <c r="B95" t="inlineStr">
        <is>
          <t>371758406</t>
        </is>
      </c>
      <c r="C95" s="57" t="n">
        <v>3.163671974</v>
      </c>
      <c r="D95" s="57" t="n">
        <v>3.269487524</v>
      </c>
      <c r="E95" s="57" t="n">
        <v/>
      </c>
      <c r="F95" s="57" t="n">
        <v>3.048</v>
      </c>
      <c r="G95" s="57" t="n">
        <v/>
      </c>
      <c r="H95" s="58" t="n">
        <v>3.05</v>
      </c>
      <c r="I95" s="50" t="inlineStr">
        <is>
          <t>P&amp;I</t>
        </is>
      </c>
      <c r="J95" s="56" t="inlineStr">
        <is>
          <t>https://www.pionline.com/research-center/largest-endowments-foundations</t>
        </is>
      </c>
    </row>
    <row r="96">
      <c r="A96" s="56" t="inlineStr">
        <is>
          <t>Georgia Tech Foundation Inc</t>
        </is>
      </c>
      <c r="B96" t="inlineStr">
        <is>
          <t>586043294</t>
        </is>
      </c>
      <c r="C96" s="57" t="n">
        <v>3.044990942</v>
      </c>
      <c r="D96" s="57" t="n">
        <v>3.655648379</v>
      </c>
      <c r="E96" s="57" t="n">
        <v/>
      </c>
      <c r="F96" s="57" t="n">
        <v/>
      </c>
      <c r="G96" s="57" t="n">
        <v/>
      </c>
      <c r="H96" s="58" t="n">
        <v>3.04</v>
      </c>
      <c r="I96" s="50" t="inlineStr">
        <is>
          <t>990 Investments</t>
        </is>
      </c>
      <c r="J96" s="56" t="inlineStr">
        <is>
          <t>https://projects.propublica.org/nonprofits/organizations/586043294</t>
        </is>
      </c>
    </row>
    <row r="97">
      <c r="A97" s="56" t="inlineStr">
        <is>
          <t>Liberty University Inc</t>
        </is>
      </c>
      <c r="B97" t="inlineStr">
        <is>
          <t>540946734</t>
        </is>
      </c>
      <c r="C97" s="57" t="n">
        <v>2.969613082</v>
      </c>
      <c r="D97" s="57" t="n">
        <v>5.085879052</v>
      </c>
      <c r="E97" s="57" t="n">
        <v/>
      </c>
      <c r="F97" s="57" t="n">
        <v/>
      </c>
      <c r="G97" s="57" t="n">
        <v/>
      </c>
      <c r="H97" s="58" t="n">
        <v>2.97</v>
      </c>
      <c r="I97" s="50" t="inlineStr">
        <is>
          <t>990 Investments</t>
        </is>
      </c>
      <c r="J97" s="56" t="inlineStr">
        <is>
          <t>https://projects.propublica.org/nonprofits/organizations/540946734</t>
        </is>
      </c>
    </row>
    <row r="98">
      <c r="A98" s="56" t="inlineStr">
        <is>
          <t>Ecmc Group Inc</t>
        </is>
      </c>
      <c r="B98" t="inlineStr">
        <is>
          <t>411991995</t>
        </is>
      </c>
      <c r="C98" s="57" t="n">
        <v>2.962545104</v>
      </c>
      <c r="D98" s="57" t="n">
        <v>5.676831671</v>
      </c>
      <c r="E98" s="57" t="n">
        <v/>
      </c>
      <c r="F98" s="57" t="n">
        <v/>
      </c>
      <c r="G98" s="57" t="n">
        <v/>
      </c>
      <c r="H98" s="58" t="n">
        <v>2.96</v>
      </c>
      <c r="I98" s="50" t="inlineStr">
        <is>
          <t>990 Investments</t>
        </is>
      </c>
      <c r="J98" s="56" t="inlineStr">
        <is>
          <t>https://projects.propublica.org/nonprofits/organizations/411991995</t>
        </is>
      </c>
    </row>
    <row r="99">
      <c r="A99" s="56" t="inlineStr">
        <is>
          <t>Ucsf Foundation Investment Company</t>
        </is>
      </c>
      <c r="B99" t="inlineStr">
        <is>
          <t>473599471</t>
        </is>
      </c>
      <c r="C99" s="57" t="n">
        <v>0.002839655</v>
      </c>
      <c r="D99" s="57" t="n">
        <v>0.002904878</v>
      </c>
      <c r="E99" s="57" t="n">
        <v/>
      </c>
      <c r="F99" s="57" t="n">
        <v/>
      </c>
      <c r="G99" s="57" t="n">
        <v>2.95</v>
      </c>
      <c r="H99" s="58" t="n">
        <v>2.95</v>
      </c>
      <c r="I99" s="50" t="inlineStr">
        <is>
          <t>Manual: NACUBO UCSF Foundation</t>
        </is>
      </c>
      <c r="J99" s="56" t="inlineStr">
        <is>
          <t>https://www.nacubo.org/research/2024-ncse-public-tables</t>
        </is>
      </c>
    </row>
    <row r="100">
      <c r="A100" s="56" t="inlineStr">
        <is>
          <t>Bowdoin College</t>
        </is>
      </c>
      <c r="B100" t="inlineStr">
        <is>
          <t>010215213</t>
        </is>
      </c>
      <c r="C100" s="57" t="n">
        <v>3.069361</v>
      </c>
      <c r="D100" s="57" t="n">
        <v>3.560577</v>
      </c>
      <c r="E100" s="57" t="n">
        <v>2.915143</v>
      </c>
      <c r="F100" s="57" t="n">
        <v/>
      </c>
      <c r="G100" s="57" t="n">
        <v/>
      </c>
      <c r="H100" s="58" t="n">
        <v>2.92</v>
      </c>
      <c r="I100" s="50" t="inlineStr">
        <is>
          <t>NACUBO</t>
        </is>
      </c>
      <c r="J100" s="56" t="inlineStr">
        <is>
          <t>https://www.nacubo.org/research/2024-ncse-public-tables</t>
        </is>
      </c>
    </row>
    <row r="101">
      <c r="A101" s="56" t="inlineStr">
        <is>
          <t>Ewing Marion Kauffman Foundation</t>
        </is>
      </c>
      <c r="B101" t="inlineStr">
        <is>
          <t>436064859</t>
        </is>
      </c>
      <c r="C101" s="57" t="n">
        <v>3.017186122</v>
      </c>
      <c r="D101" s="57" t="n">
        <v>3.030814487</v>
      </c>
      <c r="E101" s="57" t="n">
        <v/>
      </c>
      <c r="F101" s="57" t="n">
        <v>2.924</v>
      </c>
      <c r="G101" s="57" t="n">
        <v/>
      </c>
      <c r="H101" s="58" t="n">
        <v>2.92</v>
      </c>
      <c r="I101" s="50" t="inlineStr">
        <is>
          <t>P&amp;I</t>
        </is>
      </c>
      <c r="J101" s="56" t="inlineStr">
        <is>
          <t>https://www.pionline.com/research-center/largest-endowments-foundations</t>
        </is>
      </c>
    </row>
    <row r="102">
      <c r="A102" s="56" t="inlineStr">
        <is>
          <t>Vcu Investment Management Company</t>
        </is>
      </c>
      <c r="B102" t="inlineStr">
        <is>
          <t>474815851</t>
        </is>
      </c>
      <c r="C102" s="57" t="n">
        <v>0.001607935</v>
      </c>
      <c r="D102" s="57" t="n">
        <v>0.004132496</v>
      </c>
      <c r="E102" s="57" t="n">
        <v/>
      </c>
      <c r="F102" s="57" t="n">
        <v/>
      </c>
      <c r="G102" s="57" t="n">
        <v>2.89</v>
      </c>
      <c r="H102" s="58" t="n">
        <v>2.89</v>
      </c>
      <c r="I102" s="50" t="inlineStr">
        <is>
          <t>Manual: NACUBO Virginia Commonwealth</t>
        </is>
      </c>
      <c r="J102" s="56" t="inlineStr">
        <is>
          <t>https://www.nacubo.org/research/2024-ncse-public-tables</t>
        </is>
      </c>
    </row>
    <row r="103">
      <c r="A103" s="56" t="inlineStr">
        <is>
          <t>Texas Christian University</t>
        </is>
      </c>
      <c r="B103" t="inlineStr">
        <is>
          <t>750827465</t>
        </is>
      </c>
      <c r="C103" s="57" t="n">
        <v>3.025405784</v>
      </c>
      <c r="D103" s="57" t="n">
        <v>4.881798177</v>
      </c>
      <c r="E103" s="57" t="n">
        <v>2.854</v>
      </c>
      <c r="F103" s="57" t="n">
        <v/>
      </c>
      <c r="G103" s="57" t="n">
        <v/>
      </c>
      <c r="H103" s="58" t="n">
        <v>2.85</v>
      </c>
      <c r="I103" s="50" t="inlineStr">
        <is>
          <t>NACUBO</t>
        </is>
      </c>
      <c r="J103" s="56" t="inlineStr">
        <is>
          <t>https://www.nacubo.org/research/2024-ncse-public-tables</t>
        </is>
      </c>
    </row>
    <row r="104">
      <c r="A104" s="56" t="inlineStr">
        <is>
          <t>The Trustees Of Grinnell College</t>
        </is>
      </c>
      <c r="B104" t="inlineStr">
        <is>
          <t>420680387</t>
        </is>
      </c>
      <c r="C104" s="57" t="n">
        <v>2.960315403</v>
      </c>
      <c r="D104" s="57" t="n">
        <v>3.398994168</v>
      </c>
      <c r="E104" s="57" t="n">
        <v>2.847381</v>
      </c>
      <c r="F104" s="57" t="n">
        <v/>
      </c>
      <c r="G104" s="57" t="n">
        <v/>
      </c>
      <c r="H104" s="58" t="n">
        <v>2.85</v>
      </c>
      <c r="I104" s="50" t="inlineStr">
        <is>
          <t>NACUBO</t>
        </is>
      </c>
      <c r="J104" s="56" t="inlineStr">
        <is>
          <t>https://www.nacubo.org/research/2024-ncse-public-tables</t>
        </is>
      </c>
    </row>
    <row r="105">
      <c r="A105" s="56" t="inlineStr">
        <is>
          <t>Swarthmore College</t>
        </is>
      </c>
      <c r="B105" t="inlineStr">
        <is>
          <t>231352683</t>
        </is>
      </c>
      <c r="C105" s="57" t="n">
        <v>2.974595</v>
      </c>
      <c r="D105" s="57" t="n">
        <v>3.870675</v>
      </c>
      <c r="E105" s="57" t="n">
        <v>2.842685</v>
      </c>
      <c r="F105" s="57" t="n">
        <v/>
      </c>
      <c r="G105" s="57" t="n">
        <v/>
      </c>
      <c r="H105" s="58" t="n">
        <v>2.84</v>
      </c>
      <c r="I105" s="50" t="inlineStr">
        <is>
          <t>NACUBO</t>
        </is>
      </c>
      <c r="J105" s="56" t="inlineStr">
        <is>
          <t>https://www.nacubo.org/research/2024-ncse-public-tables</t>
        </is>
      </c>
    </row>
    <row r="106">
      <c r="A106" s="56" t="inlineStr">
        <is>
          <t>University Of Oklahoma Foundation Inc</t>
        </is>
      </c>
      <c r="B106" t="inlineStr">
        <is>
          <t>736091755</t>
        </is>
      </c>
      <c r="C106" s="57" t="n">
        <v>2.737132511</v>
      </c>
      <c r="D106" s="57" t="n">
        <v>2.978760537</v>
      </c>
      <c r="E106" s="57" t="n">
        <v/>
      </c>
      <c r="F106" s="57" t="n">
        <v/>
      </c>
      <c r="G106" s="57" t="n">
        <v/>
      </c>
      <c r="H106" s="58" t="n">
        <v>2.74</v>
      </c>
      <c r="I106" s="50" t="inlineStr">
        <is>
          <t>990 Investments</t>
        </is>
      </c>
      <c r="J106" s="56" t="inlineStr">
        <is>
          <t>https://projects.propublica.org/nonprofits/organizations/736091755</t>
        </is>
      </c>
    </row>
    <row r="107">
      <c r="A107" s="56" t="inlineStr">
        <is>
          <t>University Of Nebraska Foundation</t>
        </is>
      </c>
      <c r="B107" t="inlineStr">
        <is>
          <t>470379839</t>
        </is>
      </c>
      <c r="C107" s="57" t="n">
        <v>3.435180699</v>
      </c>
      <c r="D107" s="57" t="n">
        <v>3.84947812</v>
      </c>
      <c r="E107" s="57" t="n">
        <v>2.716285</v>
      </c>
      <c r="F107" s="57" t="n">
        <v/>
      </c>
      <c r="G107" s="57" t="n">
        <v/>
      </c>
      <c r="H107" s="58" t="n">
        <v>2.72</v>
      </c>
      <c r="I107" s="50" t="inlineStr">
        <is>
          <t>NACUBO</t>
        </is>
      </c>
      <c r="J107" s="56" t="inlineStr">
        <is>
          <t>https://www.nacubo.org/research/2024-ncse-public-tables</t>
        </is>
      </c>
    </row>
    <row r="108">
      <c r="A108" s="56" t="inlineStr">
        <is>
          <t>Trustees Of The Smith College</t>
        </is>
      </c>
      <c r="B108" t="inlineStr">
        <is>
          <t>041843040</t>
        </is>
      </c>
      <c r="C108" s="57" t="n">
        <v>3.006778133</v>
      </c>
      <c r="D108" s="57" t="n">
        <v>3.887000859</v>
      </c>
      <c r="E108" s="57" t="n">
        <v>2.70953</v>
      </c>
      <c r="F108" s="57" t="n">
        <v/>
      </c>
      <c r="G108" s="57" t="n">
        <v/>
      </c>
      <c r="H108" s="58" t="n">
        <v>2.71</v>
      </c>
      <c r="I108" s="50" t="inlineStr">
        <is>
          <t>NACUBO</t>
        </is>
      </c>
      <c r="J108" s="56" t="inlineStr">
        <is>
          <t>https://www.nacubo.org/research/2024-ncse-public-tables</t>
        </is>
      </c>
    </row>
    <row r="109">
      <c r="A109" s="56" t="inlineStr">
        <is>
          <t>Trustees Of Tufts College</t>
        </is>
      </c>
      <c r="B109" t="inlineStr">
        <is>
          <t>042103634</t>
        </is>
      </c>
      <c r="C109" s="57" t="n">
        <v>3.285640212</v>
      </c>
      <c r="D109" s="57" t="n">
        <v>4.937994986</v>
      </c>
      <c r="E109" s="57" t="n">
        <v>2.707042</v>
      </c>
      <c r="F109" s="57" t="n">
        <v/>
      </c>
      <c r="G109" s="57" t="n">
        <v/>
      </c>
      <c r="H109" s="58" t="n">
        <v>2.71</v>
      </c>
      <c r="I109" s="50" t="inlineStr">
        <is>
          <t>NACUBO</t>
        </is>
      </c>
      <c r="J109" s="56" t="inlineStr">
        <is>
          <t>https://www.nacubo.org/research/2024-ncse-public-tables</t>
        </is>
      </c>
    </row>
    <row r="110">
      <c r="A110" s="56" t="inlineStr">
        <is>
          <t>Kansas University Endowment Assoc</t>
        </is>
      </c>
      <c r="B110" t="inlineStr">
        <is>
          <t>480547734</t>
        </is>
      </c>
      <c r="C110" s="57" t="n">
        <v>2.762167975</v>
      </c>
      <c r="D110" s="57" t="n">
        <v>3.232596604</v>
      </c>
      <c r="E110" s="57" t="n">
        <v>2.687363</v>
      </c>
      <c r="F110" s="57" t="n">
        <v/>
      </c>
      <c r="G110" s="57" t="n">
        <v/>
      </c>
      <c r="H110" s="58" t="n">
        <v>2.69</v>
      </c>
      <c r="I110" s="50" t="inlineStr">
        <is>
          <t>NACUBO</t>
        </is>
      </c>
      <c r="J110" s="56" t="inlineStr">
        <is>
          <t>https://www.nacubo.org/research/2024-ncse-public-tables</t>
        </is>
      </c>
    </row>
    <row r="111">
      <c r="A111" s="56" t="inlineStr">
        <is>
          <t>The Colorado Health Foundation</t>
        </is>
      </c>
      <c r="B111" t="inlineStr">
        <is>
          <t>742568941</t>
        </is>
      </c>
      <c r="C111" s="57" t="n">
        <v>2.796232906</v>
      </c>
      <c r="D111" s="57" t="n">
        <v>2.893236966</v>
      </c>
      <c r="E111" s="57" t="n">
        <v/>
      </c>
      <c r="F111" s="57" t="n">
        <v>2.687</v>
      </c>
      <c r="G111" s="57" t="n">
        <v/>
      </c>
      <c r="H111" s="58" t="n">
        <v>2.69</v>
      </c>
      <c r="I111" s="50" t="inlineStr">
        <is>
          <t>P&amp;I</t>
        </is>
      </c>
      <c r="J111" s="56" t="inlineStr">
        <is>
          <t>https://www.pionline.com/research-center/largest-endowments-foundations</t>
        </is>
      </c>
    </row>
    <row r="112">
      <c r="A112" s="56" t="inlineStr">
        <is>
          <t>Geisinger System Services</t>
        </is>
      </c>
      <c r="B112" t="inlineStr">
        <is>
          <t>232164794</t>
        </is>
      </c>
      <c r="C112" s="57" t="n">
        <v>0.326962287</v>
      </c>
      <c r="D112" s="57" t="n">
        <v>2.667396878</v>
      </c>
      <c r="E112" s="57" t="n">
        <v/>
      </c>
      <c r="F112" s="57" t="n">
        <v/>
      </c>
      <c r="G112" s="57" t="n">
        <v>2.65</v>
      </c>
      <c r="H112" s="58" t="n">
        <v>2.65</v>
      </c>
      <c r="I112" s="50" t="inlineStr">
        <is>
          <t>Manual: Geisinger Health (EIN 23-1995911) FY2024 Form 990 Part X lines 2+11+12</t>
        </is>
      </c>
      <c r="J112" s="56" t="inlineStr">
        <is>
          <t>https://projects.propublica.org/nonprofits/organizations/232164794</t>
        </is>
      </c>
    </row>
    <row r="113">
      <c r="A113" s="56" t="inlineStr">
        <is>
          <t>Rockefeller University</t>
        </is>
      </c>
      <c r="B113" t="inlineStr">
        <is>
          <t>131624158</t>
        </is>
      </c>
      <c r="C113" s="57" t="n">
        <v>2.82966162</v>
      </c>
      <c r="D113" s="57" t="n">
        <v>4.127223897</v>
      </c>
      <c r="E113" s="57" t="n">
        <v>2.607903</v>
      </c>
      <c r="F113" s="57" t="n">
        <v/>
      </c>
      <c r="G113" s="57" t="n">
        <v/>
      </c>
      <c r="H113" s="58" t="n">
        <v>2.61</v>
      </c>
      <c r="I113" s="50" t="inlineStr">
        <is>
          <t>NACUBO</t>
        </is>
      </c>
      <c r="J113" s="56" t="inlineStr">
        <is>
          <t>https://www.nacubo.org/research/2024-ncse-public-tables</t>
        </is>
      </c>
    </row>
    <row r="114">
      <c r="A114" s="56" t="inlineStr">
        <is>
          <t>Mcknight Foundation</t>
        </is>
      </c>
      <c r="B114" t="inlineStr">
        <is>
          <t>410754835</t>
        </is>
      </c>
      <c r="C114" s="57" t="n">
        <v>2.607859196</v>
      </c>
      <c r="D114" s="57" t="n">
        <v>2.712040525</v>
      </c>
      <c r="E114" s="57" t="n">
        <v/>
      </c>
      <c r="F114" s="57" t="n">
        <v>2.595</v>
      </c>
      <c r="G114" s="57" t="n">
        <v/>
      </c>
      <c r="H114" s="58" t="n">
        <v>2.6</v>
      </c>
      <c r="I114" s="50" t="inlineStr">
        <is>
          <t>P&amp;I</t>
        </is>
      </c>
      <c r="J114" s="56" t="inlineStr">
        <is>
          <t>https://www.pionline.com/research-center/largest-endowments-foundations</t>
        </is>
      </c>
    </row>
    <row r="115">
      <c r="A115" s="56" t="inlineStr">
        <is>
          <t>University Of Arkansas Foundation Inc</t>
        </is>
      </c>
      <c r="B115" t="inlineStr">
        <is>
          <t>716056774</t>
        </is>
      </c>
      <c r="C115" s="57" t="n">
        <v>2.201034467</v>
      </c>
      <c r="D115" s="57" t="n">
        <v>2.250433051</v>
      </c>
      <c r="E115" s="57" t="n">
        <v/>
      </c>
      <c r="F115" s="57" t="n">
        <v>2.56</v>
      </c>
      <c r="G115" s="57" t="n">
        <v/>
      </c>
      <c r="H115" s="58" t="n">
        <v>2.56</v>
      </c>
      <c r="I115" s="50" t="inlineStr">
        <is>
          <t>P&amp;I</t>
        </is>
      </c>
      <c r="J115" s="56" t="inlineStr">
        <is>
          <t>https://www.pionline.com/research-center/largest-endowments-foundations</t>
        </is>
      </c>
    </row>
    <row r="116">
      <c r="A116" s="56" t="inlineStr">
        <is>
          <t>Case Western Reserve University</t>
        </is>
      </c>
      <c r="B116" t="inlineStr">
        <is>
          <t>341018992</t>
        </is>
      </c>
      <c r="C116" s="57" t="n">
        <v>2.652377501</v>
      </c>
      <c r="D116" s="57" t="n">
        <v>4.672650201</v>
      </c>
      <c r="E116" s="57" t="n">
        <v>2.520057</v>
      </c>
      <c r="F116" s="57" t="n">
        <v/>
      </c>
      <c r="G116" s="57" t="n">
        <v/>
      </c>
      <c r="H116" s="58" t="n">
        <v>2.52</v>
      </c>
      <c r="I116" s="50" t="inlineStr">
        <is>
          <t>NACUBO</t>
        </is>
      </c>
      <c r="J116" s="56" t="inlineStr">
        <is>
          <t>https://www.nacubo.org/research/2024-ncse-public-tables</t>
        </is>
      </c>
    </row>
    <row r="117">
      <c r="A117" s="56" t="inlineStr">
        <is>
          <t>Opportunity Finance Network</t>
        </is>
      </c>
      <c r="B117" t="inlineStr">
        <is>
          <t>205189202</t>
        </is>
      </c>
      <c r="C117" s="57" t="n">
        <v>2.465237412</v>
      </c>
      <c r="D117" s="57" t="n">
        <v>2.739933864</v>
      </c>
      <c r="E117" s="57" t="n">
        <v/>
      </c>
      <c r="F117" s="57" t="n">
        <v/>
      </c>
      <c r="G117" s="57" t="n">
        <v/>
      </c>
      <c r="H117" s="58" t="n">
        <v>2.47</v>
      </c>
      <c r="I117" s="50" t="inlineStr">
        <is>
          <t>990 Investments</t>
        </is>
      </c>
      <c r="J117" s="56" t="inlineStr">
        <is>
          <t>https://projects.propublica.org/nonprofits/organizations/205189202</t>
        </is>
      </c>
    </row>
    <row r="118">
      <c r="A118" s="56" t="inlineStr">
        <is>
          <t>The Administrators Of The Tulane Educational Fund</t>
        </is>
      </c>
      <c r="B118" t="inlineStr">
        <is>
          <t>720423889</t>
        </is>
      </c>
      <c r="C118" s="57" t="n">
        <v>2.462165</v>
      </c>
      <c r="D118" s="57" t="n">
        <v>4.622624</v>
      </c>
      <c r="E118" s="57" t="n">
        <v/>
      </c>
      <c r="F118" s="57" t="n">
        <v/>
      </c>
      <c r="G118" s="57" t="n">
        <v/>
      </c>
      <c r="H118" s="58" t="n">
        <v>2.46</v>
      </c>
      <c r="I118" s="50" t="inlineStr">
        <is>
          <t>990 Investments</t>
        </is>
      </c>
      <c r="J118" s="56" t="inlineStr">
        <is>
          <t>https://projects.propublica.org/nonprofits/organizations/720423889</t>
        </is>
      </c>
    </row>
    <row r="119">
      <c r="A119" s="56" t="inlineStr">
        <is>
          <t>University Of Maryland Foundation Inc</t>
        </is>
      </c>
      <c r="B119" t="inlineStr">
        <is>
          <t>521125663</t>
        </is>
      </c>
      <c r="C119" s="57" t="n">
        <v>2.525775925</v>
      </c>
      <c r="D119" s="57" t="n">
        <v>2.569545617</v>
      </c>
      <c r="E119" s="57" t="n">
        <v>2.459804</v>
      </c>
      <c r="F119" s="57" t="n">
        <v/>
      </c>
      <c r="G119" s="57" t="n">
        <v/>
      </c>
      <c r="H119" s="58" t="n">
        <v>2.46</v>
      </c>
      <c r="I119" s="50" t="inlineStr">
        <is>
          <t>NACUBO</t>
        </is>
      </c>
      <c r="J119" s="56" t="inlineStr">
        <is>
          <t>https://www.nacubo.org/research/2024-ncse-public-tables</t>
        </is>
      </c>
    </row>
    <row r="120">
      <c r="A120" s="56" t="inlineStr">
        <is>
          <t>Casey Family Programs</t>
        </is>
      </c>
      <c r="B120" t="inlineStr">
        <is>
          <t>910793881</t>
        </is>
      </c>
      <c r="C120" s="57" t="n">
        <v>2.635693501</v>
      </c>
      <c r="D120" s="57" t="n">
        <v>2.703749123</v>
      </c>
      <c r="E120" s="57" t="n">
        <v/>
      </c>
      <c r="F120" s="57" t="n">
        <v>2.447</v>
      </c>
      <c r="G120" s="57" t="n">
        <v/>
      </c>
      <c r="H120" s="58" t="n">
        <v>2.45</v>
      </c>
      <c r="I120" s="50" t="inlineStr">
        <is>
          <t>P&amp;I</t>
        </is>
      </c>
      <c r="J120" s="56" t="inlineStr">
        <is>
          <t>https://www.pionline.com/research-center/largest-endowments-foundations</t>
        </is>
      </c>
    </row>
    <row r="121">
      <c r="A121" s="56" t="inlineStr">
        <is>
          <t>University Of Florida Investment Corporation</t>
        </is>
      </c>
      <c r="B121" t="inlineStr">
        <is>
          <t>201226494</t>
        </is>
      </c>
      <c r="C121" s="57" t="n">
        <v>0.00196598</v>
      </c>
      <c r="D121" s="57" t="n">
        <v>0.007319079</v>
      </c>
      <c r="E121" s="57" t="n">
        <v/>
      </c>
      <c r="F121" s="57" t="n">
        <v/>
      </c>
      <c r="G121" s="57" t="n">
        <v>2.45</v>
      </c>
      <c r="H121" s="58" t="n">
        <v>2.45</v>
      </c>
      <c r="I121" s="50" t="inlineStr">
        <is>
          <t>Manual: NACUBO U Florida Foundation</t>
        </is>
      </c>
      <c r="J121" s="56" t="inlineStr">
        <is>
          <t>https://www.nacubo.org/research/2024-ncse-public-tables</t>
        </is>
      </c>
    </row>
    <row r="122">
      <c r="A122" s="56" t="inlineStr">
        <is>
          <t>Inatai Foundation</t>
        </is>
      </c>
      <c r="B122" t="inlineStr">
        <is>
          <t>300889914</t>
        </is>
      </c>
      <c r="C122" s="57" t="n">
        <v>2.348121037</v>
      </c>
      <c r="D122" s="57" t="n">
        <v>2.365213466</v>
      </c>
      <c r="E122" s="57" t="n">
        <v/>
      </c>
      <c r="F122" s="57" t="n">
        <v/>
      </c>
      <c r="G122" s="57" t="n">
        <v/>
      </c>
      <c r="H122" s="58" t="n">
        <v>2.35</v>
      </c>
      <c r="I122" s="50" t="inlineStr">
        <is>
          <t>990 Investments</t>
        </is>
      </c>
      <c r="J122" s="56" t="inlineStr">
        <is>
          <t>https://projects.propublica.org/nonprofits/organizations/300889914</t>
        </is>
      </c>
    </row>
    <row r="123">
      <c r="A123" s="56" t="inlineStr">
        <is>
          <t>Southern Methodist University</t>
        </is>
      </c>
      <c r="B123" t="inlineStr">
        <is>
          <t>750800689</t>
        </is>
      </c>
      <c r="C123" s="57" t="n">
        <v>2.550167614</v>
      </c>
      <c r="D123" s="57" t="n">
        <v>4.622305987</v>
      </c>
      <c r="E123" s="57" t="n">
        <v>2.33967</v>
      </c>
      <c r="F123" s="57" t="n">
        <v/>
      </c>
      <c r="G123" s="57" t="n">
        <v/>
      </c>
      <c r="H123" s="58" t="n">
        <v>2.34</v>
      </c>
      <c r="I123" s="50" t="inlineStr">
        <is>
          <t>NACUBO</t>
        </is>
      </c>
      <c r="J123" s="56" t="inlineStr">
        <is>
          <t>https://www.nacubo.org/research/2024-ncse-public-tables</t>
        </is>
      </c>
    </row>
    <row r="124">
      <c r="A124" s="56" t="inlineStr">
        <is>
          <t>Mass General Brigham Incorporated</t>
        </is>
      </c>
      <c r="B124" t="inlineStr">
        <is>
          <t>043230035</t>
        </is>
      </c>
      <c r="C124" s="57" t="n">
        <v>2.275374016</v>
      </c>
      <c r="D124" s="57" t="n">
        <v>10.862924959</v>
      </c>
      <c r="E124" s="57" t="n">
        <v/>
      </c>
      <c r="F124" s="57" t="n">
        <v/>
      </c>
      <c r="G124" s="57" t="n">
        <v/>
      </c>
      <c r="H124" s="58" t="n">
        <v>2.28</v>
      </c>
      <c r="I124" s="50" t="inlineStr">
        <is>
          <t>990 Investments (understates)</t>
        </is>
      </c>
      <c r="J124" s="56" t="inlineStr">
        <is>
          <t>https://projects.propublica.org/nonprofits/organizations/043230035</t>
        </is>
      </c>
    </row>
    <row r="125">
      <c r="A125" s="56" t="inlineStr">
        <is>
          <t>Baylor University</t>
        </is>
      </c>
      <c r="B125" t="inlineStr">
        <is>
          <t>741159753</t>
        </is>
      </c>
      <c r="C125" s="57" t="n">
        <v>2.629157354</v>
      </c>
      <c r="D125" s="57" t="n">
        <v>4.382957446</v>
      </c>
      <c r="E125" s="57" t="n">
        <v>2.180227</v>
      </c>
      <c r="F125" s="57" t="n">
        <v/>
      </c>
      <c r="G125" s="57" t="n">
        <v/>
      </c>
      <c r="H125" s="58" t="n">
        <v>2.18</v>
      </c>
      <c r="I125" s="50" t="inlineStr">
        <is>
          <t>NACUBO</t>
        </is>
      </c>
      <c r="J125" s="56" t="inlineStr">
        <is>
          <t>https://www.nacubo.org/research/2024-ncse-public-tables</t>
        </is>
      </c>
    </row>
    <row r="126">
      <c r="A126" s="56" t="inlineStr">
        <is>
          <t>University Of Georgia Foundation</t>
        </is>
      </c>
      <c r="B126" t="inlineStr">
        <is>
          <t>586033837</t>
        </is>
      </c>
      <c r="C126" s="57" t="n">
        <v>2.186286806</v>
      </c>
      <c r="D126" s="57" t="n">
        <v>2.373628484</v>
      </c>
      <c r="E126" s="57" t="n">
        <v>2.182999</v>
      </c>
      <c r="F126" s="57" t="n">
        <v/>
      </c>
      <c r="G126" s="57" t="n">
        <v/>
      </c>
      <c r="H126" s="58" t="n">
        <v>2.18</v>
      </c>
      <c r="I126" s="50" t="inlineStr">
        <is>
          <t>NACUBO</t>
        </is>
      </c>
      <c r="J126" s="56" t="inlineStr">
        <is>
          <t>https://www.nacubo.org/research/2024-ncse-public-tables</t>
        </is>
      </c>
    </row>
    <row r="127">
      <c r="A127" s="56" t="inlineStr">
        <is>
          <t>Childrens Hospital Corporation</t>
        </is>
      </c>
      <c r="B127" t="inlineStr">
        <is>
          <t>042774441</t>
        </is>
      </c>
      <c r="C127" s="57" t="n">
        <v>2.115899733</v>
      </c>
      <c r="D127" s="57" t="n">
        <v>9.124927004</v>
      </c>
      <c r="E127" s="57" t="n">
        <v/>
      </c>
      <c r="F127" s="57" t="n">
        <v/>
      </c>
      <c r="G127" s="57" t="n">
        <v/>
      </c>
      <c r="H127" s="58" t="n">
        <v>2.12</v>
      </c>
      <c r="I127" s="50" t="inlineStr">
        <is>
          <t>990 Investments</t>
        </is>
      </c>
      <c r="J127" s="56" t="inlineStr">
        <is>
          <t>https://projects.propublica.org/nonprofits/organizations/042774441</t>
        </is>
      </c>
    </row>
    <row r="128">
      <c r="A128" s="56" t="inlineStr">
        <is>
          <t>Brown Foundation Inc</t>
        </is>
      </c>
      <c r="B128" t="inlineStr">
        <is>
          <t>746036466</t>
        </is>
      </c>
      <c r="C128" s="57" t="n">
        <v>2.108915194</v>
      </c>
      <c r="D128" s="57" t="n">
        <v>2.197022299</v>
      </c>
      <c r="E128" s="57" t="n">
        <v/>
      </c>
      <c r="F128" s="57" t="n">
        <v/>
      </c>
      <c r="G128" s="57" t="n">
        <v/>
      </c>
      <c r="H128" s="58" t="n">
        <v>2.11</v>
      </c>
      <c r="I128" s="50" t="inlineStr">
        <is>
          <t>990 Investments</t>
        </is>
      </c>
      <c r="J128" s="56" t="inlineStr">
        <is>
          <t>https://projects.propublica.org/nonprofits/organizations/746036466</t>
        </is>
      </c>
    </row>
    <row r="129">
      <c r="A129" s="56" t="inlineStr">
        <is>
          <t>Virginia Tech Foundation Inc</t>
        </is>
      </c>
      <c r="B129" t="inlineStr">
        <is>
          <t>540721690</t>
        </is>
      </c>
      <c r="C129" s="57" t="n">
        <v>2.45169971</v>
      </c>
      <c r="D129" s="57" t="n">
        <v>3.14348582</v>
      </c>
      <c r="E129" s="57" t="n">
        <v>2.093032</v>
      </c>
      <c r="F129" s="57" t="n">
        <v/>
      </c>
      <c r="G129" s="57" t="n">
        <v/>
      </c>
      <c r="H129" s="58" t="n">
        <v>2.09</v>
      </c>
      <c r="I129" s="50" t="inlineStr">
        <is>
          <t>NACUBO</t>
        </is>
      </c>
      <c r="J129" s="56" t="inlineStr">
        <is>
          <t>https://www.nacubo.org/research/2024-ncse-public-tables</t>
        </is>
      </c>
    </row>
    <row r="130">
      <c r="A130" s="56" t="inlineStr">
        <is>
          <t>University Of Delaware</t>
        </is>
      </c>
      <c r="B130" t="inlineStr">
        <is>
          <t>516000297</t>
        </is>
      </c>
      <c r="C130" s="57" t="n">
        <v>2.645550431</v>
      </c>
      <c r="D130" s="57" t="n">
        <v>4.792169695</v>
      </c>
      <c r="E130" s="57" t="n">
        <v>2.056328</v>
      </c>
      <c r="F130" s="57" t="n">
        <v/>
      </c>
      <c r="G130" s="57" t="n">
        <v/>
      </c>
      <c r="H130" s="58" t="n">
        <v>2.06</v>
      </c>
      <c r="I130" s="50" t="inlineStr">
        <is>
          <t>NACUBO</t>
        </is>
      </c>
      <c r="J130" s="56" t="inlineStr">
        <is>
          <t>https://www.nacubo.org/research/2024-ncse-public-tables</t>
        </is>
      </c>
    </row>
    <row r="131">
      <c r="A131" s="56" t="inlineStr">
        <is>
          <t>Alfred P Sloan Foundation</t>
        </is>
      </c>
      <c r="B131" t="inlineStr">
        <is>
          <t>131623877</t>
        </is>
      </c>
      <c r="C131" s="57" t="n">
        <v>2.089674999</v>
      </c>
      <c r="D131" s="57" t="n">
        <v>2.173558178</v>
      </c>
      <c r="E131" s="57" t="n">
        <v/>
      </c>
      <c r="F131" s="57" t="n">
        <v>2.046</v>
      </c>
      <c r="G131" s="57" t="n">
        <v/>
      </c>
      <c r="H131" s="58" t="n">
        <v>2.05</v>
      </c>
      <c r="I131" s="50" t="inlineStr">
        <is>
          <t>P&amp;I</t>
        </is>
      </c>
      <c r="J131" s="56" t="inlineStr">
        <is>
          <t>https://www.pionline.com/research-center/largest-endowments-foundations</t>
        </is>
      </c>
    </row>
    <row r="132">
      <c r="A132" s="56" t="inlineStr">
        <is>
          <t>The New York Public Library Astor Lenox And Tilden Foundations</t>
        </is>
      </c>
      <c r="B132" t="inlineStr">
        <is>
          <t>131887440</t>
        </is>
      </c>
      <c r="C132" s="57" t="n">
        <v>2.012447084</v>
      </c>
      <c r="D132" s="57" t="n">
        <v>3.093728703</v>
      </c>
      <c r="E132" s="57" t="n">
        <v/>
      </c>
      <c r="F132" s="57" t="n">
        <v/>
      </c>
      <c r="G132" s="57" t="n">
        <v/>
      </c>
      <c r="H132" s="58" t="n">
        <v>2.01</v>
      </c>
      <c r="I132" s="50" t="inlineStr">
        <is>
          <t>990 Investments</t>
        </is>
      </c>
      <c r="J132" s="56" t="inlineStr">
        <is>
          <t>https://projects.propublica.org/nonprofits/organizations/131887440</t>
        </is>
      </c>
    </row>
    <row r="133">
      <c r="A133" s="56" t="inlineStr">
        <is>
          <t>Lehigh University</t>
        </is>
      </c>
      <c r="B133" t="inlineStr">
        <is>
          <t>240795445</t>
        </is>
      </c>
      <c r="C133" s="57" t="n">
        <v>2.558543071</v>
      </c>
      <c r="D133" s="57" t="n">
        <v>3.464195116</v>
      </c>
      <c r="E133" s="57" t="n">
        <v>2.00253</v>
      </c>
      <c r="F133" s="57" t="n">
        <v/>
      </c>
      <c r="G133" s="57" t="n">
        <v/>
      </c>
      <c r="H133" s="58" t="n">
        <v>2</v>
      </c>
      <c r="I133" s="50" t="inlineStr">
        <is>
          <t>NACUBO</t>
        </is>
      </c>
      <c r="J133" s="56" t="inlineStr">
        <is>
          <t>https://www.nacubo.org/research/2024-ncse-public-tables</t>
        </is>
      </c>
    </row>
    <row r="134">
      <c r="A134" s="56" t="inlineStr">
        <is>
          <t>M J Murdock Charitable Trust</t>
        </is>
      </c>
      <c r="B134" t="inlineStr">
        <is>
          <t>237456468</t>
        </is>
      </c>
      <c r="C134" s="57" t="n">
        <v>1.960750083</v>
      </c>
      <c r="D134" s="57" t="n">
        <v>1.966464844</v>
      </c>
      <c r="E134" s="57" t="n">
        <v/>
      </c>
      <c r="F134" s="57" t="n">
        <v/>
      </c>
      <c r="G134" s="57" t="n">
        <v/>
      </c>
      <c r="H134" s="58" t="n">
        <v>1.96</v>
      </c>
      <c r="I134" s="50" t="inlineStr">
        <is>
          <t>990 Investments</t>
        </is>
      </c>
      <c r="J134" s="56" t="inlineStr">
        <is>
          <t>https://projects.propublica.org/nonprofits/organizations/237456468</t>
        </is>
      </c>
    </row>
    <row r="135">
      <c r="A135" s="56" t="inlineStr">
        <is>
          <t>Mount Sinai Hospital</t>
        </is>
      </c>
      <c r="B135" t="inlineStr">
        <is>
          <t>131624096</t>
        </is>
      </c>
      <c r="C135" s="57" t="n">
        <v>1.959787353</v>
      </c>
      <c r="D135" s="57" t="n">
        <v>5.887180821</v>
      </c>
      <c r="E135" s="57" t="n">
        <v/>
      </c>
      <c r="F135" s="57" t="n">
        <v/>
      </c>
      <c r="G135" s="57" t="n">
        <v/>
      </c>
      <c r="H135" s="58" t="n">
        <v>1.96</v>
      </c>
      <c r="I135" s="50" t="inlineStr">
        <is>
          <t>990 Investments</t>
        </is>
      </c>
      <c r="J135" s="56" t="inlineStr">
        <is>
          <t>https://projects.propublica.org/nonprofits/organizations/131624096</t>
        </is>
      </c>
    </row>
    <row r="136">
      <c r="A136" s="56" t="inlineStr">
        <is>
          <t>Museum Of Modern Art</t>
        </is>
      </c>
      <c r="B136" t="inlineStr">
        <is>
          <t>131624100</t>
        </is>
      </c>
      <c r="C136" s="57" t="n">
        <v>1.948928747</v>
      </c>
      <c r="D136" s="57" t="n">
        <v>2.670935041</v>
      </c>
      <c r="E136" s="57" t="n">
        <v/>
      </c>
      <c r="F136" s="57" t="n">
        <v/>
      </c>
      <c r="G136" s="57" t="n">
        <v/>
      </c>
      <c r="H136" s="58" t="n">
        <v>1.95</v>
      </c>
      <c r="I136" s="50" t="inlineStr">
        <is>
          <t>990 Investments</t>
        </is>
      </c>
      <c r="J136" s="56" t="inlineStr">
        <is>
          <t>https://projects.propublica.org/nonprofits/organizations/131624100</t>
        </is>
      </c>
    </row>
    <row r="137">
      <c r="A137" s="56" t="inlineStr">
        <is>
          <t>Trinity University</t>
        </is>
      </c>
      <c r="B137" t="inlineStr">
        <is>
          <t>741109633</t>
        </is>
      </c>
      <c r="C137" s="57" t="n">
        <v>1.5183025</v>
      </c>
      <c r="D137" s="57" t="n">
        <v>2.441443432</v>
      </c>
      <c r="E137" s="57" t="n">
        <v>1.9388</v>
      </c>
      <c r="F137" s="57" t="n">
        <v/>
      </c>
      <c r="G137" s="57" t="n">
        <v/>
      </c>
      <c r="H137" s="58" t="n">
        <v>1.94</v>
      </c>
      <c r="I137" s="50" t="inlineStr">
        <is>
          <t>NACUBO</t>
        </is>
      </c>
      <c r="J137" s="56" t="inlineStr">
        <is>
          <t>https://www.nacubo.org/research/2024-ncse-public-tables</t>
        </is>
      </c>
    </row>
    <row r="138">
      <c r="A138" s="56" t="inlineStr">
        <is>
          <t>Iowa State University Foundation</t>
        </is>
      </c>
      <c r="B138" t="inlineStr">
        <is>
          <t>421143702</t>
        </is>
      </c>
      <c r="C138" s="57" t="n">
        <v>1.939058777</v>
      </c>
      <c r="D138" s="57" t="n">
        <v>2.138119815</v>
      </c>
      <c r="E138" s="57" t="n">
        <v>1.914589</v>
      </c>
      <c r="F138" s="57" t="n">
        <v/>
      </c>
      <c r="G138" s="57" t="n">
        <v/>
      </c>
      <c r="H138" s="58" t="n">
        <v>1.91</v>
      </c>
      <c r="I138" s="50" t="inlineStr">
        <is>
          <t>NACUBO</t>
        </is>
      </c>
      <c r="J138" s="56" t="inlineStr">
        <is>
          <t>https://www.nacubo.org/research/2024-ncse-public-tables</t>
        </is>
      </c>
    </row>
    <row r="139">
      <c r="A139" s="56" t="inlineStr">
        <is>
          <t>Museum Of Fine Arts Houston</t>
        </is>
      </c>
      <c r="B139" t="inlineStr">
        <is>
          <t>741109655</t>
        </is>
      </c>
      <c r="C139" s="57" t="n">
        <v>1.867809096</v>
      </c>
      <c r="D139" s="57" t="n">
        <v>2.35281866</v>
      </c>
      <c r="E139" s="57" t="n">
        <v/>
      </c>
      <c r="F139" s="57" t="n">
        <v/>
      </c>
      <c r="G139" s="57" t="n">
        <v/>
      </c>
      <c r="H139" s="58" t="n">
        <v>1.87</v>
      </c>
      <c r="I139" s="50" t="inlineStr">
        <is>
          <t>990 Investments</t>
        </is>
      </c>
      <c r="J139" s="56" t="inlineStr">
        <is>
          <t>https://projects.propublica.org/nonprofits/organizations/741109655</t>
        </is>
      </c>
    </row>
    <row r="140">
      <c r="A140" s="56" t="inlineStr">
        <is>
          <t>U C San Diego Foundation</t>
        </is>
      </c>
      <c r="B140" t="inlineStr">
        <is>
          <t>952872494</t>
        </is>
      </c>
      <c r="C140" s="57" t="n">
        <v>1.871772182</v>
      </c>
      <c r="D140" s="57" t="n">
        <v>2.015669146</v>
      </c>
      <c r="E140" s="57" t="n">
        <v/>
      </c>
      <c r="F140" s="57" t="n">
        <v/>
      </c>
      <c r="G140" s="57" t="n">
        <v/>
      </c>
      <c r="H140" s="58" t="n">
        <v>1.87</v>
      </c>
      <c r="I140" s="50" t="inlineStr">
        <is>
          <t>990 Investments</t>
        </is>
      </c>
      <c r="J140" s="56" t="inlineStr">
        <is>
          <t>https://projects.propublica.org/nonprofits/organizations/952872494</t>
        </is>
      </c>
    </row>
    <row r="141">
      <c r="A141" s="56" t="inlineStr">
        <is>
          <t>University Of Oregon Foundation</t>
        </is>
      </c>
      <c r="B141" t="inlineStr">
        <is>
          <t>936015767</t>
        </is>
      </c>
      <c r="C141" s="57" t="n">
        <v>2.606798119</v>
      </c>
      <c r="D141" s="57" t="n">
        <v>2.959430815</v>
      </c>
      <c r="E141" s="57" t="n">
        <v>1.843233</v>
      </c>
      <c r="F141" s="57" t="n">
        <v/>
      </c>
      <c r="G141" s="57" t="n">
        <v/>
      </c>
      <c r="H141" s="58" t="n">
        <v>1.84</v>
      </c>
      <c r="I141" s="50" t="inlineStr">
        <is>
          <t>NACUBO</t>
        </is>
      </c>
      <c r="J141" s="56" t="inlineStr">
        <is>
          <t>https://www.nacubo.org/research/2024-ncse-public-tables</t>
        </is>
      </c>
    </row>
    <row r="142">
      <c r="A142" s="56" t="inlineStr">
        <is>
          <t>San Francisco Foundation</t>
        </is>
      </c>
      <c r="B142" t="inlineStr">
        <is>
          <t>010679337</t>
        </is>
      </c>
      <c r="C142" s="57" t="n">
        <v>1.803165833</v>
      </c>
      <c r="D142" s="57" t="n">
        <v>1.921030669</v>
      </c>
      <c r="E142" s="57" t="n">
        <v/>
      </c>
      <c r="F142" s="57" t="n">
        <v/>
      </c>
      <c r="G142" s="57" t="n">
        <v/>
      </c>
      <c r="H142" s="58" t="n">
        <v>1.8</v>
      </c>
      <c r="I142" s="50" t="inlineStr">
        <is>
          <t>990 Investments</t>
        </is>
      </c>
      <c r="J142" s="56" t="inlineStr">
        <is>
          <t>https://projects.propublica.org/nonprofits/organizations/010679337</t>
        </is>
      </c>
    </row>
    <row r="143">
      <c r="A143" s="56" t="inlineStr">
        <is>
          <t>University Of Massachusetts Foundation Inc</t>
        </is>
      </c>
      <c r="B143" t="inlineStr">
        <is>
          <t>046013152</t>
        </is>
      </c>
      <c r="C143" s="57" t="n">
        <v>2.634193313</v>
      </c>
      <c r="D143" s="57" t="n">
        <v>2.79824796</v>
      </c>
      <c r="E143" s="57" t="n">
        <v>1.80126</v>
      </c>
      <c r="F143" s="57" t="n">
        <v/>
      </c>
      <c r="G143" s="57" t="n">
        <v/>
      </c>
      <c r="H143" s="58" t="n">
        <v>1.8</v>
      </c>
      <c r="I143" s="50" t="inlineStr">
        <is>
          <t>NACUBO</t>
        </is>
      </c>
      <c r="J143" s="56" t="inlineStr">
        <is>
          <t>https://www.nacubo.org/research/2024-ncse-public-tables</t>
        </is>
      </c>
    </row>
    <row r="144">
      <c r="A144" s="56" t="inlineStr">
        <is>
          <t>National Geographic Society</t>
        </is>
      </c>
      <c r="B144" t="inlineStr">
        <is>
          <t>530193519</t>
        </is>
      </c>
      <c r="C144" s="57" t="n">
        <v>1.713983511</v>
      </c>
      <c r="D144" s="57" t="n">
        <v>2.456049733</v>
      </c>
      <c r="E144" s="57" t="n">
        <v/>
      </c>
      <c r="F144" s="57" t="n">
        <v/>
      </c>
      <c r="G144" s="57" t="n">
        <v/>
      </c>
      <c r="H144" s="58" t="n">
        <v>1.71</v>
      </c>
      <c r="I144" s="50" t="inlineStr">
        <is>
          <t>990 Investments</t>
        </is>
      </c>
      <c r="J144" s="56" t="inlineStr">
        <is>
          <t>https://projects.propublica.org/nonprofits/organizations/530193519</t>
        </is>
      </c>
    </row>
    <row r="145">
      <c r="A145" s="56" t="inlineStr">
        <is>
          <t>Volunteer Corporate Credit Union</t>
        </is>
      </c>
      <c r="B145" t="inlineStr">
        <is>
          <t>621120233</t>
        </is>
      </c>
      <c r="C145" s="57" t="n">
        <v>1.710951838</v>
      </c>
      <c r="D145" s="57" t="n">
        <v>1.797666479</v>
      </c>
      <c r="E145" s="57" t="n">
        <v/>
      </c>
      <c r="F145" s="57" t="n">
        <v/>
      </c>
      <c r="G145" s="57" t="n">
        <v/>
      </c>
      <c r="H145" s="58" t="n">
        <v>1.71</v>
      </c>
      <c r="I145" s="50" t="inlineStr">
        <is>
          <t>990 Investments</t>
        </is>
      </c>
      <c r="J145" s="56" t="inlineStr">
        <is>
          <t>https://projects.propublica.org/nonprofits/organizations/621120233</t>
        </is>
      </c>
    </row>
    <row r="146">
      <c r="A146" s="56" t="inlineStr">
        <is>
          <t>President Board Of Trustees Santa Clara College</t>
        </is>
      </c>
      <c r="B146" t="inlineStr">
        <is>
          <t>941156617</t>
        </is>
      </c>
      <c r="C146" s="57" t="n">
        <v>1.866056096</v>
      </c>
      <c r="D146" s="57" t="n">
        <v>3.11853411</v>
      </c>
      <c r="E146" s="57" t="n">
        <v>1.668622</v>
      </c>
      <c r="F146" s="57" t="n">
        <v/>
      </c>
      <c r="G146" s="57" t="n">
        <v/>
      </c>
      <c r="H146" s="58" t="n">
        <v>1.67</v>
      </c>
      <c r="I146" s="50" t="inlineStr">
        <is>
          <t>NACUBO</t>
        </is>
      </c>
      <c r="J146" s="56" t="inlineStr">
        <is>
          <t>https://www.nacubo.org/research/2024-ncse-public-tables</t>
        </is>
      </c>
    </row>
    <row r="147">
      <c r="A147" s="56" t="inlineStr">
        <is>
          <t>Saint Paul &amp; Minnesota Foundation</t>
        </is>
      </c>
      <c r="B147" t="inlineStr">
        <is>
          <t>416031510</t>
        </is>
      </c>
      <c r="C147" s="57" t="n">
        <v>1.648369516</v>
      </c>
      <c r="D147" s="57" t="n">
        <v>1.673986347</v>
      </c>
      <c r="E147" s="57" t="n">
        <v/>
      </c>
      <c r="F147" s="57" t="n">
        <v/>
      </c>
      <c r="G147" s="57" t="n">
        <v/>
      </c>
      <c r="H147" s="58" t="n">
        <v>1.65</v>
      </c>
      <c r="I147" s="50" t="inlineStr">
        <is>
          <t>990 Investments</t>
        </is>
      </c>
      <c r="J147" s="56" t="inlineStr">
        <is>
          <t>https://projects.propublica.org/nonprofits/organizations/416031510</t>
        </is>
      </c>
    </row>
    <row r="148">
      <c r="A148" s="56" t="inlineStr">
        <is>
          <t>The Wallace Foundation</t>
        </is>
      </c>
      <c r="B148" t="inlineStr">
        <is>
          <t>136183757</t>
        </is>
      </c>
      <c r="C148" s="57" t="n">
        <v>1.734020709</v>
      </c>
      <c r="D148" s="57" t="n">
        <v>1.756582199</v>
      </c>
      <c r="E148" s="57" t="n">
        <v/>
      </c>
      <c r="F148" s="57" t="n">
        <v>1.636</v>
      </c>
      <c r="G148" s="57" t="n">
        <v/>
      </c>
      <c r="H148" s="58" t="n">
        <v>1.64</v>
      </c>
      <c r="I148" s="50" t="inlineStr">
        <is>
          <t>P&amp;I</t>
        </is>
      </c>
      <c r="J148" s="56" t="inlineStr">
        <is>
          <t>https://www.pionline.com/research-center/largest-endowments-foundations</t>
        </is>
      </c>
    </row>
    <row r="149">
      <c r="A149" s="56" t="inlineStr">
        <is>
          <t>Wesleyan University</t>
        </is>
      </c>
      <c r="B149" t="inlineStr">
        <is>
          <t>060646959</t>
        </is>
      </c>
      <c r="C149" s="57" t="n">
        <v>1.806729</v>
      </c>
      <c r="D149" s="57" t="n">
        <v>2.515092</v>
      </c>
      <c r="E149" s="57" t="n">
        <v>1.641277</v>
      </c>
      <c r="F149" s="57" t="n">
        <v/>
      </c>
      <c r="G149" s="57" t="n">
        <v/>
      </c>
      <c r="H149" s="58" t="n">
        <v>1.64</v>
      </c>
      <c r="I149" s="50" t="inlineStr">
        <is>
          <t>NACUBO</t>
        </is>
      </c>
      <c r="J149" s="56" t="inlineStr">
        <is>
          <t>https://www.nacubo.org/research/2024-ncse-public-tables</t>
        </is>
      </c>
    </row>
    <row r="150">
      <c r="A150" s="56" t="inlineStr">
        <is>
          <t>Daniels Fund</t>
        </is>
      </c>
      <c r="B150" t="inlineStr">
        <is>
          <t>841393308</t>
        </is>
      </c>
      <c r="C150" s="57" t="n">
        <v>1.722052443</v>
      </c>
      <c r="D150" s="57" t="n">
        <v>1.734544841</v>
      </c>
      <c r="E150" s="57" t="n">
        <v/>
      </c>
      <c r="F150" s="57" t="n">
        <v>1.61</v>
      </c>
      <c r="G150" s="57" t="n">
        <v/>
      </c>
      <c r="H150" s="58" t="n">
        <v>1.61</v>
      </c>
      <c r="I150" s="50" t="inlineStr">
        <is>
          <t>P&amp;I</t>
        </is>
      </c>
      <c r="J150" s="56" t="inlineStr">
        <is>
          <t>https://www.pionline.com/research-center/largest-endowments-foundations</t>
        </is>
      </c>
    </row>
    <row r="151">
      <c r="A151" s="56" t="inlineStr">
        <is>
          <t>Soka University Of America</t>
        </is>
      </c>
      <c r="B151" t="inlineStr">
        <is>
          <t>953909672</t>
        </is>
      </c>
      <c r="C151" s="57" t="n">
        <v>1.612062677</v>
      </c>
      <c r="D151" s="57" t="n">
        <v>1.938168209</v>
      </c>
      <c r="E151" s="57" t="n">
        <v/>
      </c>
      <c r="F151" s="57" t="n">
        <v/>
      </c>
      <c r="G151" s="57" t="n">
        <v/>
      </c>
      <c r="H151" s="58" t="n">
        <v>1.61</v>
      </c>
      <c r="I151" s="50" t="inlineStr">
        <is>
          <t>990 Investments</t>
        </is>
      </c>
      <c r="J151" s="56" t="inlineStr">
        <is>
          <t>https://projects.propublica.org/nonprofits/organizations/953909672</t>
        </is>
      </c>
    </row>
    <row r="152">
      <c r="A152" s="56" t="inlineStr">
        <is>
          <t>Colgate University Treasurers Office</t>
        </is>
      </c>
      <c r="B152" t="inlineStr">
        <is>
          <t>150532078</t>
        </is>
      </c>
      <c r="C152" s="57" t="n">
        <v>1.603375671</v>
      </c>
      <c r="D152" s="57" t="n">
        <v>2.305580517</v>
      </c>
      <c r="E152" s="57" t="n">
        <v/>
      </c>
      <c r="F152" s="57" t="n">
        <v/>
      </c>
      <c r="G152" s="57" t="n">
        <v/>
      </c>
      <c r="H152" s="58" t="n">
        <v>1.6</v>
      </c>
      <c r="I152" s="50" t="inlineStr">
        <is>
          <t>990 Investments</t>
        </is>
      </c>
      <c r="J152" s="56" t="inlineStr">
        <is>
          <t>https://projects.propublica.org/nonprofits/organizations/150532078</t>
        </is>
      </c>
    </row>
    <row r="153">
      <c r="A153" s="56" t="inlineStr">
        <is>
          <t>William &amp; Mary Foundation</t>
        </is>
      </c>
      <c r="B153" t="inlineStr">
        <is>
          <t>540734117</t>
        </is>
      </c>
      <c r="C153" s="57" t="n">
        <v>1.087745973</v>
      </c>
      <c r="D153" s="57" t="n">
        <v>1.45536413</v>
      </c>
      <c r="E153" s="57" t="n">
        <v>1.594773</v>
      </c>
      <c r="F153" s="57" t="n">
        <v/>
      </c>
      <c r="G153" s="57" t="n">
        <v/>
      </c>
      <c r="H153" s="58" t="n">
        <v>1.59</v>
      </c>
      <c r="I153" s="50" t="inlineStr">
        <is>
          <t>NACUBO</t>
        </is>
      </c>
      <c r="J153" s="56" t="inlineStr">
        <is>
          <t>https://www.nacubo.org/research/2024-ncse-public-tables</t>
        </is>
      </c>
    </row>
    <row r="154">
      <c r="A154" s="56" t="inlineStr">
        <is>
          <t>Oklahoma State University Foundation</t>
        </is>
      </c>
      <c r="B154" t="inlineStr">
        <is>
          <t>736097060</t>
        </is>
      </c>
      <c r="C154" s="57" t="n">
        <v>1.456370045</v>
      </c>
      <c r="D154" s="57" t="n">
        <v>1.666168064</v>
      </c>
      <c r="E154" s="57" t="n">
        <v>1.564585</v>
      </c>
      <c r="F154" s="57" t="n">
        <v>1.004</v>
      </c>
      <c r="G154" s="57" t="n">
        <v/>
      </c>
      <c r="H154" s="58" t="n">
        <v>1.56</v>
      </c>
      <c r="I154" s="50" t="inlineStr">
        <is>
          <t>NACUBO</t>
        </is>
      </c>
      <c r="J154" s="56" t="inlineStr">
        <is>
          <t>https://www.nacubo.org/research/2024-ncse-public-tables</t>
        </is>
      </c>
    </row>
    <row r="155">
      <c r="A155" s="56" t="inlineStr">
        <is>
          <t>United Jewish Appeal Federation Of Jewish Philanthropies Of Ny Inc</t>
        </is>
      </c>
      <c r="B155" t="inlineStr">
        <is>
          <t>510172429</t>
        </is>
      </c>
      <c r="C155" s="57" t="n">
        <v>1.536491116</v>
      </c>
      <c r="D155" s="57" t="n">
        <v>1.879881738</v>
      </c>
      <c r="E155" s="57" t="n">
        <v/>
      </c>
      <c r="F155" s="57" t="n">
        <v/>
      </c>
      <c r="G155" s="57" t="n">
        <v/>
      </c>
      <c r="H155" s="58" t="n">
        <v>1.54</v>
      </c>
      <c r="I155" s="50" t="inlineStr">
        <is>
          <t>990 Investments</t>
        </is>
      </c>
      <c r="J155" s="56" t="inlineStr">
        <is>
          <t>https://projects.propublica.org/nonprofits/organizations/510172429</t>
        </is>
      </c>
    </row>
    <row r="156">
      <c r="A156" s="56" t="inlineStr">
        <is>
          <t>Trustees Of Phillips Academy</t>
        </is>
      </c>
      <c r="B156" t="inlineStr">
        <is>
          <t>042103579</t>
        </is>
      </c>
      <c r="C156" s="57" t="n">
        <v>1.509933657</v>
      </c>
      <c r="D156" s="57" t="n">
        <v>2.082564322</v>
      </c>
      <c r="E156" s="57" t="n">
        <v/>
      </c>
      <c r="F156" s="57" t="n">
        <v/>
      </c>
      <c r="G156" s="57" t="n">
        <v/>
      </c>
      <c r="H156" s="58" t="n">
        <v>1.51</v>
      </c>
      <c r="I156" s="50" t="inlineStr">
        <is>
          <t>990 Investments</t>
        </is>
      </c>
      <c r="J156" s="56" t="inlineStr">
        <is>
          <t>https://projects.propublica.org/nonprofits/organizations/042103579</t>
        </is>
      </c>
    </row>
    <row r="157">
      <c r="A157" s="56" t="inlineStr">
        <is>
          <t>Trustees Of Hamilton College</t>
        </is>
      </c>
      <c r="B157" t="inlineStr">
        <is>
          <t>150532200</t>
        </is>
      </c>
      <c r="C157" s="57" t="n">
        <v>1.622948592</v>
      </c>
      <c r="D157" s="57" t="n">
        <v>1.984043471</v>
      </c>
      <c r="E157" s="57" t="n">
        <v>1.499899</v>
      </c>
      <c r="F157" s="57" t="n">
        <v/>
      </c>
      <c r="G157" s="57" t="n">
        <v/>
      </c>
      <c r="H157" s="58" t="n">
        <v>1.5</v>
      </c>
      <c r="I157" s="50" t="inlineStr">
        <is>
          <t>NACUBO</t>
        </is>
      </c>
      <c r="J157" s="56" t="inlineStr">
        <is>
          <t>https://www.nacubo.org/research/2024-ncse-public-tables</t>
        </is>
      </c>
    </row>
    <row r="158">
      <c r="A158" s="56" t="inlineStr">
        <is>
          <t>Oberlin College</t>
        </is>
      </c>
      <c r="B158" t="inlineStr">
        <is>
          <t>340714363</t>
        </is>
      </c>
      <c r="C158" s="57" t="n">
        <v>1.554624925</v>
      </c>
      <c r="D158" s="57" t="n">
        <v>2.233785743</v>
      </c>
      <c r="E158" s="57" t="n">
        <v>1.480794</v>
      </c>
      <c r="F158" s="57" t="n">
        <v/>
      </c>
      <c r="G158" s="57" t="n">
        <v/>
      </c>
      <c r="H158" s="58" t="n">
        <v>1.48</v>
      </c>
      <c r="I158" s="50" t="inlineStr">
        <is>
          <t>NACUBO</t>
        </is>
      </c>
      <c r="J158" s="56" t="inlineStr">
        <is>
          <t>https://www.nacubo.org/research/2024-ncse-public-tables</t>
        </is>
      </c>
    </row>
    <row r="159">
      <c r="A159" s="56" t="inlineStr">
        <is>
          <t>Dietrich Foundation</t>
        </is>
      </c>
      <c r="B159" t="inlineStr">
        <is>
          <t>364711746</t>
        </is>
      </c>
      <c r="C159" s="57" t="n">
        <v>1.466584651</v>
      </c>
      <c r="D159" s="57" t="n">
        <v>1.469174246</v>
      </c>
      <c r="E159" s="57" t="n">
        <v/>
      </c>
      <c r="F159" s="57" t="n">
        <v/>
      </c>
      <c r="G159" s="57" t="n">
        <v/>
      </c>
      <c r="H159" s="58" t="n">
        <v>1.47</v>
      </c>
      <c r="I159" s="50" t="inlineStr">
        <is>
          <t>990 Investments</t>
        </is>
      </c>
      <c r="J159" s="56" t="inlineStr">
        <is>
          <t>https://projects.propublica.org/nonprofits/organizations/364711746</t>
        </is>
      </c>
    </row>
    <row r="160">
      <c r="A160" s="56" t="inlineStr">
        <is>
          <t>Villanova University</t>
        </is>
      </c>
      <c r="B160" t="inlineStr">
        <is>
          <t>231352688</t>
        </is>
      </c>
      <c r="C160" s="57" t="n">
        <v>1.555624806</v>
      </c>
      <c r="D160" s="57" t="n">
        <v>2.857987333</v>
      </c>
      <c r="E160" s="57" t="n">
        <v>1.472111</v>
      </c>
      <c r="F160" s="57" t="n">
        <v/>
      </c>
      <c r="G160" s="57" t="n">
        <v/>
      </c>
      <c r="H160" s="58" t="n">
        <v>1.47</v>
      </c>
      <c r="I160" s="50" t="inlineStr">
        <is>
          <t>NACUBO</t>
        </is>
      </c>
      <c r="J160" s="56" t="inlineStr">
        <is>
          <t>https://www.nacubo.org/research/2024-ncse-public-tables</t>
        </is>
      </c>
    </row>
    <row r="161">
      <c r="A161" s="56" t="inlineStr">
        <is>
          <t>Davidson College</t>
        </is>
      </c>
      <c r="B161" t="inlineStr">
        <is>
          <t>560529961</t>
        </is>
      </c>
      <c r="C161" s="57" t="n">
        <v>1.491216945</v>
      </c>
      <c r="D161" s="57" t="n">
        <v>2.007739234</v>
      </c>
      <c r="E161" s="57" t="n">
        <v>1.460452</v>
      </c>
      <c r="F161" s="57" t="n">
        <v/>
      </c>
      <c r="G161" s="57" t="n">
        <v/>
      </c>
      <c r="H161" s="58" t="n">
        <v>1.46</v>
      </c>
      <c r="I161" s="50" t="inlineStr">
        <is>
          <t>NACUBO</t>
        </is>
      </c>
      <c r="J161" s="56" t="inlineStr">
        <is>
          <t>https://www.nacubo.org/research/2024-ncse-public-tables</t>
        </is>
      </c>
    </row>
    <row r="162">
      <c r="A162" s="56" t="inlineStr">
        <is>
          <t>Baylor College Of Medicine</t>
        </is>
      </c>
      <c r="B162" t="inlineStr">
        <is>
          <t>741613878</t>
        </is>
      </c>
      <c r="C162" s="57" t="n">
        <v>1.635086811</v>
      </c>
      <c r="D162" s="57" t="n">
        <v>3.113646721</v>
      </c>
      <c r="E162" s="57" t="n">
        <v>1.426937</v>
      </c>
      <c r="F162" s="57" t="n">
        <v/>
      </c>
      <c r="G162" s="57" t="n">
        <v/>
      </c>
      <c r="H162" s="58" t="n">
        <v>1.43</v>
      </c>
      <c r="I162" s="50" t="inlineStr">
        <is>
          <t>NACUBO</t>
        </is>
      </c>
      <c r="J162" s="56" t="inlineStr">
        <is>
          <t>https://www.nacubo.org/research/2024-ncse-public-tables</t>
        </is>
      </c>
    </row>
    <row r="163">
      <c r="A163" s="56" t="inlineStr">
        <is>
          <t>Christus Health</t>
        </is>
      </c>
      <c r="B163" t="inlineStr">
        <is>
          <t>760590551</t>
        </is>
      </c>
      <c r="C163" s="57" t="n">
        <v>1.429528618</v>
      </c>
      <c r="D163" s="57" t="n">
        <v>3.787230257</v>
      </c>
      <c r="E163" s="57" t="n">
        <v/>
      </c>
      <c r="F163" s="57" t="n">
        <v/>
      </c>
      <c r="G163" s="57" t="n">
        <v/>
      </c>
      <c r="H163" s="58" t="n">
        <v>1.43</v>
      </c>
      <c r="I163" s="50" t="inlineStr">
        <is>
          <t>990 Investments</t>
        </is>
      </c>
      <c r="J163" s="56" t="inlineStr">
        <is>
          <t>https://projects.propublica.org/nonprofits/organizations/760590551</t>
        </is>
      </c>
    </row>
    <row r="164">
      <c r="A164" s="56" t="inlineStr">
        <is>
          <t>Brandeis University</t>
        </is>
      </c>
      <c r="B164" t="inlineStr">
        <is>
          <t>042103552</t>
        </is>
      </c>
      <c r="C164" s="57" t="n">
        <v>1.423470217</v>
      </c>
      <c r="D164" s="57" t="n">
        <v>1.970333569</v>
      </c>
      <c r="E164" s="57" t="n">
        <v>1.357267</v>
      </c>
      <c r="F164" s="57" t="n">
        <v/>
      </c>
      <c r="G164" s="57" t="n">
        <v/>
      </c>
      <c r="H164" s="58" t="n">
        <v>1.36</v>
      </c>
      <c r="I164" s="50" t="inlineStr">
        <is>
          <t>NACUBO</t>
        </is>
      </c>
      <c r="J164" s="56" t="inlineStr">
        <is>
          <t>https://www.nacubo.org/research/2024-ncse-public-tables</t>
        </is>
      </c>
    </row>
    <row r="165">
      <c r="A165" s="56" t="inlineStr">
        <is>
          <t>Bush Foundation</t>
        </is>
      </c>
      <c r="B165" t="inlineStr">
        <is>
          <t>416017815</t>
        </is>
      </c>
      <c r="C165" s="57" t="n">
        <v>1.381516001</v>
      </c>
      <c r="D165" s="57" t="n">
        <v>1.451128753</v>
      </c>
      <c r="E165" s="57" t="n">
        <v/>
      </c>
      <c r="F165" s="57" t="n">
        <v>1.357</v>
      </c>
      <c r="G165" s="57" t="n">
        <v/>
      </c>
      <c r="H165" s="58" t="n">
        <v>1.36</v>
      </c>
      <c r="I165" s="50" t="inlineStr">
        <is>
          <t>P&amp;I</t>
        </is>
      </c>
      <c r="J165" s="56" t="inlineStr">
        <is>
          <t>https://www.pionline.com/research-center/largest-endowments-foundations</t>
        </is>
      </c>
    </row>
    <row r="166">
      <c r="A166" s="56" t="inlineStr">
        <is>
          <t>Lumina Foundation For Education Inc</t>
        </is>
      </c>
      <c r="B166" t="inlineStr">
        <is>
          <t>351813228</t>
        </is>
      </c>
      <c r="C166" s="57" t="n">
        <v>1.492556804</v>
      </c>
      <c r="D166" s="57" t="n">
        <v>1.544151334</v>
      </c>
      <c r="E166" s="57" t="n">
        <v/>
      </c>
      <c r="F166" s="57" t="n">
        <v>1.364</v>
      </c>
      <c r="G166" s="57" t="n">
        <v/>
      </c>
      <c r="H166" s="58" t="n">
        <v>1.36</v>
      </c>
      <c r="I166" s="50" t="inlineStr">
        <is>
          <t>P&amp;I</t>
        </is>
      </c>
      <c r="J166" s="56" t="inlineStr">
        <is>
          <t>https://www.pionline.com/research-center/largest-endowments-foundations</t>
        </is>
      </c>
    </row>
    <row r="167">
      <c r="A167" s="56" t="inlineStr">
        <is>
          <t>National Fish And Wildlife Foundation</t>
        </is>
      </c>
      <c r="B167" t="inlineStr">
        <is>
          <t>521384139</t>
        </is>
      </c>
      <c r="C167" s="57" t="n">
        <v>1.361769166</v>
      </c>
      <c r="D167" s="57" t="n">
        <v>3.563877589</v>
      </c>
      <c r="E167" s="57" t="n">
        <v/>
      </c>
      <c r="F167" s="57" t="n">
        <v/>
      </c>
      <c r="G167" s="57" t="n">
        <v/>
      </c>
      <c r="H167" s="58" t="n">
        <v>1.36</v>
      </c>
      <c r="I167" s="50" t="inlineStr">
        <is>
          <t>990 Investments</t>
        </is>
      </c>
      <c r="J167" s="56" t="inlineStr">
        <is>
          <t>https://projects.propublica.org/nonprofits/organizations/521384139</t>
        </is>
      </c>
    </row>
    <row r="168">
      <c r="A168" s="56" t="inlineStr">
        <is>
          <t>Claremont Mckenna College</t>
        </is>
      </c>
      <c r="B168" t="inlineStr">
        <is>
          <t>951664101</t>
        </is>
      </c>
      <c r="C168" s="57" t="n">
        <v>1.869525573</v>
      </c>
      <c r="D168" s="57" t="n">
        <v>2.708910623</v>
      </c>
      <c r="E168" s="57" t="n">
        <v>1.35393</v>
      </c>
      <c r="F168" s="57" t="n">
        <v/>
      </c>
      <c r="G168" s="57" t="n">
        <v/>
      </c>
      <c r="H168" s="58" t="n">
        <v>1.35</v>
      </c>
      <c r="I168" s="50" t="inlineStr">
        <is>
          <t>NACUBO</t>
        </is>
      </c>
      <c r="J168" s="56" t="inlineStr">
        <is>
          <t>https://www.nacubo.org/research/2024-ncse-public-tables</t>
        </is>
      </c>
    </row>
    <row r="169">
      <c r="A169" s="56" t="inlineStr">
        <is>
          <t>Bryn Mawr College</t>
        </is>
      </c>
      <c r="B169" t="inlineStr">
        <is>
          <t>231352621</t>
        </is>
      </c>
      <c r="C169" s="57" t="n">
        <v>1.449775019</v>
      </c>
      <c r="D169" s="57" t="n">
        <v>1.689158235</v>
      </c>
      <c r="E169" s="57" t="n">
        <v>1.344138</v>
      </c>
      <c r="F169" s="57" t="n">
        <v/>
      </c>
      <c r="G169" s="57" t="n">
        <v/>
      </c>
      <c r="H169" s="58" t="n">
        <v>1.34</v>
      </c>
      <c r="I169" s="50" t="inlineStr">
        <is>
          <t>NACUBO</t>
        </is>
      </c>
      <c r="J169" s="56" t="inlineStr">
        <is>
          <t>https://www.nacubo.org/research/2024-ncse-public-tables</t>
        </is>
      </c>
    </row>
    <row r="170">
      <c r="A170" s="56" t="inlineStr">
        <is>
          <t>Red Gates Foundation</t>
        </is>
      </c>
      <c r="B170" t="inlineStr">
        <is>
          <t>301201296</t>
        </is>
      </c>
      <c r="C170" s="57" t="n">
        <v>1.496146108</v>
      </c>
      <c r="D170" s="57" t="n">
        <v>1.521801051</v>
      </c>
      <c r="E170" s="57" t="n">
        <v/>
      </c>
      <c r="F170" s="57" t="n">
        <v>1.343</v>
      </c>
      <c r="G170" s="57" t="n">
        <v/>
      </c>
      <c r="H170" s="58" t="n">
        <v>1.34</v>
      </c>
      <c r="I170" s="50" t="inlineStr">
        <is>
          <t>P&amp;I</t>
        </is>
      </c>
      <c r="J170" s="56" t="inlineStr">
        <is>
          <t>https://www.pionline.com/research-center/largest-endowments-foundations</t>
        </is>
      </c>
    </row>
    <row r="171">
      <c r="A171" s="56" t="inlineStr">
        <is>
          <t>The Annenberg Foundation</t>
        </is>
      </c>
      <c r="B171" t="inlineStr">
        <is>
          <t>236257083</t>
        </is>
      </c>
      <c r="C171" s="57" t="n">
        <v>1.463620738</v>
      </c>
      <c r="D171" s="57" t="n">
        <v>1.52396315</v>
      </c>
      <c r="E171" s="57" t="n">
        <v/>
      </c>
      <c r="F171" s="57" t="n">
        <v>1.337</v>
      </c>
      <c r="G171" s="57" t="n">
        <v/>
      </c>
      <c r="H171" s="58" t="n">
        <v>1.34</v>
      </c>
      <c r="I171" s="50" t="inlineStr">
        <is>
          <t>P&amp;I</t>
        </is>
      </c>
      <c r="J171" s="56" t="inlineStr">
        <is>
          <t>https://www.pionline.com/research-center/largest-endowments-foundations</t>
        </is>
      </c>
    </row>
    <row r="172">
      <c r="A172" s="56" t="inlineStr">
        <is>
          <t>Carleton College</t>
        </is>
      </c>
      <c r="B172" t="inlineStr">
        <is>
          <t>410694747</t>
        </is>
      </c>
      <c r="C172" s="57" t="n">
        <v>1.524743328</v>
      </c>
      <c r="D172" s="57" t="n">
        <v>1.992369854</v>
      </c>
      <c r="E172" s="57" t="n">
        <v>1.33443</v>
      </c>
      <c r="F172" s="57" t="n">
        <v/>
      </c>
      <c r="G172" s="57" t="n">
        <v/>
      </c>
      <c r="H172" s="58" t="n">
        <v>1.33</v>
      </c>
      <c r="I172" s="50" t="inlineStr">
        <is>
          <t>NACUBO</t>
        </is>
      </c>
      <c r="J172" s="56" t="inlineStr">
        <is>
          <t>https://www.nacubo.org/research/2024-ncse-public-tables</t>
        </is>
      </c>
    </row>
    <row r="173">
      <c r="A173" s="56" t="inlineStr">
        <is>
          <t>The Pittsburgh Foundation</t>
        </is>
      </c>
      <c r="B173" t="inlineStr">
        <is>
          <t>250965466</t>
        </is>
      </c>
      <c r="C173" s="57" t="n">
        <v>1.321414712</v>
      </c>
      <c r="D173" s="57" t="n">
        <v>1.541081247</v>
      </c>
      <c r="E173" s="57" t="n">
        <v/>
      </c>
      <c r="F173" s="57" t="n">
        <v/>
      </c>
      <c r="G173" s="57" t="n">
        <v/>
      </c>
      <c r="H173" s="58" t="n">
        <v>1.32</v>
      </c>
      <c r="I173" s="50" t="inlineStr">
        <is>
          <t>990 Investments</t>
        </is>
      </c>
      <c r="J173" s="56" t="inlineStr">
        <is>
          <t>https://projects.propublica.org/nonprofits/organizations/250965466</t>
        </is>
      </c>
    </row>
    <row r="174">
      <c r="A174" s="56" t="inlineStr">
        <is>
          <t>Boilermakers National Health &amp; Welfare Fund</t>
        </is>
      </c>
      <c r="B174" t="inlineStr">
        <is>
          <t>366090694</t>
        </is>
      </c>
      <c r="C174" s="57" t="n">
        <v>1.301764746</v>
      </c>
      <c r="D174" s="57" t="n">
        <v>1.313533949</v>
      </c>
      <c r="E174" s="57" t="n">
        <v/>
      </c>
      <c r="F174" s="57" t="n">
        <v/>
      </c>
      <c r="G174" s="57" t="n">
        <v/>
      </c>
      <c r="H174" s="58" t="n">
        <v>1.3</v>
      </c>
      <c r="I174" s="50" t="inlineStr">
        <is>
          <t>990 Investments</t>
        </is>
      </c>
      <c r="J174" s="56" t="inlineStr">
        <is>
          <t>https://projects.propublica.org/nonprofits/organizations/366090694</t>
        </is>
      </c>
    </row>
    <row r="175">
      <c r="A175" s="56" t="inlineStr">
        <is>
          <t>Pepperdine University</t>
        </is>
      </c>
      <c r="B175" t="inlineStr">
        <is>
          <t>951644037</t>
        </is>
      </c>
      <c r="C175" s="57" t="n">
        <v>1.557985387</v>
      </c>
      <c r="D175" s="57" t="n">
        <v>2.73255171</v>
      </c>
      <c r="E175" s="57" t="n">
        <v>1.29329</v>
      </c>
      <c r="F175" s="57" t="n">
        <v/>
      </c>
      <c r="G175" s="57" t="n">
        <v/>
      </c>
      <c r="H175" s="58" t="n">
        <v>1.29</v>
      </c>
      <c r="I175" s="50" t="inlineStr">
        <is>
          <t>NACUBO</t>
        </is>
      </c>
      <c r="J175" s="56" t="inlineStr">
        <is>
          <t>https://www.nacubo.org/research/2024-ncse-public-tables</t>
        </is>
      </c>
    </row>
    <row r="176">
      <c r="A176" s="56" t="inlineStr">
        <is>
          <t>Institute For Advanced Study</t>
        </is>
      </c>
      <c r="B176" t="inlineStr">
        <is>
          <t>210634988</t>
        </is>
      </c>
      <c r="C176" s="57" t="n">
        <v>1.267682954</v>
      </c>
      <c r="D176" s="57" t="n">
        <v>1.459827352</v>
      </c>
      <c r="E176" s="57" t="n">
        <v/>
      </c>
      <c r="F176" s="57" t="n">
        <v/>
      </c>
      <c r="G176" s="57" t="n">
        <v/>
      </c>
      <c r="H176" s="58" t="n">
        <v>1.27</v>
      </c>
      <c r="I176" s="50" t="inlineStr">
        <is>
          <t>990 Investments</t>
        </is>
      </c>
      <c r="J176" s="56" t="inlineStr">
        <is>
          <t>https://projects.propublica.org/nonprofits/organizations/210634988</t>
        </is>
      </c>
    </row>
    <row r="177">
      <c r="A177" s="56" t="inlineStr">
        <is>
          <t>Clemson University Foundation</t>
        </is>
      </c>
      <c r="B177" t="inlineStr">
        <is>
          <t>570426335</t>
        </is>
      </c>
      <c r="C177" s="57" t="n">
        <v>1.321429441</v>
      </c>
      <c r="D177" s="57" t="n">
        <v>1.549370771</v>
      </c>
      <c r="E177" s="57" t="n">
        <v>1.240332</v>
      </c>
      <c r="F177" s="57" t="n">
        <v/>
      </c>
      <c r="G177" s="57" t="n">
        <v/>
      </c>
      <c r="H177" s="58" t="n">
        <v>1.24</v>
      </c>
      <c r="I177" s="50" t="inlineStr">
        <is>
          <t>NACUBO</t>
        </is>
      </c>
      <c r="J177" s="56" t="inlineStr">
        <is>
          <t>https://www.nacubo.org/research/2024-ncse-public-tables</t>
        </is>
      </c>
    </row>
    <row r="178">
      <c r="A178" s="56" t="inlineStr">
        <is>
          <t>1693 Partners Fund</t>
        </is>
      </c>
      <c r="B178" t="inlineStr">
        <is>
          <t>843505125</t>
        </is>
      </c>
      <c r="C178" s="57" t="n">
        <v>1.214021895</v>
      </c>
      <c r="D178" s="57" t="n">
        <v>1.215423011</v>
      </c>
      <c r="E178" s="57" t="n">
        <v/>
      </c>
      <c r="F178" s="57" t="n">
        <v/>
      </c>
      <c r="G178" s="57" t="n">
        <v/>
      </c>
      <c r="H178" s="58" t="n">
        <v>1.21</v>
      </c>
      <c r="I178" s="50" t="inlineStr">
        <is>
          <t>990 Investments</t>
        </is>
      </c>
      <c r="J178" s="56" t="inlineStr">
        <is>
          <t>https://projects.propublica.org/nonprofits/organizations/843505125</t>
        </is>
      </c>
    </row>
    <row r="179">
      <c r="A179" s="56" t="inlineStr">
        <is>
          <t>Beth Israel Deaconess Medical Center Inc</t>
        </is>
      </c>
      <c r="B179" t="inlineStr">
        <is>
          <t>042103881</t>
        </is>
      </c>
      <c r="C179" s="57" t="n">
        <v>1.209847914</v>
      </c>
      <c r="D179" s="57" t="n">
        <v>4.782351648</v>
      </c>
      <c r="E179" s="57" t="n">
        <v/>
      </c>
      <c r="F179" s="57" t="n">
        <v/>
      </c>
      <c r="G179" s="57" t="n">
        <v/>
      </c>
      <c r="H179" s="58" t="n">
        <v>1.21</v>
      </c>
      <c r="I179" s="50" t="inlineStr">
        <is>
          <t>990 Investments</t>
        </is>
      </c>
      <c r="J179" s="56" t="inlineStr">
        <is>
          <t>https://projects.propublica.org/nonprofits/organizations/042103881</t>
        </is>
      </c>
    </row>
    <row r="180">
      <c r="A180" s="56" t="inlineStr">
        <is>
          <t>Joyce Foundation</t>
        </is>
      </c>
      <c r="B180" t="inlineStr">
        <is>
          <t>366079185</t>
        </is>
      </c>
      <c r="C180" s="57" t="n">
        <v>1.290907058</v>
      </c>
      <c r="D180" s="57" t="n">
        <v>1.297079019</v>
      </c>
      <c r="E180" s="57" t="n">
        <v/>
      </c>
      <c r="F180" s="57" t="n">
        <v>1.213</v>
      </c>
      <c r="G180" s="57" t="n">
        <v/>
      </c>
      <c r="H180" s="58" t="n">
        <v>1.21</v>
      </c>
      <c r="I180" s="50" t="inlineStr">
        <is>
          <t>P&amp;I</t>
        </is>
      </c>
      <c r="J180" s="56" t="inlineStr">
        <is>
          <t>https://www.pionline.com/research-center/largest-endowments-foundations</t>
        </is>
      </c>
    </row>
    <row r="181">
      <c r="A181" s="56" t="inlineStr">
        <is>
          <t>Lafayette College</t>
        </is>
      </c>
      <c r="B181" t="inlineStr">
        <is>
          <t>240795686</t>
        </is>
      </c>
      <c r="C181" s="57" t="n">
        <v>1.306181137</v>
      </c>
      <c r="D181" s="57" t="n">
        <v>1.841384079</v>
      </c>
      <c r="E181" s="57" t="n">
        <v>1.200555</v>
      </c>
      <c r="F181" s="57" t="n">
        <v/>
      </c>
      <c r="G181" s="57" t="n">
        <v/>
      </c>
      <c r="H181" s="58" t="n">
        <v>1.2</v>
      </c>
      <c r="I181" s="50" t="inlineStr">
        <is>
          <t>NACUBO</t>
        </is>
      </c>
      <c r="J181" s="56" t="inlineStr">
        <is>
          <t>https://www.nacubo.org/research/2024-ncse-public-tables</t>
        </is>
      </c>
    </row>
    <row r="182">
      <c r="A182" s="56" t="inlineStr">
        <is>
          <t>Loyola University Of Chicago</t>
        </is>
      </c>
      <c r="B182" t="inlineStr">
        <is>
          <t>361408475</t>
        </is>
      </c>
      <c r="C182" s="57" t="n">
        <v>1.529796538</v>
      </c>
      <c r="D182" s="57" t="n">
        <v>2.65934241</v>
      </c>
      <c r="E182" s="57" t="n">
        <v>1.176972</v>
      </c>
      <c r="F182" s="57" t="n">
        <v/>
      </c>
      <c r="G182" s="57" t="n">
        <v/>
      </c>
      <c r="H182" s="58" t="n">
        <v>1.18</v>
      </c>
      <c r="I182" s="50" t="inlineStr">
        <is>
          <t>NACUBO</t>
        </is>
      </c>
      <c r="J182" s="56" t="inlineStr">
        <is>
          <t>https://www.nacubo.org/research/2024-ncse-public-tables</t>
        </is>
      </c>
    </row>
    <row r="183">
      <c r="A183" s="56" t="inlineStr">
        <is>
          <t>Trustees Of Mount Holyoke College</t>
        </is>
      </c>
      <c r="B183" t="inlineStr">
        <is>
          <t>042103578</t>
        </is>
      </c>
      <c r="C183" s="57" t="n">
        <v>1.268628694</v>
      </c>
      <c r="D183" s="57" t="n">
        <v>1.587140267</v>
      </c>
      <c r="E183" s="57" t="n">
        <v>1.180265</v>
      </c>
      <c r="F183" s="57" t="n">
        <v/>
      </c>
      <c r="G183" s="57" t="n">
        <v/>
      </c>
      <c r="H183" s="58" t="n">
        <v>1.18</v>
      </c>
      <c r="I183" s="50" t="inlineStr">
        <is>
          <t>NACUBO</t>
        </is>
      </c>
      <c r="J183" s="56" t="inlineStr">
        <is>
          <t>https://www.nacubo.org/research/2024-ncse-public-tables</t>
        </is>
      </c>
    </row>
    <row r="184">
      <c r="A184" s="56" t="inlineStr">
        <is>
          <t>Diana Davis Spencer Foundation</t>
        </is>
      </c>
      <c r="B184" t="inlineStr">
        <is>
          <t>203672969</t>
        </is>
      </c>
      <c r="C184" s="57" t="n">
        <v>1.343419135</v>
      </c>
      <c r="D184" s="57" t="n">
        <v>1.346829486</v>
      </c>
      <c r="E184" s="57" t="n">
        <v/>
      </c>
      <c r="F184" s="57" t="n">
        <v>1.165</v>
      </c>
      <c r="G184" s="57" t="n">
        <v/>
      </c>
      <c r="H184" s="58" t="n">
        <v>1.17</v>
      </c>
      <c r="I184" s="50" t="inlineStr">
        <is>
          <t>P&amp;I</t>
        </is>
      </c>
      <c r="J184" s="56" t="inlineStr">
        <is>
          <t>https://www.pionline.com/research-center/largest-endowments-foundations</t>
        </is>
      </c>
    </row>
    <row r="185">
      <c r="A185" s="56" t="inlineStr">
        <is>
          <t>President &amp; Trustees Of Colby College</t>
        </is>
      </c>
      <c r="B185" t="inlineStr">
        <is>
          <t>010211497</t>
        </is>
      </c>
      <c r="C185" s="57" t="n">
        <v>1.403673</v>
      </c>
      <c r="D185" s="57" t="n">
        <v>2.544594</v>
      </c>
      <c r="E185" s="57" t="n">
        <v>1.16</v>
      </c>
      <c r="F185" s="57" t="n">
        <v/>
      </c>
      <c r="G185" s="57" t="n">
        <v/>
      </c>
      <c r="H185" s="58" t="n">
        <v>1.16</v>
      </c>
      <c r="I185" s="50" t="inlineStr">
        <is>
          <t>NACUBO</t>
        </is>
      </c>
      <c r="J185" s="56" t="inlineStr">
        <is>
          <t>https://www.nacubo.org/research/2024-ncse-public-tables</t>
        </is>
      </c>
    </row>
    <row r="186">
      <c r="A186" s="56" t="inlineStr">
        <is>
          <t>Seattle Childrens Healthcare System</t>
        </is>
      </c>
      <c r="B186" t="inlineStr">
        <is>
          <t>911250116</t>
        </is>
      </c>
      <c r="C186" s="57" t="n">
        <v>1.161398969</v>
      </c>
      <c r="D186" s="57" t="n">
        <v>1.45899613</v>
      </c>
      <c r="E186" s="57" t="n">
        <v/>
      </c>
      <c r="F186" s="57" t="n">
        <v/>
      </c>
      <c r="G186" s="57" t="n">
        <v/>
      </c>
      <c r="H186" s="58" t="n">
        <v>1.16</v>
      </c>
      <c r="I186" s="50" t="inlineStr">
        <is>
          <t>990 Investments</t>
        </is>
      </c>
      <c r="J186" s="56" t="inlineStr">
        <is>
          <t>https://projects.propublica.org/nonprofits/organizations/911250116</t>
        </is>
      </c>
    </row>
    <row r="187">
      <c r="A187" s="56" t="inlineStr">
        <is>
          <t>The New York And Presbyterian Hospital</t>
        </is>
      </c>
      <c r="B187" t="inlineStr">
        <is>
          <t>133957095</t>
        </is>
      </c>
      <c r="C187" s="57" t="n">
        <v>1.140795409</v>
      </c>
      <c r="D187" s="57" t="n">
        <v>21.869325248</v>
      </c>
      <c r="E187" s="57" t="n">
        <v/>
      </c>
      <c r="F187" s="57" t="n">
        <v/>
      </c>
      <c r="G187" s="57" t="n">
        <v/>
      </c>
      <c r="H187" s="58" t="n">
        <v>1.14</v>
      </c>
      <c r="I187" s="50" t="inlineStr">
        <is>
          <t>990 Investments (understates)</t>
        </is>
      </c>
      <c r="J187" s="56" t="inlineStr">
        <is>
          <t>https://projects.propublica.org/nonprofits/organizations/133957095</t>
        </is>
      </c>
    </row>
    <row r="188">
      <c r="A188" s="56" t="inlineStr">
        <is>
          <t>Drexel University</t>
        </is>
      </c>
      <c r="B188" t="inlineStr">
        <is>
          <t>231352630</t>
        </is>
      </c>
      <c r="C188" s="57" t="n">
        <v>1.1072084</v>
      </c>
      <c r="D188" s="57" t="n">
        <v>2.938982871</v>
      </c>
      <c r="E188" s="57" t="n">
        <v>1.131987</v>
      </c>
      <c r="F188" s="57" t="n">
        <v/>
      </c>
      <c r="G188" s="57" t="n">
        <v/>
      </c>
      <c r="H188" s="58" t="n">
        <v>1.13</v>
      </c>
      <c r="I188" s="50" t="inlineStr">
        <is>
          <t>NACUBO</t>
        </is>
      </c>
      <c r="J188" s="56" t="inlineStr">
        <is>
          <t>https://www.nacubo.org/research/2024-ncse-public-tables</t>
        </is>
      </c>
    </row>
    <row r="189">
      <c r="A189" s="56" t="inlineStr">
        <is>
          <t>Marquette University</t>
        </is>
      </c>
      <c r="B189" t="inlineStr">
        <is>
          <t>390806251</t>
        </is>
      </c>
      <c r="C189" s="57" t="n">
        <v>1.180549851</v>
      </c>
      <c r="D189" s="57" t="n">
        <v>2.20193452</v>
      </c>
      <c r="E189" s="57" t="n">
        <v>1.131419</v>
      </c>
      <c r="F189" s="57" t="n">
        <v/>
      </c>
      <c r="G189" s="57" t="n">
        <v/>
      </c>
      <c r="H189" s="58" t="n">
        <v>1.13</v>
      </c>
      <c r="I189" s="50" t="inlineStr">
        <is>
          <t>NACUBO</t>
        </is>
      </c>
      <c r="J189" s="56" t="inlineStr">
        <is>
          <t>https://www.nacubo.org/research/2024-ncse-public-tables</t>
        </is>
      </c>
    </row>
    <row r="190">
      <c r="A190" s="56" t="inlineStr">
        <is>
          <t>Communities Foundation Of Texas</t>
        </is>
      </c>
      <c r="B190" t="inlineStr">
        <is>
          <t>750964565</t>
        </is>
      </c>
      <c r="C190" s="57" t="n">
        <v>1.100529192</v>
      </c>
      <c r="D190" s="57" t="n">
        <v>1.168653123</v>
      </c>
      <c r="E190" s="57" t="n">
        <v/>
      </c>
      <c r="F190" s="57" t="n">
        <v/>
      </c>
      <c r="G190" s="57" t="n">
        <v/>
      </c>
      <c r="H190" s="58" t="n">
        <v>1.1</v>
      </c>
      <c r="I190" s="50" t="inlineStr">
        <is>
          <t>990 Investments</t>
        </is>
      </c>
      <c r="J190" s="56" t="inlineStr">
        <is>
          <t>https://projects.propublica.org/nonprofits/organizations/750964565</t>
        </is>
      </c>
    </row>
    <row r="191">
      <c r="A191" s="56" t="inlineStr">
        <is>
          <t>Denison University</t>
        </is>
      </c>
      <c r="B191" t="inlineStr">
        <is>
          <t>314379459</t>
        </is>
      </c>
      <c r="C191" s="57" t="n">
        <v>1.173716343</v>
      </c>
      <c r="D191" s="57" t="n">
        <v>1.648068533</v>
      </c>
      <c r="E191" s="57" t="n">
        <v>1.104366</v>
      </c>
      <c r="F191" s="57" t="n">
        <v/>
      </c>
      <c r="G191" s="57" t="n">
        <v/>
      </c>
      <c r="H191" s="58" t="n">
        <v>1.1</v>
      </c>
      <c r="I191" s="50" t="inlineStr">
        <is>
          <t>NACUBO</t>
        </is>
      </c>
      <c r="J191" s="56" t="inlineStr">
        <is>
          <t>https://www.nacubo.org/research/2024-ncse-public-tables</t>
        </is>
      </c>
    </row>
    <row r="192">
      <c r="A192" s="56" t="inlineStr">
        <is>
          <t>Moses H Cone Memorial Hospital</t>
        </is>
      </c>
      <c r="B192" t="inlineStr">
        <is>
          <t>560532302</t>
        </is>
      </c>
      <c r="C192" s="57" t="n">
        <v>1.066124493</v>
      </c>
      <c r="D192" s="57" t="n">
        <v>2.174038059</v>
      </c>
      <c r="E192" s="57" t="n">
        <v/>
      </c>
      <c r="F192" s="57" t="n">
        <v/>
      </c>
      <c r="G192" s="57" t="n">
        <v/>
      </c>
      <c r="H192" s="58" t="n">
        <v>1.07</v>
      </c>
      <c r="I192" s="50" t="inlineStr">
        <is>
          <t>990 Investments</t>
        </is>
      </c>
      <c r="J192" s="56" t="inlineStr">
        <is>
          <t>https://projects.propublica.org/nonprofits/organizations/560532302</t>
        </is>
      </c>
    </row>
    <row r="193">
      <c r="A193" s="56" t="inlineStr">
        <is>
          <t>Dennis R Washington Foundation Inc</t>
        </is>
      </c>
      <c r="B193" t="inlineStr">
        <is>
          <t>363606913</t>
        </is>
      </c>
      <c r="C193" s="57" t="n">
        <v>1.064141218</v>
      </c>
      <c r="D193" s="57" t="n">
        <v>1.065856949</v>
      </c>
      <c r="E193" s="57" t="n">
        <v/>
      </c>
      <c r="F193" s="57" t="n">
        <v/>
      </c>
      <c r="G193" s="57" t="n">
        <v/>
      </c>
      <c r="H193" s="58" t="n">
        <v>1.06</v>
      </c>
      <c r="I193" s="50" t="inlineStr">
        <is>
          <t>990 Investments</t>
        </is>
      </c>
      <c r="J193" s="56" t="inlineStr">
        <is>
          <t>https://projects.propublica.org/nonprofits/organizations/363606913</t>
        </is>
      </c>
    </row>
    <row r="194">
      <c r="A194" s="56" t="inlineStr">
        <is>
          <t>Fordham University</t>
        </is>
      </c>
      <c r="B194" t="inlineStr">
        <is>
          <t>131740451</t>
        </is>
      </c>
      <c r="C194" s="57" t="n">
        <v>1.080080405</v>
      </c>
      <c r="D194" s="57" t="n">
        <v>2.586282259</v>
      </c>
      <c r="E194" s="57" t="n">
        <v>1.054037</v>
      </c>
      <c r="F194" s="57" t="n">
        <v/>
      </c>
      <c r="G194" s="57" t="n">
        <v/>
      </c>
      <c r="H194" s="58" t="n">
        <v>1.05</v>
      </c>
      <c r="I194" s="50" t="inlineStr">
        <is>
          <t>NACUBO</t>
        </is>
      </c>
      <c r="J194" s="56" t="inlineStr">
        <is>
          <t>https://www.nacubo.org/research/2024-ncse-public-tables</t>
        </is>
      </c>
    </row>
    <row r="195">
      <c r="A195" s="56" t="inlineStr">
        <is>
          <t>Rainwater Charitable Foundation</t>
        </is>
      </c>
      <c r="B195" t="inlineStr">
        <is>
          <t>800870036</t>
        </is>
      </c>
      <c r="C195" s="57" t="n">
        <v>1.162615213</v>
      </c>
      <c r="D195" s="57" t="n">
        <v>1.164718994</v>
      </c>
      <c r="E195" s="57" t="n">
        <v/>
      </c>
      <c r="F195" s="57" t="n">
        <v>1.03</v>
      </c>
      <c r="G195" s="57" t="n">
        <v/>
      </c>
      <c r="H195" s="58" t="n">
        <v>1.03</v>
      </c>
      <c r="I195" s="50" t="inlineStr">
        <is>
          <t>P&amp;I</t>
        </is>
      </c>
      <c r="J195" s="56" t="inlineStr">
        <is>
          <t>https://www.pionline.com/research-center/largest-endowments-foundations</t>
        </is>
      </c>
    </row>
    <row r="196">
      <c r="A196" s="56" t="inlineStr">
        <is>
          <t>University Of Mississippi Foundation</t>
        </is>
      </c>
      <c r="B196" t="inlineStr">
        <is>
          <t>237310293</t>
        </is>
      </c>
      <c r="C196" s="57" t="n">
        <v>0.80853176</v>
      </c>
      <c r="D196" s="57" t="n">
        <v>0.935677223</v>
      </c>
      <c r="E196" s="57" t="n">
        <v>1.000326</v>
      </c>
      <c r="F196" s="57" t="n">
        <v/>
      </c>
      <c r="G196" s="57" t="n">
        <v/>
      </c>
      <c r="H196" s="58" t="n">
        <v>1</v>
      </c>
      <c r="I196" s="50" t="inlineStr">
        <is>
          <t>NACUBO</t>
        </is>
      </c>
      <c r="J196" s="56" t="inlineStr">
        <is>
          <t>https://www.nacubo.org/research/2024-ncse-public-tables</t>
        </is>
      </c>
    </row>
    <row r="197">
      <c r="A197" s="56" t="inlineStr">
        <is>
          <t>Carnegie Institution Of Washington</t>
        </is>
      </c>
      <c r="B197" t="inlineStr">
        <is>
          <t>530196523</t>
        </is>
      </c>
      <c r="C197" s="57" t="n">
        <v>1.100944565</v>
      </c>
      <c r="D197" s="57" t="n">
        <v>1.340795229</v>
      </c>
      <c r="E197" s="57" t="n">
        <v>0.985502</v>
      </c>
      <c r="F197" s="57" t="n">
        <v/>
      </c>
      <c r="G197" s="57" t="n">
        <v/>
      </c>
      <c r="H197" s="58" t="n">
        <v>0.99</v>
      </c>
      <c r="I197" s="50" t="inlineStr">
        <is>
          <t>NACUBO</t>
        </is>
      </c>
      <c r="J197" s="56" t="inlineStr">
        <is>
          <t>https://www.nacubo.org/research/2024-ncse-public-tables</t>
        </is>
      </c>
    </row>
    <row r="198">
      <c r="A198" s="56" t="inlineStr">
        <is>
          <t>Principia Corporation</t>
        </is>
      </c>
      <c r="B198" t="inlineStr">
        <is>
          <t>430652667</t>
        </is>
      </c>
      <c r="C198" s="57" t="n">
        <v>1.061782056</v>
      </c>
      <c r="D198" s="57" t="n">
        <v>1.286700453</v>
      </c>
      <c r="E198" s="57" t="n">
        <v>0.9633620000000001</v>
      </c>
      <c r="F198" s="57" t="n">
        <v/>
      </c>
      <c r="G198" s="57" t="n">
        <v/>
      </c>
      <c r="H198" s="58" t="n">
        <v>0.96</v>
      </c>
      <c r="I198" s="50" t="inlineStr">
        <is>
          <t>NACUBO</t>
        </is>
      </c>
      <c r="J198" s="56" t="inlineStr">
        <is>
          <t>https://www.nacubo.org/research/2024-ncse-public-tables</t>
        </is>
      </c>
    </row>
    <row r="199">
      <c r="A199" s="56" t="inlineStr">
        <is>
          <t>Lynde And Harry Bradley Foundation Inc</t>
        </is>
      </c>
      <c r="B199" t="inlineStr">
        <is>
          <t>396037928</t>
        </is>
      </c>
      <c r="C199" s="57" t="n">
        <v>0.988339169</v>
      </c>
      <c r="D199" s="57" t="n">
        <v>0.993446884</v>
      </c>
      <c r="E199" s="57" t="n">
        <v/>
      </c>
      <c r="F199" s="57" t="n">
        <v>0.947</v>
      </c>
      <c r="G199" s="57" t="n">
        <v/>
      </c>
      <c r="H199" s="58" t="n">
        <v>0.95</v>
      </c>
      <c r="I199" s="50" t="inlineStr">
        <is>
          <t>P&amp;I</t>
        </is>
      </c>
      <c r="J199" s="56" t="inlineStr">
        <is>
          <t>https://www.pionline.com/research-center/largest-endowments-foundations</t>
        </is>
      </c>
    </row>
    <row r="200">
      <c r="A200" s="56" t="inlineStr">
        <is>
          <t>Sherman Fairchild Foundation Inc</t>
        </is>
      </c>
      <c r="B200" t="inlineStr">
        <is>
          <t>131951698</t>
        </is>
      </c>
      <c r="C200" s="57" t="n">
        <v>1.089665945</v>
      </c>
      <c r="D200" s="57" t="n">
        <v>1.092089078</v>
      </c>
      <c r="E200" s="57" t="n">
        <v/>
      </c>
      <c r="F200" s="57" t="n">
        <v>0.949</v>
      </c>
      <c r="G200" s="57" t="n">
        <v/>
      </c>
      <c r="H200" s="58" t="n">
        <v>0.95</v>
      </c>
      <c r="I200" s="50" t="inlineStr">
        <is>
          <t>P&amp;I</t>
        </is>
      </c>
      <c r="J200" s="56" t="inlineStr">
        <is>
          <t>https://www.pionline.com/research-center/largest-endowments-foundations</t>
        </is>
      </c>
    </row>
    <row r="201">
      <c r="A201" s="56" t="inlineStr">
        <is>
          <t>University Of Dayton</t>
        </is>
      </c>
      <c r="B201" t="inlineStr">
        <is>
          <t>310536715</t>
        </is>
      </c>
      <c r="C201" s="57" t="n">
        <v>1.345825971</v>
      </c>
      <c r="D201" s="57" t="n">
        <v>2.285322584</v>
      </c>
      <c r="E201" s="57" t="n">
        <v>0.938712</v>
      </c>
      <c r="F201" s="57" t="n">
        <v/>
      </c>
      <c r="G201" s="57" t="n">
        <v/>
      </c>
      <c r="H201" s="58" t="n">
        <v>0.9399999999999999</v>
      </c>
      <c r="I201" s="50" t="inlineStr">
        <is>
          <t>NACUBO</t>
        </is>
      </c>
      <c r="J201" s="56" t="inlineStr">
        <is>
          <t>https://www.nacubo.org/research/2024-ncse-public-tables</t>
        </is>
      </c>
    </row>
    <row r="202">
      <c r="A202" s="56" t="inlineStr">
        <is>
          <t>Chapman University</t>
        </is>
      </c>
      <c r="B202" t="inlineStr">
        <is>
          <t>951643992</t>
        </is>
      </c>
      <c r="C202" s="57" t="n">
        <v>1.060656937</v>
      </c>
      <c r="D202" s="57" t="n">
        <v>2.373586868</v>
      </c>
      <c r="E202" s="57" t="n">
        <v>0.929386</v>
      </c>
      <c r="F202" s="57" t="n">
        <v/>
      </c>
      <c r="G202" s="57" t="n">
        <v/>
      </c>
      <c r="H202" s="58" t="n">
        <v>0.93</v>
      </c>
      <c r="I202" s="50" t="inlineStr">
        <is>
          <t>NACUBO</t>
        </is>
      </c>
      <c r="J202" s="56" t="inlineStr">
        <is>
          <t>https://www.nacubo.org/research/2024-ncse-public-tables</t>
        </is>
      </c>
    </row>
    <row r="203">
      <c r="A203" s="56" t="inlineStr">
        <is>
          <t>Rush University Medical Center</t>
        </is>
      </c>
      <c r="B203" t="inlineStr">
        <is>
          <t>362174823</t>
        </is>
      </c>
      <c r="C203" s="57" t="n">
        <v>2.612797471</v>
      </c>
      <c r="D203" s="57" t="n">
        <v>5.230553562</v>
      </c>
      <c r="E203" s="57" t="n">
        <v>0.929061</v>
      </c>
      <c r="F203" s="57" t="n">
        <v/>
      </c>
      <c r="G203" s="57" t="n">
        <v/>
      </c>
      <c r="H203" s="58" t="n">
        <v>0.93</v>
      </c>
      <c r="I203" s="50" t="inlineStr">
        <is>
          <t>NACUBO</t>
        </is>
      </c>
      <c r="J203" s="56" t="inlineStr">
        <is>
          <t>https://www.nacubo.org/research/2024-ncse-public-tables</t>
        </is>
      </c>
    </row>
    <row r="204">
      <c r="A204" s="56" t="inlineStr">
        <is>
          <t>Macalester College</t>
        </is>
      </c>
      <c r="B204" t="inlineStr">
        <is>
          <t>410693962</t>
        </is>
      </c>
      <c r="C204" s="57" t="n">
        <v>0.93486502</v>
      </c>
      <c r="D204" s="57" t="n">
        <v>1.20464955</v>
      </c>
      <c r="E204" s="57" t="n">
        <v>0.921588</v>
      </c>
      <c r="F204" s="57" t="n">
        <v/>
      </c>
      <c r="G204" s="57" t="n">
        <v/>
      </c>
      <c r="H204" s="58" t="n">
        <v>0.92</v>
      </c>
      <c r="I204" s="50" t="inlineStr">
        <is>
          <t>NACUBO</t>
        </is>
      </c>
      <c r="J204" s="56" t="inlineStr">
        <is>
          <t>https://www.nacubo.org/research/2024-ncse-public-tables</t>
        </is>
      </c>
    </row>
    <row r="205">
      <c r="A205" s="56" t="inlineStr">
        <is>
          <t>Ghr Foundation</t>
        </is>
      </c>
      <c r="B205" t="inlineStr">
        <is>
          <t>453996122</t>
        </is>
      </c>
      <c r="C205" s="57" t="n">
        <v>1.053599269</v>
      </c>
      <c r="D205" s="57" t="n">
        <v>1.139152221</v>
      </c>
      <c r="E205" s="57" t="n">
        <v/>
      </c>
      <c r="F205" s="57" t="n">
        <v>0.906</v>
      </c>
      <c r="G205" s="57" t="n">
        <v/>
      </c>
      <c r="H205" s="58" t="n">
        <v>0.91</v>
      </c>
      <c r="I205" s="50" t="inlineStr">
        <is>
          <t>P&amp;I</t>
        </is>
      </c>
      <c r="J205" s="56" t="inlineStr">
        <is>
          <t>https://www.pionline.com/research-center/largest-endowments-foundations</t>
        </is>
      </c>
    </row>
    <row r="206">
      <c r="A206" s="56" t="inlineStr">
        <is>
          <t>Kansas State University Foundation</t>
        </is>
      </c>
      <c r="B206" t="inlineStr">
        <is>
          <t>480667209</t>
        </is>
      </c>
      <c r="C206" s="57" t="n">
        <v>1.249710593</v>
      </c>
      <c r="D206" s="57" t="n">
        <v>1.517758764</v>
      </c>
      <c r="E206" s="57" t="n">
        <v>0.9022</v>
      </c>
      <c r="F206" s="57" t="n">
        <v>1.019</v>
      </c>
      <c r="G206" s="57" t="n">
        <v/>
      </c>
      <c r="H206" s="58" t="n">
        <v>0.9</v>
      </c>
      <c r="I206" s="50" t="inlineStr">
        <is>
          <t>NACUBO</t>
        </is>
      </c>
      <c r="J206" s="56" t="inlineStr">
        <is>
          <t>https://www.nacubo.org/research/2024-ncse-public-tables</t>
        </is>
      </c>
    </row>
    <row r="207">
      <c r="A207" s="56" t="inlineStr">
        <is>
          <t>Abilene Christian University</t>
        </is>
      </c>
      <c r="B207" t="inlineStr">
        <is>
          <t>750851900</t>
        </is>
      </c>
      <c r="C207" s="57" t="n">
        <v>0.751152682</v>
      </c>
      <c r="D207" s="57" t="n">
        <v>1.440786332</v>
      </c>
      <c r="E207" s="57" t="n">
        <v>0.8858780000000001</v>
      </c>
      <c r="F207" s="57" t="n">
        <v/>
      </c>
      <c r="G207" s="57" t="n">
        <v/>
      </c>
      <c r="H207" s="58" t="n">
        <v>0.89</v>
      </c>
      <c r="I207" s="50" t="inlineStr">
        <is>
          <t>NACUBO</t>
        </is>
      </c>
      <c r="J207" s="56" t="inlineStr">
        <is>
          <t>https://www.nacubo.org/research/2024-ncse-public-tables</t>
        </is>
      </c>
    </row>
    <row r="208">
      <c r="A208" s="56" t="inlineStr">
        <is>
          <t>Furman University</t>
        </is>
      </c>
      <c r="B208" t="inlineStr">
        <is>
          <t>570314395</t>
        </is>
      </c>
      <c r="C208" s="57" t="n">
        <v>0.794194618</v>
      </c>
      <c r="D208" s="57" t="n">
        <v>1.449547125</v>
      </c>
      <c r="E208" s="57" t="n">
        <v>0.885535</v>
      </c>
      <c r="F208" s="57" t="n">
        <v/>
      </c>
      <c r="G208" s="57" t="n">
        <v/>
      </c>
      <c r="H208" s="58" t="n">
        <v>0.89</v>
      </c>
      <c r="I208" s="50" t="inlineStr">
        <is>
          <t>NACUBO</t>
        </is>
      </c>
      <c r="J208" s="56" t="inlineStr">
        <is>
          <t>https://www.nacubo.org/research/2024-ncse-public-tables</t>
        </is>
      </c>
    </row>
    <row r="209">
      <c r="A209" s="56" t="inlineStr">
        <is>
          <t>Meyer Memorial Trust</t>
        </is>
      </c>
      <c r="B209" t="inlineStr">
        <is>
          <t>930806316</t>
        </is>
      </c>
      <c r="C209" s="57" t="n">
        <v>0.877087511</v>
      </c>
      <c r="D209" s="57" t="n">
        <v>0.901210834</v>
      </c>
      <c r="E209" s="57" t="n">
        <v/>
      </c>
      <c r="F209" s="57" t="n">
        <v/>
      </c>
      <c r="G209" s="57" t="n">
        <v/>
      </c>
      <c r="H209" s="58" t="n">
        <v>0.88</v>
      </c>
      <c r="I209" s="50" t="inlineStr">
        <is>
          <t>990 Investments</t>
        </is>
      </c>
      <c r="J209" s="56" t="inlineStr">
        <is>
          <t>https://projects.propublica.org/nonprofits/organizations/930806316</t>
        </is>
      </c>
    </row>
    <row r="210">
      <c r="A210" s="56" t="inlineStr">
        <is>
          <t>Reed Institute</t>
        </is>
      </c>
      <c r="B210" t="inlineStr">
        <is>
          <t>930386908</t>
        </is>
      </c>
      <c r="C210" s="57" t="n">
        <v>1.009772115</v>
      </c>
      <c r="D210" s="57" t="n">
        <v>1.2184201</v>
      </c>
      <c r="E210" s="57" t="n">
        <v>0.87683</v>
      </c>
      <c r="F210" s="57" t="n">
        <v/>
      </c>
      <c r="G210" s="57" t="n">
        <v/>
      </c>
      <c r="H210" s="58" t="n">
        <v>0.88</v>
      </c>
      <c r="I210" s="50" t="inlineStr">
        <is>
          <t>NACUBO</t>
        </is>
      </c>
      <c r="J210" s="56" t="inlineStr">
        <is>
          <t>https://www.nacubo.org/research/2024-ncse-public-tables</t>
        </is>
      </c>
    </row>
    <row r="211">
      <c r="A211" s="56" t="inlineStr">
        <is>
          <t>St Olaf College</t>
        </is>
      </c>
      <c r="B211" t="inlineStr">
        <is>
          <t>410693979</t>
        </is>
      </c>
      <c r="C211" s="57" t="n">
        <v>0.8853499500000001</v>
      </c>
      <c r="D211" s="57" t="n">
        <v>1.238766221</v>
      </c>
      <c r="E211" s="57" t="n">
        <v>0.881565</v>
      </c>
      <c r="F211" s="57" t="n">
        <v/>
      </c>
      <c r="G211" s="57" t="n">
        <v/>
      </c>
      <c r="H211" s="58" t="n">
        <v>0.88</v>
      </c>
      <c r="I211" s="50" t="inlineStr">
        <is>
          <t>NACUBO</t>
        </is>
      </c>
      <c r="J211" s="56" t="inlineStr">
        <is>
          <t>https://www.nacubo.org/research/2024-ncse-public-tables</t>
        </is>
      </c>
    </row>
    <row r="212">
      <c r="A212" s="56" t="inlineStr">
        <is>
          <t>University Of Wyoming Foundation</t>
        </is>
      </c>
      <c r="B212" t="inlineStr">
        <is>
          <t>830201971</t>
        </is>
      </c>
      <c r="C212" s="57" t="n">
        <v>1.001534239</v>
      </c>
      <c r="D212" s="57" t="n">
        <v>1.05598712</v>
      </c>
      <c r="E212" s="57" t="n">
        <v>0.879531</v>
      </c>
      <c r="F212" s="57" t="n">
        <v/>
      </c>
      <c r="G212" s="57" t="n">
        <v/>
      </c>
      <c r="H212" s="58" t="n">
        <v>0.88</v>
      </c>
      <c r="I212" s="50" t="inlineStr">
        <is>
          <t>NACUBO</t>
        </is>
      </c>
      <c r="J212" s="56" t="inlineStr">
        <is>
          <t>https://www.nacubo.org/research/2024-ncse-public-tables</t>
        </is>
      </c>
    </row>
    <row r="213">
      <c r="A213" s="56" t="inlineStr">
        <is>
          <t>William Randolph Hearst Foundation</t>
        </is>
      </c>
      <c r="B213" t="inlineStr">
        <is>
          <t>136019226</t>
        </is>
      </c>
      <c r="C213" s="57" t="n">
        <v>0.940419993</v>
      </c>
      <c r="D213" s="57" t="n">
        <v>0.94265959</v>
      </c>
      <c r="E213" s="57" t="n">
        <v/>
      </c>
      <c r="F213" s="57" t="n">
        <v>0.841</v>
      </c>
      <c r="G213" s="57" t="n">
        <v/>
      </c>
      <c r="H213" s="58" t="n">
        <v>0.84</v>
      </c>
      <c r="I213" s="50" t="inlineStr">
        <is>
          <t>P&amp;I</t>
        </is>
      </c>
      <c r="J213" s="56" t="inlineStr">
        <is>
          <t>https://www.pionline.com/research-center/largest-endowments-foundations</t>
        </is>
      </c>
    </row>
    <row r="214">
      <c r="A214" s="56" t="inlineStr">
        <is>
          <t>Duquesne University Of The Holy Spirit</t>
        </is>
      </c>
      <c r="B214" t="inlineStr">
        <is>
          <t>251035663</t>
        </is>
      </c>
      <c r="C214" s="57" t="n">
        <v>0.8255334519999999</v>
      </c>
      <c r="D214" s="57" t="n">
        <v>1.256472249</v>
      </c>
      <c r="E214" s="57" t="n">
        <v/>
      </c>
      <c r="F214" s="57" t="n">
        <v/>
      </c>
      <c r="G214" s="57" t="n">
        <v/>
      </c>
      <c r="H214" s="58" t="n">
        <v>0.83</v>
      </c>
      <c r="I214" s="50" t="inlineStr">
        <is>
          <t>990 Investments</t>
        </is>
      </c>
      <c r="J214" s="56" t="inlineStr">
        <is>
          <t>https://projects.propublica.org/nonprofits/organizations/251035663</t>
        </is>
      </c>
    </row>
    <row r="215">
      <c r="A215" s="56" t="inlineStr">
        <is>
          <t>Marguerite Casey Foundation</t>
        </is>
      </c>
      <c r="B215" t="inlineStr">
        <is>
          <t>912062197</t>
        </is>
      </c>
      <c r="C215" s="57" t="n">
        <v>0.862701544</v>
      </c>
      <c r="D215" s="57" t="n">
        <v>0.876630272</v>
      </c>
      <c r="E215" s="57" t="n">
        <v/>
      </c>
      <c r="F215" s="57" t="n">
        <v>0.83</v>
      </c>
      <c r="G215" s="57" t="n">
        <v/>
      </c>
      <c r="H215" s="58" t="n">
        <v>0.83</v>
      </c>
      <c r="I215" s="50" t="inlineStr">
        <is>
          <t>P&amp;I</t>
        </is>
      </c>
      <c r="J215" s="56" t="inlineStr">
        <is>
          <t>https://www.pionline.com/research-center/largest-endowments-foundations</t>
        </is>
      </c>
    </row>
    <row r="216">
      <c r="A216" s="56" t="inlineStr">
        <is>
          <t>American Institutes For Research In The Behavioral Sciences</t>
        </is>
      </c>
      <c r="B216" t="inlineStr">
        <is>
          <t>250965219</t>
        </is>
      </c>
      <c r="C216" s="57" t="n">
        <v>0.823459609</v>
      </c>
      <c r="D216" s="57" t="n">
        <v>1.05862177</v>
      </c>
      <c r="E216" s="57" t="n">
        <v/>
      </c>
      <c r="F216" s="57" t="n">
        <v/>
      </c>
      <c r="G216" s="57" t="n">
        <v/>
      </c>
      <c r="H216" s="58" t="n">
        <v>0.82</v>
      </c>
      <c r="I216" s="50" t="inlineStr">
        <is>
          <t>990 Investments</t>
        </is>
      </c>
      <c r="J216" s="56" t="inlineStr">
        <is>
          <t>https://projects.propublica.org/nonprofits/organizations/250965219</t>
        </is>
      </c>
    </row>
    <row r="217">
      <c r="A217" s="56" t="inlineStr">
        <is>
          <t>Dan L Duncan Family Foundation</t>
        </is>
      </c>
      <c r="B217" t="inlineStr">
        <is>
          <t>200265572</t>
        </is>
      </c>
      <c r="C217" s="57" t="n">
        <v>0.87706791</v>
      </c>
      <c r="D217" s="57" t="n">
        <v>0.87859613</v>
      </c>
      <c r="E217" s="57" t="n">
        <v/>
      </c>
      <c r="F217" s="57" t="n">
        <v>0.82</v>
      </c>
      <c r="G217" s="57" t="n">
        <v/>
      </c>
      <c r="H217" s="58" t="n">
        <v>0.82</v>
      </c>
      <c r="I217" s="50" t="inlineStr">
        <is>
          <t>P&amp;I</t>
        </is>
      </c>
      <c r="J217" s="56" t="inlineStr">
        <is>
          <t>https://www.pionline.com/research-center/largest-endowments-foundations</t>
        </is>
      </c>
    </row>
    <row r="218">
      <c r="A218" s="56" t="inlineStr">
        <is>
          <t>The Heinz Endowments</t>
        </is>
      </c>
      <c r="B218" t="inlineStr">
        <is>
          <t>251721100</t>
        </is>
      </c>
      <c r="C218" s="57" t="n">
        <v>0.810987637</v>
      </c>
      <c r="D218" s="57" t="n">
        <v>2.130567687</v>
      </c>
      <c r="E218" s="57" t="n">
        <v/>
      </c>
      <c r="F218" s="57" t="n">
        <v>0.801</v>
      </c>
      <c r="G218" s="57" t="n">
        <v/>
      </c>
      <c r="H218" s="58" t="n">
        <v>0.8</v>
      </c>
      <c r="I218" s="50" t="inlineStr">
        <is>
          <t>P&amp;I</t>
        </is>
      </c>
      <c r="J218" s="56" t="inlineStr">
        <is>
          <t>https://www.pionline.com/research-center/largest-endowments-foundations</t>
        </is>
      </c>
    </row>
    <row r="219">
      <c r="A219" s="56" t="inlineStr">
        <is>
          <t>Sobrato Family Foundation</t>
        </is>
      </c>
      <c r="B219" t="inlineStr">
        <is>
          <t>770348912</t>
        </is>
      </c>
      <c r="C219" s="57" t="n">
        <v>0.815655707</v>
      </c>
      <c r="D219" s="57" t="n">
        <v>0.90452566</v>
      </c>
      <c r="E219" s="57" t="n">
        <v/>
      </c>
      <c r="F219" s="57" t="n">
        <v>0.79</v>
      </c>
      <c r="G219" s="57" t="n">
        <v/>
      </c>
      <c r="H219" s="58" t="n">
        <v>0.79</v>
      </c>
      <c r="I219" s="50" t="inlineStr">
        <is>
          <t>P&amp;I</t>
        </is>
      </c>
      <c r="J219" s="56" t="inlineStr">
        <is>
          <t>https://www.pionline.com/research-center/largest-endowments-foundations</t>
        </is>
      </c>
    </row>
    <row r="220">
      <c r="A220" s="56" t="inlineStr">
        <is>
          <t>University Of St Thomas</t>
        </is>
      </c>
      <c r="B220" t="inlineStr">
        <is>
          <t>410693970</t>
        </is>
      </c>
      <c r="C220" s="57" t="n">
        <v>1.086811573</v>
      </c>
      <c r="D220" s="57" t="n">
        <v>2.045501747</v>
      </c>
      <c r="E220" s="57" t="n">
        <v>0.788397</v>
      </c>
      <c r="F220" s="57" t="n">
        <v/>
      </c>
      <c r="G220" s="57" t="n">
        <v/>
      </c>
      <c r="H220" s="58" t="n">
        <v>0.79</v>
      </c>
      <c r="I220" s="50" t="inlineStr">
        <is>
          <t>NACUBO</t>
        </is>
      </c>
      <c r="J220" s="56" t="inlineStr">
        <is>
          <t>https://www.nacubo.org/research/2024-ncse-public-tables</t>
        </is>
      </c>
    </row>
    <row r="221">
      <c r="A221" s="56" t="inlineStr">
        <is>
          <t>Ahimsa Foundation</t>
        </is>
      </c>
      <c r="B221" t="inlineStr">
        <is>
          <t>852700743</t>
        </is>
      </c>
      <c r="C221" s="57" t="n">
        <v>0.774138863</v>
      </c>
      <c r="D221" s="57" t="n">
        <v>1.067518678</v>
      </c>
      <c r="E221" s="57" t="n">
        <v/>
      </c>
      <c r="F221" s="57" t="n">
        <v>0.772</v>
      </c>
      <c r="G221" s="57" t="n">
        <v/>
      </c>
      <c r="H221" s="58" t="n">
        <v>0.77</v>
      </c>
      <c r="I221" s="50" t="inlineStr">
        <is>
          <t>P&amp;I</t>
        </is>
      </c>
      <c r="J221" s="56" t="inlineStr">
        <is>
          <t>https://www.pionline.com/research-center/largest-endowments-foundations</t>
        </is>
      </c>
    </row>
    <row r="222">
      <c r="A222" s="56" t="inlineStr">
        <is>
          <t>Corporate America Credit Union</t>
        </is>
      </c>
      <c r="B222" t="inlineStr">
        <is>
          <t>630826485</t>
        </is>
      </c>
      <c r="C222" s="57" t="n">
        <v>0.765155208</v>
      </c>
      <c r="D222" s="57" t="n">
        <v>4.603930665</v>
      </c>
      <c r="E222" s="57" t="n">
        <v/>
      </c>
      <c r="F222" s="57" t="n">
        <v/>
      </c>
      <c r="G222" s="57" t="n">
        <v/>
      </c>
      <c r="H222" s="58" t="n">
        <v>0.77</v>
      </c>
      <c r="I222" s="50" t="inlineStr">
        <is>
          <t>990 Investments</t>
        </is>
      </c>
      <c r="J222" s="56" t="inlineStr">
        <is>
          <t>https://projects.propublica.org/nonprofits/organizations/630826485</t>
        </is>
      </c>
    </row>
    <row r="223">
      <c r="A223" s="56" t="inlineStr">
        <is>
          <t>Corporation Of Haverford College</t>
        </is>
      </c>
      <c r="B223" t="inlineStr">
        <is>
          <t>236002304</t>
        </is>
      </c>
      <c r="C223" s="57" t="n">
        <v>0.792931746</v>
      </c>
      <c r="D223" s="57" t="n">
        <v>1.013785824</v>
      </c>
      <c r="E223" s="57" t="n">
        <v>0.755248</v>
      </c>
      <c r="F223" s="57" t="n">
        <v/>
      </c>
      <c r="G223" s="57" t="n">
        <v/>
      </c>
      <c r="H223" s="58" t="n">
        <v>0.76</v>
      </c>
      <c r="I223" s="50" t="inlineStr">
        <is>
          <t>NACUBO</t>
        </is>
      </c>
      <c r="J223" s="56" t="inlineStr">
        <is>
          <t>https://www.nacubo.org/research/2024-ncse-public-tables</t>
        </is>
      </c>
    </row>
    <row r="224">
      <c r="A224" s="56" t="inlineStr">
        <is>
          <t>Cyrus Tang Foundation</t>
        </is>
      </c>
      <c r="B224" t="inlineStr">
        <is>
          <t>880361180</t>
        </is>
      </c>
      <c r="C224" s="57" t="n">
        <v>1.08436</v>
      </c>
      <c r="D224" s="57" t="n">
        <v>1.105363398</v>
      </c>
      <c r="E224" s="57" t="n">
        <v/>
      </c>
      <c r="F224" s="57" t="n">
        <v>0.763</v>
      </c>
      <c r="G224" s="57" t="n">
        <v/>
      </c>
      <c r="H224" s="58" t="n">
        <v>0.76</v>
      </c>
      <c r="I224" s="50" t="inlineStr">
        <is>
          <t>P&amp;I</t>
        </is>
      </c>
      <c r="J224" s="56" t="inlineStr">
        <is>
          <t>https://www.pionline.com/research-center/largest-endowments-foundations</t>
        </is>
      </c>
    </row>
    <row r="225">
      <c r="A225" s="56" t="inlineStr">
        <is>
          <t>University Of South Carolina Educational Foundation</t>
        </is>
      </c>
      <c r="B225" t="inlineStr">
        <is>
          <t>576017985</t>
        </is>
      </c>
      <c r="C225" s="57" t="n">
        <v>0.738753278</v>
      </c>
      <c r="D225" s="57" t="n">
        <v>0.856929284</v>
      </c>
      <c r="E225" s="57" t="n">
        <v/>
      </c>
      <c r="F225" s="57" t="n">
        <v/>
      </c>
      <c r="G225" s="57" t="n">
        <v/>
      </c>
      <c r="H225" s="58" t="n">
        <v>0.74</v>
      </c>
      <c r="I225" s="50" t="inlineStr">
        <is>
          <t>990 Investments</t>
        </is>
      </c>
      <c r="J225" s="56" t="inlineStr">
        <is>
          <t>https://projects.propublica.org/nonprofits/organizations/576017985</t>
        </is>
      </c>
    </row>
    <row r="226">
      <c r="A226" s="56" t="inlineStr">
        <is>
          <t>Council On Foreign Relations Inc</t>
        </is>
      </c>
      <c r="B226" t="inlineStr">
        <is>
          <t>131628168</t>
        </is>
      </c>
      <c r="C226" s="57" t="n">
        <v>0.7257757</v>
      </c>
      <c r="D226" s="57" t="n">
        <v>0.8167132</v>
      </c>
      <c r="E226" s="57" t="n">
        <v/>
      </c>
      <c r="F226" s="57" t="n">
        <v/>
      </c>
      <c r="G226" s="57" t="n">
        <v/>
      </c>
      <c r="H226" s="58" t="n">
        <v>0.73</v>
      </c>
      <c r="I226" s="50" t="inlineStr">
        <is>
          <t>990 Investments</t>
        </is>
      </c>
      <c r="J226" s="56" t="inlineStr">
        <is>
          <t>https://projects.propublica.org/nonprofits/organizations/131628168</t>
        </is>
      </c>
    </row>
    <row r="227">
      <c r="A227" s="56" t="inlineStr">
        <is>
          <t>Yeshiva University</t>
        </is>
      </c>
      <c r="B227" t="inlineStr">
        <is>
          <t>131624225</t>
        </is>
      </c>
      <c r="C227" s="57" t="n">
        <v>0.5369599390000001</v>
      </c>
      <c r="D227" s="57" t="n">
        <v>1.092157341</v>
      </c>
      <c r="E227" s="57" t="n">
        <v>0.714153</v>
      </c>
      <c r="F227" s="57" t="n">
        <v/>
      </c>
      <c r="G227" s="57" t="n">
        <v/>
      </c>
      <c r="H227" s="58" t="n">
        <v>0.71</v>
      </c>
      <c r="I227" s="50" t="inlineStr">
        <is>
          <t>NACUBO</t>
        </is>
      </c>
      <c r="J227" s="56" t="inlineStr">
        <is>
          <t>https://www.nacubo.org/research/2024-ncse-public-tables</t>
        </is>
      </c>
    </row>
    <row r="228">
      <c r="A228" s="56" t="inlineStr">
        <is>
          <t>College Of The Ozarks</t>
        </is>
      </c>
      <c r="B228" t="inlineStr">
        <is>
          <t>440556862</t>
        </is>
      </c>
      <c r="C228" s="57" t="n">
        <v>0.620382046</v>
      </c>
      <c r="D228" s="57" t="n">
        <v>0.945210616</v>
      </c>
      <c r="E228" s="57" t="n">
        <v>0.703728</v>
      </c>
      <c r="F228" s="57" t="n">
        <v/>
      </c>
      <c r="G228" s="57" t="n">
        <v/>
      </c>
      <c r="H228" s="58" t="n">
        <v>0.7</v>
      </c>
      <c r="I228" s="50" t="inlineStr">
        <is>
          <t>NACUBO</t>
        </is>
      </c>
      <c r="J228" s="56" t="inlineStr">
        <is>
          <t>https://www.nacubo.org/research/2024-ncse-public-tables</t>
        </is>
      </c>
    </row>
    <row r="229">
      <c r="A229" s="56" t="inlineStr">
        <is>
          <t>Conference On Jewish Material Claims Against Germany</t>
        </is>
      </c>
      <c r="B229" t="inlineStr">
        <is>
          <t>131677841</t>
        </is>
      </c>
      <c r="C229" s="57" t="n">
        <v>0.6916369999999999</v>
      </c>
      <c r="D229" s="57" t="n">
        <v>0.784520458</v>
      </c>
      <c r="E229" s="57" t="n">
        <v/>
      </c>
      <c r="F229" s="57" t="n">
        <v/>
      </c>
      <c r="G229" s="57" t="n">
        <v/>
      </c>
      <c r="H229" s="58" t="n">
        <v>0.6899999999999999</v>
      </c>
      <c r="I229" s="50" t="inlineStr">
        <is>
          <t>990 Investments</t>
        </is>
      </c>
      <c r="J229" s="56" t="inlineStr">
        <is>
          <t>https://projects.propublica.org/nonprofits/organizations/131677841</t>
        </is>
      </c>
    </row>
    <row r="230">
      <c r="A230" s="56" t="inlineStr">
        <is>
          <t>Henry J Kaiser Family Foundation</t>
        </is>
      </c>
      <c r="B230" t="inlineStr">
        <is>
          <t>946064808</t>
        </is>
      </c>
      <c r="C230" s="57" t="n">
        <v>0.690282523</v>
      </c>
      <c r="D230" s="57" t="n">
        <v>0.768899607</v>
      </c>
      <c r="E230" s="57" t="n">
        <v/>
      </c>
      <c r="F230" s="57" t="n">
        <v/>
      </c>
      <c r="G230" s="57" t="n">
        <v/>
      </c>
      <c r="H230" s="58" t="n">
        <v>0.6899999999999999</v>
      </c>
      <c r="I230" s="50" t="inlineStr">
        <is>
          <t>990 Investments</t>
        </is>
      </c>
      <c r="J230" s="56" t="inlineStr">
        <is>
          <t>https://projects.propublica.org/nonprofits/organizations/946064808</t>
        </is>
      </c>
    </row>
    <row r="231">
      <c r="A231" s="56" t="inlineStr">
        <is>
          <t>Wheaton College</t>
        </is>
      </c>
      <c r="B231" t="inlineStr">
        <is>
          <t>362182171</t>
        </is>
      </c>
      <c r="C231" s="57" t="n">
        <v>0.891658023</v>
      </c>
      <c r="D231" s="57" t="n">
        <v>1.183288122</v>
      </c>
      <c r="E231" s="57" t="n">
        <v>0.672169</v>
      </c>
      <c r="F231" s="57" t="n">
        <v/>
      </c>
      <c r="G231" s="57" t="n">
        <v/>
      </c>
      <c r="H231" s="58" t="n">
        <v>0.67</v>
      </c>
      <c r="I231" s="50" t="inlineStr">
        <is>
          <t>NACUBO</t>
        </is>
      </c>
      <c r="J231" s="56" t="inlineStr">
        <is>
          <t>https://www.nacubo.org/research/2024-ncse-public-tables</t>
        </is>
      </c>
    </row>
    <row r="232">
      <c r="A232" s="56" t="inlineStr">
        <is>
          <t>International City Management Association Retirement Corporation</t>
        </is>
      </c>
      <c r="B232" t="inlineStr">
        <is>
          <t>237268394</t>
        </is>
      </c>
      <c r="C232" s="57" t="n">
        <v>0.625627925</v>
      </c>
      <c r="D232" s="57" t="n">
        <v>0.704297533</v>
      </c>
      <c r="E232" s="57" t="n">
        <v/>
      </c>
      <c r="F232" s="57" t="n">
        <v/>
      </c>
      <c r="G232" s="57" t="n">
        <v/>
      </c>
      <c r="H232" s="58" t="n">
        <v>0.63</v>
      </c>
      <c r="I232" s="50" t="inlineStr">
        <is>
          <t>990 Investments</t>
        </is>
      </c>
      <c r="J232" s="56" t="inlineStr">
        <is>
          <t>https://projects.propublica.org/nonprofits/organizations/237268394</t>
        </is>
      </c>
    </row>
    <row r="233">
      <c r="A233" s="56" t="inlineStr">
        <is>
          <t>Community Foundation For Greater New Haven</t>
        </is>
      </c>
      <c r="B233" t="inlineStr">
        <is>
          <t>066032106</t>
        </is>
      </c>
      <c r="C233" s="57" t="n">
        <v>0.609968233</v>
      </c>
      <c r="D233" s="57" t="n">
        <v>0.627372618</v>
      </c>
      <c r="E233" s="57" t="n">
        <v/>
      </c>
      <c r="F233" s="57" t="n">
        <v/>
      </c>
      <c r="G233" s="57" t="n">
        <v/>
      </c>
      <c r="H233" s="58" t="n">
        <v>0.61</v>
      </c>
      <c r="I233" s="50" t="inlineStr">
        <is>
          <t>990 Investments</t>
        </is>
      </c>
      <c r="J233" s="56" t="inlineStr">
        <is>
          <t>https://projects.propublica.org/nonprofits/organizations/066032106</t>
        </is>
      </c>
    </row>
    <row r="234">
      <c r="A234" s="56" t="inlineStr">
        <is>
          <t>Betterlife</t>
        </is>
      </c>
      <c r="B234" t="inlineStr">
        <is>
          <t>420594470</t>
        </is>
      </c>
      <c r="C234" s="57" t="n">
        <v>0</v>
      </c>
      <c r="D234" s="57" t="n">
        <v>0.5866202740000001</v>
      </c>
      <c r="E234" s="57" t="n">
        <v/>
      </c>
      <c r="F234" s="57" t="n">
        <v/>
      </c>
      <c r="G234" s="57" t="n">
        <v/>
      </c>
      <c r="H234" s="58" t="n">
        <v>0.59</v>
      </c>
      <c r="I234" s="50" t="inlineStr">
        <is>
          <t>990 Assets (balance sheet)</t>
        </is>
      </c>
      <c r="J234" s="56" t="inlineStr">
        <is>
          <t>https://projects.propublica.org/nonprofits/organizations/420594470</t>
        </is>
      </c>
    </row>
    <row r="235">
      <c r="A235" s="56" t="inlineStr">
        <is>
          <t>The Grace And Mercy Foundation Inc</t>
        </is>
      </c>
      <c r="B235" t="inlineStr">
        <is>
          <t>208050779</t>
        </is>
      </c>
      <c r="C235" s="57" t="n">
        <v>0.732300886</v>
      </c>
      <c r="D235" s="57" t="n">
        <v>0.7385568850000001</v>
      </c>
      <c r="E235" s="57" t="n">
        <v/>
      </c>
      <c r="F235" s="57" t="n">
        <v>0.593</v>
      </c>
      <c r="G235" s="57" t="n">
        <v/>
      </c>
      <c r="H235" s="58" t="n">
        <v>0.59</v>
      </c>
      <c r="I235" s="50" t="inlineStr">
        <is>
          <t>P&amp;I</t>
        </is>
      </c>
      <c r="J235" s="56" t="inlineStr">
        <is>
          <t>https://www.pionline.com/research-center/largest-endowments-foundations</t>
        </is>
      </c>
    </row>
    <row r="236">
      <c r="A236" s="56" t="inlineStr">
        <is>
          <t>Spelman College</t>
        </is>
      </c>
      <c r="B236" t="inlineStr">
        <is>
          <t>580566243</t>
        </is>
      </c>
      <c r="C236" s="57" t="n">
        <v>0.6077459629999999</v>
      </c>
      <c r="D236" s="57" t="n">
        <v>1.0302548</v>
      </c>
      <c r="E236" s="57" t="n">
        <v>0.56697</v>
      </c>
      <c r="F236" s="57" t="n">
        <v/>
      </c>
      <c r="G236" s="57" t="n">
        <v/>
      </c>
      <c r="H236" s="58" t="n">
        <v>0.57</v>
      </c>
      <c r="I236" s="50" t="inlineStr">
        <is>
          <t>NACUBO</t>
        </is>
      </c>
      <c r="J236" s="56" t="inlineStr">
        <is>
          <t>https://www.nacubo.org/research/2024-ncse-public-tables</t>
        </is>
      </c>
    </row>
    <row r="237">
      <c r="A237" s="56" t="inlineStr">
        <is>
          <t>American Armed Forces Mutual Aid Association</t>
        </is>
      </c>
      <c r="B237" t="inlineStr">
        <is>
          <t>530213841</t>
        </is>
      </c>
      <c r="C237" s="57" t="n">
        <v>0.551170962</v>
      </c>
      <c r="D237" s="57" t="n">
        <v>1.263544055</v>
      </c>
      <c r="E237" s="57" t="n">
        <v/>
      </c>
      <c r="F237" s="57" t="n">
        <v/>
      </c>
      <c r="G237" s="57" t="n">
        <v/>
      </c>
      <c r="H237" s="58" t="n">
        <v>0.55</v>
      </c>
      <c r="I237" s="50" t="inlineStr">
        <is>
          <t>990 Investments</t>
        </is>
      </c>
      <c r="J237" s="56" t="inlineStr">
        <is>
          <t>https://projects.propublica.org/nonprofits/organizations/530213841</t>
        </is>
      </c>
    </row>
    <row r="238">
      <c r="A238" s="56" t="inlineStr">
        <is>
          <t>Community Foundation Of North Texas</t>
        </is>
      </c>
      <c r="B238" t="inlineStr">
        <is>
          <t>752267767</t>
        </is>
      </c>
      <c r="C238" s="57" t="n">
        <v>0.499648108</v>
      </c>
      <c r="D238" s="57" t="n">
        <v>0.544911476</v>
      </c>
      <c r="E238" s="57" t="n">
        <v/>
      </c>
      <c r="F238" s="57" t="n">
        <v/>
      </c>
      <c r="G238" s="57" t="n">
        <v/>
      </c>
      <c r="H238" s="58" t="n">
        <v>0.5</v>
      </c>
      <c r="I238" s="50" t="inlineStr">
        <is>
          <t>990 Investments</t>
        </is>
      </c>
      <c r="J238" s="56" t="inlineStr">
        <is>
          <t>https://projects.propublica.org/nonprofits/organizations/752267767</t>
        </is>
      </c>
    </row>
    <row r="239">
      <c r="A239" s="56" t="inlineStr">
        <is>
          <t>Brookings Institution</t>
        </is>
      </c>
      <c r="B239" t="inlineStr">
        <is>
          <t>530196577</t>
        </is>
      </c>
      <c r="C239" s="57" t="n">
        <v>0.513151804</v>
      </c>
      <c r="D239" s="57" t="n">
        <v>0.571797924</v>
      </c>
      <c r="E239" s="57" t="n">
        <v>0.467738</v>
      </c>
      <c r="F239" s="57" t="n">
        <v/>
      </c>
      <c r="G239" s="57" t="n">
        <v/>
      </c>
      <c r="H239" s="58" t="n">
        <v>0.47</v>
      </c>
      <c r="I239" s="50" t="inlineStr">
        <is>
          <t>NACUBO</t>
        </is>
      </c>
      <c r="J239" s="56" t="inlineStr">
        <is>
          <t>https://www.nacubo.org/research/2024-ncse-public-tables</t>
        </is>
      </c>
    </row>
    <row r="240">
      <c r="A240" s="56" t="inlineStr">
        <is>
          <t>Kimbell Art Foundation</t>
        </is>
      </c>
      <c r="B240" t="inlineStr">
        <is>
          <t>756036226</t>
        </is>
      </c>
      <c r="C240" s="57" t="n">
        <v>0.4441861</v>
      </c>
      <c r="D240" s="57" t="n">
        <v>3.066838454</v>
      </c>
      <c r="E240" s="57" t="n">
        <v/>
      </c>
      <c r="F240" s="57" t="n">
        <v/>
      </c>
      <c r="G240" s="57" t="n">
        <v/>
      </c>
      <c r="H240" s="58" t="n">
        <v>0.44</v>
      </c>
      <c r="I240" s="50" t="inlineStr">
        <is>
          <t>990 Investments</t>
        </is>
      </c>
      <c r="J240" s="56" t="inlineStr">
        <is>
          <t>https://projects.propublica.org/nonprofits/organizations/756036226</t>
        </is>
      </c>
    </row>
    <row r="241">
      <c r="A241" s="56" t="inlineStr">
        <is>
          <t>W K Kellogg Foundation</t>
        </is>
      </c>
      <c r="B241" t="inlineStr">
        <is>
          <t>381359264</t>
        </is>
      </c>
      <c r="C241" s="57" t="n">
        <v>0.376060073</v>
      </c>
      <c r="D241" s="57" t="n">
        <v>0.480985681</v>
      </c>
      <c r="E241" s="57" t="n">
        <v/>
      </c>
      <c r="F241" s="57" t="n">
        <v/>
      </c>
      <c r="G241" s="57" t="n">
        <v/>
      </c>
      <c r="H241" s="58" t="n">
        <v>0.38</v>
      </c>
      <c r="I241" s="50" t="inlineStr">
        <is>
          <t>990 Investments</t>
        </is>
      </c>
      <c r="J241" s="56" t="inlineStr">
        <is>
          <t>https://projects.propublica.org/nonprofits/organizations/381359264</t>
        </is>
      </c>
    </row>
    <row r="242">
      <c r="A242" s="56" t="inlineStr">
        <is>
          <t>Asu Enterprise Partners</t>
        </is>
      </c>
      <c r="B242" t="inlineStr">
        <is>
          <t>475599177</t>
        </is>
      </c>
      <c r="C242" s="57" t="n">
        <v>0.281350905</v>
      </c>
      <c r="D242" s="57" t="n">
        <v>0.39439159</v>
      </c>
      <c r="E242" s="57" t="n">
        <v/>
      </c>
      <c r="F242" s="57" t="n">
        <v/>
      </c>
      <c r="G242" s="57" t="n">
        <v/>
      </c>
      <c r="H242" s="58" t="n">
        <v>0.28</v>
      </c>
      <c r="I242" s="50" t="inlineStr">
        <is>
          <t>990 Investments</t>
        </is>
      </c>
      <c r="J242" s="56" t="inlineStr">
        <is>
          <t>https://projects.propublica.org/nonprofits/organizations/475599177</t>
        </is>
      </c>
    </row>
    <row r="243">
      <c r="A243" s="56" t="inlineStr">
        <is>
          <t>Mercy Corps</t>
        </is>
      </c>
      <c r="B243" t="inlineStr">
        <is>
          <t>911148123</t>
        </is>
      </c>
      <c r="C243" s="57" t="n">
        <v>0.257768613</v>
      </c>
      <c r="D243" s="57" t="n">
        <v>0.383273167</v>
      </c>
      <c r="E243" s="57" t="n">
        <v/>
      </c>
      <c r="F243" s="57" t="n">
        <v/>
      </c>
      <c r="G243" s="57" t="n">
        <v/>
      </c>
      <c r="H243" s="58" t="n">
        <v>0.26</v>
      </c>
      <c r="I243" s="50" t="inlineStr">
        <is>
          <t>990 Investments</t>
        </is>
      </c>
      <c r="J243" s="56" t="inlineStr">
        <is>
          <t>https://projects.propublica.org/nonprofits/organizations/911148123</t>
        </is>
      </c>
    </row>
    <row r="244">
      <c r="A244" s="56" t="inlineStr">
        <is>
          <t>Community Builders Inc</t>
        </is>
      </c>
      <c r="B244" t="inlineStr">
        <is>
          <t>042324773</t>
        </is>
      </c>
      <c r="C244" s="57" t="n">
        <v/>
      </c>
      <c r="D244" s="57" t="n">
        <v>0.240157467</v>
      </c>
      <c r="E244" s="57" t="n">
        <v/>
      </c>
      <c r="F244" s="57" t="n">
        <v/>
      </c>
      <c r="G244" s="57" t="n">
        <v/>
      </c>
      <c r="H244" s="58" t="n">
        <v>0.24</v>
      </c>
      <c r="I244" s="50" t="inlineStr">
        <is>
          <t>990 Assets (balance sheet)</t>
        </is>
      </c>
      <c r="J244" s="56" t="inlineStr">
        <is>
          <t>https://projects.propublica.org/nonprofits/organizations/042324773</t>
        </is>
      </c>
    </row>
    <row r="245">
      <c r="A245" s="56" t="inlineStr">
        <is>
          <t>Maclellan Foundation Inc</t>
        </is>
      </c>
      <c r="B245" t="inlineStr">
        <is>
          <t>626041468</t>
        </is>
      </c>
      <c r="C245" s="57" t="n">
        <v>0.236523626</v>
      </c>
      <c r="D245" s="57" t="n">
        <v>0.257546064</v>
      </c>
      <c r="E245" s="57" t="n">
        <v/>
      </c>
      <c r="F245" s="57" t="n">
        <v/>
      </c>
      <c r="G245" s="57" t="n">
        <v/>
      </c>
      <c r="H245" s="58" t="n">
        <v>0.24</v>
      </c>
      <c r="I245" s="50" t="inlineStr">
        <is>
          <t>990 Investments</t>
        </is>
      </c>
      <c r="J245" s="56" t="inlineStr">
        <is>
          <t>https://projects.propublica.org/nonprofits/organizations/626041468</t>
        </is>
      </c>
    </row>
    <row r="246">
      <c r="A246" s="56" t="inlineStr">
        <is>
          <t>Boy Scouts Of America</t>
        </is>
      </c>
      <c r="B246" t="inlineStr">
        <is>
          <t>221576300</t>
        </is>
      </c>
      <c r="C246" s="57" t="n">
        <v>0.229979202</v>
      </c>
      <c r="D246" s="57" t="n">
        <v>0.837409658</v>
      </c>
      <c r="E246" s="57" t="n">
        <v/>
      </c>
      <c r="F246" s="57" t="n">
        <v/>
      </c>
      <c r="G246" s="57" t="n">
        <v/>
      </c>
      <c r="H246" s="58" t="n">
        <v>0.23</v>
      </c>
      <c r="I246" s="50" t="inlineStr">
        <is>
          <t>990 Investments</t>
        </is>
      </c>
      <c r="J246" s="56" t="inlineStr">
        <is>
          <t>https://projects.propublica.org/nonprofits/organizations/221576300</t>
        </is>
      </c>
    </row>
    <row r="247">
      <c r="A247" s="56" t="inlineStr">
        <is>
          <t>Credit Union Of Texas</t>
        </is>
      </c>
      <c r="B247" t="inlineStr">
        <is>
          <t>750225045</t>
        </is>
      </c>
      <c r="C247" s="57" t="n">
        <v>0.218530298</v>
      </c>
      <c r="D247" s="57" t="n">
        <v>2.541111199</v>
      </c>
      <c r="E247" s="57" t="n">
        <v/>
      </c>
      <c r="F247" s="57" t="n">
        <v/>
      </c>
      <c r="G247" s="57" t="n">
        <v/>
      </c>
      <c r="H247" s="58" t="n">
        <v>0.22</v>
      </c>
      <c r="I247" s="50" t="inlineStr">
        <is>
          <t>990 Investments</t>
        </is>
      </c>
      <c r="J247" s="56" t="inlineStr">
        <is>
          <t>https://projects.propublica.org/nonprofits/organizations/750225045</t>
        </is>
      </c>
    </row>
    <row r="248">
      <c r="A248" s="56" t="inlineStr">
        <is>
          <t>Rf Catalytic Capital Inc</t>
        </is>
      </c>
      <c r="B248" t="inlineStr">
        <is>
          <t>852150251</t>
        </is>
      </c>
      <c r="C248" s="57" t="n">
        <v>0.179568934</v>
      </c>
      <c r="D248" s="57" t="n">
        <v>0.268620483</v>
      </c>
      <c r="E248" s="57" t="n">
        <v/>
      </c>
      <c r="F248" s="57" t="n">
        <v/>
      </c>
      <c r="G248" s="57" t="n">
        <v/>
      </c>
      <c r="H248" s="58" t="n">
        <v>0.18</v>
      </c>
      <c r="I248" s="50" t="inlineStr">
        <is>
          <t>990 Investments</t>
        </is>
      </c>
      <c r="J248" s="56" t="inlineStr">
        <is>
          <t>https://projects.propublica.org/nonprofits/organizations/852150251</t>
        </is>
      </c>
    </row>
    <row r="249">
      <c r="A249" s="56" t="inlineStr">
        <is>
          <t>Beth Israel Lahey Health Inc Hcsr</t>
        </is>
      </c>
      <c r="B249" t="inlineStr">
        <is>
          <t>832671600</t>
        </is>
      </c>
      <c r="C249" s="57" t="n">
        <v>0.144740731</v>
      </c>
      <c r="D249" s="57" t="n">
        <v>0.827753869</v>
      </c>
      <c r="E249" s="57" t="n">
        <v/>
      </c>
      <c r="F249" s="57" t="n">
        <v/>
      </c>
      <c r="G249" s="57" t="n">
        <v/>
      </c>
      <c r="H249" s="58" t="n">
        <v>0.14</v>
      </c>
      <c r="I249" s="50" t="inlineStr">
        <is>
          <t>990 Investments</t>
        </is>
      </c>
      <c r="J249" s="56" t="inlineStr">
        <is>
          <t>https://projects.propublica.org/nonprofits/organizations/832671600</t>
        </is>
      </c>
    </row>
    <row r="250">
      <c r="A250" s="56" t="inlineStr">
        <is>
          <t>Capital Impact Partners</t>
        </is>
      </c>
      <c r="B250" t="inlineStr">
        <is>
          <t>521290127</t>
        </is>
      </c>
      <c r="C250" s="57" t="n">
        <v>0.119320659</v>
      </c>
      <c r="D250" s="57" t="n">
        <v>0.806983425</v>
      </c>
      <c r="E250" s="57" t="n">
        <v/>
      </c>
      <c r="F250" s="57" t="n">
        <v/>
      </c>
      <c r="G250" s="57" t="n">
        <v/>
      </c>
      <c r="H250" s="58" t="n">
        <v>0.12</v>
      </c>
      <c r="I250" s="50" t="inlineStr">
        <is>
          <t>990 Investments</t>
        </is>
      </c>
      <c r="J250" s="56" t="inlineStr">
        <is>
          <t>https://projects.propublica.org/nonprofits/organizations/521290127</t>
        </is>
      </c>
    </row>
    <row r="251">
      <c r="A251" s="56" t="inlineStr">
        <is>
          <t>Dana Farber Cancer Institute</t>
        </is>
      </c>
      <c r="B251" t="inlineStr">
        <is>
          <t>042263040</t>
        </is>
      </c>
      <c r="C251" s="57" t="n">
        <v>0.121275037</v>
      </c>
      <c r="D251" s="57" t="n">
        <v>5.997012444</v>
      </c>
      <c r="E251" s="57" t="n">
        <v/>
      </c>
      <c r="F251" s="57" t="n">
        <v/>
      </c>
      <c r="G251" s="57" t="n">
        <v/>
      </c>
      <c r="H251" s="58" t="n">
        <v>0.12</v>
      </c>
      <c r="I251" s="50" t="inlineStr">
        <is>
          <t>990 Investments</t>
        </is>
      </c>
      <c r="J251" s="56" t="inlineStr">
        <is>
          <t>https://projects.propublica.org/nonprofits/organizations/042263040</t>
        </is>
      </c>
    </row>
    <row r="252">
      <c r="A252" s="56" t="inlineStr">
        <is>
          <t>Reinvestment Fund Inc</t>
        </is>
      </c>
      <c r="B252" t="inlineStr">
        <is>
          <t>232331946</t>
        </is>
      </c>
      <c r="C252" s="57" t="n">
        <v>0.121265578</v>
      </c>
      <c r="D252" s="57" t="n">
        <v>0.698442334</v>
      </c>
      <c r="E252" s="57" t="n">
        <v/>
      </c>
      <c r="F252" s="57" t="n">
        <v/>
      </c>
      <c r="G252" s="57" t="n">
        <v/>
      </c>
      <c r="H252" s="58" t="n">
        <v>0.12</v>
      </c>
      <c r="I252" s="50" t="inlineStr">
        <is>
          <t>990 Investments</t>
        </is>
      </c>
      <c r="J252" s="56" t="inlineStr">
        <is>
          <t>https://projects.propublica.org/nonprofits/organizations/232331946</t>
        </is>
      </c>
    </row>
    <row r="253">
      <c r="A253" s="56" t="inlineStr">
        <is>
          <t>Rotary International</t>
        </is>
      </c>
      <c r="B253" t="inlineStr">
        <is>
          <t>361707667</t>
        </is>
      </c>
      <c r="C253" s="57" t="n">
        <v>0.112527747</v>
      </c>
      <c r="D253" s="57" t="n">
        <v>0.210685391</v>
      </c>
      <c r="E253" s="57" t="n">
        <v/>
      </c>
      <c r="F253" s="57" t="n">
        <v/>
      </c>
      <c r="G253" s="57" t="n">
        <v/>
      </c>
      <c r="H253" s="58" t="n">
        <v>0.11</v>
      </c>
      <c r="I253" s="50" t="inlineStr">
        <is>
          <t>990 Investments</t>
        </is>
      </c>
      <c r="J253" s="56" t="inlineStr">
        <is>
          <t>https://projects.propublica.org/nonprofits/organizations/361707667</t>
        </is>
      </c>
    </row>
    <row r="254">
      <c r="A254" s="56" t="inlineStr">
        <is>
          <t>Freed-hardeman University</t>
        </is>
      </c>
      <c r="B254" t="inlineStr">
        <is>
          <t>620518288</t>
        </is>
      </c>
      <c r="C254" s="57" t="n">
        <v>0.135961216</v>
      </c>
      <c r="D254" s="57" t="n">
        <v>0.236190303</v>
      </c>
      <c r="E254" s="57" t="n">
        <v>0.096231</v>
      </c>
      <c r="F254" s="57" t="n">
        <v/>
      </c>
      <c r="G254" s="57" t="n">
        <v/>
      </c>
      <c r="H254" s="58" t="n">
        <v>0.1</v>
      </c>
      <c r="I254" s="50" t="inlineStr">
        <is>
          <t>NACUBO</t>
        </is>
      </c>
      <c r="J254" s="56" t="inlineStr">
        <is>
          <t>https://www.nacubo.org/research/2024-ncse-public-tables</t>
        </is>
      </c>
    </row>
    <row r="255">
      <c r="A255" s="56" t="inlineStr">
        <is>
          <t>Bethune-cookman University</t>
        </is>
      </c>
      <c r="B255" t="inlineStr">
        <is>
          <t>590704726</t>
        </is>
      </c>
      <c r="C255" s="57" t="n">
        <v>0.05594053</v>
      </c>
      <c r="D255" s="57" t="n">
        <v>0.230094684</v>
      </c>
      <c r="E255" s="57" t="n">
        <v/>
      </c>
      <c r="F255" s="57" t="n">
        <v/>
      </c>
      <c r="G255" s="57" t="n">
        <v/>
      </c>
      <c r="H255" s="58" t="n">
        <v>0.06</v>
      </c>
      <c r="I255" s="50" t="inlineStr">
        <is>
          <t>990 Investments</t>
        </is>
      </c>
      <c r="J255" s="56" t="inlineStr">
        <is>
          <t>https://projects.propublica.org/nonprofits/organizations/590704726</t>
        </is>
      </c>
    </row>
    <row r="256">
      <c r="A256" s="56" t="inlineStr">
        <is>
          <t>Raza Development Fund Inc</t>
        </is>
      </c>
      <c r="B256" t="inlineStr">
        <is>
          <t>521954196</t>
        </is>
      </c>
      <c r="C256" s="57" t="n">
        <v>0.04589015</v>
      </c>
      <c r="D256" s="57" t="n">
        <v>0.378020114</v>
      </c>
      <c r="E256" s="57" t="n">
        <v/>
      </c>
      <c r="F256" s="57" t="n">
        <v/>
      </c>
      <c r="G256" s="57" t="n">
        <v/>
      </c>
      <c r="H256" s="58" t="n">
        <v>0.05</v>
      </c>
      <c r="I256" s="50" t="inlineStr">
        <is>
          <t>990 Investments</t>
        </is>
      </c>
      <c r="J256" s="56" t="inlineStr">
        <is>
          <t>https://projects.propublica.org/nonprofits/organizations/521954196</t>
        </is>
      </c>
    </row>
    <row r="257">
      <c r="A257" s="56" t="inlineStr">
        <is>
          <t>American Journalism Project Inc</t>
        </is>
      </c>
      <c r="B257" t="inlineStr">
        <is>
          <t>831772542</t>
        </is>
      </c>
      <c r="C257" s="57" t="n">
        <v>0.038818473</v>
      </c>
      <c r="D257" s="57" t="n">
        <v>0.066446853</v>
      </c>
      <c r="E257" s="57" t="n">
        <v/>
      </c>
      <c r="F257" s="57" t="n">
        <v/>
      </c>
      <c r="G257" s="57" t="n">
        <v/>
      </c>
      <c r="H257" s="58" t="n">
        <v>0.04</v>
      </c>
      <c r="I257" s="50" t="inlineStr">
        <is>
          <t>990 Investments</t>
        </is>
      </c>
      <c r="J257" s="56" t="inlineStr">
        <is>
          <t>https://projects.propublica.org/nonprofits/organizations/831772542</t>
        </is>
      </c>
    </row>
    <row r="258">
      <c r="A258" s="56" t="inlineStr">
        <is>
          <t>Womens World Banking Inc</t>
        </is>
      </c>
      <c r="B258" t="inlineStr">
        <is>
          <t>822828138</t>
        </is>
      </c>
      <c r="C258" s="57" t="n">
        <v>0.035564126</v>
      </c>
      <c r="D258" s="57" t="n">
        <v>0.03826895</v>
      </c>
      <c r="E258" s="57" t="n">
        <v/>
      </c>
      <c r="F258" s="57" t="n">
        <v/>
      </c>
      <c r="G258" s="57" t="n">
        <v/>
      </c>
      <c r="H258" s="58" t="n">
        <v>0.04</v>
      </c>
      <c r="I258" s="50" t="inlineStr">
        <is>
          <t>990 Investments</t>
        </is>
      </c>
      <c r="J258" s="56" t="inlineStr">
        <is>
          <t>https://projects.propublica.org/nonprofits/organizations/822828138</t>
        </is>
      </c>
    </row>
    <row r="259">
      <c r="A259" s="56" t="inlineStr">
        <is>
          <t>Affordable Housing Access Inc</t>
        </is>
      </c>
      <c r="B259" t="inlineStr">
        <is>
          <t>311682049</t>
        </is>
      </c>
      <c r="C259" s="57" t="n">
        <v>0.014189392</v>
      </c>
      <c r="D259" s="57" t="n">
        <v>0.111083332</v>
      </c>
      <c r="E259" s="57" t="n">
        <v/>
      </c>
      <c r="F259" s="57" t="n">
        <v/>
      </c>
      <c r="G259" s="57" t="n">
        <v/>
      </c>
      <c r="H259" s="58" t="n">
        <v>0.01</v>
      </c>
      <c r="I259" s="50" t="inlineStr">
        <is>
          <t>990 Investments</t>
        </is>
      </c>
      <c r="J259" s="56" t="inlineStr">
        <is>
          <t>https://projects.propublica.org/nonprofits/organizations/311682049</t>
        </is>
      </c>
    </row>
    <row r="260">
      <c r="A260" s="56" t="inlineStr">
        <is>
          <t>Media Development Investment Fund Inc</t>
        </is>
      </c>
      <c r="B260" t="inlineStr">
        <is>
          <t>134052259</t>
        </is>
      </c>
      <c r="C260" s="57" t="n">
        <v>0.009765505000000001</v>
      </c>
      <c r="D260" s="57" t="n">
        <v>0.053784766</v>
      </c>
      <c r="E260" s="57" t="n">
        <v/>
      </c>
      <c r="F260" s="57" t="n">
        <v/>
      </c>
      <c r="G260" s="57" t="n">
        <v/>
      </c>
      <c r="H260" s="58" t="n">
        <v>0.01</v>
      </c>
      <c r="I260" s="50" t="inlineStr">
        <is>
          <t>990 Investments</t>
        </is>
      </c>
      <c r="J260" s="56" t="inlineStr">
        <is>
          <t>https://projects.propublica.org/nonprofits/organizations/134052259</t>
        </is>
      </c>
    </row>
    <row r="261">
      <c r="A261" s="56" t="inlineStr">
        <is>
          <t>Vpm Media Corporation</t>
        </is>
      </c>
      <c r="B261" t="inlineStr">
        <is>
          <t>540735782</t>
        </is>
      </c>
      <c r="C261" s="57" t="n">
        <v>0.013765934</v>
      </c>
      <c r="D261" s="57" t="n">
        <v>0.027540374</v>
      </c>
      <c r="E261" s="57" t="n">
        <v/>
      </c>
      <c r="F261" s="57" t="n">
        <v/>
      </c>
      <c r="G261" s="57" t="n">
        <v/>
      </c>
      <c r="H261" s="58" t="n">
        <v>0.01</v>
      </c>
      <c r="I261" s="50" t="inlineStr">
        <is>
          <t>990 Investments</t>
        </is>
      </c>
      <c r="J261" s="56" t="inlineStr">
        <is>
          <t>https://projects.propublica.org/nonprofits/organizations/540735782</t>
        </is>
      </c>
    </row>
    <row r="262">
      <c r="A262" s="56" t="inlineStr">
        <is>
          <t>Coalition For Green Capital</t>
        </is>
      </c>
      <c r="B262" t="inlineStr">
        <is>
          <t>900868299</t>
        </is>
      </c>
      <c r="C262" s="57" t="n">
        <v>0.000157594</v>
      </c>
      <c r="D262" s="57" t="n">
        <v>5.022565236</v>
      </c>
      <c r="E262" s="57" t="n">
        <v/>
      </c>
      <c r="F262" s="57" t="n">
        <v/>
      </c>
      <c r="G262" s="57" t="n">
        <v/>
      </c>
      <c r="H262" s="58" t="n">
        <v>0</v>
      </c>
      <c r="I262" s="50" t="inlineStr">
        <is>
          <t>990 Investments</t>
        </is>
      </c>
      <c r="J262" s="56" t="inlineStr">
        <is>
          <t>https://projects.propublica.org/nonprofits/organizations/900868299</t>
        </is>
      </c>
    </row>
    <row r="263">
      <c r="A263" s="56" t="inlineStr">
        <is>
          <t>Coastal Enterprises Inc</t>
        </is>
      </c>
      <c r="B263" t="inlineStr">
        <is>
          <t>010347504</t>
        </is>
      </c>
      <c r="C263" s="57" t="n">
        <v>0.000168463</v>
      </c>
      <c r="D263" s="57" t="n">
        <v>0.166561368</v>
      </c>
      <c r="E263" s="57" t="n">
        <v/>
      </c>
      <c r="F263" s="57" t="n">
        <v/>
      </c>
      <c r="G263" s="57" t="n">
        <v/>
      </c>
      <c r="H263" s="58" t="n">
        <v>0</v>
      </c>
      <c r="I263" s="50" t="inlineStr">
        <is>
          <t>990 Investments</t>
        </is>
      </c>
      <c r="J263" s="56" t="inlineStr">
        <is>
          <t>https://projects.propublica.org/nonprofits/organizations/010347504</t>
        </is>
      </c>
    </row>
    <row r="264">
      <c r="A264" s="56" t="inlineStr">
        <is>
          <t>Tennessee Technology Development Corporation</t>
        </is>
      </c>
      <c r="B264" t="inlineStr">
        <is>
          <t>621765738</t>
        </is>
      </c>
      <c r="C264" s="57" t="n">
        <v>0.004387068</v>
      </c>
      <c r="D264" s="57" t="n">
        <v>0.037823501</v>
      </c>
      <c r="E264" s="57" t="n">
        <v/>
      </c>
      <c r="F264" s="57" t="n">
        <v/>
      </c>
      <c r="G264" s="57" t="n">
        <v/>
      </c>
      <c r="H264" s="58" t="n">
        <v>0</v>
      </c>
      <c r="I264" s="50" t="inlineStr">
        <is>
          <t>990 Investments</t>
        </is>
      </c>
      <c r="J264" s="56" t="inlineStr">
        <is>
          <t>https://projects.propublica.org/nonprofits/organizations/621765738</t>
        </is>
      </c>
    </row>
  </sheetData>
  <hyperlinks>
    <hyperlink xmlns:r="http://schemas.openxmlformats.org/officeDocument/2006/relationships" ref="A5" r:id="rId1"/>
    <hyperlink xmlns:r="http://schemas.openxmlformats.org/officeDocument/2006/relationships" ref="J5" r:id="rId2"/>
    <hyperlink xmlns:r="http://schemas.openxmlformats.org/officeDocument/2006/relationships" ref="A6" r:id="rId3"/>
    <hyperlink xmlns:r="http://schemas.openxmlformats.org/officeDocument/2006/relationships" ref="J6" r:id="rId4"/>
    <hyperlink xmlns:r="http://schemas.openxmlformats.org/officeDocument/2006/relationships" ref="A7" r:id="rId5"/>
    <hyperlink xmlns:r="http://schemas.openxmlformats.org/officeDocument/2006/relationships" ref="J7" r:id="rId6"/>
    <hyperlink xmlns:r="http://schemas.openxmlformats.org/officeDocument/2006/relationships" ref="A8" r:id="rId7"/>
    <hyperlink xmlns:r="http://schemas.openxmlformats.org/officeDocument/2006/relationships" ref="J8" r:id="rId8"/>
    <hyperlink xmlns:r="http://schemas.openxmlformats.org/officeDocument/2006/relationships" ref="A9" r:id="rId9"/>
    <hyperlink xmlns:r="http://schemas.openxmlformats.org/officeDocument/2006/relationships" ref="J9" r:id="rId10"/>
    <hyperlink xmlns:r="http://schemas.openxmlformats.org/officeDocument/2006/relationships" ref="A10" r:id="rId11"/>
    <hyperlink xmlns:r="http://schemas.openxmlformats.org/officeDocument/2006/relationships" ref="J10" r:id="rId12"/>
    <hyperlink xmlns:r="http://schemas.openxmlformats.org/officeDocument/2006/relationships" ref="A11" r:id="rId13"/>
    <hyperlink xmlns:r="http://schemas.openxmlformats.org/officeDocument/2006/relationships" ref="J11" r:id="rId14"/>
    <hyperlink xmlns:r="http://schemas.openxmlformats.org/officeDocument/2006/relationships" ref="A12" r:id="rId15"/>
    <hyperlink xmlns:r="http://schemas.openxmlformats.org/officeDocument/2006/relationships" ref="J12" r:id="rId16"/>
    <hyperlink xmlns:r="http://schemas.openxmlformats.org/officeDocument/2006/relationships" ref="A13" r:id="rId17"/>
    <hyperlink xmlns:r="http://schemas.openxmlformats.org/officeDocument/2006/relationships" ref="J13" r:id="rId18"/>
    <hyperlink xmlns:r="http://schemas.openxmlformats.org/officeDocument/2006/relationships" ref="A14" r:id="rId19"/>
    <hyperlink xmlns:r="http://schemas.openxmlformats.org/officeDocument/2006/relationships" ref="J14" r:id="rId20"/>
    <hyperlink xmlns:r="http://schemas.openxmlformats.org/officeDocument/2006/relationships" ref="A15" r:id="rId21"/>
    <hyperlink xmlns:r="http://schemas.openxmlformats.org/officeDocument/2006/relationships" ref="J15" r:id="rId22"/>
    <hyperlink xmlns:r="http://schemas.openxmlformats.org/officeDocument/2006/relationships" ref="A16" r:id="rId23"/>
    <hyperlink xmlns:r="http://schemas.openxmlformats.org/officeDocument/2006/relationships" ref="J16" r:id="rId24"/>
    <hyperlink xmlns:r="http://schemas.openxmlformats.org/officeDocument/2006/relationships" ref="A17" r:id="rId25"/>
    <hyperlink xmlns:r="http://schemas.openxmlformats.org/officeDocument/2006/relationships" ref="J17" r:id="rId26"/>
    <hyperlink xmlns:r="http://schemas.openxmlformats.org/officeDocument/2006/relationships" ref="A18" r:id="rId27"/>
    <hyperlink xmlns:r="http://schemas.openxmlformats.org/officeDocument/2006/relationships" ref="J18" r:id="rId28"/>
    <hyperlink xmlns:r="http://schemas.openxmlformats.org/officeDocument/2006/relationships" ref="A19" r:id="rId29"/>
    <hyperlink xmlns:r="http://schemas.openxmlformats.org/officeDocument/2006/relationships" ref="A20" r:id="rId30"/>
    <hyperlink xmlns:r="http://schemas.openxmlformats.org/officeDocument/2006/relationships" ref="J20" r:id="rId31"/>
    <hyperlink xmlns:r="http://schemas.openxmlformats.org/officeDocument/2006/relationships" ref="A21" r:id="rId32"/>
    <hyperlink xmlns:r="http://schemas.openxmlformats.org/officeDocument/2006/relationships" ref="J21" r:id="rId33"/>
    <hyperlink xmlns:r="http://schemas.openxmlformats.org/officeDocument/2006/relationships" ref="A22" r:id="rId34"/>
    <hyperlink xmlns:r="http://schemas.openxmlformats.org/officeDocument/2006/relationships" ref="J22" r:id="rId35"/>
    <hyperlink xmlns:r="http://schemas.openxmlformats.org/officeDocument/2006/relationships" ref="A23" r:id="rId36"/>
    <hyperlink xmlns:r="http://schemas.openxmlformats.org/officeDocument/2006/relationships" ref="J23" r:id="rId37"/>
    <hyperlink xmlns:r="http://schemas.openxmlformats.org/officeDocument/2006/relationships" ref="A24" r:id="rId38"/>
    <hyperlink xmlns:r="http://schemas.openxmlformats.org/officeDocument/2006/relationships" ref="J24" r:id="rId39"/>
    <hyperlink xmlns:r="http://schemas.openxmlformats.org/officeDocument/2006/relationships" ref="A25" r:id="rId40"/>
    <hyperlink xmlns:r="http://schemas.openxmlformats.org/officeDocument/2006/relationships" ref="J25" r:id="rId41"/>
    <hyperlink xmlns:r="http://schemas.openxmlformats.org/officeDocument/2006/relationships" ref="A26" r:id="rId42"/>
    <hyperlink xmlns:r="http://schemas.openxmlformats.org/officeDocument/2006/relationships" ref="J26" r:id="rId43"/>
    <hyperlink xmlns:r="http://schemas.openxmlformats.org/officeDocument/2006/relationships" ref="A27" r:id="rId44"/>
    <hyperlink xmlns:r="http://schemas.openxmlformats.org/officeDocument/2006/relationships" ref="J27" r:id="rId45"/>
    <hyperlink xmlns:r="http://schemas.openxmlformats.org/officeDocument/2006/relationships" ref="A28" r:id="rId46"/>
    <hyperlink xmlns:r="http://schemas.openxmlformats.org/officeDocument/2006/relationships" ref="J28" r:id="rId47"/>
    <hyperlink xmlns:r="http://schemas.openxmlformats.org/officeDocument/2006/relationships" ref="A29" r:id="rId48"/>
    <hyperlink xmlns:r="http://schemas.openxmlformats.org/officeDocument/2006/relationships" ref="J29" r:id="rId49"/>
    <hyperlink xmlns:r="http://schemas.openxmlformats.org/officeDocument/2006/relationships" ref="A30" r:id="rId50"/>
    <hyperlink xmlns:r="http://schemas.openxmlformats.org/officeDocument/2006/relationships" ref="J30" r:id="rId51"/>
    <hyperlink xmlns:r="http://schemas.openxmlformats.org/officeDocument/2006/relationships" ref="A31" r:id="rId52"/>
    <hyperlink xmlns:r="http://schemas.openxmlformats.org/officeDocument/2006/relationships" ref="J31" r:id="rId53"/>
    <hyperlink xmlns:r="http://schemas.openxmlformats.org/officeDocument/2006/relationships" ref="A32" r:id="rId54"/>
    <hyperlink xmlns:r="http://schemas.openxmlformats.org/officeDocument/2006/relationships" ref="J32" r:id="rId55"/>
    <hyperlink xmlns:r="http://schemas.openxmlformats.org/officeDocument/2006/relationships" ref="A33" r:id="rId56"/>
    <hyperlink xmlns:r="http://schemas.openxmlformats.org/officeDocument/2006/relationships" ref="J33" r:id="rId57"/>
    <hyperlink xmlns:r="http://schemas.openxmlformats.org/officeDocument/2006/relationships" ref="A34" r:id="rId58"/>
    <hyperlink xmlns:r="http://schemas.openxmlformats.org/officeDocument/2006/relationships" ref="J34" r:id="rId59"/>
    <hyperlink xmlns:r="http://schemas.openxmlformats.org/officeDocument/2006/relationships" ref="A35" r:id="rId60"/>
    <hyperlink xmlns:r="http://schemas.openxmlformats.org/officeDocument/2006/relationships" ref="J35" r:id="rId61"/>
    <hyperlink xmlns:r="http://schemas.openxmlformats.org/officeDocument/2006/relationships" ref="A36" r:id="rId62"/>
    <hyperlink xmlns:r="http://schemas.openxmlformats.org/officeDocument/2006/relationships" ref="J36" r:id="rId63"/>
    <hyperlink xmlns:r="http://schemas.openxmlformats.org/officeDocument/2006/relationships" ref="A37" r:id="rId64"/>
    <hyperlink xmlns:r="http://schemas.openxmlformats.org/officeDocument/2006/relationships" ref="J37" r:id="rId65"/>
    <hyperlink xmlns:r="http://schemas.openxmlformats.org/officeDocument/2006/relationships" ref="A38" r:id="rId66"/>
    <hyperlink xmlns:r="http://schemas.openxmlformats.org/officeDocument/2006/relationships" ref="J38" r:id="rId67"/>
    <hyperlink xmlns:r="http://schemas.openxmlformats.org/officeDocument/2006/relationships" ref="A39" r:id="rId68"/>
    <hyperlink xmlns:r="http://schemas.openxmlformats.org/officeDocument/2006/relationships" ref="J39" r:id="rId69"/>
    <hyperlink xmlns:r="http://schemas.openxmlformats.org/officeDocument/2006/relationships" ref="A40" r:id="rId70"/>
    <hyperlink xmlns:r="http://schemas.openxmlformats.org/officeDocument/2006/relationships" ref="J40" r:id="rId71"/>
    <hyperlink xmlns:r="http://schemas.openxmlformats.org/officeDocument/2006/relationships" ref="A41" r:id="rId72"/>
    <hyperlink xmlns:r="http://schemas.openxmlformats.org/officeDocument/2006/relationships" ref="J41" r:id="rId73"/>
    <hyperlink xmlns:r="http://schemas.openxmlformats.org/officeDocument/2006/relationships" ref="A42" r:id="rId74"/>
    <hyperlink xmlns:r="http://schemas.openxmlformats.org/officeDocument/2006/relationships" ref="J42" r:id="rId75"/>
    <hyperlink xmlns:r="http://schemas.openxmlformats.org/officeDocument/2006/relationships" ref="A43" r:id="rId76"/>
    <hyperlink xmlns:r="http://schemas.openxmlformats.org/officeDocument/2006/relationships" ref="J43" r:id="rId77"/>
    <hyperlink xmlns:r="http://schemas.openxmlformats.org/officeDocument/2006/relationships" ref="A44" r:id="rId78"/>
    <hyperlink xmlns:r="http://schemas.openxmlformats.org/officeDocument/2006/relationships" ref="J44" r:id="rId79"/>
    <hyperlink xmlns:r="http://schemas.openxmlformats.org/officeDocument/2006/relationships" ref="A45" r:id="rId80"/>
    <hyperlink xmlns:r="http://schemas.openxmlformats.org/officeDocument/2006/relationships" ref="J45" r:id="rId81"/>
    <hyperlink xmlns:r="http://schemas.openxmlformats.org/officeDocument/2006/relationships" ref="A46" r:id="rId82"/>
    <hyperlink xmlns:r="http://schemas.openxmlformats.org/officeDocument/2006/relationships" ref="J46" r:id="rId83"/>
    <hyperlink xmlns:r="http://schemas.openxmlformats.org/officeDocument/2006/relationships" ref="A47" r:id="rId84"/>
    <hyperlink xmlns:r="http://schemas.openxmlformats.org/officeDocument/2006/relationships" ref="J47" r:id="rId85"/>
    <hyperlink xmlns:r="http://schemas.openxmlformats.org/officeDocument/2006/relationships" ref="A48" r:id="rId86"/>
    <hyperlink xmlns:r="http://schemas.openxmlformats.org/officeDocument/2006/relationships" ref="J48" r:id="rId87"/>
    <hyperlink xmlns:r="http://schemas.openxmlformats.org/officeDocument/2006/relationships" ref="A49" r:id="rId88"/>
    <hyperlink xmlns:r="http://schemas.openxmlformats.org/officeDocument/2006/relationships" ref="J49" r:id="rId89"/>
    <hyperlink xmlns:r="http://schemas.openxmlformats.org/officeDocument/2006/relationships" ref="A50" r:id="rId90"/>
    <hyperlink xmlns:r="http://schemas.openxmlformats.org/officeDocument/2006/relationships" ref="J50" r:id="rId91"/>
    <hyperlink xmlns:r="http://schemas.openxmlformats.org/officeDocument/2006/relationships" ref="A51" r:id="rId92"/>
    <hyperlink xmlns:r="http://schemas.openxmlformats.org/officeDocument/2006/relationships" ref="J51" r:id="rId93"/>
    <hyperlink xmlns:r="http://schemas.openxmlformats.org/officeDocument/2006/relationships" ref="A52" r:id="rId94"/>
    <hyperlink xmlns:r="http://schemas.openxmlformats.org/officeDocument/2006/relationships" ref="J52" r:id="rId95"/>
    <hyperlink xmlns:r="http://schemas.openxmlformats.org/officeDocument/2006/relationships" ref="A53" r:id="rId96"/>
    <hyperlink xmlns:r="http://schemas.openxmlformats.org/officeDocument/2006/relationships" ref="J53" r:id="rId97"/>
    <hyperlink xmlns:r="http://schemas.openxmlformats.org/officeDocument/2006/relationships" ref="A54" r:id="rId98"/>
    <hyperlink xmlns:r="http://schemas.openxmlformats.org/officeDocument/2006/relationships" ref="J54" r:id="rId99"/>
    <hyperlink xmlns:r="http://schemas.openxmlformats.org/officeDocument/2006/relationships" ref="A55" r:id="rId100"/>
    <hyperlink xmlns:r="http://schemas.openxmlformats.org/officeDocument/2006/relationships" ref="J55" r:id="rId101"/>
    <hyperlink xmlns:r="http://schemas.openxmlformats.org/officeDocument/2006/relationships" ref="A56" r:id="rId102"/>
    <hyperlink xmlns:r="http://schemas.openxmlformats.org/officeDocument/2006/relationships" ref="J56" r:id="rId103"/>
    <hyperlink xmlns:r="http://schemas.openxmlformats.org/officeDocument/2006/relationships" ref="A57" r:id="rId104"/>
    <hyperlink xmlns:r="http://schemas.openxmlformats.org/officeDocument/2006/relationships" ref="J57" r:id="rId105"/>
    <hyperlink xmlns:r="http://schemas.openxmlformats.org/officeDocument/2006/relationships" ref="A58" r:id="rId106"/>
    <hyperlink xmlns:r="http://schemas.openxmlformats.org/officeDocument/2006/relationships" ref="J58" r:id="rId107"/>
    <hyperlink xmlns:r="http://schemas.openxmlformats.org/officeDocument/2006/relationships" ref="A59" r:id="rId108"/>
    <hyperlink xmlns:r="http://schemas.openxmlformats.org/officeDocument/2006/relationships" ref="J59" r:id="rId109"/>
    <hyperlink xmlns:r="http://schemas.openxmlformats.org/officeDocument/2006/relationships" ref="A60" r:id="rId110"/>
    <hyperlink xmlns:r="http://schemas.openxmlformats.org/officeDocument/2006/relationships" ref="J60" r:id="rId111"/>
    <hyperlink xmlns:r="http://schemas.openxmlformats.org/officeDocument/2006/relationships" ref="A61" r:id="rId112"/>
    <hyperlink xmlns:r="http://schemas.openxmlformats.org/officeDocument/2006/relationships" ref="J61" r:id="rId113"/>
    <hyperlink xmlns:r="http://schemas.openxmlformats.org/officeDocument/2006/relationships" ref="A62" r:id="rId114"/>
    <hyperlink xmlns:r="http://schemas.openxmlformats.org/officeDocument/2006/relationships" ref="J62" r:id="rId115"/>
    <hyperlink xmlns:r="http://schemas.openxmlformats.org/officeDocument/2006/relationships" ref="A63" r:id="rId116"/>
    <hyperlink xmlns:r="http://schemas.openxmlformats.org/officeDocument/2006/relationships" ref="J63" r:id="rId117"/>
    <hyperlink xmlns:r="http://schemas.openxmlformats.org/officeDocument/2006/relationships" ref="A64" r:id="rId118"/>
    <hyperlink xmlns:r="http://schemas.openxmlformats.org/officeDocument/2006/relationships" ref="J64" r:id="rId119"/>
    <hyperlink xmlns:r="http://schemas.openxmlformats.org/officeDocument/2006/relationships" ref="A65" r:id="rId120"/>
    <hyperlink xmlns:r="http://schemas.openxmlformats.org/officeDocument/2006/relationships" ref="J65" r:id="rId121"/>
    <hyperlink xmlns:r="http://schemas.openxmlformats.org/officeDocument/2006/relationships" ref="A66" r:id="rId122"/>
    <hyperlink xmlns:r="http://schemas.openxmlformats.org/officeDocument/2006/relationships" ref="J66" r:id="rId123"/>
    <hyperlink xmlns:r="http://schemas.openxmlformats.org/officeDocument/2006/relationships" ref="A67" r:id="rId124"/>
    <hyperlink xmlns:r="http://schemas.openxmlformats.org/officeDocument/2006/relationships" ref="J67" r:id="rId125"/>
    <hyperlink xmlns:r="http://schemas.openxmlformats.org/officeDocument/2006/relationships" ref="A68" r:id="rId126"/>
    <hyperlink xmlns:r="http://schemas.openxmlformats.org/officeDocument/2006/relationships" ref="J68" r:id="rId127"/>
    <hyperlink xmlns:r="http://schemas.openxmlformats.org/officeDocument/2006/relationships" ref="A69" r:id="rId128"/>
    <hyperlink xmlns:r="http://schemas.openxmlformats.org/officeDocument/2006/relationships" ref="J69" r:id="rId129"/>
    <hyperlink xmlns:r="http://schemas.openxmlformats.org/officeDocument/2006/relationships" ref="A70" r:id="rId130"/>
    <hyperlink xmlns:r="http://schemas.openxmlformats.org/officeDocument/2006/relationships" ref="J70" r:id="rId131"/>
    <hyperlink xmlns:r="http://schemas.openxmlformats.org/officeDocument/2006/relationships" ref="A71" r:id="rId132"/>
    <hyperlink xmlns:r="http://schemas.openxmlformats.org/officeDocument/2006/relationships" ref="J71" r:id="rId133"/>
    <hyperlink xmlns:r="http://schemas.openxmlformats.org/officeDocument/2006/relationships" ref="A72" r:id="rId134"/>
    <hyperlink xmlns:r="http://schemas.openxmlformats.org/officeDocument/2006/relationships" ref="J72" r:id="rId135"/>
    <hyperlink xmlns:r="http://schemas.openxmlformats.org/officeDocument/2006/relationships" ref="A73" r:id="rId136"/>
    <hyperlink xmlns:r="http://schemas.openxmlformats.org/officeDocument/2006/relationships" ref="J73" r:id="rId137"/>
    <hyperlink xmlns:r="http://schemas.openxmlformats.org/officeDocument/2006/relationships" ref="A74" r:id="rId138"/>
    <hyperlink xmlns:r="http://schemas.openxmlformats.org/officeDocument/2006/relationships" ref="J74" r:id="rId139"/>
    <hyperlink xmlns:r="http://schemas.openxmlformats.org/officeDocument/2006/relationships" ref="A75" r:id="rId140"/>
    <hyperlink xmlns:r="http://schemas.openxmlformats.org/officeDocument/2006/relationships" ref="J75" r:id="rId141"/>
    <hyperlink xmlns:r="http://schemas.openxmlformats.org/officeDocument/2006/relationships" ref="A76" r:id="rId142"/>
    <hyperlink xmlns:r="http://schemas.openxmlformats.org/officeDocument/2006/relationships" ref="J76" r:id="rId143"/>
    <hyperlink xmlns:r="http://schemas.openxmlformats.org/officeDocument/2006/relationships" ref="A77" r:id="rId144"/>
    <hyperlink xmlns:r="http://schemas.openxmlformats.org/officeDocument/2006/relationships" ref="J77" r:id="rId145"/>
    <hyperlink xmlns:r="http://schemas.openxmlformats.org/officeDocument/2006/relationships" ref="A78" r:id="rId146"/>
    <hyperlink xmlns:r="http://schemas.openxmlformats.org/officeDocument/2006/relationships" ref="J78" r:id="rId147"/>
    <hyperlink xmlns:r="http://schemas.openxmlformats.org/officeDocument/2006/relationships" ref="A79" r:id="rId148"/>
    <hyperlink xmlns:r="http://schemas.openxmlformats.org/officeDocument/2006/relationships" ref="J79" r:id="rId149"/>
    <hyperlink xmlns:r="http://schemas.openxmlformats.org/officeDocument/2006/relationships" ref="A80" r:id="rId150"/>
    <hyperlink xmlns:r="http://schemas.openxmlformats.org/officeDocument/2006/relationships" ref="J80" r:id="rId151"/>
    <hyperlink xmlns:r="http://schemas.openxmlformats.org/officeDocument/2006/relationships" ref="A81" r:id="rId152"/>
    <hyperlink xmlns:r="http://schemas.openxmlformats.org/officeDocument/2006/relationships" ref="J81" r:id="rId153"/>
    <hyperlink xmlns:r="http://schemas.openxmlformats.org/officeDocument/2006/relationships" ref="A82" r:id="rId154"/>
    <hyperlink xmlns:r="http://schemas.openxmlformats.org/officeDocument/2006/relationships" ref="J82" r:id="rId155"/>
    <hyperlink xmlns:r="http://schemas.openxmlformats.org/officeDocument/2006/relationships" ref="A83" r:id="rId156"/>
    <hyperlink xmlns:r="http://schemas.openxmlformats.org/officeDocument/2006/relationships" ref="J83" r:id="rId157"/>
    <hyperlink xmlns:r="http://schemas.openxmlformats.org/officeDocument/2006/relationships" ref="A84" r:id="rId158"/>
    <hyperlink xmlns:r="http://schemas.openxmlformats.org/officeDocument/2006/relationships" ref="J84" r:id="rId159"/>
    <hyperlink xmlns:r="http://schemas.openxmlformats.org/officeDocument/2006/relationships" ref="A85" r:id="rId160"/>
    <hyperlink xmlns:r="http://schemas.openxmlformats.org/officeDocument/2006/relationships" ref="J85" r:id="rId161"/>
    <hyperlink xmlns:r="http://schemas.openxmlformats.org/officeDocument/2006/relationships" ref="A86" r:id="rId162"/>
    <hyperlink xmlns:r="http://schemas.openxmlformats.org/officeDocument/2006/relationships" ref="J86" r:id="rId163"/>
    <hyperlink xmlns:r="http://schemas.openxmlformats.org/officeDocument/2006/relationships" ref="A87" r:id="rId164"/>
    <hyperlink xmlns:r="http://schemas.openxmlformats.org/officeDocument/2006/relationships" ref="J87" r:id="rId165"/>
    <hyperlink xmlns:r="http://schemas.openxmlformats.org/officeDocument/2006/relationships" ref="A88" r:id="rId166"/>
    <hyperlink xmlns:r="http://schemas.openxmlformats.org/officeDocument/2006/relationships" ref="J88" r:id="rId167"/>
    <hyperlink xmlns:r="http://schemas.openxmlformats.org/officeDocument/2006/relationships" ref="A89" r:id="rId168"/>
    <hyperlink xmlns:r="http://schemas.openxmlformats.org/officeDocument/2006/relationships" ref="J89" r:id="rId169"/>
    <hyperlink xmlns:r="http://schemas.openxmlformats.org/officeDocument/2006/relationships" ref="A90" r:id="rId170"/>
    <hyperlink xmlns:r="http://schemas.openxmlformats.org/officeDocument/2006/relationships" ref="J90" r:id="rId171"/>
    <hyperlink xmlns:r="http://schemas.openxmlformats.org/officeDocument/2006/relationships" ref="A91" r:id="rId172"/>
    <hyperlink xmlns:r="http://schemas.openxmlformats.org/officeDocument/2006/relationships" ref="J91" r:id="rId173"/>
    <hyperlink xmlns:r="http://schemas.openxmlformats.org/officeDocument/2006/relationships" ref="A92" r:id="rId174"/>
    <hyperlink xmlns:r="http://schemas.openxmlformats.org/officeDocument/2006/relationships" ref="J92" r:id="rId175"/>
    <hyperlink xmlns:r="http://schemas.openxmlformats.org/officeDocument/2006/relationships" ref="A93" r:id="rId176"/>
    <hyperlink xmlns:r="http://schemas.openxmlformats.org/officeDocument/2006/relationships" ref="J93" r:id="rId177"/>
    <hyperlink xmlns:r="http://schemas.openxmlformats.org/officeDocument/2006/relationships" ref="A94" r:id="rId178"/>
    <hyperlink xmlns:r="http://schemas.openxmlformats.org/officeDocument/2006/relationships" ref="J94" r:id="rId179"/>
    <hyperlink xmlns:r="http://schemas.openxmlformats.org/officeDocument/2006/relationships" ref="A95" r:id="rId180"/>
    <hyperlink xmlns:r="http://schemas.openxmlformats.org/officeDocument/2006/relationships" ref="J95" r:id="rId181"/>
    <hyperlink xmlns:r="http://schemas.openxmlformats.org/officeDocument/2006/relationships" ref="A96" r:id="rId182"/>
    <hyperlink xmlns:r="http://schemas.openxmlformats.org/officeDocument/2006/relationships" ref="J96" r:id="rId183"/>
    <hyperlink xmlns:r="http://schemas.openxmlformats.org/officeDocument/2006/relationships" ref="A97" r:id="rId184"/>
    <hyperlink xmlns:r="http://schemas.openxmlformats.org/officeDocument/2006/relationships" ref="J97" r:id="rId185"/>
    <hyperlink xmlns:r="http://schemas.openxmlformats.org/officeDocument/2006/relationships" ref="A98" r:id="rId186"/>
    <hyperlink xmlns:r="http://schemas.openxmlformats.org/officeDocument/2006/relationships" ref="J98" r:id="rId187"/>
    <hyperlink xmlns:r="http://schemas.openxmlformats.org/officeDocument/2006/relationships" ref="A99" r:id="rId188"/>
    <hyperlink xmlns:r="http://schemas.openxmlformats.org/officeDocument/2006/relationships" ref="J99" r:id="rId189"/>
    <hyperlink xmlns:r="http://schemas.openxmlformats.org/officeDocument/2006/relationships" ref="A100" r:id="rId190"/>
    <hyperlink xmlns:r="http://schemas.openxmlformats.org/officeDocument/2006/relationships" ref="J100" r:id="rId191"/>
    <hyperlink xmlns:r="http://schemas.openxmlformats.org/officeDocument/2006/relationships" ref="A101" r:id="rId192"/>
    <hyperlink xmlns:r="http://schemas.openxmlformats.org/officeDocument/2006/relationships" ref="J101" r:id="rId193"/>
    <hyperlink xmlns:r="http://schemas.openxmlformats.org/officeDocument/2006/relationships" ref="A102" r:id="rId194"/>
    <hyperlink xmlns:r="http://schemas.openxmlformats.org/officeDocument/2006/relationships" ref="J102" r:id="rId195"/>
    <hyperlink xmlns:r="http://schemas.openxmlformats.org/officeDocument/2006/relationships" ref="A103" r:id="rId196"/>
    <hyperlink xmlns:r="http://schemas.openxmlformats.org/officeDocument/2006/relationships" ref="J103" r:id="rId197"/>
    <hyperlink xmlns:r="http://schemas.openxmlformats.org/officeDocument/2006/relationships" ref="A104" r:id="rId198"/>
    <hyperlink xmlns:r="http://schemas.openxmlformats.org/officeDocument/2006/relationships" ref="J104" r:id="rId199"/>
    <hyperlink xmlns:r="http://schemas.openxmlformats.org/officeDocument/2006/relationships" ref="A105" r:id="rId200"/>
    <hyperlink xmlns:r="http://schemas.openxmlformats.org/officeDocument/2006/relationships" ref="J105" r:id="rId201"/>
    <hyperlink xmlns:r="http://schemas.openxmlformats.org/officeDocument/2006/relationships" ref="A106" r:id="rId202"/>
    <hyperlink xmlns:r="http://schemas.openxmlformats.org/officeDocument/2006/relationships" ref="J106" r:id="rId203"/>
    <hyperlink xmlns:r="http://schemas.openxmlformats.org/officeDocument/2006/relationships" ref="A107" r:id="rId204"/>
    <hyperlink xmlns:r="http://schemas.openxmlformats.org/officeDocument/2006/relationships" ref="J107" r:id="rId205"/>
    <hyperlink xmlns:r="http://schemas.openxmlformats.org/officeDocument/2006/relationships" ref="A108" r:id="rId206"/>
    <hyperlink xmlns:r="http://schemas.openxmlformats.org/officeDocument/2006/relationships" ref="J108" r:id="rId207"/>
    <hyperlink xmlns:r="http://schemas.openxmlformats.org/officeDocument/2006/relationships" ref="A109" r:id="rId208"/>
    <hyperlink xmlns:r="http://schemas.openxmlformats.org/officeDocument/2006/relationships" ref="J109" r:id="rId209"/>
    <hyperlink xmlns:r="http://schemas.openxmlformats.org/officeDocument/2006/relationships" ref="A110" r:id="rId210"/>
    <hyperlink xmlns:r="http://schemas.openxmlformats.org/officeDocument/2006/relationships" ref="J110" r:id="rId211"/>
    <hyperlink xmlns:r="http://schemas.openxmlformats.org/officeDocument/2006/relationships" ref="A111" r:id="rId212"/>
    <hyperlink xmlns:r="http://schemas.openxmlformats.org/officeDocument/2006/relationships" ref="J111" r:id="rId213"/>
    <hyperlink xmlns:r="http://schemas.openxmlformats.org/officeDocument/2006/relationships" ref="A112" r:id="rId214"/>
    <hyperlink xmlns:r="http://schemas.openxmlformats.org/officeDocument/2006/relationships" ref="J112" r:id="rId215"/>
    <hyperlink xmlns:r="http://schemas.openxmlformats.org/officeDocument/2006/relationships" ref="A113" r:id="rId216"/>
    <hyperlink xmlns:r="http://schemas.openxmlformats.org/officeDocument/2006/relationships" ref="J113" r:id="rId217"/>
    <hyperlink xmlns:r="http://schemas.openxmlformats.org/officeDocument/2006/relationships" ref="A114" r:id="rId218"/>
    <hyperlink xmlns:r="http://schemas.openxmlformats.org/officeDocument/2006/relationships" ref="J114" r:id="rId219"/>
    <hyperlink xmlns:r="http://schemas.openxmlformats.org/officeDocument/2006/relationships" ref="A115" r:id="rId220"/>
    <hyperlink xmlns:r="http://schemas.openxmlformats.org/officeDocument/2006/relationships" ref="J115" r:id="rId221"/>
    <hyperlink xmlns:r="http://schemas.openxmlformats.org/officeDocument/2006/relationships" ref="A116" r:id="rId222"/>
    <hyperlink xmlns:r="http://schemas.openxmlformats.org/officeDocument/2006/relationships" ref="J116" r:id="rId223"/>
    <hyperlink xmlns:r="http://schemas.openxmlformats.org/officeDocument/2006/relationships" ref="A117" r:id="rId224"/>
    <hyperlink xmlns:r="http://schemas.openxmlformats.org/officeDocument/2006/relationships" ref="J117" r:id="rId225"/>
    <hyperlink xmlns:r="http://schemas.openxmlformats.org/officeDocument/2006/relationships" ref="A118" r:id="rId226"/>
    <hyperlink xmlns:r="http://schemas.openxmlformats.org/officeDocument/2006/relationships" ref="J118" r:id="rId227"/>
    <hyperlink xmlns:r="http://schemas.openxmlformats.org/officeDocument/2006/relationships" ref="A119" r:id="rId228"/>
    <hyperlink xmlns:r="http://schemas.openxmlformats.org/officeDocument/2006/relationships" ref="J119" r:id="rId229"/>
    <hyperlink xmlns:r="http://schemas.openxmlformats.org/officeDocument/2006/relationships" ref="A120" r:id="rId230"/>
    <hyperlink xmlns:r="http://schemas.openxmlformats.org/officeDocument/2006/relationships" ref="J120" r:id="rId231"/>
    <hyperlink xmlns:r="http://schemas.openxmlformats.org/officeDocument/2006/relationships" ref="A121" r:id="rId232"/>
    <hyperlink xmlns:r="http://schemas.openxmlformats.org/officeDocument/2006/relationships" ref="J121" r:id="rId233"/>
    <hyperlink xmlns:r="http://schemas.openxmlformats.org/officeDocument/2006/relationships" ref="A122" r:id="rId234"/>
    <hyperlink xmlns:r="http://schemas.openxmlformats.org/officeDocument/2006/relationships" ref="J122" r:id="rId235"/>
    <hyperlink xmlns:r="http://schemas.openxmlformats.org/officeDocument/2006/relationships" ref="A123" r:id="rId236"/>
    <hyperlink xmlns:r="http://schemas.openxmlformats.org/officeDocument/2006/relationships" ref="J123" r:id="rId237"/>
    <hyperlink xmlns:r="http://schemas.openxmlformats.org/officeDocument/2006/relationships" ref="A124" r:id="rId238"/>
    <hyperlink xmlns:r="http://schemas.openxmlformats.org/officeDocument/2006/relationships" ref="J124" r:id="rId239"/>
    <hyperlink xmlns:r="http://schemas.openxmlformats.org/officeDocument/2006/relationships" ref="A125" r:id="rId240"/>
    <hyperlink xmlns:r="http://schemas.openxmlformats.org/officeDocument/2006/relationships" ref="J125" r:id="rId241"/>
    <hyperlink xmlns:r="http://schemas.openxmlformats.org/officeDocument/2006/relationships" ref="A126" r:id="rId242"/>
    <hyperlink xmlns:r="http://schemas.openxmlformats.org/officeDocument/2006/relationships" ref="J126" r:id="rId243"/>
    <hyperlink xmlns:r="http://schemas.openxmlformats.org/officeDocument/2006/relationships" ref="A127" r:id="rId244"/>
    <hyperlink xmlns:r="http://schemas.openxmlformats.org/officeDocument/2006/relationships" ref="J127" r:id="rId245"/>
    <hyperlink xmlns:r="http://schemas.openxmlformats.org/officeDocument/2006/relationships" ref="A128" r:id="rId246"/>
    <hyperlink xmlns:r="http://schemas.openxmlformats.org/officeDocument/2006/relationships" ref="J128" r:id="rId247"/>
    <hyperlink xmlns:r="http://schemas.openxmlformats.org/officeDocument/2006/relationships" ref="A129" r:id="rId248"/>
    <hyperlink xmlns:r="http://schemas.openxmlformats.org/officeDocument/2006/relationships" ref="J129" r:id="rId249"/>
    <hyperlink xmlns:r="http://schemas.openxmlformats.org/officeDocument/2006/relationships" ref="A130" r:id="rId250"/>
    <hyperlink xmlns:r="http://schemas.openxmlformats.org/officeDocument/2006/relationships" ref="J130" r:id="rId251"/>
    <hyperlink xmlns:r="http://schemas.openxmlformats.org/officeDocument/2006/relationships" ref="A131" r:id="rId252"/>
    <hyperlink xmlns:r="http://schemas.openxmlformats.org/officeDocument/2006/relationships" ref="J131" r:id="rId253"/>
    <hyperlink xmlns:r="http://schemas.openxmlformats.org/officeDocument/2006/relationships" ref="A132" r:id="rId254"/>
    <hyperlink xmlns:r="http://schemas.openxmlformats.org/officeDocument/2006/relationships" ref="J132" r:id="rId255"/>
    <hyperlink xmlns:r="http://schemas.openxmlformats.org/officeDocument/2006/relationships" ref="A133" r:id="rId256"/>
    <hyperlink xmlns:r="http://schemas.openxmlformats.org/officeDocument/2006/relationships" ref="J133" r:id="rId257"/>
    <hyperlink xmlns:r="http://schemas.openxmlformats.org/officeDocument/2006/relationships" ref="A134" r:id="rId258"/>
    <hyperlink xmlns:r="http://schemas.openxmlformats.org/officeDocument/2006/relationships" ref="J134" r:id="rId259"/>
    <hyperlink xmlns:r="http://schemas.openxmlformats.org/officeDocument/2006/relationships" ref="A135" r:id="rId260"/>
    <hyperlink xmlns:r="http://schemas.openxmlformats.org/officeDocument/2006/relationships" ref="J135" r:id="rId261"/>
    <hyperlink xmlns:r="http://schemas.openxmlformats.org/officeDocument/2006/relationships" ref="A136" r:id="rId262"/>
    <hyperlink xmlns:r="http://schemas.openxmlformats.org/officeDocument/2006/relationships" ref="J136" r:id="rId263"/>
    <hyperlink xmlns:r="http://schemas.openxmlformats.org/officeDocument/2006/relationships" ref="A137" r:id="rId264"/>
    <hyperlink xmlns:r="http://schemas.openxmlformats.org/officeDocument/2006/relationships" ref="J137" r:id="rId265"/>
    <hyperlink xmlns:r="http://schemas.openxmlformats.org/officeDocument/2006/relationships" ref="A138" r:id="rId266"/>
    <hyperlink xmlns:r="http://schemas.openxmlformats.org/officeDocument/2006/relationships" ref="J138" r:id="rId267"/>
    <hyperlink xmlns:r="http://schemas.openxmlformats.org/officeDocument/2006/relationships" ref="A139" r:id="rId268"/>
    <hyperlink xmlns:r="http://schemas.openxmlformats.org/officeDocument/2006/relationships" ref="J139" r:id="rId269"/>
    <hyperlink xmlns:r="http://schemas.openxmlformats.org/officeDocument/2006/relationships" ref="A140" r:id="rId270"/>
    <hyperlink xmlns:r="http://schemas.openxmlformats.org/officeDocument/2006/relationships" ref="J140" r:id="rId271"/>
    <hyperlink xmlns:r="http://schemas.openxmlformats.org/officeDocument/2006/relationships" ref="A141" r:id="rId272"/>
    <hyperlink xmlns:r="http://schemas.openxmlformats.org/officeDocument/2006/relationships" ref="J141" r:id="rId273"/>
    <hyperlink xmlns:r="http://schemas.openxmlformats.org/officeDocument/2006/relationships" ref="A142" r:id="rId274"/>
    <hyperlink xmlns:r="http://schemas.openxmlformats.org/officeDocument/2006/relationships" ref="J142" r:id="rId275"/>
    <hyperlink xmlns:r="http://schemas.openxmlformats.org/officeDocument/2006/relationships" ref="A143" r:id="rId276"/>
    <hyperlink xmlns:r="http://schemas.openxmlformats.org/officeDocument/2006/relationships" ref="J143" r:id="rId277"/>
    <hyperlink xmlns:r="http://schemas.openxmlformats.org/officeDocument/2006/relationships" ref="A144" r:id="rId278"/>
    <hyperlink xmlns:r="http://schemas.openxmlformats.org/officeDocument/2006/relationships" ref="J144" r:id="rId279"/>
    <hyperlink xmlns:r="http://schemas.openxmlformats.org/officeDocument/2006/relationships" ref="A145" r:id="rId280"/>
    <hyperlink xmlns:r="http://schemas.openxmlformats.org/officeDocument/2006/relationships" ref="J145" r:id="rId281"/>
    <hyperlink xmlns:r="http://schemas.openxmlformats.org/officeDocument/2006/relationships" ref="A146" r:id="rId282"/>
    <hyperlink xmlns:r="http://schemas.openxmlformats.org/officeDocument/2006/relationships" ref="J146" r:id="rId283"/>
    <hyperlink xmlns:r="http://schemas.openxmlformats.org/officeDocument/2006/relationships" ref="A147" r:id="rId284"/>
    <hyperlink xmlns:r="http://schemas.openxmlformats.org/officeDocument/2006/relationships" ref="J147" r:id="rId285"/>
    <hyperlink xmlns:r="http://schemas.openxmlformats.org/officeDocument/2006/relationships" ref="A148" r:id="rId286"/>
    <hyperlink xmlns:r="http://schemas.openxmlformats.org/officeDocument/2006/relationships" ref="J148" r:id="rId287"/>
    <hyperlink xmlns:r="http://schemas.openxmlformats.org/officeDocument/2006/relationships" ref="A149" r:id="rId288"/>
    <hyperlink xmlns:r="http://schemas.openxmlformats.org/officeDocument/2006/relationships" ref="J149" r:id="rId289"/>
    <hyperlink xmlns:r="http://schemas.openxmlformats.org/officeDocument/2006/relationships" ref="A150" r:id="rId290"/>
    <hyperlink xmlns:r="http://schemas.openxmlformats.org/officeDocument/2006/relationships" ref="J150" r:id="rId291"/>
    <hyperlink xmlns:r="http://schemas.openxmlformats.org/officeDocument/2006/relationships" ref="A151" r:id="rId292"/>
    <hyperlink xmlns:r="http://schemas.openxmlformats.org/officeDocument/2006/relationships" ref="J151" r:id="rId293"/>
    <hyperlink xmlns:r="http://schemas.openxmlformats.org/officeDocument/2006/relationships" ref="A152" r:id="rId294"/>
    <hyperlink xmlns:r="http://schemas.openxmlformats.org/officeDocument/2006/relationships" ref="J152" r:id="rId295"/>
    <hyperlink xmlns:r="http://schemas.openxmlformats.org/officeDocument/2006/relationships" ref="A153" r:id="rId296"/>
    <hyperlink xmlns:r="http://schemas.openxmlformats.org/officeDocument/2006/relationships" ref="J153" r:id="rId297"/>
    <hyperlink xmlns:r="http://schemas.openxmlformats.org/officeDocument/2006/relationships" ref="A154" r:id="rId298"/>
    <hyperlink xmlns:r="http://schemas.openxmlformats.org/officeDocument/2006/relationships" ref="J154" r:id="rId299"/>
    <hyperlink xmlns:r="http://schemas.openxmlformats.org/officeDocument/2006/relationships" ref="A155" r:id="rId300"/>
    <hyperlink xmlns:r="http://schemas.openxmlformats.org/officeDocument/2006/relationships" ref="J155" r:id="rId301"/>
    <hyperlink xmlns:r="http://schemas.openxmlformats.org/officeDocument/2006/relationships" ref="A156" r:id="rId302"/>
    <hyperlink xmlns:r="http://schemas.openxmlformats.org/officeDocument/2006/relationships" ref="J156" r:id="rId303"/>
    <hyperlink xmlns:r="http://schemas.openxmlformats.org/officeDocument/2006/relationships" ref="A157" r:id="rId304"/>
    <hyperlink xmlns:r="http://schemas.openxmlformats.org/officeDocument/2006/relationships" ref="J157" r:id="rId305"/>
    <hyperlink xmlns:r="http://schemas.openxmlformats.org/officeDocument/2006/relationships" ref="A158" r:id="rId306"/>
    <hyperlink xmlns:r="http://schemas.openxmlformats.org/officeDocument/2006/relationships" ref="J158" r:id="rId307"/>
    <hyperlink xmlns:r="http://schemas.openxmlformats.org/officeDocument/2006/relationships" ref="A159" r:id="rId308"/>
    <hyperlink xmlns:r="http://schemas.openxmlformats.org/officeDocument/2006/relationships" ref="J159" r:id="rId309"/>
    <hyperlink xmlns:r="http://schemas.openxmlformats.org/officeDocument/2006/relationships" ref="A160" r:id="rId310"/>
    <hyperlink xmlns:r="http://schemas.openxmlformats.org/officeDocument/2006/relationships" ref="J160" r:id="rId311"/>
    <hyperlink xmlns:r="http://schemas.openxmlformats.org/officeDocument/2006/relationships" ref="A161" r:id="rId312"/>
    <hyperlink xmlns:r="http://schemas.openxmlformats.org/officeDocument/2006/relationships" ref="J161" r:id="rId313"/>
    <hyperlink xmlns:r="http://schemas.openxmlformats.org/officeDocument/2006/relationships" ref="A162" r:id="rId314"/>
    <hyperlink xmlns:r="http://schemas.openxmlformats.org/officeDocument/2006/relationships" ref="J162" r:id="rId315"/>
    <hyperlink xmlns:r="http://schemas.openxmlformats.org/officeDocument/2006/relationships" ref="A163" r:id="rId316"/>
    <hyperlink xmlns:r="http://schemas.openxmlformats.org/officeDocument/2006/relationships" ref="J163" r:id="rId317"/>
    <hyperlink xmlns:r="http://schemas.openxmlformats.org/officeDocument/2006/relationships" ref="A164" r:id="rId318"/>
    <hyperlink xmlns:r="http://schemas.openxmlformats.org/officeDocument/2006/relationships" ref="J164" r:id="rId319"/>
    <hyperlink xmlns:r="http://schemas.openxmlformats.org/officeDocument/2006/relationships" ref="A165" r:id="rId320"/>
    <hyperlink xmlns:r="http://schemas.openxmlformats.org/officeDocument/2006/relationships" ref="J165" r:id="rId321"/>
    <hyperlink xmlns:r="http://schemas.openxmlformats.org/officeDocument/2006/relationships" ref="A166" r:id="rId322"/>
    <hyperlink xmlns:r="http://schemas.openxmlformats.org/officeDocument/2006/relationships" ref="J166" r:id="rId323"/>
    <hyperlink xmlns:r="http://schemas.openxmlformats.org/officeDocument/2006/relationships" ref="A167" r:id="rId324"/>
    <hyperlink xmlns:r="http://schemas.openxmlformats.org/officeDocument/2006/relationships" ref="J167" r:id="rId325"/>
    <hyperlink xmlns:r="http://schemas.openxmlformats.org/officeDocument/2006/relationships" ref="A168" r:id="rId326"/>
    <hyperlink xmlns:r="http://schemas.openxmlformats.org/officeDocument/2006/relationships" ref="J168" r:id="rId327"/>
    <hyperlink xmlns:r="http://schemas.openxmlformats.org/officeDocument/2006/relationships" ref="A169" r:id="rId328"/>
    <hyperlink xmlns:r="http://schemas.openxmlformats.org/officeDocument/2006/relationships" ref="J169" r:id="rId329"/>
    <hyperlink xmlns:r="http://schemas.openxmlformats.org/officeDocument/2006/relationships" ref="A170" r:id="rId330"/>
    <hyperlink xmlns:r="http://schemas.openxmlformats.org/officeDocument/2006/relationships" ref="J170" r:id="rId331"/>
    <hyperlink xmlns:r="http://schemas.openxmlformats.org/officeDocument/2006/relationships" ref="A171" r:id="rId332"/>
    <hyperlink xmlns:r="http://schemas.openxmlformats.org/officeDocument/2006/relationships" ref="J171" r:id="rId333"/>
    <hyperlink xmlns:r="http://schemas.openxmlformats.org/officeDocument/2006/relationships" ref="A172" r:id="rId334"/>
    <hyperlink xmlns:r="http://schemas.openxmlformats.org/officeDocument/2006/relationships" ref="J172" r:id="rId335"/>
    <hyperlink xmlns:r="http://schemas.openxmlformats.org/officeDocument/2006/relationships" ref="A173" r:id="rId336"/>
    <hyperlink xmlns:r="http://schemas.openxmlformats.org/officeDocument/2006/relationships" ref="J173" r:id="rId337"/>
    <hyperlink xmlns:r="http://schemas.openxmlformats.org/officeDocument/2006/relationships" ref="A174" r:id="rId338"/>
    <hyperlink xmlns:r="http://schemas.openxmlformats.org/officeDocument/2006/relationships" ref="J174" r:id="rId339"/>
    <hyperlink xmlns:r="http://schemas.openxmlformats.org/officeDocument/2006/relationships" ref="A175" r:id="rId340"/>
    <hyperlink xmlns:r="http://schemas.openxmlformats.org/officeDocument/2006/relationships" ref="J175" r:id="rId341"/>
    <hyperlink xmlns:r="http://schemas.openxmlformats.org/officeDocument/2006/relationships" ref="A176" r:id="rId342"/>
    <hyperlink xmlns:r="http://schemas.openxmlformats.org/officeDocument/2006/relationships" ref="J176" r:id="rId343"/>
    <hyperlink xmlns:r="http://schemas.openxmlformats.org/officeDocument/2006/relationships" ref="A177" r:id="rId344"/>
    <hyperlink xmlns:r="http://schemas.openxmlformats.org/officeDocument/2006/relationships" ref="J177" r:id="rId345"/>
    <hyperlink xmlns:r="http://schemas.openxmlformats.org/officeDocument/2006/relationships" ref="A178" r:id="rId346"/>
    <hyperlink xmlns:r="http://schemas.openxmlformats.org/officeDocument/2006/relationships" ref="J178" r:id="rId347"/>
    <hyperlink xmlns:r="http://schemas.openxmlformats.org/officeDocument/2006/relationships" ref="A179" r:id="rId348"/>
    <hyperlink xmlns:r="http://schemas.openxmlformats.org/officeDocument/2006/relationships" ref="J179" r:id="rId349"/>
    <hyperlink xmlns:r="http://schemas.openxmlformats.org/officeDocument/2006/relationships" ref="A180" r:id="rId350"/>
    <hyperlink xmlns:r="http://schemas.openxmlformats.org/officeDocument/2006/relationships" ref="J180" r:id="rId351"/>
    <hyperlink xmlns:r="http://schemas.openxmlformats.org/officeDocument/2006/relationships" ref="A181" r:id="rId352"/>
    <hyperlink xmlns:r="http://schemas.openxmlformats.org/officeDocument/2006/relationships" ref="J181" r:id="rId353"/>
    <hyperlink xmlns:r="http://schemas.openxmlformats.org/officeDocument/2006/relationships" ref="A182" r:id="rId354"/>
    <hyperlink xmlns:r="http://schemas.openxmlformats.org/officeDocument/2006/relationships" ref="J182" r:id="rId355"/>
    <hyperlink xmlns:r="http://schemas.openxmlformats.org/officeDocument/2006/relationships" ref="A183" r:id="rId356"/>
    <hyperlink xmlns:r="http://schemas.openxmlformats.org/officeDocument/2006/relationships" ref="J183" r:id="rId357"/>
    <hyperlink xmlns:r="http://schemas.openxmlformats.org/officeDocument/2006/relationships" ref="A184" r:id="rId358"/>
    <hyperlink xmlns:r="http://schemas.openxmlformats.org/officeDocument/2006/relationships" ref="J184" r:id="rId359"/>
    <hyperlink xmlns:r="http://schemas.openxmlformats.org/officeDocument/2006/relationships" ref="A185" r:id="rId360"/>
    <hyperlink xmlns:r="http://schemas.openxmlformats.org/officeDocument/2006/relationships" ref="J185" r:id="rId361"/>
    <hyperlink xmlns:r="http://schemas.openxmlformats.org/officeDocument/2006/relationships" ref="A186" r:id="rId362"/>
    <hyperlink xmlns:r="http://schemas.openxmlformats.org/officeDocument/2006/relationships" ref="J186" r:id="rId363"/>
    <hyperlink xmlns:r="http://schemas.openxmlformats.org/officeDocument/2006/relationships" ref="A187" r:id="rId364"/>
    <hyperlink xmlns:r="http://schemas.openxmlformats.org/officeDocument/2006/relationships" ref="J187" r:id="rId365"/>
    <hyperlink xmlns:r="http://schemas.openxmlformats.org/officeDocument/2006/relationships" ref="A188" r:id="rId366"/>
    <hyperlink xmlns:r="http://schemas.openxmlformats.org/officeDocument/2006/relationships" ref="J188" r:id="rId367"/>
    <hyperlink xmlns:r="http://schemas.openxmlformats.org/officeDocument/2006/relationships" ref="A189" r:id="rId368"/>
    <hyperlink xmlns:r="http://schemas.openxmlformats.org/officeDocument/2006/relationships" ref="J189" r:id="rId369"/>
    <hyperlink xmlns:r="http://schemas.openxmlformats.org/officeDocument/2006/relationships" ref="A190" r:id="rId370"/>
    <hyperlink xmlns:r="http://schemas.openxmlformats.org/officeDocument/2006/relationships" ref="J190" r:id="rId371"/>
    <hyperlink xmlns:r="http://schemas.openxmlformats.org/officeDocument/2006/relationships" ref="A191" r:id="rId372"/>
    <hyperlink xmlns:r="http://schemas.openxmlformats.org/officeDocument/2006/relationships" ref="J191" r:id="rId373"/>
    <hyperlink xmlns:r="http://schemas.openxmlformats.org/officeDocument/2006/relationships" ref="A192" r:id="rId374"/>
    <hyperlink xmlns:r="http://schemas.openxmlformats.org/officeDocument/2006/relationships" ref="J192" r:id="rId375"/>
    <hyperlink xmlns:r="http://schemas.openxmlformats.org/officeDocument/2006/relationships" ref="A193" r:id="rId376"/>
    <hyperlink xmlns:r="http://schemas.openxmlformats.org/officeDocument/2006/relationships" ref="J193" r:id="rId377"/>
    <hyperlink xmlns:r="http://schemas.openxmlformats.org/officeDocument/2006/relationships" ref="A194" r:id="rId378"/>
    <hyperlink xmlns:r="http://schemas.openxmlformats.org/officeDocument/2006/relationships" ref="J194" r:id="rId379"/>
    <hyperlink xmlns:r="http://schemas.openxmlformats.org/officeDocument/2006/relationships" ref="A195" r:id="rId380"/>
    <hyperlink xmlns:r="http://schemas.openxmlformats.org/officeDocument/2006/relationships" ref="J195" r:id="rId381"/>
    <hyperlink xmlns:r="http://schemas.openxmlformats.org/officeDocument/2006/relationships" ref="A196" r:id="rId382"/>
    <hyperlink xmlns:r="http://schemas.openxmlformats.org/officeDocument/2006/relationships" ref="J196" r:id="rId383"/>
    <hyperlink xmlns:r="http://schemas.openxmlformats.org/officeDocument/2006/relationships" ref="A197" r:id="rId384"/>
    <hyperlink xmlns:r="http://schemas.openxmlformats.org/officeDocument/2006/relationships" ref="J197" r:id="rId385"/>
    <hyperlink xmlns:r="http://schemas.openxmlformats.org/officeDocument/2006/relationships" ref="A198" r:id="rId386"/>
    <hyperlink xmlns:r="http://schemas.openxmlformats.org/officeDocument/2006/relationships" ref="J198" r:id="rId387"/>
    <hyperlink xmlns:r="http://schemas.openxmlformats.org/officeDocument/2006/relationships" ref="A199" r:id="rId388"/>
    <hyperlink xmlns:r="http://schemas.openxmlformats.org/officeDocument/2006/relationships" ref="J199" r:id="rId389"/>
    <hyperlink xmlns:r="http://schemas.openxmlformats.org/officeDocument/2006/relationships" ref="A200" r:id="rId390"/>
    <hyperlink xmlns:r="http://schemas.openxmlformats.org/officeDocument/2006/relationships" ref="J200" r:id="rId391"/>
    <hyperlink xmlns:r="http://schemas.openxmlformats.org/officeDocument/2006/relationships" ref="A201" r:id="rId392"/>
    <hyperlink xmlns:r="http://schemas.openxmlformats.org/officeDocument/2006/relationships" ref="J201" r:id="rId393"/>
    <hyperlink xmlns:r="http://schemas.openxmlformats.org/officeDocument/2006/relationships" ref="A202" r:id="rId394"/>
    <hyperlink xmlns:r="http://schemas.openxmlformats.org/officeDocument/2006/relationships" ref="J202" r:id="rId395"/>
    <hyperlink xmlns:r="http://schemas.openxmlformats.org/officeDocument/2006/relationships" ref="A203" r:id="rId396"/>
    <hyperlink xmlns:r="http://schemas.openxmlformats.org/officeDocument/2006/relationships" ref="J203" r:id="rId397"/>
    <hyperlink xmlns:r="http://schemas.openxmlformats.org/officeDocument/2006/relationships" ref="A204" r:id="rId398"/>
    <hyperlink xmlns:r="http://schemas.openxmlformats.org/officeDocument/2006/relationships" ref="J204" r:id="rId399"/>
    <hyperlink xmlns:r="http://schemas.openxmlformats.org/officeDocument/2006/relationships" ref="A205" r:id="rId400"/>
    <hyperlink xmlns:r="http://schemas.openxmlformats.org/officeDocument/2006/relationships" ref="J205" r:id="rId401"/>
    <hyperlink xmlns:r="http://schemas.openxmlformats.org/officeDocument/2006/relationships" ref="A206" r:id="rId402"/>
    <hyperlink xmlns:r="http://schemas.openxmlformats.org/officeDocument/2006/relationships" ref="J206" r:id="rId403"/>
    <hyperlink xmlns:r="http://schemas.openxmlformats.org/officeDocument/2006/relationships" ref="A207" r:id="rId404"/>
    <hyperlink xmlns:r="http://schemas.openxmlformats.org/officeDocument/2006/relationships" ref="J207" r:id="rId405"/>
    <hyperlink xmlns:r="http://schemas.openxmlformats.org/officeDocument/2006/relationships" ref="A208" r:id="rId406"/>
    <hyperlink xmlns:r="http://schemas.openxmlformats.org/officeDocument/2006/relationships" ref="J208" r:id="rId407"/>
    <hyperlink xmlns:r="http://schemas.openxmlformats.org/officeDocument/2006/relationships" ref="A209" r:id="rId408"/>
    <hyperlink xmlns:r="http://schemas.openxmlformats.org/officeDocument/2006/relationships" ref="J209" r:id="rId409"/>
    <hyperlink xmlns:r="http://schemas.openxmlformats.org/officeDocument/2006/relationships" ref="A210" r:id="rId410"/>
    <hyperlink xmlns:r="http://schemas.openxmlformats.org/officeDocument/2006/relationships" ref="J210" r:id="rId411"/>
    <hyperlink xmlns:r="http://schemas.openxmlformats.org/officeDocument/2006/relationships" ref="A211" r:id="rId412"/>
    <hyperlink xmlns:r="http://schemas.openxmlformats.org/officeDocument/2006/relationships" ref="J211" r:id="rId413"/>
    <hyperlink xmlns:r="http://schemas.openxmlformats.org/officeDocument/2006/relationships" ref="A212" r:id="rId414"/>
    <hyperlink xmlns:r="http://schemas.openxmlformats.org/officeDocument/2006/relationships" ref="J212" r:id="rId415"/>
    <hyperlink xmlns:r="http://schemas.openxmlformats.org/officeDocument/2006/relationships" ref="A213" r:id="rId416"/>
    <hyperlink xmlns:r="http://schemas.openxmlformats.org/officeDocument/2006/relationships" ref="J213" r:id="rId417"/>
    <hyperlink xmlns:r="http://schemas.openxmlformats.org/officeDocument/2006/relationships" ref="A214" r:id="rId418"/>
    <hyperlink xmlns:r="http://schemas.openxmlformats.org/officeDocument/2006/relationships" ref="J214" r:id="rId419"/>
    <hyperlink xmlns:r="http://schemas.openxmlformats.org/officeDocument/2006/relationships" ref="A215" r:id="rId420"/>
    <hyperlink xmlns:r="http://schemas.openxmlformats.org/officeDocument/2006/relationships" ref="J215" r:id="rId421"/>
    <hyperlink xmlns:r="http://schemas.openxmlformats.org/officeDocument/2006/relationships" ref="A216" r:id="rId422"/>
    <hyperlink xmlns:r="http://schemas.openxmlformats.org/officeDocument/2006/relationships" ref="J216" r:id="rId423"/>
    <hyperlink xmlns:r="http://schemas.openxmlformats.org/officeDocument/2006/relationships" ref="A217" r:id="rId424"/>
    <hyperlink xmlns:r="http://schemas.openxmlformats.org/officeDocument/2006/relationships" ref="J217" r:id="rId425"/>
    <hyperlink xmlns:r="http://schemas.openxmlformats.org/officeDocument/2006/relationships" ref="A218" r:id="rId426"/>
    <hyperlink xmlns:r="http://schemas.openxmlformats.org/officeDocument/2006/relationships" ref="J218" r:id="rId427"/>
    <hyperlink xmlns:r="http://schemas.openxmlformats.org/officeDocument/2006/relationships" ref="A219" r:id="rId428"/>
    <hyperlink xmlns:r="http://schemas.openxmlformats.org/officeDocument/2006/relationships" ref="J219" r:id="rId429"/>
    <hyperlink xmlns:r="http://schemas.openxmlformats.org/officeDocument/2006/relationships" ref="A220" r:id="rId430"/>
    <hyperlink xmlns:r="http://schemas.openxmlformats.org/officeDocument/2006/relationships" ref="J220" r:id="rId431"/>
    <hyperlink xmlns:r="http://schemas.openxmlformats.org/officeDocument/2006/relationships" ref="A221" r:id="rId432"/>
    <hyperlink xmlns:r="http://schemas.openxmlformats.org/officeDocument/2006/relationships" ref="J221" r:id="rId433"/>
    <hyperlink xmlns:r="http://schemas.openxmlformats.org/officeDocument/2006/relationships" ref="A222" r:id="rId434"/>
    <hyperlink xmlns:r="http://schemas.openxmlformats.org/officeDocument/2006/relationships" ref="J222" r:id="rId435"/>
    <hyperlink xmlns:r="http://schemas.openxmlformats.org/officeDocument/2006/relationships" ref="A223" r:id="rId436"/>
    <hyperlink xmlns:r="http://schemas.openxmlformats.org/officeDocument/2006/relationships" ref="J223" r:id="rId437"/>
    <hyperlink xmlns:r="http://schemas.openxmlformats.org/officeDocument/2006/relationships" ref="A224" r:id="rId438"/>
    <hyperlink xmlns:r="http://schemas.openxmlformats.org/officeDocument/2006/relationships" ref="J224" r:id="rId439"/>
    <hyperlink xmlns:r="http://schemas.openxmlformats.org/officeDocument/2006/relationships" ref="A225" r:id="rId440"/>
    <hyperlink xmlns:r="http://schemas.openxmlformats.org/officeDocument/2006/relationships" ref="J225" r:id="rId441"/>
    <hyperlink xmlns:r="http://schemas.openxmlformats.org/officeDocument/2006/relationships" ref="A226" r:id="rId442"/>
    <hyperlink xmlns:r="http://schemas.openxmlformats.org/officeDocument/2006/relationships" ref="J226" r:id="rId443"/>
    <hyperlink xmlns:r="http://schemas.openxmlformats.org/officeDocument/2006/relationships" ref="A227" r:id="rId444"/>
    <hyperlink xmlns:r="http://schemas.openxmlformats.org/officeDocument/2006/relationships" ref="J227" r:id="rId445"/>
    <hyperlink xmlns:r="http://schemas.openxmlformats.org/officeDocument/2006/relationships" ref="A228" r:id="rId446"/>
    <hyperlink xmlns:r="http://schemas.openxmlformats.org/officeDocument/2006/relationships" ref="J228" r:id="rId447"/>
    <hyperlink xmlns:r="http://schemas.openxmlformats.org/officeDocument/2006/relationships" ref="A229" r:id="rId448"/>
    <hyperlink xmlns:r="http://schemas.openxmlformats.org/officeDocument/2006/relationships" ref="J229" r:id="rId449"/>
    <hyperlink xmlns:r="http://schemas.openxmlformats.org/officeDocument/2006/relationships" ref="A230" r:id="rId450"/>
    <hyperlink xmlns:r="http://schemas.openxmlformats.org/officeDocument/2006/relationships" ref="J230" r:id="rId451"/>
    <hyperlink xmlns:r="http://schemas.openxmlformats.org/officeDocument/2006/relationships" ref="A231" r:id="rId452"/>
    <hyperlink xmlns:r="http://schemas.openxmlformats.org/officeDocument/2006/relationships" ref="J231" r:id="rId453"/>
    <hyperlink xmlns:r="http://schemas.openxmlformats.org/officeDocument/2006/relationships" ref="A232" r:id="rId454"/>
    <hyperlink xmlns:r="http://schemas.openxmlformats.org/officeDocument/2006/relationships" ref="J232" r:id="rId455"/>
    <hyperlink xmlns:r="http://schemas.openxmlformats.org/officeDocument/2006/relationships" ref="A233" r:id="rId456"/>
    <hyperlink xmlns:r="http://schemas.openxmlformats.org/officeDocument/2006/relationships" ref="J233" r:id="rId457"/>
    <hyperlink xmlns:r="http://schemas.openxmlformats.org/officeDocument/2006/relationships" ref="A234" r:id="rId458"/>
    <hyperlink xmlns:r="http://schemas.openxmlformats.org/officeDocument/2006/relationships" ref="J234" r:id="rId459"/>
    <hyperlink xmlns:r="http://schemas.openxmlformats.org/officeDocument/2006/relationships" ref="A235" r:id="rId460"/>
    <hyperlink xmlns:r="http://schemas.openxmlformats.org/officeDocument/2006/relationships" ref="J235" r:id="rId461"/>
    <hyperlink xmlns:r="http://schemas.openxmlformats.org/officeDocument/2006/relationships" ref="A236" r:id="rId462"/>
    <hyperlink xmlns:r="http://schemas.openxmlformats.org/officeDocument/2006/relationships" ref="J236" r:id="rId463"/>
    <hyperlink xmlns:r="http://schemas.openxmlformats.org/officeDocument/2006/relationships" ref="A237" r:id="rId464"/>
    <hyperlink xmlns:r="http://schemas.openxmlformats.org/officeDocument/2006/relationships" ref="J237" r:id="rId465"/>
    <hyperlink xmlns:r="http://schemas.openxmlformats.org/officeDocument/2006/relationships" ref="A238" r:id="rId466"/>
    <hyperlink xmlns:r="http://schemas.openxmlformats.org/officeDocument/2006/relationships" ref="J238" r:id="rId467"/>
    <hyperlink xmlns:r="http://schemas.openxmlformats.org/officeDocument/2006/relationships" ref="A239" r:id="rId468"/>
    <hyperlink xmlns:r="http://schemas.openxmlformats.org/officeDocument/2006/relationships" ref="J239" r:id="rId469"/>
    <hyperlink xmlns:r="http://schemas.openxmlformats.org/officeDocument/2006/relationships" ref="A240" r:id="rId470"/>
    <hyperlink xmlns:r="http://schemas.openxmlformats.org/officeDocument/2006/relationships" ref="J240" r:id="rId471"/>
    <hyperlink xmlns:r="http://schemas.openxmlformats.org/officeDocument/2006/relationships" ref="A241" r:id="rId472"/>
    <hyperlink xmlns:r="http://schemas.openxmlformats.org/officeDocument/2006/relationships" ref="J241" r:id="rId473"/>
    <hyperlink xmlns:r="http://schemas.openxmlformats.org/officeDocument/2006/relationships" ref="A242" r:id="rId474"/>
    <hyperlink xmlns:r="http://schemas.openxmlformats.org/officeDocument/2006/relationships" ref="J242" r:id="rId475"/>
    <hyperlink xmlns:r="http://schemas.openxmlformats.org/officeDocument/2006/relationships" ref="A243" r:id="rId476"/>
    <hyperlink xmlns:r="http://schemas.openxmlformats.org/officeDocument/2006/relationships" ref="J243" r:id="rId477"/>
    <hyperlink xmlns:r="http://schemas.openxmlformats.org/officeDocument/2006/relationships" ref="A244" r:id="rId478"/>
    <hyperlink xmlns:r="http://schemas.openxmlformats.org/officeDocument/2006/relationships" ref="J244" r:id="rId479"/>
    <hyperlink xmlns:r="http://schemas.openxmlformats.org/officeDocument/2006/relationships" ref="A245" r:id="rId480"/>
    <hyperlink xmlns:r="http://schemas.openxmlformats.org/officeDocument/2006/relationships" ref="J245" r:id="rId481"/>
    <hyperlink xmlns:r="http://schemas.openxmlformats.org/officeDocument/2006/relationships" ref="A246" r:id="rId482"/>
    <hyperlink xmlns:r="http://schemas.openxmlformats.org/officeDocument/2006/relationships" ref="J246" r:id="rId483"/>
    <hyperlink xmlns:r="http://schemas.openxmlformats.org/officeDocument/2006/relationships" ref="A247" r:id="rId484"/>
    <hyperlink xmlns:r="http://schemas.openxmlformats.org/officeDocument/2006/relationships" ref="J247" r:id="rId485"/>
    <hyperlink xmlns:r="http://schemas.openxmlformats.org/officeDocument/2006/relationships" ref="A248" r:id="rId486"/>
    <hyperlink xmlns:r="http://schemas.openxmlformats.org/officeDocument/2006/relationships" ref="J248" r:id="rId487"/>
    <hyperlink xmlns:r="http://schemas.openxmlformats.org/officeDocument/2006/relationships" ref="A249" r:id="rId488"/>
    <hyperlink xmlns:r="http://schemas.openxmlformats.org/officeDocument/2006/relationships" ref="J249" r:id="rId489"/>
    <hyperlink xmlns:r="http://schemas.openxmlformats.org/officeDocument/2006/relationships" ref="A250" r:id="rId490"/>
    <hyperlink xmlns:r="http://schemas.openxmlformats.org/officeDocument/2006/relationships" ref="J250" r:id="rId491"/>
    <hyperlink xmlns:r="http://schemas.openxmlformats.org/officeDocument/2006/relationships" ref="A251" r:id="rId492"/>
    <hyperlink xmlns:r="http://schemas.openxmlformats.org/officeDocument/2006/relationships" ref="J251" r:id="rId493"/>
    <hyperlink xmlns:r="http://schemas.openxmlformats.org/officeDocument/2006/relationships" ref="A252" r:id="rId494"/>
    <hyperlink xmlns:r="http://schemas.openxmlformats.org/officeDocument/2006/relationships" ref="J252" r:id="rId495"/>
    <hyperlink xmlns:r="http://schemas.openxmlformats.org/officeDocument/2006/relationships" ref="A253" r:id="rId496"/>
    <hyperlink xmlns:r="http://schemas.openxmlformats.org/officeDocument/2006/relationships" ref="J253" r:id="rId497"/>
    <hyperlink xmlns:r="http://schemas.openxmlformats.org/officeDocument/2006/relationships" ref="A254" r:id="rId498"/>
    <hyperlink xmlns:r="http://schemas.openxmlformats.org/officeDocument/2006/relationships" ref="J254" r:id="rId499"/>
    <hyperlink xmlns:r="http://schemas.openxmlformats.org/officeDocument/2006/relationships" ref="A255" r:id="rId500"/>
    <hyperlink xmlns:r="http://schemas.openxmlformats.org/officeDocument/2006/relationships" ref="J255" r:id="rId501"/>
    <hyperlink xmlns:r="http://schemas.openxmlformats.org/officeDocument/2006/relationships" ref="A256" r:id="rId502"/>
    <hyperlink xmlns:r="http://schemas.openxmlformats.org/officeDocument/2006/relationships" ref="J256" r:id="rId503"/>
    <hyperlink xmlns:r="http://schemas.openxmlformats.org/officeDocument/2006/relationships" ref="A257" r:id="rId504"/>
    <hyperlink xmlns:r="http://schemas.openxmlformats.org/officeDocument/2006/relationships" ref="J257" r:id="rId505"/>
    <hyperlink xmlns:r="http://schemas.openxmlformats.org/officeDocument/2006/relationships" ref="A258" r:id="rId506"/>
    <hyperlink xmlns:r="http://schemas.openxmlformats.org/officeDocument/2006/relationships" ref="J258" r:id="rId507"/>
    <hyperlink xmlns:r="http://schemas.openxmlformats.org/officeDocument/2006/relationships" ref="A259" r:id="rId508"/>
    <hyperlink xmlns:r="http://schemas.openxmlformats.org/officeDocument/2006/relationships" ref="J259" r:id="rId509"/>
    <hyperlink xmlns:r="http://schemas.openxmlformats.org/officeDocument/2006/relationships" ref="A260" r:id="rId510"/>
    <hyperlink xmlns:r="http://schemas.openxmlformats.org/officeDocument/2006/relationships" ref="J260" r:id="rId511"/>
    <hyperlink xmlns:r="http://schemas.openxmlformats.org/officeDocument/2006/relationships" ref="A261" r:id="rId512"/>
    <hyperlink xmlns:r="http://schemas.openxmlformats.org/officeDocument/2006/relationships" ref="J261" r:id="rId513"/>
    <hyperlink xmlns:r="http://schemas.openxmlformats.org/officeDocument/2006/relationships" ref="A262" r:id="rId514"/>
    <hyperlink xmlns:r="http://schemas.openxmlformats.org/officeDocument/2006/relationships" ref="J262" r:id="rId515"/>
    <hyperlink xmlns:r="http://schemas.openxmlformats.org/officeDocument/2006/relationships" ref="A263" r:id="rId516"/>
    <hyperlink xmlns:r="http://schemas.openxmlformats.org/officeDocument/2006/relationships" ref="J263" r:id="rId517"/>
    <hyperlink xmlns:r="http://schemas.openxmlformats.org/officeDocument/2006/relationships" ref="A264" r:id="rId518"/>
    <hyperlink xmlns:r="http://schemas.openxmlformats.org/officeDocument/2006/relationships" ref="J264" r:id="rId519"/>
  </hyperlinks>
  <printOptions horizontalCentered="1"/>
  <pageMargins left="0.75" right="0.75" top="1" bottom="1" header="0.5" footer="0.5"/>
  <pageSetup orientation="landscape" fitToHeight="0" fitToWidth="1"/>
  <headerFooter>
    <oddHeader/>
    <oddFooter>&amp;LMichael Oak Advisors&amp;R&amp;P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C51"/>
  <sheetViews>
    <sheetView workbookViewId="0">
      <selection activeCell="A1" sqref="A1"/>
    </sheetView>
  </sheetViews>
  <sheetFormatPr baseColWidth="8" defaultRowHeight="15"/>
  <sheetData>
    <row r="1">
      <c r="A1" s="2" t="inlineStr">
        <is>
          <t>CONSTANTS  —  quoted by name in every formula and on Methodology</t>
        </is>
      </c>
    </row>
    <row r="2">
      <c r="A2" s="2" t="inlineStr">
        <is>
          <t>k_MinMedian</t>
        </is>
      </c>
      <c r="B2" t="n">
        <v>2</v>
      </c>
      <c r="C2" s="3" t="inlineStr">
        <is>
          <t>people needed before a median or average is shown</t>
        </is>
      </c>
    </row>
    <row r="3">
      <c r="A3" s="2" t="inlineStr">
        <is>
          <t>k_MinQuartile</t>
        </is>
      </c>
      <c r="B3" t="n">
        <v>5</v>
      </c>
      <c r="C3" s="3" t="inlineStr">
        <is>
          <t>people needed before P25, P75, P90 or a rank is shown</t>
        </is>
      </c>
    </row>
    <row r="4">
      <c r="A4" s="2" t="inlineStr">
        <is>
          <t>k_RoundTo</t>
        </is>
      </c>
      <c r="B4" t="n">
        <v>5000</v>
      </c>
      <c r="C4" s="3" t="inlineStr">
        <is>
          <t>market figures are rounded to this, to avoid false precision</t>
        </is>
      </c>
    </row>
    <row r="5"/>
    <row r="6">
      <c r="A6" s="2" t="inlineStr">
        <is>
          <t>GEOGRAPHY</t>
        </is>
      </c>
    </row>
    <row r="7">
      <c r="A7" s="2" t="inlineStr">
        <is>
          <t>Preset</t>
        </is>
      </c>
      <c r="B7" s="2" t="inlineStr">
        <is>
          <t>State</t>
        </is>
      </c>
    </row>
    <row r="8">
      <c r="A8" t="inlineStr">
        <is>
          <t>New England</t>
        </is>
      </c>
      <c r="B8" t="inlineStr">
        <is>
          <t>MA</t>
        </is>
      </c>
    </row>
    <row r="9">
      <c r="A9" t="inlineStr">
        <is>
          <t>New England</t>
        </is>
      </c>
      <c r="B9" t="inlineStr">
        <is>
          <t>NH</t>
        </is>
      </c>
    </row>
    <row r="10">
      <c r="A10" t="inlineStr">
        <is>
          <t>New England</t>
        </is>
      </c>
      <c r="B10" t="inlineStr">
        <is>
          <t>ME</t>
        </is>
      </c>
    </row>
    <row r="11">
      <c r="A11" t="inlineStr">
        <is>
          <t>New England</t>
        </is>
      </c>
      <c r="B11" t="inlineStr">
        <is>
          <t>RI</t>
        </is>
      </c>
    </row>
    <row r="12">
      <c r="A12" t="inlineStr">
        <is>
          <t>New England</t>
        </is>
      </c>
      <c r="B12" t="inlineStr">
        <is>
          <t>VT</t>
        </is>
      </c>
    </row>
    <row r="13">
      <c r="A13" t="inlineStr">
        <is>
          <t>New England</t>
        </is>
      </c>
      <c r="B13" t="inlineStr">
        <is>
          <t>CT</t>
        </is>
      </c>
    </row>
    <row r="14">
      <c r="A14" t="inlineStr">
        <is>
          <t>NYC Tri-State</t>
        </is>
      </c>
      <c r="B14" t="inlineStr">
        <is>
          <t>NY</t>
        </is>
      </c>
    </row>
    <row r="15">
      <c r="A15" t="inlineStr">
        <is>
          <t>NYC Tri-State</t>
        </is>
      </c>
      <c r="B15" t="inlineStr">
        <is>
          <t>NJ</t>
        </is>
      </c>
    </row>
    <row r="16">
      <c r="A16" t="inlineStr">
        <is>
          <t>NYC Tri-State</t>
        </is>
      </c>
      <c r="B16" t="inlineStr">
        <is>
          <t>CT</t>
        </is>
      </c>
    </row>
    <row r="17">
      <c r="A17" t="inlineStr">
        <is>
          <t>Mid-Atlantic</t>
        </is>
      </c>
      <c r="B17" t="inlineStr">
        <is>
          <t>PA</t>
        </is>
      </c>
    </row>
    <row r="18">
      <c r="A18" t="inlineStr">
        <is>
          <t>Mid-Atlantic</t>
        </is>
      </c>
      <c r="B18" t="inlineStr">
        <is>
          <t>NJ</t>
        </is>
      </c>
    </row>
    <row r="19">
      <c r="A19" t="inlineStr">
        <is>
          <t>Mid-Atlantic</t>
        </is>
      </c>
      <c r="B19" t="inlineStr">
        <is>
          <t>DE</t>
        </is>
      </c>
    </row>
    <row r="20">
      <c r="A20" t="inlineStr">
        <is>
          <t>Mid-Atlantic</t>
        </is>
      </c>
      <c r="B20" t="inlineStr">
        <is>
          <t>MD</t>
        </is>
      </c>
    </row>
    <row r="21">
      <c r="A21" t="inlineStr">
        <is>
          <t>Mid-Atlantic</t>
        </is>
      </c>
      <c r="B21" t="inlineStr">
        <is>
          <t>DC</t>
        </is>
      </c>
    </row>
    <row r="22">
      <c r="A22" t="inlineStr">
        <is>
          <t>Southeast</t>
        </is>
      </c>
      <c r="B22" t="inlineStr">
        <is>
          <t>VA</t>
        </is>
      </c>
    </row>
    <row r="23">
      <c r="A23" t="inlineStr">
        <is>
          <t>Southeast</t>
        </is>
      </c>
      <c r="B23" t="inlineStr">
        <is>
          <t>NC</t>
        </is>
      </c>
    </row>
    <row r="24">
      <c r="A24" t="inlineStr">
        <is>
          <t>Southeast</t>
        </is>
      </c>
      <c r="B24" t="inlineStr">
        <is>
          <t>SC</t>
        </is>
      </c>
    </row>
    <row r="25">
      <c r="A25" t="inlineStr">
        <is>
          <t>Southeast</t>
        </is>
      </c>
      <c r="B25" t="inlineStr">
        <is>
          <t>GA</t>
        </is>
      </c>
    </row>
    <row r="26">
      <c r="A26" t="inlineStr">
        <is>
          <t>Southeast</t>
        </is>
      </c>
      <c r="B26" t="inlineStr">
        <is>
          <t>FL</t>
        </is>
      </c>
    </row>
    <row r="27">
      <c r="A27" t="inlineStr">
        <is>
          <t>Midwest</t>
        </is>
      </c>
      <c r="B27" t="inlineStr">
        <is>
          <t>IL</t>
        </is>
      </c>
    </row>
    <row r="28">
      <c r="A28" t="inlineStr">
        <is>
          <t>Midwest</t>
        </is>
      </c>
      <c r="B28" t="inlineStr">
        <is>
          <t>IN</t>
        </is>
      </c>
    </row>
    <row r="29">
      <c r="A29" t="inlineStr">
        <is>
          <t>Midwest</t>
        </is>
      </c>
      <c r="B29" t="inlineStr">
        <is>
          <t>OH</t>
        </is>
      </c>
    </row>
    <row r="30">
      <c r="A30" t="inlineStr">
        <is>
          <t>Midwest</t>
        </is>
      </c>
      <c r="B30" t="inlineStr">
        <is>
          <t>MI</t>
        </is>
      </c>
    </row>
    <row r="31">
      <c r="A31" t="inlineStr">
        <is>
          <t>Midwest</t>
        </is>
      </c>
      <c r="B31" t="inlineStr">
        <is>
          <t>WI</t>
        </is>
      </c>
    </row>
    <row r="32">
      <c r="A32" t="inlineStr">
        <is>
          <t>Midwest</t>
        </is>
      </c>
      <c r="B32" t="inlineStr">
        <is>
          <t>MN</t>
        </is>
      </c>
    </row>
    <row r="33">
      <c r="A33" t="inlineStr">
        <is>
          <t>Texas</t>
        </is>
      </c>
      <c r="B33" t="inlineStr">
        <is>
          <t>TX</t>
        </is>
      </c>
    </row>
    <row r="34">
      <c r="A34" t="inlineStr">
        <is>
          <t>California</t>
        </is>
      </c>
      <c r="B34" t="inlineStr">
        <is>
          <t>CA</t>
        </is>
      </c>
    </row>
    <row r="35">
      <c r="A35" t="inlineStr">
        <is>
          <t>Pacific NW</t>
        </is>
      </c>
      <c r="B35" t="inlineStr">
        <is>
          <t>WA</t>
        </is>
      </c>
    </row>
    <row r="36">
      <c r="A36" t="inlineStr">
        <is>
          <t>Pacific NW</t>
        </is>
      </c>
      <c r="B36" t="inlineStr">
        <is>
          <t>OR</t>
        </is>
      </c>
    </row>
    <row r="37"/>
    <row r="38"/>
    <row r="39">
      <c r="A39" s="2" t="inlineStr">
        <is>
          <t>SPREAD RATIOS  —  estimated quartiles, note (1)</t>
        </is>
      </c>
    </row>
    <row r="40">
      <c r="A40" s="2" t="inlineStr">
        <is>
          <t>k_Est_adj_heads_25</t>
        </is>
      </c>
      <c r="B40" t="n">
        <v>0.703</v>
      </c>
      <c r="C40" s="3" t="inlineStr">
        <is>
          <t>P25 / median, adjusted total, Heads of office, 125 reference records</t>
        </is>
      </c>
    </row>
    <row r="41">
      <c r="A41" s="2" t="inlineStr">
        <is>
          <t>k_Est_adj_heads_75</t>
        </is>
      </c>
      <c r="B41" t="n">
        <v>1.895</v>
      </c>
      <c r="C41" s="3" t="inlineStr">
        <is>
          <t>P75 / median, adjusted total, Heads of office, 125 reference records</t>
        </is>
      </c>
    </row>
    <row r="42">
      <c r="A42" s="2" t="inlineStr">
        <is>
          <t>k_Est_adj_heads_90</t>
        </is>
      </c>
      <c r="B42" t="n">
        <v>3.164</v>
      </c>
      <c r="C42" s="3" t="inlineStr">
        <is>
          <t>P90 / median, adjusted total, Heads of office, 125 reference records</t>
        </is>
      </c>
    </row>
    <row r="43">
      <c r="A43" s="2" t="inlineStr">
        <is>
          <t>k_Est_adj_staff_25</t>
        </is>
      </c>
      <c r="B43" t="n">
        <v>0.737</v>
      </c>
      <c r="C43" s="3" t="inlineStr">
        <is>
          <t>P25 / median, adjusted total, Investment staff, 175 reference records</t>
        </is>
      </c>
    </row>
    <row r="44">
      <c r="A44" s="2" t="inlineStr">
        <is>
          <t>k_Est_adj_staff_75</t>
        </is>
      </c>
      <c r="B44" t="n">
        <v>1.265</v>
      </c>
      <c r="C44" s="3" t="inlineStr">
        <is>
          <t>P75 / median, adjusted total, Investment staff, 175 reference records</t>
        </is>
      </c>
    </row>
    <row r="45">
      <c r="A45" s="2" t="inlineStr">
        <is>
          <t>k_Est_adj_staff_90</t>
        </is>
      </c>
      <c r="B45" t="n">
        <v>1.94</v>
      </c>
      <c r="C45" s="3" t="inlineStr">
        <is>
          <t>P90 / median, adjusted total, Investment staff, 175 reference records</t>
        </is>
      </c>
    </row>
    <row r="46">
      <c r="A46" s="2" t="inlineStr">
        <is>
          <t>k_Est_base_heads_25</t>
        </is>
      </c>
      <c r="B46" t="n">
        <v>0.773</v>
      </c>
      <c r="C46" s="3" t="inlineStr">
        <is>
          <t>P25 / median, base salary, Heads of office, 98 reference records</t>
        </is>
      </c>
    </row>
    <row r="47">
      <c r="A47" s="2" t="inlineStr">
        <is>
          <t>k_Est_base_heads_75</t>
        </is>
      </c>
      <c r="B47" t="n">
        <v>1.408</v>
      </c>
      <c r="C47" s="3" t="inlineStr">
        <is>
          <t>P75 / median, base salary, Heads of office, 98 reference records</t>
        </is>
      </c>
    </row>
    <row r="48">
      <c r="A48" s="2" t="inlineStr">
        <is>
          <t>k_Est_base_heads_90</t>
        </is>
      </c>
      <c r="B48" t="n">
        <v>1.557</v>
      </c>
      <c r="C48" s="3" t="inlineStr">
        <is>
          <t>P90 / median, base salary, Heads of office, 98 reference records</t>
        </is>
      </c>
    </row>
    <row r="49">
      <c r="A49" s="2" t="inlineStr">
        <is>
          <t>k_Est_base_staff_25</t>
        </is>
      </c>
      <c r="B49" t="n">
        <v>0.861</v>
      </c>
      <c r="C49" s="3" t="inlineStr">
        <is>
          <t>P25 / median, base salary, Investment staff, 120 reference records</t>
        </is>
      </c>
    </row>
    <row r="50">
      <c r="A50" s="2" t="inlineStr">
        <is>
          <t>k_Est_base_staff_75</t>
        </is>
      </c>
      <c r="B50" t="n">
        <v>1.176</v>
      </c>
      <c r="C50" s="3" t="inlineStr">
        <is>
          <t>P75 / median, base salary, Investment staff, 120 reference records</t>
        </is>
      </c>
    </row>
    <row r="51">
      <c r="A51" s="2" t="inlineStr">
        <is>
          <t>k_Est_base_staff_90</t>
        </is>
      </c>
      <c r="B51" t="n">
        <v>1.586</v>
      </c>
      <c r="C51" s="3" t="inlineStr">
        <is>
          <t>P90 / median, base salary, Investment staff, 120 reference records</t>
        </is>
      </c>
    </row>
  </sheetData>
  <printOptions horizontalCentered="1"/>
  <pageMargins left="0.75" right="0.75" top="1" bottom="1" header="0.5" footer="0.5"/>
  <pageSetup orientation="landscape" fitToHeight="0" fitToWidth="1"/>
  <headerFooter>
    <oddHeader/>
    <oddFooter>&amp;LMichael Oak Advisors&amp;R&amp;P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Michael Oak Advisors</dc:creator>
  <dc:title xmlns:dc="http://purl.org/dc/elements/1.1/">Non-Profit (990) Explorer workbook</dc:title>
  <dc:subject xmlns:dc="http://purl.org/dc/elements/1.1/">990-2026-09-19-a2a77f85</dc:subject>
  <dcterms:created xmlns:dcterms="http://purl.org/dc/terms/" xmlns:xsi="http://www.w3.org/2001/XMLSchema-instance" xsi:type="dcterms:W3CDTF">2026-09-19T08:04:16Z</dcterms:created>
  <dcterms:modified xmlns:dcterms="http://purl.org/dc/terms/" xmlns:xsi="http://www.w3.org/2001/XMLSchema-instance" xsi:type="dcterms:W3CDTF">2026-09-19T08:04:17Z</dcterms:modified>
</cp:coreProperties>
</file>